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https://seedacc.sharepoint.com/sites/Arquivos/Documentos Compartilhados/Contabil/2024/236_PRO_CRIANÇA/Análises/12.DEZ/"/>
    </mc:Choice>
  </mc:AlternateContent>
  <xr:revisionPtr revIDLastSave="361" documentId="8_{A5BA8D45-739D-49BF-9C98-BF451CD0969C}" xr6:coauthVersionLast="47" xr6:coauthVersionMax="47" xr10:uidLastSave="{DE1DD6EC-2B8C-4D2C-A207-25C3F4F71EC8}"/>
  <bookViews>
    <workbookView xWindow="-108" yWindow="-108" windowWidth="23256" windowHeight="12456" tabRatio="928" activeTab="1" xr2:uid="{D6FB647C-0862-4524-8A6C-7D539CE5BBCC}"/>
  </bookViews>
  <sheets>
    <sheet name="INDICADORES" sheetId="31" r:id="rId1"/>
    <sheet name="BALANÇO" sheetId="25" r:id="rId2"/>
    <sheet name="EBITDA" sheetId="30" r:id="rId3"/>
    <sheet name="ATIVO" sheetId="18" r:id="rId4"/>
    <sheet name="PASSIVO" sheetId="23" r:id="rId5"/>
    <sheet name="DRE" sheetId="32" r:id="rId6"/>
    <sheet name="DRE - MOVTO" sheetId="29" r:id="rId7"/>
    <sheet name="2023" sheetId="27" r:id="rId8"/>
    <sheet name="2024" sheetId="1" r:id="rId9"/>
    <sheet name="MOVTO" sheetId="28" r:id="rId10"/>
    <sheet name="Indices" sheetId="33" r:id="rId11"/>
    <sheet name="JAN" sheetId="2" r:id="rId12"/>
    <sheet name="FEV" sheetId="7" r:id="rId13"/>
    <sheet name="MAR" sheetId="8" r:id="rId14"/>
    <sheet name="ABR" sheetId="9" r:id="rId15"/>
    <sheet name="MAI" sheetId="10" r:id="rId16"/>
    <sheet name="JUN" sheetId="11" r:id="rId17"/>
    <sheet name="JUL" sheetId="12" r:id="rId18"/>
    <sheet name="AGO" sheetId="13" r:id="rId19"/>
    <sheet name="SET" sheetId="14" r:id="rId20"/>
    <sheet name="OUT" sheetId="15" r:id="rId21"/>
    <sheet name="NOV" sheetId="16" r:id="rId22"/>
    <sheet name="DEZ" sheetId="17" r:id="rId23"/>
  </sheets>
  <definedNames>
    <definedName name="_xlnm._FilterDatabase" localSheetId="5" hidden="1">DRE!$B$6:$C$23</definedName>
    <definedName name="_xlnm._FilterDatabase" localSheetId="6" hidden="1">'DRE - MOVTO'!$B$97:$C$135</definedName>
    <definedName name="_xlnm.Print_Area" localSheetId="1">BALANÇO!$B$3:$X$56</definedName>
    <definedName name="int_Data" localSheetId="5">Tab_Data[DATA]</definedName>
    <definedName name="int_Data">Tab_Data[DATA]</definedName>
    <definedName name="par_01.LL">DRE!$D$225</definedName>
    <definedName name="par_02.LL">DRE!$F$225</definedName>
    <definedName name="par_03.LL">DRE!$I$225</definedName>
    <definedName name="par_04.LL">DRE!$L$225</definedName>
    <definedName name="par_05.LL">DRE!$O$225</definedName>
    <definedName name="par_06.LL">DRE!$R$225</definedName>
    <definedName name="par_07.LL">DRE!$U$225</definedName>
    <definedName name="par_08.LL">DRE!$X$225</definedName>
    <definedName name="par_09.LL">DRE!$AA$225</definedName>
    <definedName name="par_10.LL">DRE!$AD$225</definedName>
    <definedName name="par_11.LL">DRE!$AG$225</definedName>
    <definedName name="par_12.LL">DRE!$AJ$225</definedName>
    <definedName name="par_99.LL">'2023'!$S$8</definedName>
    <definedName name="par_Ajuste.Trial">MOVTO!$F$12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83" i="29" l="1"/>
  <c r="X182" i="29"/>
  <c r="AA181" i="29"/>
  <c r="AJ183" i="29"/>
  <c r="L183" i="29"/>
  <c r="D183" i="29"/>
  <c r="O182" i="29"/>
  <c r="R181" i="29"/>
  <c r="AJ181" i="29"/>
  <c r="AA183" i="29"/>
  <c r="AD182" i="29"/>
  <c r="F182" i="29"/>
  <c r="AG181" i="29"/>
  <c r="I181" i="29"/>
  <c r="AJ182" i="29"/>
  <c r="D182" i="29"/>
  <c r="AD183" i="29"/>
  <c r="AG182" i="29"/>
  <c r="D181" i="29"/>
  <c r="R183" i="29"/>
  <c r="U182" i="29"/>
  <c r="X181" i="29"/>
  <c r="AG183" i="29"/>
  <c r="I183" i="29"/>
  <c r="L182" i="29"/>
  <c r="O181" i="29"/>
  <c r="U181" i="29"/>
  <c r="I182" i="29"/>
  <c r="X183" i="29"/>
  <c r="AA182" i="29"/>
  <c r="AD181" i="29"/>
  <c r="F181" i="29"/>
  <c r="O183" i="29"/>
  <c r="R182" i="29"/>
  <c r="F183" i="29"/>
  <c r="L181" i="29"/>
  <c r="AD146" i="29"/>
  <c r="F146" i="29"/>
  <c r="AG145" i="29"/>
  <c r="I145" i="29"/>
  <c r="AJ144" i="29"/>
  <c r="L144" i="29"/>
  <c r="D144" i="29"/>
  <c r="O143" i="29"/>
  <c r="R142" i="29"/>
  <c r="U141" i="29"/>
  <c r="X140" i="29"/>
  <c r="AA139" i="29"/>
  <c r="AD142" i="29"/>
  <c r="AJ140" i="29"/>
  <c r="D145" i="29"/>
  <c r="AA140" i="29"/>
  <c r="U146" i="29"/>
  <c r="X145" i="29"/>
  <c r="AA144" i="29"/>
  <c r="AD143" i="29"/>
  <c r="F143" i="29"/>
  <c r="AG142" i="29"/>
  <c r="I142" i="29"/>
  <c r="AJ141" i="29"/>
  <c r="L141" i="29"/>
  <c r="D141" i="29"/>
  <c r="O140" i="29"/>
  <c r="R139" i="29"/>
  <c r="AG141" i="29"/>
  <c r="L140" i="29"/>
  <c r="I146" i="29"/>
  <c r="U142" i="29"/>
  <c r="AJ146" i="29"/>
  <c r="L146" i="29"/>
  <c r="D146" i="29"/>
  <c r="O145" i="29"/>
  <c r="R144" i="29"/>
  <c r="U143" i="29"/>
  <c r="X142" i="29"/>
  <c r="AA141" i="29"/>
  <c r="AD140" i="29"/>
  <c r="F140" i="29"/>
  <c r="AG139" i="29"/>
  <c r="I139" i="29"/>
  <c r="R146" i="29"/>
  <c r="U145" i="29"/>
  <c r="F142" i="29"/>
  <c r="O144" i="29"/>
  <c r="AD139" i="29"/>
  <c r="AA146" i="29"/>
  <c r="AD145" i="29"/>
  <c r="F145" i="29"/>
  <c r="AG144" i="29"/>
  <c r="I144" i="29"/>
  <c r="AJ143" i="29"/>
  <c r="L143" i="29"/>
  <c r="D143" i="29"/>
  <c r="O142" i="29"/>
  <c r="R141" i="29"/>
  <c r="U140" i="29"/>
  <c r="X139" i="29"/>
  <c r="AA143" i="29"/>
  <c r="D140" i="29"/>
  <c r="AJ145" i="29"/>
  <c r="X141" i="29"/>
  <c r="X146" i="29"/>
  <c r="AA145" i="29"/>
  <c r="AD144" i="29"/>
  <c r="F144" i="29"/>
  <c r="AG143" i="29"/>
  <c r="I143" i="29"/>
  <c r="AJ142" i="29"/>
  <c r="L142" i="29"/>
  <c r="D142" i="29"/>
  <c r="O141" i="29"/>
  <c r="R140" i="29"/>
  <c r="U139" i="29"/>
  <c r="D139" i="29"/>
  <c r="X144" i="29"/>
  <c r="O139" i="29"/>
  <c r="L145" i="29"/>
  <c r="O146" i="29"/>
  <c r="R145" i="29"/>
  <c r="U144" i="29"/>
  <c r="X143" i="29"/>
  <c r="AA142" i="29"/>
  <c r="AD141" i="29"/>
  <c r="F141" i="29"/>
  <c r="AG140" i="29"/>
  <c r="I140" i="29"/>
  <c r="AJ139" i="29"/>
  <c r="L139" i="29"/>
  <c r="I141" i="29"/>
  <c r="AG146" i="29"/>
  <c r="R143" i="29"/>
  <c r="F139" i="29"/>
  <c r="D184" i="32"/>
  <c r="F184" i="32"/>
  <c r="N181" i="29" l="1"/>
  <c r="H183" i="29"/>
  <c r="T182" i="29"/>
  <c r="Q183" i="29"/>
  <c r="H181" i="29"/>
  <c r="AF181" i="29"/>
  <c r="AC182" i="29"/>
  <c r="Z183" i="29"/>
  <c r="K182" i="29"/>
  <c r="W181" i="29"/>
  <c r="Q181" i="29"/>
  <c r="N182" i="29"/>
  <c r="K183" i="29"/>
  <c r="AI183" i="29"/>
  <c r="Z181" i="29"/>
  <c r="W182" i="29"/>
  <c r="T183" i="29"/>
  <c r="AI182" i="29"/>
  <c r="AF183" i="29"/>
  <c r="AL182" i="29"/>
  <c r="K181" i="29"/>
  <c r="AI181" i="29"/>
  <c r="H182" i="29"/>
  <c r="AF182" i="29"/>
  <c r="AC183" i="29"/>
  <c r="AL181" i="29"/>
  <c r="T181" i="29"/>
  <c r="Q182" i="29"/>
  <c r="N183" i="29"/>
  <c r="AL183" i="29"/>
  <c r="AC181" i="29"/>
  <c r="Z182" i="29"/>
  <c r="W183" i="29"/>
  <c r="H139" i="29"/>
  <c r="T143" i="29"/>
  <c r="AI146" i="29"/>
  <c r="K141" i="29"/>
  <c r="N139" i="29"/>
  <c r="AL139" i="29"/>
  <c r="K140" i="29"/>
  <c r="AI140" i="29"/>
  <c r="H141" i="29"/>
  <c r="AF141" i="29"/>
  <c r="AC142" i="29"/>
  <c r="Z143" i="29"/>
  <c r="W144" i="29"/>
  <c r="T145" i="29"/>
  <c r="Q146" i="29"/>
  <c r="N145" i="29"/>
  <c r="Q139" i="29"/>
  <c r="Z144" i="29"/>
  <c r="W139" i="29"/>
  <c r="T140" i="29"/>
  <c r="Q141" i="29"/>
  <c r="N142" i="29"/>
  <c r="AL142" i="29"/>
  <c r="K143" i="29"/>
  <c r="AI143" i="29"/>
  <c r="H144" i="29"/>
  <c r="AF144" i="29"/>
  <c r="AC145" i="29"/>
  <c r="Z146" i="29"/>
  <c r="Z141" i="29"/>
  <c r="AL145" i="29"/>
  <c r="AC143" i="29"/>
  <c r="Z139" i="29"/>
  <c r="W140" i="29"/>
  <c r="T141" i="29"/>
  <c r="Q142" i="29"/>
  <c r="N143" i="29"/>
  <c r="AL143" i="29"/>
  <c r="K144" i="29"/>
  <c r="AI144" i="29"/>
  <c r="H145" i="29"/>
  <c r="AF145" i="29"/>
  <c r="AC146" i="29"/>
  <c r="AF139" i="29"/>
  <c r="Q144" i="29"/>
  <c r="H142" i="29"/>
  <c r="W145" i="29"/>
  <c r="T146" i="29"/>
  <c r="K139" i="29"/>
  <c r="AI139" i="29"/>
  <c r="H140" i="29"/>
  <c r="AF140" i="29"/>
  <c r="AC141" i="29"/>
  <c r="Z142" i="29"/>
  <c r="W143" i="29"/>
  <c r="T144" i="29"/>
  <c r="Q145" i="29"/>
  <c r="N146" i="29"/>
  <c r="AL146" i="29"/>
  <c r="W142" i="29"/>
  <c r="K146" i="29"/>
  <c r="N140" i="29"/>
  <c r="AI141" i="29"/>
  <c r="T139" i="29"/>
  <c r="Q140" i="29"/>
  <c r="N141" i="29"/>
  <c r="AL141" i="29"/>
  <c r="K142" i="29"/>
  <c r="AI142" i="29"/>
  <c r="H143" i="29"/>
  <c r="AF143" i="29"/>
  <c r="AC144" i="29"/>
  <c r="Z145" i="29"/>
  <c r="W146" i="29"/>
  <c r="AC140" i="29"/>
  <c r="AL140" i="29"/>
  <c r="AF142" i="29"/>
  <c r="AC139" i="29"/>
  <c r="Z140" i="29"/>
  <c r="W141" i="29"/>
  <c r="T142" i="29"/>
  <c r="Q143" i="29"/>
  <c r="N144" i="29"/>
  <c r="AL144" i="29"/>
  <c r="K145" i="29"/>
  <c r="AI145" i="29"/>
  <c r="H146" i="29"/>
  <c r="AF146" i="29"/>
  <c r="H184" i="32"/>
  <c r="I184" i="32"/>
  <c r="K184" i="32"/>
  <c r="L184" i="32"/>
  <c r="N184" i="32"/>
  <c r="O184" i="32"/>
  <c r="Q184" i="32"/>
  <c r="R184" i="32"/>
  <c r="T184" i="32"/>
  <c r="U184" i="32"/>
  <c r="W184" i="32"/>
  <c r="X184" i="32"/>
  <c r="Z184" i="32"/>
  <c r="AA184" i="32"/>
  <c r="AC184" i="32"/>
  <c r="AD184" i="32"/>
  <c r="AF184" i="32"/>
  <c r="AG184" i="32"/>
  <c r="AI184" i="32"/>
  <c r="AJ184" i="32"/>
  <c r="AL184" i="32"/>
  <c r="D185" i="32"/>
  <c r="F185" i="32"/>
  <c r="H185" i="32"/>
  <c r="I185" i="32"/>
  <c r="K185" i="32"/>
  <c r="L185" i="32"/>
  <c r="N185" i="32"/>
  <c r="O185" i="32"/>
  <c r="Q185" i="32"/>
  <c r="R185" i="32"/>
  <c r="T185" i="32"/>
  <c r="U185" i="32"/>
  <c r="W185" i="32"/>
  <c r="X185" i="32"/>
  <c r="Z185" i="32"/>
  <c r="AA185" i="32"/>
  <c r="AC185" i="32"/>
  <c r="AD185" i="32"/>
  <c r="AF185" i="32"/>
  <c r="AG185" i="32"/>
  <c r="AI185" i="32"/>
  <c r="AJ185" i="32"/>
  <c r="AL185" i="32"/>
  <c r="D186" i="32"/>
  <c r="F186" i="32"/>
  <c r="H186" i="32"/>
  <c r="I186" i="32"/>
  <c r="K186" i="32"/>
  <c r="L186" i="32"/>
  <c r="N186" i="32"/>
  <c r="O186" i="32"/>
  <c r="Q186" i="32"/>
  <c r="R186" i="32"/>
  <c r="T186" i="32"/>
  <c r="U186" i="32"/>
  <c r="W186" i="32"/>
  <c r="X186" i="32"/>
  <c r="Z186" i="32"/>
  <c r="AA186" i="32"/>
  <c r="AC186" i="32"/>
  <c r="AD186" i="32"/>
  <c r="AF186" i="32"/>
  <c r="AG186" i="32"/>
  <c r="AI186" i="32"/>
  <c r="AJ186" i="32"/>
  <c r="AL186" i="32"/>
  <c r="D187" i="32"/>
  <c r="F187" i="32"/>
  <c r="H187" i="32"/>
  <c r="I187" i="32"/>
  <c r="K187" i="32"/>
  <c r="L187" i="32"/>
  <c r="N187" i="32"/>
  <c r="O187" i="32"/>
  <c r="Q187" i="32"/>
  <c r="R187" i="32"/>
  <c r="T187" i="32"/>
  <c r="U187" i="32"/>
  <c r="W187" i="32"/>
  <c r="X187" i="32"/>
  <c r="Z187" i="32"/>
  <c r="AA187" i="32"/>
  <c r="AC187" i="32"/>
  <c r="AD187" i="32"/>
  <c r="AF187" i="32"/>
  <c r="AG187" i="32"/>
  <c r="AI187" i="32"/>
  <c r="AJ187" i="32"/>
  <c r="AL187" i="32"/>
  <c r="D188" i="32"/>
  <c r="F188" i="32"/>
  <c r="H188" i="32"/>
  <c r="I188" i="32"/>
  <c r="K188" i="32"/>
  <c r="L188" i="32"/>
  <c r="N188" i="32"/>
  <c r="O188" i="32"/>
  <c r="Q188" i="32"/>
  <c r="R188" i="32"/>
  <c r="T188" i="32"/>
  <c r="U188" i="32"/>
  <c r="W188" i="32"/>
  <c r="X188" i="32"/>
  <c r="Z188" i="32"/>
  <c r="AA188" i="32"/>
  <c r="AC188" i="32"/>
  <c r="AD188" i="32"/>
  <c r="AF188" i="32"/>
  <c r="AG188" i="32"/>
  <c r="AI188" i="32"/>
  <c r="AJ188" i="32"/>
  <c r="AL188" i="32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58" i="17"/>
  <c r="O59" i="17"/>
  <c r="O60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5" i="17"/>
  <c r="O96" i="17"/>
  <c r="O97" i="17"/>
  <c r="O98" i="17"/>
  <c r="O99" i="17"/>
  <c r="O100" i="17"/>
  <c r="O101" i="17"/>
  <c r="O102" i="17"/>
  <c r="O103" i="17"/>
  <c r="O104" i="17"/>
  <c r="O105" i="17"/>
  <c r="O106" i="17"/>
  <c r="O107" i="17"/>
  <c r="O108" i="17"/>
  <c r="O109" i="17"/>
  <c r="O110" i="17"/>
  <c r="O111" i="17"/>
  <c r="O112" i="17"/>
  <c r="O113" i="17"/>
  <c r="O114" i="17"/>
  <c r="O115" i="17"/>
  <c r="O116" i="17"/>
  <c r="O117" i="17"/>
  <c r="O118" i="17"/>
  <c r="O119" i="17"/>
  <c r="O120" i="17"/>
  <c r="O121" i="17"/>
  <c r="O122" i="17"/>
  <c r="O123" i="17"/>
  <c r="O124" i="17"/>
  <c r="O125" i="17"/>
  <c r="O126" i="17"/>
  <c r="O127" i="17"/>
  <c r="O128" i="17"/>
  <c r="O129" i="17"/>
  <c r="O130" i="17"/>
  <c r="O131" i="17"/>
  <c r="O132" i="17"/>
  <c r="O133" i="17"/>
  <c r="O134" i="17"/>
  <c r="O135" i="17"/>
  <c r="O136" i="17"/>
  <c r="O137" i="17"/>
  <c r="O138" i="17"/>
  <c r="O139" i="17"/>
  <c r="O140" i="17"/>
  <c r="O141" i="17"/>
  <c r="O142" i="17"/>
  <c r="O143" i="17"/>
  <c r="O144" i="17"/>
  <c r="O145" i="17"/>
  <c r="O146" i="17"/>
  <c r="O147" i="17"/>
  <c r="O148" i="17"/>
  <c r="O149" i="17"/>
  <c r="O150" i="17"/>
  <c r="O151" i="17"/>
  <c r="O152" i="17"/>
  <c r="O153" i="17"/>
  <c r="O154" i="17"/>
  <c r="O155" i="17"/>
  <c r="O156" i="17"/>
  <c r="O157" i="17"/>
  <c r="O158" i="17"/>
  <c r="O159" i="17"/>
  <c r="O160" i="17"/>
  <c r="O161" i="17"/>
  <c r="O162" i="17"/>
  <c r="O163" i="17"/>
  <c r="O164" i="17"/>
  <c r="O165" i="17"/>
  <c r="O166" i="17"/>
  <c r="O167" i="17"/>
  <c r="O168" i="17"/>
  <c r="O169" i="17"/>
  <c r="O170" i="17"/>
  <c r="O171" i="17"/>
  <c r="O172" i="17"/>
  <c r="O173" i="17"/>
  <c r="O174" i="17"/>
  <c r="O175" i="17"/>
  <c r="O176" i="17"/>
  <c r="O177" i="17"/>
  <c r="O178" i="17"/>
  <c r="O179" i="17"/>
  <c r="O180" i="17"/>
  <c r="O181" i="17"/>
  <c r="O182" i="17"/>
  <c r="O183" i="17"/>
  <c r="O184" i="17"/>
  <c r="O185" i="17"/>
  <c r="O186" i="17"/>
  <c r="O187" i="17"/>
  <c r="O188" i="17"/>
  <c r="O189" i="17"/>
  <c r="O190" i="17"/>
  <c r="O191" i="17"/>
  <c r="O192" i="17"/>
  <c r="O193" i="17"/>
  <c r="O194" i="17"/>
  <c r="O195" i="17"/>
  <c r="O196" i="17"/>
  <c r="O197" i="17"/>
  <c r="O198" i="17"/>
  <c r="O199" i="17"/>
  <c r="O200" i="17"/>
  <c r="O201" i="17"/>
  <c r="O202" i="17"/>
  <c r="O203" i="17"/>
  <c r="O204" i="17"/>
  <c r="O205" i="17"/>
  <c r="O206" i="17"/>
  <c r="O207" i="17"/>
  <c r="O208" i="17"/>
  <c r="O209" i="17"/>
  <c r="O210" i="17"/>
  <c r="O211" i="17"/>
  <c r="O212" i="17"/>
  <c r="O213" i="17"/>
  <c r="O214" i="17"/>
  <c r="O215" i="17"/>
  <c r="O216" i="17"/>
  <c r="O217" i="17"/>
  <c r="O218" i="17"/>
  <c r="O219" i="17"/>
  <c r="O220" i="17"/>
  <c r="O221" i="17"/>
  <c r="O222" i="17"/>
  <c r="O223" i="17"/>
  <c r="O224" i="17"/>
  <c r="O225" i="17"/>
  <c r="O226" i="17"/>
  <c r="O227" i="17"/>
  <c r="O228" i="17"/>
  <c r="O229" i="17"/>
  <c r="O230" i="17"/>
  <c r="O231" i="17"/>
  <c r="O232" i="17"/>
  <c r="O233" i="17"/>
  <c r="O234" i="17"/>
  <c r="O235" i="17"/>
  <c r="O236" i="17"/>
  <c r="O237" i="17"/>
  <c r="O238" i="17"/>
  <c r="O239" i="17"/>
  <c r="O240" i="17"/>
  <c r="O241" i="17"/>
  <c r="O242" i="17"/>
  <c r="O243" i="17"/>
  <c r="O244" i="17"/>
  <c r="O245" i="17"/>
  <c r="O246" i="17"/>
  <c r="O247" i="17"/>
  <c r="O248" i="17"/>
  <c r="O249" i="17"/>
  <c r="O250" i="17"/>
  <c r="O251" i="17"/>
  <c r="O252" i="17"/>
  <c r="O253" i="17"/>
  <c r="O254" i="17"/>
  <c r="O255" i="17"/>
  <c r="O256" i="17"/>
  <c r="O257" i="17"/>
  <c r="O258" i="17"/>
  <c r="O259" i="17"/>
  <c r="O260" i="17"/>
  <c r="O261" i="17"/>
  <c r="O262" i="17"/>
  <c r="O263" i="17"/>
  <c r="O264" i="17"/>
  <c r="O265" i="17"/>
  <c r="O266" i="17"/>
  <c r="O267" i="17"/>
  <c r="O268" i="17"/>
  <c r="O269" i="17"/>
  <c r="O270" i="17"/>
  <c r="O271" i="17"/>
  <c r="O272" i="17"/>
  <c r="O273" i="17"/>
  <c r="O274" i="17"/>
  <c r="O275" i="17"/>
  <c r="O276" i="17"/>
  <c r="O277" i="17"/>
  <c r="O278" i="17"/>
  <c r="O279" i="17"/>
  <c r="O280" i="17"/>
  <c r="O281" i="17"/>
  <c r="O282" i="17"/>
  <c r="O283" i="17"/>
  <c r="O284" i="17"/>
  <c r="O285" i="17"/>
  <c r="O286" i="17"/>
  <c r="O287" i="17"/>
  <c r="O288" i="17"/>
  <c r="O289" i="17"/>
  <c r="O290" i="17"/>
  <c r="O291" i="17"/>
  <c r="O292" i="17"/>
  <c r="O293" i="17"/>
  <c r="O294" i="17"/>
  <c r="O295" i="17"/>
  <c r="O296" i="17"/>
  <c r="O297" i="17"/>
  <c r="O298" i="17"/>
  <c r="O299" i="17"/>
  <c r="O300" i="17"/>
  <c r="O301" i="17"/>
  <c r="O302" i="17"/>
  <c r="O303" i="17"/>
  <c r="O304" i="17"/>
  <c r="B304" i="17"/>
  <c r="C304" i="17"/>
  <c r="D304" i="17"/>
  <c r="E304" i="17"/>
  <c r="F304" i="17"/>
  <c r="G304" i="17"/>
  <c r="B303" i="16"/>
  <c r="C303" i="16"/>
  <c r="D303" i="16"/>
  <c r="E303" i="16"/>
  <c r="F303" i="16"/>
  <c r="G303" i="16" s="1"/>
  <c r="O303" i="16"/>
  <c r="O302" i="16"/>
  <c r="O301" i="16"/>
  <c r="O300" i="16"/>
  <c r="O299" i="16"/>
  <c r="O298" i="16"/>
  <c r="O297" i="16"/>
  <c r="O296" i="16"/>
  <c r="O295" i="16"/>
  <c r="O294" i="16"/>
  <c r="O293" i="16"/>
  <c r="O292" i="16"/>
  <c r="O291" i="16"/>
  <c r="O290" i="16"/>
  <c r="O289" i="16"/>
  <c r="O288" i="16"/>
  <c r="O287" i="16"/>
  <c r="O286" i="16"/>
  <c r="O285" i="16"/>
  <c r="O284" i="16"/>
  <c r="O283" i="16"/>
  <c r="O282" i="16"/>
  <c r="O281" i="16"/>
  <c r="O280" i="16"/>
  <c r="O279" i="16"/>
  <c r="O278" i="16"/>
  <c r="O277" i="16"/>
  <c r="O276" i="16"/>
  <c r="O275" i="16"/>
  <c r="O274" i="16"/>
  <c r="O273" i="16"/>
  <c r="O272" i="16"/>
  <c r="O271" i="16"/>
  <c r="O270" i="16"/>
  <c r="O269" i="16"/>
  <c r="O268" i="16"/>
  <c r="O267" i="16"/>
  <c r="O266" i="16"/>
  <c r="O265" i="16"/>
  <c r="O264" i="16"/>
  <c r="O263" i="16"/>
  <c r="O262" i="16"/>
  <c r="O261" i="16"/>
  <c r="O260" i="16"/>
  <c r="O259" i="16"/>
  <c r="O258" i="16"/>
  <c r="O257" i="16"/>
  <c r="O256" i="16"/>
  <c r="O255" i="16"/>
  <c r="O254" i="16"/>
  <c r="O253" i="16"/>
  <c r="O252" i="16"/>
  <c r="O251" i="16"/>
  <c r="O250" i="16"/>
  <c r="O249" i="16"/>
  <c r="O248" i="16"/>
  <c r="O247" i="16"/>
  <c r="O246" i="16"/>
  <c r="O245" i="16"/>
  <c r="O244" i="16"/>
  <c r="O243" i="16"/>
  <c r="O242" i="16"/>
  <c r="O241" i="16"/>
  <c r="O240" i="16"/>
  <c r="O239" i="16"/>
  <c r="O238" i="16"/>
  <c r="O237" i="16"/>
  <c r="O236" i="16"/>
  <c r="O235" i="16"/>
  <c r="O234" i="16"/>
  <c r="O233" i="16"/>
  <c r="O232" i="16"/>
  <c r="O231" i="16"/>
  <c r="O230" i="16"/>
  <c r="O229" i="16"/>
  <c r="O228" i="16"/>
  <c r="O227" i="16"/>
  <c r="O226" i="16"/>
  <c r="O225" i="16"/>
  <c r="O224" i="16"/>
  <c r="O223" i="16"/>
  <c r="O222" i="16"/>
  <c r="O221" i="16"/>
  <c r="O220" i="16"/>
  <c r="O219" i="16"/>
  <c r="O218" i="16"/>
  <c r="O217" i="16"/>
  <c r="O216" i="16"/>
  <c r="O215" i="16"/>
  <c r="O214" i="16"/>
  <c r="O213" i="16"/>
  <c r="O212" i="16"/>
  <c r="O211" i="16"/>
  <c r="O210" i="16"/>
  <c r="O209" i="16"/>
  <c r="O208" i="16"/>
  <c r="O207" i="16"/>
  <c r="O206" i="16"/>
  <c r="O205" i="16"/>
  <c r="O204" i="16"/>
  <c r="O203" i="16"/>
  <c r="O202" i="16"/>
  <c r="O201" i="16"/>
  <c r="O200" i="16"/>
  <c r="O199" i="16"/>
  <c r="O198" i="16"/>
  <c r="O197" i="16"/>
  <c r="O196" i="16"/>
  <c r="O195" i="16"/>
  <c r="O194" i="16"/>
  <c r="O193" i="16"/>
  <c r="O192" i="16"/>
  <c r="O191" i="16"/>
  <c r="O190" i="16"/>
  <c r="O189" i="16"/>
  <c r="O188" i="16"/>
  <c r="O187" i="16"/>
  <c r="O186" i="16"/>
  <c r="O185" i="16"/>
  <c r="O184" i="16"/>
  <c r="O183" i="16"/>
  <c r="O182" i="16"/>
  <c r="O181" i="16"/>
  <c r="O180" i="16"/>
  <c r="O179" i="16"/>
  <c r="O178" i="16"/>
  <c r="O177" i="16"/>
  <c r="O176" i="16"/>
  <c r="O175" i="16"/>
  <c r="O174" i="16"/>
  <c r="O173" i="16"/>
  <c r="O172" i="16"/>
  <c r="O171" i="16"/>
  <c r="O170" i="16"/>
  <c r="O169" i="16"/>
  <c r="O168" i="16"/>
  <c r="O167" i="16"/>
  <c r="O166" i="16"/>
  <c r="O165" i="16"/>
  <c r="O164" i="16"/>
  <c r="O163" i="16"/>
  <c r="O162" i="16"/>
  <c r="O161" i="16"/>
  <c r="O160" i="16"/>
  <c r="O159" i="16"/>
  <c r="O158" i="16"/>
  <c r="O157" i="16"/>
  <c r="O156" i="16"/>
  <c r="O155" i="16"/>
  <c r="O154" i="16"/>
  <c r="O153" i="16"/>
  <c r="O152" i="16"/>
  <c r="O151" i="16"/>
  <c r="O150" i="16"/>
  <c r="O149" i="16"/>
  <c r="O148" i="16"/>
  <c r="O147" i="16"/>
  <c r="O146" i="16"/>
  <c r="O145" i="16"/>
  <c r="O144" i="16"/>
  <c r="O143" i="16"/>
  <c r="O142" i="16"/>
  <c r="O141" i="16"/>
  <c r="O140" i="16"/>
  <c r="O139" i="16"/>
  <c r="O138" i="16"/>
  <c r="O137" i="16"/>
  <c r="O136" i="16"/>
  <c r="O135" i="16"/>
  <c r="O134" i="16"/>
  <c r="O133" i="16"/>
  <c r="O132" i="16"/>
  <c r="O131" i="16"/>
  <c r="O130" i="16"/>
  <c r="O129" i="16"/>
  <c r="O128" i="16"/>
  <c r="O127" i="16"/>
  <c r="O126" i="16"/>
  <c r="O125" i="16"/>
  <c r="O124" i="16"/>
  <c r="O123" i="16"/>
  <c r="O122" i="16"/>
  <c r="O121" i="16"/>
  <c r="O120" i="16"/>
  <c r="O119" i="16"/>
  <c r="O118" i="16"/>
  <c r="O117" i="16"/>
  <c r="O116" i="16"/>
  <c r="O115" i="16"/>
  <c r="O114" i="16"/>
  <c r="O113" i="16"/>
  <c r="O112" i="16"/>
  <c r="O111" i="16"/>
  <c r="O110" i="16"/>
  <c r="O109" i="16"/>
  <c r="O108" i="16"/>
  <c r="O107" i="16"/>
  <c r="O106" i="16"/>
  <c r="O105" i="16"/>
  <c r="O104" i="16"/>
  <c r="O103" i="16"/>
  <c r="O102" i="16"/>
  <c r="O101" i="16"/>
  <c r="O100" i="16"/>
  <c r="O99" i="16"/>
  <c r="O98" i="16"/>
  <c r="O97" i="16"/>
  <c r="O96" i="16"/>
  <c r="O95" i="16"/>
  <c r="O94" i="16"/>
  <c r="O93" i="16"/>
  <c r="O92" i="16"/>
  <c r="O91" i="16"/>
  <c r="O90" i="16"/>
  <c r="O89" i="16"/>
  <c r="O88" i="16"/>
  <c r="O87" i="16"/>
  <c r="O86" i="16"/>
  <c r="O85" i="16"/>
  <c r="O84" i="16"/>
  <c r="O83" i="16"/>
  <c r="O82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7" i="16"/>
  <c r="O66" i="16"/>
  <c r="O65" i="16"/>
  <c r="O64" i="16"/>
  <c r="O63" i="16"/>
  <c r="O62" i="16"/>
  <c r="O61" i="16"/>
  <c r="O60" i="16"/>
  <c r="O59" i="16"/>
  <c r="O58" i="16"/>
  <c r="O57" i="16"/>
  <c r="O56" i="16"/>
  <c r="O55" i="16"/>
  <c r="O54" i="16"/>
  <c r="O53" i="16"/>
  <c r="O52" i="16"/>
  <c r="O51" i="16"/>
  <c r="O50" i="16"/>
  <c r="O49" i="16"/>
  <c r="O48" i="16"/>
  <c r="O47" i="16"/>
  <c r="O46" i="16"/>
  <c r="O45" i="16"/>
  <c r="O44" i="16"/>
  <c r="O43" i="16"/>
  <c r="O42" i="16"/>
  <c r="O41" i="16"/>
  <c r="O40" i="16"/>
  <c r="O39" i="16"/>
  <c r="O38" i="16"/>
  <c r="O37" i="16"/>
  <c r="O36" i="16"/>
  <c r="O35" i="16"/>
  <c r="O34" i="16"/>
  <c r="O33" i="16"/>
  <c r="O32" i="16"/>
  <c r="O31" i="16"/>
  <c r="O30" i="16"/>
  <c r="O29" i="16"/>
  <c r="O28" i="16"/>
  <c r="O27" i="16"/>
  <c r="O26" i="16"/>
  <c r="O25" i="16"/>
  <c r="O24" i="16"/>
  <c r="O23" i="16"/>
  <c r="O22" i="16"/>
  <c r="O21" i="16"/>
  <c r="O20" i="16"/>
  <c r="O19" i="16"/>
  <c r="O18" i="16"/>
  <c r="O17" i="16"/>
  <c r="O16" i="16"/>
  <c r="O15" i="16"/>
  <c r="B303" i="17"/>
  <c r="C303" i="17"/>
  <c r="D303" i="17"/>
  <c r="E303" i="17"/>
  <c r="F303" i="17"/>
  <c r="G303" i="17" s="1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O50" i="15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79" i="15"/>
  <c r="O80" i="15"/>
  <c r="O81" i="15"/>
  <c r="O82" i="15"/>
  <c r="O83" i="15"/>
  <c r="O84" i="15"/>
  <c r="O85" i="15"/>
  <c r="O86" i="15"/>
  <c r="O87" i="15"/>
  <c r="O88" i="15"/>
  <c r="O89" i="15"/>
  <c r="O90" i="15"/>
  <c r="O91" i="15"/>
  <c r="O92" i="15"/>
  <c r="O93" i="15"/>
  <c r="O94" i="15"/>
  <c r="O95" i="15"/>
  <c r="O96" i="15"/>
  <c r="O97" i="15"/>
  <c r="O98" i="15"/>
  <c r="O99" i="15"/>
  <c r="O100" i="15"/>
  <c r="O101" i="15"/>
  <c r="O102" i="15"/>
  <c r="O103" i="15"/>
  <c r="O104" i="15"/>
  <c r="O105" i="15"/>
  <c r="O106" i="15"/>
  <c r="O107" i="15"/>
  <c r="O108" i="15"/>
  <c r="O109" i="15"/>
  <c r="O110" i="15"/>
  <c r="O111" i="15"/>
  <c r="O112" i="15"/>
  <c r="O113" i="15"/>
  <c r="O114" i="15"/>
  <c r="O115" i="15"/>
  <c r="O116" i="15"/>
  <c r="O117" i="15"/>
  <c r="O118" i="15"/>
  <c r="O119" i="15"/>
  <c r="O120" i="15"/>
  <c r="O121" i="15"/>
  <c r="O122" i="15"/>
  <c r="O123" i="15"/>
  <c r="O124" i="15"/>
  <c r="O125" i="15"/>
  <c r="O126" i="15"/>
  <c r="O127" i="15"/>
  <c r="O128" i="15"/>
  <c r="O129" i="15"/>
  <c r="O130" i="15"/>
  <c r="O131" i="15"/>
  <c r="O132" i="15"/>
  <c r="O133" i="15"/>
  <c r="O134" i="15"/>
  <c r="O135" i="15"/>
  <c r="O136" i="15"/>
  <c r="O137" i="15"/>
  <c r="O138" i="15"/>
  <c r="O139" i="15"/>
  <c r="O140" i="15"/>
  <c r="O141" i="15"/>
  <c r="O142" i="15"/>
  <c r="O143" i="15"/>
  <c r="O144" i="15"/>
  <c r="O145" i="15"/>
  <c r="O146" i="15"/>
  <c r="O147" i="15"/>
  <c r="O148" i="15"/>
  <c r="O149" i="15"/>
  <c r="O150" i="15"/>
  <c r="O151" i="15"/>
  <c r="O152" i="15"/>
  <c r="O153" i="15"/>
  <c r="O154" i="15"/>
  <c r="O155" i="15"/>
  <c r="O156" i="15"/>
  <c r="O157" i="15"/>
  <c r="O158" i="15"/>
  <c r="O159" i="15"/>
  <c r="O160" i="15"/>
  <c r="O161" i="15"/>
  <c r="O162" i="15"/>
  <c r="O163" i="15"/>
  <c r="O164" i="15"/>
  <c r="O165" i="15"/>
  <c r="O166" i="15"/>
  <c r="O167" i="15"/>
  <c r="O168" i="15"/>
  <c r="O169" i="15"/>
  <c r="O170" i="15"/>
  <c r="O171" i="15"/>
  <c r="O172" i="15"/>
  <c r="O173" i="15"/>
  <c r="O174" i="15"/>
  <c r="O175" i="15"/>
  <c r="O176" i="15"/>
  <c r="O177" i="15"/>
  <c r="O178" i="15"/>
  <c r="O179" i="15"/>
  <c r="O180" i="15"/>
  <c r="O181" i="15"/>
  <c r="O182" i="15"/>
  <c r="O183" i="15"/>
  <c r="O184" i="15"/>
  <c r="O185" i="15"/>
  <c r="O186" i="15"/>
  <c r="O187" i="15"/>
  <c r="O188" i="15"/>
  <c r="O189" i="15"/>
  <c r="O190" i="15"/>
  <c r="O191" i="15"/>
  <c r="O192" i="15"/>
  <c r="O193" i="15"/>
  <c r="O194" i="15"/>
  <c r="O195" i="15"/>
  <c r="O196" i="15"/>
  <c r="O197" i="15"/>
  <c r="O198" i="15"/>
  <c r="O199" i="15"/>
  <c r="O200" i="15"/>
  <c r="O201" i="15"/>
  <c r="O202" i="15"/>
  <c r="O203" i="15"/>
  <c r="O204" i="15"/>
  <c r="O205" i="15"/>
  <c r="O206" i="15"/>
  <c r="O207" i="15"/>
  <c r="O208" i="15"/>
  <c r="O209" i="15"/>
  <c r="O210" i="15"/>
  <c r="O211" i="15"/>
  <c r="O212" i="15"/>
  <c r="O213" i="15"/>
  <c r="O214" i="15"/>
  <c r="O215" i="15"/>
  <c r="O216" i="15"/>
  <c r="O217" i="15"/>
  <c r="O218" i="15"/>
  <c r="O219" i="15"/>
  <c r="O220" i="15"/>
  <c r="O221" i="15"/>
  <c r="O222" i="15"/>
  <c r="O223" i="15"/>
  <c r="O224" i="15"/>
  <c r="O225" i="15"/>
  <c r="O226" i="15"/>
  <c r="O227" i="15"/>
  <c r="O228" i="15"/>
  <c r="O229" i="15"/>
  <c r="O230" i="15"/>
  <c r="O231" i="15"/>
  <c r="O232" i="15"/>
  <c r="O233" i="15"/>
  <c r="O234" i="15"/>
  <c r="O235" i="15"/>
  <c r="O236" i="15"/>
  <c r="O237" i="15"/>
  <c r="O238" i="15"/>
  <c r="O239" i="15"/>
  <c r="O240" i="15"/>
  <c r="O241" i="15"/>
  <c r="O242" i="15"/>
  <c r="O243" i="15"/>
  <c r="O244" i="15"/>
  <c r="O245" i="15"/>
  <c r="O246" i="15"/>
  <c r="O247" i="15"/>
  <c r="O248" i="15"/>
  <c r="O249" i="15"/>
  <c r="O250" i="15"/>
  <c r="O251" i="15"/>
  <c r="O252" i="15"/>
  <c r="O253" i="15"/>
  <c r="O254" i="15"/>
  <c r="O255" i="15"/>
  <c r="O256" i="15"/>
  <c r="O257" i="15"/>
  <c r="O258" i="15"/>
  <c r="O259" i="15"/>
  <c r="O260" i="15"/>
  <c r="O261" i="15"/>
  <c r="O262" i="15"/>
  <c r="O263" i="15"/>
  <c r="O264" i="15"/>
  <c r="O265" i="15"/>
  <c r="O266" i="15"/>
  <c r="O267" i="15"/>
  <c r="O268" i="15"/>
  <c r="O269" i="15"/>
  <c r="O270" i="15"/>
  <c r="O271" i="15"/>
  <c r="O272" i="15"/>
  <c r="O273" i="15"/>
  <c r="O274" i="15"/>
  <c r="O275" i="15"/>
  <c r="O276" i="15"/>
  <c r="O277" i="15"/>
  <c r="O278" i="15"/>
  <c r="O279" i="15"/>
  <c r="O280" i="15"/>
  <c r="O281" i="15"/>
  <c r="O282" i="15"/>
  <c r="O283" i="15"/>
  <c r="O284" i="15"/>
  <c r="O285" i="15"/>
  <c r="O286" i="15"/>
  <c r="O287" i="15"/>
  <c r="O288" i="15"/>
  <c r="O289" i="15"/>
  <c r="O290" i="15"/>
  <c r="O291" i="15"/>
  <c r="O292" i="15"/>
  <c r="O293" i="15"/>
  <c r="O294" i="15"/>
  <c r="O295" i="15"/>
  <c r="O296" i="15"/>
  <c r="O297" i="15"/>
  <c r="O298" i="15"/>
  <c r="O299" i="15"/>
  <c r="O300" i="15"/>
  <c r="O301" i="15"/>
  <c r="C342" i="28"/>
  <c r="D342" i="28"/>
  <c r="E342" i="28"/>
  <c r="H342" i="28"/>
  <c r="I342" i="28"/>
  <c r="J342" i="28"/>
  <c r="K342" i="28"/>
  <c r="L342" i="28"/>
  <c r="M342" i="28"/>
  <c r="N342" i="28"/>
  <c r="O342" i="28"/>
  <c r="P342" i="28"/>
  <c r="Q342" i="28"/>
  <c r="R342" i="28"/>
  <c r="C341" i="1"/>
  <c r="D341" i="1"/>
  <c r="E341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B293" i="14"/>
  <c r="E293" i="14"/>
  <c r="D293" i="14"/>
  <c r="C293" i="14"/>
  <c r="O302" i="14"/>
  <c r="O301" i="14"/>
  <c r="O300" i="14"/>
  <c r="O299" i="14"/>
  <c r="O298" i="14"/>
  <c r="O297" i="14"/>
  <c r="O296" i="14"/>
  <c r="O295" i="14"/>
  <c r="O294" i="14"/>
  <c r="O293" i="14"/>
  <c r="O292" i="14"/>
  <c r="O291" i="14"/>
  <c r="O290" i="14"/>
  <c r="O289" i="14"/>
  <c r="O288" i="14"/>
  <c r="O287" i="14"/>
  <c r="O286" i="14"/>
  <c r="O285" i="14"/>
  <c r="O284" i="14"/>
  <c r="O283" i="14"/>
  <c r="O282" i="14"/>
  <c r="O281" i="14"/>
  <c r="O280" i="14"/>
  <c r="O279" i="14"/>
  <c r="O278" i="14"/>
  <c r="O277" i="14"/>
  <c r="O276" i="14"/>
  <c r="O275" i="14"/>
  <c r="O274" i="14"/>
  <c r="O273" i="14"/>
  <c r="O272" i="14"/>
  <c r="O271" i="14"/>
  <c r="O270" i="14"/>
  <c r="O269" i="14"/>
  <c r="O268" i="14"/>
  <c r="O267" i="14"/>
  <c r="O266" i="14"/>
  <c r="O265" i="14"/>
  <c r="O264" i="14"/>
  <c r="O263" i="14"/>
  <c r="O262" i="14"/>
  <c r="O261" i="14"/>
  <c r="O260" i="14"/>
  <c r="O259" i="14"/>
  <c r="O258" i="14"/>
  <c r="O257" i="14"/>
  <c r="O256" i="14"/>
  <c r="O255" i="14"/>
  <c r="O254" i="14"/>
  <c r="O253" i="14"/>
  <c r="O252" i="14"/>
  <c r="O251" i="14"/>
  <c r="O250" i="14"/>
  <c r="O249" i="14"/>
  <c r="O248" i="14"/>
  <c r="O247" i="14"/>
  <c r="O246" i="14"/>
  <c r="O245" i="14"/>
  <c r="O244" i="14"/>
  <c r="O243" i="14"/>
  <c r="O242" i="14"/>
  <c r="O241" i="14"/>
  <c r="O240" i="14"/>
  <c r="O239" i="14"/>
  <c r="O238" i="14"/>
  <c r="O237" i="14"/>
  <c r="O236" i="14"/>
  <c r="O235" i="14"/>
  <c r="O234" i="14"/>
  <c r="O233" i="14"/>
  <c r="O232" i="14"/>
  <c r="O231" i="14"/>
  <c r="O230" i="14"/>
  <c r="O229" i="14"/>
  <c r="O228" i="14"/>
  <c r="O227" i="14"/>
  <c r="O226" i="14"/>
  <c r="O225" i="14"/>
  <c r="O224" i="14"/>
  <c r="O223" i="14"/>
  <c r="O222" i="14"/>
  <c r="O221" i="14"/>
  <c r="O220" i="14"/>
  <c r="O219" i="14"/>
  <c r="O218" i="14"/>
  <c r="O217" i="14"/>
  <c r="O216" i="14"/>
  <c r="O215" i="14"/>
  <c r="O214" i="14"/>
  <c r="O213" i="14"/>
  <c r="O212" i="14"/>
  <c r="O211" i="14"/>
  <c r="O210" i="14"/>
  <c r="O209" i="14"/>
  <c r="O208" i="14"/>
  <c r="O207" i="14"/>
  <c r="O206" i="14"/>
  <c r="O205" i="14"/>
  <c r="O204" i="14"/>
  <c r="O203" i="14"/>
  <c r="O202" i="14"/>
  <c r="O201" i="14"/>
  <c r="O200" i="14"/>
  <c r="O199" i="14"/>
  <c r="O198" i="14"/>
  <c r="O197" i="14"/>
  <c r="O196" i="14"/>
  <c r="O195" i="14"/>
  <c r="O194" i="14"/>
  <c r="O193" i="14"/>
  <c r="O192" i="14"/>
  <c r="O191" i="14"/>
  <c r="O190" i="14"/>
  <c r="O189" i="14"/>
  <c r="O188" i="14"/>
  <c r="O187" i="14"/>
  <c r="O186" i="14"/>
  <c r="O185" i="14"/>
  <c r="O184" i="14"/>
  <c r="O183" i="14"/>
  <c r="O182" i="14"/>
  <c r="O181" i="14"/>
  <c r="O180" i="14"/>
  <c r="O179" i="14"/>
  <c r="O178" i="14"/>
  <c r="O177" i="14"/>
  <c r="O176" i="14"/>
  <c r="O175" i="14"/>
  <c r="O174" i="14"/>
  <c r="O173" i="14"/>
  <c r="O172" i="14"/>
  <c r="O171" i="14"/>
  <c r="O170" i="14"/>
  <c r="O169" i="14"/>
  <c r="O168" i="14"/>
  <c r="O167" i="14"/>
  <c r="O166" i="14"/>
  <c r="O165" i="14"/>
  <c r="O164" i="14"/>
  <c r="O163" i="14"/>
  <c r="O162" i="14"/>
  <c r="O161" i="14"/>
  <c r="O160" i="14"/>
  <c r="O159" i="14"/>
  <c r="O158" i="14"/>
  <c r="O157" i="14"/>
  <c r="O156" i="14"/>
  <c r="O155" i="14"/>
  <c r="O154" i="14"/>
  <c r="O153" i="14"/>
  <c r="O152" i="14"/>
  <c r="O151" i="14"/>
  <c r="O150" i="14"/>
  <c r="O149" i="14"/>
  <c r="O148" i="14"/>
  <c r="O147" i="14"/>
  <c r="O146" i="14"/>
  <c r="O145" i="14"/>
  <c r="O144" i="14"/>
  <c r="O143" i="14"/>
  <c r="O142" i="14"/>
  <c r="O141" i="14"/>
  <c r="O140" i="14"/>
  <c r="O139" i="14"/>
  <c r="O138" i="14"/>
  <c r="O137" i="14"/>
  <c r="O136" i="14"/>
  <c r="O135" i="14"/>
  <c r="O134" i="14"/>
  <c r="O133" i="14"/>
  <c r="O132" i="14"/>
  <c r="O131" i="14"/>
  <c r="O130" i="14"/>
  <c r="O129" i="14"/>
  <c r="O128" i="14"/>
  <c r="O127" i="14"/>
  <c r="O126" i="14"/>
  <c r="O125" i="14"/>
  <c r="O124" i="14"/>
  <c r="O123" i="14"/>
  <c r="O122" i="14"/>
  <c r="O121" i="14"/>
  <c r="O120" i="14"/>
  <c r="O119" i="14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5" i="13"/>
  <c r="O16" i="13"/>
  <c r="O17" i="13"/>
  <c r="O18" i="13"/>
  <c r="O19" i="13"/>
  <c r="O20" i="13"/>
  <c r="O21" i="13"/>
  <c r="O22" i="13"/>
  <c r="O23" i="13"/>
  <c r="O24" i="13"/>
  <c r="O25" i="13"/>
  <c r="O26" i="13"/>
  <c r="O27" i="13"/>
  <c r="O28" i="13"/>
  <c r="O29" i="13"/>
  <c r="O30" i="13"/>
  <c r="O31" i="13"/>
  <c r="O32" i="13"/>
  <c r="O33" i="13"/>
  <c r="O34" i="13"/>
  <c r="O35" i="13"/>
  <c r="O36" i="13"/>
  <c r="O37" i="13"/>
  <c r="O38" i="13"/>
  <c r="O39" i="13"/>
  <c r="O40" i="13"/>
  <c r="O41" i="13"/>
  <c r="O42" i="13"/>
  <c r="O43" i="13"/>
  <c r="O44" i="13"/>
  <c r="O45" i="13"/>
  <c r="O46" i="13"/>
  <c r="O47" i="13"/>
  <c r="O48" i="13"/>
  <c r="O49" i="13"/>
  <c r="O50" i="13"/>
  <c r="O51" i="13"/>
  <c r="O52" i="13"/>
  <c r="O53" i="13"/>
  <c r="O54" i="13"/>
  <c r="O55" i="13"/>
  <c r="O56" i="13"/>
  <c r="O57" i="13"/>
  <c r="O58" i="13"/>
  <c r="O59" i="13"/>
  <c r="O60" i="13"/>
  <c r="O61" i="13"/>
  <c r="O62" i="13"/>
  <c r="O63" i="13"/>
  <c r="O64" i="13"/>
  <c r="O65" i="13"/>
  <c r="O66" i="13"/>
  <c r="O67" i="13"/>
  <c r="O68" i="13"/>
  <c r="O69" i="13"/>
  <c r="O70" i="13"/>
  <c r="O71" i="13"/>
  <c r="O72" i="13"/>
  <c r="O73" i="13"/>
  <c r="O74" i="13"/>
  <c r="O75" i="13"/>
  <c r="O76" i="13"/>
  <c r="O77" i="13"/>
  <c r="O78" i="13"/>
  <c r="O79" i="13"/>
  <c r="O80" i="13"/>
  <c r="O81" i="13"/>
  <c r="O82" i="13"/>
  <c r="O83" i="13"/>
  <c r="O84" i="13"/>
  <c r="O85" i="13"/>
  <c r="O86" i="13"/>
  <c r="O87" i="13"/>
  <c r="O88" i="13"/>
  <c r="O89" i="13"/>
  <c r="O90" i="13"/>
  <c r="O91" i="13"/>
  <c r="O92" i="13"/>
  <c r="O93" i="13"/>
  <c r="O94" i="13"/>
  <c r="O95" i="13"/>
  <c r="O96" i="13"/>
  <c r="O97" i="13"/>
  <c r="O98" i="13"/>
  <c r="O99" i="13"/>
  <c r="O100" i="13"/>
  <c r="O101" i="13"/>
  <c r="O102" i="13"/>
  <c r="O103" i="13"/>
  <c r="O104" i="13"/>
  <c r="O105" i="13"/>
  <c r="O106" i="13"/>
  <c r="O107" i="13"/>
  <c r="O108" i="13"/>
  <c r="O109" i="13"/>
  <c r="O110" i="13"/>
  <c r="O111" i="13"/>
  <c r="O112" i="13"/>
  <c r="O113" i="13"/>
  <c r="O114" i="13"/>
  <c r="O115" i="13"/>
  <c r="O116" i="13"/>
  <c r="O117" i="13"/>
  <c r="O118" i="13"/>
  <c r="O119" i="13"/>
  <c r="O120" i="13"/>
  <c r="O121" i="13"/>
  <c r="O122" i="13"/>
  <c r="O123" i="13"/>
  <c r="O124" i="13"/>
  <c r="O125" i="13"/>
  <c r="O126" i="13"/>
  <c r="O127" i="13"/>
  <c r="O128" i="13"/>
  <c r="O129" i="13"/>
  <c r="O130" i="13"/>
  <c r="O131" i="13"/>
  <c r="O132" i="13"/>
  <c r="O133" i="13"/>
  <c r="O134" i="13"/>
  <c r="O135" i="13"/>
  <c r="O136" i="13"/>
  <c r="O137" i="13"/>
  <c r="O138" i="13"/>
  <c r="O139" i="13"/>
  <c r="O140" i="13"/>
  <c r="O141" i="13"/>
  <c r="O142" i="13"/>
  <c r="O143" i="13"/>
  <c r="O144" i="13"/>
  <c r="O145" i="13"/>
  <c r="O146" i="13"/>
  <c r="O147" i="13"/>
  <c r="O148" i="13"/>
  <c r="O149" i="13"/>
  <c r="O150" i="13"/>
  <c r="O151" i="13"/>
  <c r="O152" i="13"/>
  <c r="O153" i="13"/>
  <c r="O154" i="13"/>
  <c r="O155" i="13"/>
  <c r="O156" i="13"/>
  <c r="O157" i="13"/>
  <c r="O158" i="13"/>
  <c r="O159" i="13"/>
  <c r="O160" i="13"/>
  <c r="O161" i="13"/>
  <c r="O162" i="13"/>
  <c r="O163" i="13"/>
  <c r="O164" i="13"/>
  <c r="O165" i="13"/>
  <c r="O166" i="13"/>
  <c r="O167" i="13"/>
  <c r="O168" i="13"/>
  <c r="O169" i="13"/>
  <c r="O170" i="13"/>
  <c r="O171" i="13"/>
  <c r="O172" i="13"/>
  <c r="O173" i="13"/>
  <c r="O174" i="13"/>
  <c r="O175" i="13"/>
  <c r="O176" i="13"/>
  <c r="O177" i="13"/>
  <c r="O178" i="13"/>
  <c r="O179" i="13"/>
  <c r="O180" i="13"/>
  <c r="O181" i="13"/>
  <c r="O182" i="13"/>
  <c r="O183" i="13"/>
  <c r="O184" i="13"/>
  <c r="O185" i="13"/>
  <c r="O186" i="13"/>
  <c r="O187" i="13"/>
  <c r="O188" i="13"/>
  <c r="O189" i="13"/>
  <c r="O190" i="13"/>
  <c r="O191" i="13"/>
  <c r="O192" i="13"/>
  <c r="O193" i="13"/>
  <c r="O194" i="13"/>
  <c r="O195" i="13"/>
  <c r="O196" i="13"/>
  <c r="O197" i="13"/>
  <c r="O198" i="13"/>
  <c r="O199" i="13"/>
  <c r="O200" i="13"/>
  <c r="O201" i="13"/>
  <c r="O202" i="13"/>
  <c r="O203" i="13"/>
  <c r="O204" i="13"/>
  <c r="O205" i="13"/>
  <c r="O206" i="13"/>
  <c r="O207" i="13"/>
  <c r="O208" i="13"/>
  <c r="O209" i="13"/>
  <c r="O210" i="13"/>
  <c r="O211" i="13"/>
  <c r="O212" i="13"/>
  <c r="O213" i="13"/>
  <c r="O214" i="13"/>
  <c r="O215" i="13"/>
  <c r="O216" i="13"/>
  <c r="O217" i="13"/>
  <c r="O218" i="13"/>
  <c r="O219" i="13"/>
  <c r="O220" i="13"/>
  <c r="O221" i="13"/>
  <c r="O222" i="13"/>
  <c r="O223" i="13"/>
  <c r="O224" i="13"/>
  <c r="O225" i="13"/>
  <c r="O226" i="13"/>
  <c r="O227" i="13"/>
  <c r="O228" i="13"/>
  <c r="O229" i="13"/>
  <c r="O230" i="13"/>
  <c r="O231" i="13"/>
  <c r="O232" i="13"/>
  <c r="O233" i="13"/>
  <c r="O234" i="13"/>
  <c r="O235" i="13"/>
  <c r="O236" i="13"/>
  <c r="O237" i="13"/>
  <c r="O238" i="13"/>
  <c r="O239" i="13"/>
  <c r="O240" i="13"/>
  <c r="O241" i="13"/>
  <c r="O242" i="13"/>
  <c r="O243" i="13"/>
  <c r="O244" i="13"/>
  <c r="O245" i="13"/>
  <c r="O246" i="13"/>
  <c r="O247" i="13"/>
  <c r="O248" i="13"/>
  <c r="O249" i="13"/>
  <c r="O250" i="13"/>
  <c r="O251" i="13"/>
  <c r="O252" i="13"/>
  <c r="O253" i="13"/>
  <c r="O254" i="13"/>
  <c r="O255" i="13"/>
  <c r="O256" i="13"/>
  <c r="O257" i="13"/>
  <c r="O258" i="13"/>
  <c r="O259" i="13"/>
  <c r="O260" i="13"/>
  <c r="O261" i="13"/>
  <c r="O262" i="13"/>
  <c r="O263" i="13"/>
  <c r="O264" i="13"/>
  <c r="O265" i="13"/>
  <c r="O266" i="13"/>
  <c r="O267" i="13"/>
  <c r="O268" i="13"/>
  <c r="O269" i="13"/>
  <c r="O270" i="13"/>
  <c r="O271" i="13"/>
  <c r="O272" i="13"/>
  <c r="O273" i="13"/>
  <c r="O274" i="13"/>
  <c r="O275" i="13"/>
  <c r="O276" i="13"/>
  <c r="O277" i="13"/>
  <c r="O278" i="13"/>
  <c r="O279" i="13"/>
  <c r="O280" i="13"/>
  <c r="O281" i="13"/>
  <c r="O282" i="13"/>
  <c r="O283" i="13"/>
  <c r="O284" i="13"/>
  <c r="O285" i="13"/>
  <c r="O286" i="13"/>
  <c r="O287" i="13"/>
  <c r="O288" i="13"/>
  <c r="O289" i="13"/>
  <c r="O290" i="13"/>
  <c r="O291" i="13"/>
  <c r="O292" i="13"/>
  <c r="O293" i="13"/>
  <c r="O294" i="13"/>
  <c r="O295" i="13"/>
  <c r="O296" i="13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O40" i="12"/>
  <c r="O41" i="12"/>
  <c r="O42" i="12"/>
  <c r="O43" i="12"/>
  <c r="O44" i="12"/>
  <c r="O45" i="12"/>
  <c r="O46" i="12"/>
  <c r="O47" i="12"/>
  <c r="O48" i="12"/>
  <c r="O49" i="12"/>
  <c r="O50" i="12"/>
  <c r="O51" i="12"/>
  <c r="O52" i="12"/>
  <c r="O53" i="12"/>
  <c r="O54" i="12"/>
  <c r="O55" i="12"/>
  <c r="O56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O87" i="12"/>
  <c r="O88" i="12"/>
  <c r="O89" i="12"/>
  <c r="O90" i="12"/>
  <c r="O91" i="12"/>
  <c r="O92" i="12"/>
  <c r="O93" i="12"/>
  <c r="O94" i="12"/>
  <c r="O95" i="12"/>
  <c r="O96" i="12"/>
  <c r="O97" i="12"/>
  <c r="O98" i="12"/>
  <c r="O99" i="12"/>
  <c r="O100" i="12"/>
  <c r="O101" i="12"/>
  <c r="O102" i="12"/>
  <c r="O103" i="12"/>
  <c r="O104" i="12"/>
  <c r="O105" i="12"/>
  <c r="O106" i="12"/>
  <c r="O107" i="12"/>
  <c r="O108" i="12"/>
  <c r="O109" i="12"/>
  <c r="O110" i="12"/>
  <c r="O111" i="12"/>
  <c r="O112" i="12"/>
  <c r="O113" i="12"/>
  <c r="O114" i="12"/>
  <c r="O115" i="12"/>
  <c r="O116" i="12"/>
  <c r="O117" i="12"/>
  <c r="O118" i="12"/>
  <c r="O119" i="12"/>
  <c r="O120" i="12"/>
  <c r="O121" i="12"/>
  <c r="O122" i="12"/>
  <c r="O123" i="12"/>
  <c r="O124" i="12"/>
  <c r="O125" i="12"/>
  <c r="O126" i="12"/>
  <c r="O127" i="12"/>
  <c r="O128" i="12"/>
  <c r="O129" i="12"/>
  <c r="O130" i="12"/>
  <c r="O131" i="12"/>
  <c r="O132" i="12"/>
  <c r="O133" i="12"/>
  <c r="O134" i="12"/>
  <c r="O135" i="12"/>
  <c r="O136" i="12"/>
  <c r="O137" i="12"/>
  <c r="O138" i="12"/>
  <c r="O139" i="12"/>
  <c r="O140" i="12"/>
  <c r="O141" i="12"/>
  <c r="O142" i="12"/>
  <c r="O143" i="12"/>
  <c r="O144" i="12"/>
  <c r="O145" i="12"/>
  <c r="O146" i="12"/>
  <c r="O147" i="12"/>
  <c r="O148" i="12"/>
  <c r="O149" i="12"/>
  <c r="O150" i="12"/>
  <c r="O151" i="12"/>
  <c r="O152" i="12"/>
  <c r="O153" i="12"/>
  <c r="O154" i="12"/>
  <c r="O155" i="12"/>
  <c r="O156" i="12"/>
  <c r="O157" i="12"/>
  <c r="O158" i="12"/>
  <c r="O159" i="12"/>
  <c r="O160" i="12"/>
  <c r="O161" i="12"/>
  <c r="O162" i="12"/>
  <c r="O163" i="12"/>
  <c r="O164" i="12"/>
  <c r="O165" i="12"/>
  <c r="O166" i="12"/>
  <c r="O167" i="12"/>
  <c r="O168" i="12"/>
  <c r="O169" i="12"/>
  <c r="O170" i="12"/>
  <c r="O171" i="12"/>
  <c r="O172" i="12"/>
  <c r="O173" i="12"/>
  <c r="O174" i="12"/>
  <c r="O175" i="12"/>
  <c r="O176" i="12"/>
  <c r="O177" i="12"/>
  <c r="O178" i="12"/>
  <c r="O179" i="12"/>
  <c r="O180" i="12"/>
  <c r="O181" i="12"/>
  <c r="O182" i="12"/>
  <c r="O183" i="12"/>
  <c r="O184" i="12"/>
  <c r="O185" i="12"/>
  <c r="O186" i="12"/>
  <c r="O187" i="12"/>
  <c r="O188" i="12"/>
  <c r="O189" i="12"/>
  <c r="O190" i="12"/>
  <c r="O191" i="12"/>
  <c r="O192" i="12"/>
  <c r="O193" i="12"/>
  <c r="O194" i="12"/>
  <c r="O195" i="12"/>
  <c r="O196" i="12"/>
  <c r="O197" i="12"/>
  <c r="O198" i="12"/>
  <c r="O199" i="12"/>
  <c r="O200" i="12"/>
  <c r="O201" i="12"/>
  <c r="O202" i="12"/>
  <c r="O203" i="12"/>
  <c r="O204" i="12"/>
  <c r="O205" i="12"/>
  <c r="O206" i="12"/>
  <c r="O207" i="12"/>
  <c r="O208" i="12"/>
  <c r="O209" i="12"/>
  <c r="O210" i="12"/>
  <c r="O211" i="12"/>
  <c r="O212" i="12"/>
  <c r="O213" i="12"/>
  <c r="O214" i="12"/>
  <c r="O215" i="12"/>
  <c r="O216" i="12"/>
  <c r="O217" i="12"/>
  <c r="O218" i="12"/>
  <c r="O219" i="12"/>
  <c r="O220" i="12"/>
  <c r="O221" i="12"/>
  <c r="O222" i="12"/>
  <c r="O223" i="12"/>
  <c r="O224" i="12"/>
  <c r="O225" i="12"/>
  <c r="O226" i="12"/>
  <c r="O227" i="12"/>
  <c r="O228" i="12"/>
  <c r="O229" i="12"/>
  <c r="O230" i="12"/>
  <c r="O231" i="12"/>
  <c r="O232" i="12"/>
  <c r="O233" i="12"/>
  <c r="O234" i="12"/>
  <c r="O235" i="12"/>
  <c r="O236" i="12"/>
  <c r="O237" i="12"/>
  <c r="O238" i="12"/>
  <c r="O239" i="12"/>
  <c r="O240" i="12"/>
  <c r="O241" i="12"/>
  <c r="O242" i="12"/>
  <c r="O243" i="12"/>
  <c r="O244" i="12"/>
  <c r="O245" i="12"/>
  <c r="O246" i="12"/>
  <c r="O247" i="12"/>
  <c r="O248" i="12"/>
  <c r="O249" i="12"/>
  <c r="O250" i="12"/>
  <c r="O251" i="12"/>
  <c r="O252" i="12"/>
  <c r="O253" i="12"/>
  <c r="O254" i="12"/>
  <c r="O255" i="12"/>
  <c r="O256" i="12"/>
  <c r="O257" i="12"/>
  <c r="O258" i="12"/>
  <c r="O259" i="12"/>
  <c r="O260" i="12"/>
  <c r="O261" i="12"/>
  <c r="O262" i="12"/>
  <c r="O263" i="12"/>
  <c r="O264" i="12"/>
  <c r="O265" i="12"/>
  <c r="O266" i="12"/>
  <c r="O267" i="12"/>
  <c r="O268" i="12"/>
  <c r="O269" i="12"/>
  <c r="O270" i="12"/>
  <c r="O271" i="12"/>
  <c r="O272" i="12"/>
  <c r="O273" i="12"/>
  <c r="O274" i="12"/>
  <c r="O275" i="12"/>
  <c r="O276" i="12"/>
  <c r="O277" i="12"/>
  <c r="O278" i="12"/>
  <c r="O279" i="12"/>
  <c r="O280" i="12"/>
  <c r="O281" i="12"/>
  <c r="O282" i="12"/>
  <c r="O283" i="12"/>
  <c r="O284" i="12"/>
  <c r="O285" i="12"/>
  <c r="O286" i="12"/>
  <c r="O287" i="12"/>
  <c r="O288" i="12"/>
  <c r="O289" i="12"/>
  <c r="O290" i="12"/>
  <c r="O291" i="12"/>
  <c r="O292" i="12"/>
  <c r="O293" i="12"/>
  <c r="O294" i="12"/>
  <c r="O295" i="12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180" i="11"/>
  <c r="O181" i="11"/>
  <c r="O182" i="11"/>
  <c r="O183" i="11"/>
  <c r="O184" i="11"/>
  <c r="O185" i="11"/>
  <c r="O186" i="11"/>
  <c r="O187" i="11"/>
  <c r="O188" i="11"/>
  <c r="O189" i="11"/>
  <c r="O190" i="11"/>
  <c r="O191" i="11"/>
  <c r="O192" i="11"/>
  <c r="O193" i="11"/>
  <c r="O194" i="11"/>
  <c r="O195" i="11"/>
  <c r="O196" i="11"/>
  <c r="O197" i="11"/>
  <c r="O198" i="11"/>
  <c r="O199" i="11"/>
  <c r="O200" i="11"/>
  <c r="O201" i="11"/>
  <c r="O202" i="11"/>
  <c r="O203" i="11"/>
  <c r="O204" i="11"/>
  <c r="O205" i="11"/>
  <c r="O206" i="11"/>
  <c r="O207" i="11"/>
  <c r="O208" i="11"/>
  <c r="O209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37" i="11"/>
  <c r="O238" i="11"/>
  <c r="O239" i="11"/>
  <c r="O240" i="11"/>
  <c r="O241" i="1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258" i="11"/>
  <c r="O259" i="11"/>
  <c r="O260" i="11"/>
  <c r="O261" i="11"/>
  <c r="O262" i="11"/>
  <c r="O263" i="11"/>
  <c r="O264" i="11"/>
  <c r="O265" i="11"/>
  <c r="O266" i="11"/>
  <c r="O267" i="11"/>
  <c r="O268" i="11"/>
  <c r="O269" i="11"/>
  <c r="O270" i="11"/>
  <c r="O271" i="11"/>
  <c r="O272" i="11"/>
  <c r="O273" i="11"/>
  <c r="O274" i="11"/>
  <c r="O275" i="11"/>
  <c r="O276" i="11"/>
  <c r="O277" i="11"/>
  <c r="O278" i="11"/>
  <c r="O279" i="11"/>
  <c r="O280" i="11"/>
  <c r="O281" i="11"/>
  <c r="O282" i="11"/>
  <c r="O283" i="11"/>
  <c r="O284" i="11"/>
  <c r="O285" i="11"/>
  <c r="O286" i="11"/>
  <c r="O287" i="11"/>
  <c r="O288" i="11"/>
  <c r="AD135" i="29"/>
  <c r="F135" i="29"/>
  <c r="AG134" i="29"/>
  <c r="I134" i="29"/>
  <c r="AJ133" i="29"/>
  <c r="L133" i="29"/>
  <c r="D133" i="29"/>
  <c r="O132" i="29"/>
  <c r="R131" i="29"/>
  <c r="U130" i="29"/>
  <c r="X129" i="29"/>
  <c r="AA128" i="29"/>
  <c r="AD127" i="29"/>
  <c r="F127" i="29"/>
  <c r="AG126" i="29"/>
  <c r="I126" i="29"/>
  <c r="AJ125" i="29"/>
  <c r="L125" i="29"/>
  <c r="D125" i="29"/>
  <c r="O124" i="29"/>
  <c r="R123" i="29"/>
  <c r="U122" i="29"/>
  <c r="X121" i="29"/>
  <c r="AA120" i="29"/>
  <c r="AD119" i="29"/>
  <c r="F119" i="29"/>
  <c r="AG118" i="29"/>
  <c r="I118" i="29"/>
  <c r="AJ117" i="29"/>
  <c r="L117" i="29"/>
  <c r="D117" i="29"/>
  <c r="O116" i="29"/>
  <c r="R115" i="29"/>
  <c r="U114" i="29"/>
  <c r="U135" i="29"/>
  <c r="X134" i="29"/>
  <c r="AA133" i="29"/>
  <c r="AD132" i="29"/>
  <c r="F132" i="29"/>
  <c r="AG131" i="29"/>
  <c r="I131" i="29"/>
  <c r="AJ130" i="29"/>
  <c r="L130" i="29"/>
  <c r="D130" i="29"/>
  <c r="O129" i="29"/>
  <c r="R128" i="29"/>
  <c r="AJ135" i="29"/>
  <c r="L135" i="29"/>
  <c r="D135" i="29"/>
  <c r="O134" i="29"/>
  <c r="R133" i="29"/>
  <c r="U132" i="29"/>
  <c r="X131" i="29"/>
  <c r="AA130" i="29"/>
  <c r="AD129" i="29"/>
  <c r="F129" i="29"/>
  <c r="AG128" i="29"/>
  <c r="I128" i="29"/>
  <c r="AJ127" i="29"/>
  <c r="L127" i="29"/>
  <c r="D127" i="29"/>
  <c r="O126" i="29"/>
  <c r="R125" i="29"/>
  <c r="U124" i="29"/>
  <c r="X123" i="29"/>
  <c r="AA122" i="29"/>
  <c r="AD121" i="29"/>
  <c r="F121" i="29"/>
  <c r="AG120" i="29"/>
  <c r="I120" i="29"/>
  <c r="AJ119" i="29"/>
  <c r="L119" i="29"/>
  <c r="D119" i="29"/>
  <c r="O118" i="29"/>
  <c r="R117" i="29"/>
  <c r="U116" i="29"/>
  <c r="X115" i="29"/>
  <c r="AA114" i="29"/>
  <c r="AA135" i="29"/>
  <c r="AD134" i="29"/>
  <c r="F134" i="29"/>
  <c r="AG133" i="29"/>
  <c r="I133" i="29"/>
  <c r="AJ132" i="29"/>
  <c r="L132" i="29"/>
  <c r="D132" i="29"/>
  <c r="O131" i="29"/>
  <c r="R130" i="29"/>
  <c r="U129" i="29"/>
  <c r="X128" i="29"/>
  <c r="X135" i="29"/>
  <c r="AA134" i="29"/>
  <c r="AD133" i="29"/>
  <c r="F133" i="29"/>
  <c r="AG132" i="29"/>
  <c r="I132" i="29"/>
  <c r="AJ131" i="29"/>
  <c r="L131" i="29"/>
  <c r="D131" i="29"/>
  <c r="O130" i="29"/>
  <c r="R129" i="29"/>
  <c r="U128" i="29"/>
  <c r="X127" i="29"/>
  <c r="AA126" i="29"/>
  <c r="AD125" i="29"/>
  <c r="F125" i="29"/>
  <c r="AG124" i="29"/>
  <c r="I124" i="29"/>
  <c r="AJ123" i="29"/>
  <c r="L123" i="29"/>
  <c r="D123" i="29"/>
  <c r="O122" i="29"/>
  <c r="R121" i="29"/>
  <c r="U120" i="29"/>
  <c r="X119" i="29"/>
  <c r="AA118" i="29"/>
  <c r="AD117" i="29"/>
  <c r="F117" i="29"/>
  <c r="AG116" i="29"/>
  <c r="I116" i="29"/>
  <c r="AJ115" i="29"/>
  <c r="L115" i="29"/>
  <c r="D115" i="29"/>
  <c r="O135" i="29"/>
  <c r="R134" i="29"/>
  <c r="U133" i="29"/>
  <c r="X132" i="29"/>
  <c r="AA131" i="29"/>
  <c r="AD130" i="29"/>
  <c r="F130" i="29"/>
  <c r="AG129" i="29"/>
  <c r="I129" i="29"/>
  <c r="AJ128" i="29"/>
  <c r="L128" i="29"/>
  <c r="D128" i="29"/>
  <c r="O127" i="29"/>
  <c r="R126" i="29"/>
  <c r="U125" i="29"/>
  <c r="X124" i="29"/>
  <c r="AA123" i="29"/>
  <c r="AD122" i="29"/>
  <c r="F122" i="29"/>
  <c r="AG121" i="29"/>
  <c r="I121" i="29"/>
  <c r="AJ120" i="29"/>
  <c r="L120" i="29"/>
  <c r="D120" i="29"/>
  <c r="O119" i="29"/>
  <c r="R118" i="29"/>
  <c r="U117" i="29"/>
  <c r="U127" i="29"/>
  <c r="X126" i="29"/>
  <c r="AA125" i="29"/>
  <c r="AD124" i="29"/>
  <c r="AG123" i="29"/>
  <c r="AJ122" i="29"/>
  <c r="D122" i="29"/>
  <c r="L116" i="29"/>
  <c r="I115" i="29"/>
  <c r="R114" i="29"/>
  <c r="AA113" i="29"/>
  <c r="AD112" i="29"/>
  <c r="F112" i="29"/>
  <c r="AG111" i="29"/>
  <c r="I111" i="29"/>
  <c r="AJ110" i="29"/>
  <c r="L110" i="29"/>
  <c r="D110" i="29"/>
  <c r="O109" i="29"/>
  <c r="R108" i="29"/>
  <c r="U107" i="29"/>
  <c r="X106" i="29"/>
  <c r="AA105" i="29"/>
  <c r="AD104" i="29"/>
  <c r="F104" i="29"/>
  <c r="AG103" i="29"/>
  <c r="I103" i="29"/>
  <c r="AJ102" i="29"/>
  <c r="L102" i="29"/>
  <c r="AG135" i="29"/>
  <c r="AJ134" i="29"/>
  <c r="D134" i="29"/>
  <c r="F126" i="29"/>
  <c r="I125" i="29"/>
  <c r="L124" i="29"/>
  <c r="O123" i="29"/>
  <c r="R122" i="29"/>
  <c r="U121" i="29"/>
  <c r="X120" i="29"/>
  <c r="AA119" i="29"/>
  <c r="AD118" i="29"/>
  <c r="AG117" i="29"/>
  <c r="AJ116" i="29"/>
  <c r="X116" i="29"/>
  <c r="AG115" i="29"/>
  <c r="U115" i="29"/>
  <c r="AD114" i="29"/>
  <c r="R113" i="29"/>
  <c r="U112" i="29"/>
  <c r="X111" i="29"/>
  <c r="AA110" i="29"/>
  <c r="AD109" i="29"/>
  <c r="F109" i="29"/>
  <c r="AG108" i="29"/>
  <c r="I108" i="29"/>
  <c r="AJ107" i="29"/>
  <c r="L107" i="29"/>
  <c r="D107" i="29"/>
  <c r="O106" i="29"/>
  <c r="R105" i="29"/>
  <c r="U104" i="29"/>
  <c r="X103" i="29"/>
  <c r="AA102" i="29"/>
  <c r="AD101" i="29"/>
  <c r="F131" i="29"/>
  <c r="I130" i="29"/>
  <c r="L129" i="29"/>
  <c r="O128" i="29"/>
  <c r="R127" i="29"/>
  <c r="U126" i="29"/>
  <c r="X125" i="29"/>
  <c r="AA124" i="29"/>
  <c r="AD123" i="29"/>
  <c r="AG122" i="29"/>
  <c r="AG127" i="29"/>
  <c r="AJ126" i="29"/>
  <c r="D126" i="29"/>
  <c r="F120" i="29"/>
  <c r="I119" i="29"/>
  <c r="L118" i="29"/>
  <c r="O117" i="29"/>
  <c r="AD115" i="29"/>
  <c r="O114" i="29"/>
  <c r="X113" i="29"/>
  <c r="AA112" i="29"/>
  <c r="AD111" i="29"/>
  <c r="F111" i="29"/>
  <c r="AG110" i="29"/>
  <c r="I110" i="29"/>
  <c r="AJ109" i="29"/>
  <c r="L109" i="29"/>
  <c r="D109" i="29"/>
  <c r="O108" i="29"/>
  <c r="R107" i="29"/>
  <c r="U106" i="29"/>
  <c r="X105" i="29"/>
  <c r="AA104" i="29"/>
  <c r="AD103" i="29"/>
  <c r="F123" i="29"/>
  <c r="I122" i="29"/>
  <c r="L121" i="29"/>
  <c r="O120" i="29"/>
  <c r="R119" i="29"/>
  <c r="U118" i="29"/>
  <c r="X117" i="29"/>
  <c r="U113" i="29"/>
  <c r="X112" i="29"/>
  <c r="AA111" i="29"/>
  <c r="AD110" i="29"/>
  <c r="F110" i="29"/>
  <c r="AG109" i="29"/>
  <c r="I109" i="29"/>
  <c r="AJ108" i="29"/>
  <c r="L108" i="29"/>
  <c r="D108" i="29"/>
  <c r="O107" i="29"/>
  <c r="R106" i="29"/>
  <c r="I135" i="29"/>
  <c r="L134" i="29"/>
  <c r="O133" i="29"/>
  <c r="R132" i="29"/>
  <c r="U131" i="29"/>
  <c r="X130" i="29"/>
  <c r="AA129" i="29"/>
  <c r="AD128" i="29"/>
  <c r="R135" i="29"/>
  <c r="AD131" i="29"/>
  <c r="I127" i="29"/>
  <c r="AG125" i="29"/>
  <c r="U123" i="29"/>
  <c r="AD116" i="29"/>
  <c r="D116" i="29"/>
  <c r="X114" i="29"/>
  <c r="F113" i="29"/>
  <c r="I112" i="29"/>
  <c r="L111" i="29"/>
  <c r="O110" i="29"/>
  <c r="R109" i="29"/>
  <c r="U108" i="29"/>
  <c r="X107" i="29"/>
  <c r="AA106" i="29"/>
  <c r="F105" i="29"/>
  <c r="D103" i="29"/>
  <c r="AG101" i="29"/>
  <c r="X101" i="29"/>
  <c r="O101" i="29"/>
  <c r="R100" i="29"/>
  <c r="U99" i="29"/>
  <c r="AA127" i="29"/>
  <c r="D124" i="29"/>
  <c r="I117" i="29"/>
  <c r="AA115" i="29"/>
  <c r="AD113" i="29"/>
  <c r="D111" i="29"/>
  <c r="AG102" i="29"/>
  <c r="AG99" i="29"/>
  <c r="I99" i="29"/>
  <c r="AG119" i="29"/>
  <c r="D118" i="29"/>
  <c r="I114" i="29"/>
  <c r="L113" i="29"/>
  <c r="R111" i="29"/>
  <c r="X109" i="29"/>
  <c r="AG106" i="29"/>
  <c r="AA101" i="29"/>
  <c r="I123" i="29"/>
  <c r="AA116" i="29"/>
  <c r="AJ113" i="29"/>
  <c r="D113" i="29"/>
  <c r="F107" i="29"/>
  <c r="I106" i="29"/>
  <c r="AD105" i="29"/>
  <c r="O104" i="29"/>
  <c r="AJ103" i="29"/>
  <c r="F102" i="29"/>
  <c r="F101" i="29"/>
  <c r="AG100" i="29"/>
  <c r="I100" i="29"/>
  <c r="AJ99" i="29"/>
  <c r="L99" i="29"/>
  <c r="D99" i="29"/>
  <c r="AJ129" i="29"/>
  <c r="R116" i="29"/>
  <c r="L114" i="29"/>
  <c r="AG112" i="29"/>
  <c r="F100" i="29"/>
  <c r="AA121" i="29"/>
  <c r="AG114" i="29"/>
  <c r="O112" i="29"/>
  <c r="AA108" i="29"/>
  <c r="L105" i="29"/>
  <c r="R101" i="29"/>
  <c r="U100" i="29"/>
  <c r="U134" i="29"/>
  <c r="AG130" i="29"/>
  <c r="F128" i="29"/>
  <c r="AD126" i="29"/>
  <c r="R124" i="29"/>
  <c r="AJ121" i="29"/>
  <c r="D121" i="29"/>
  <c r="F115" i="29"/>
  <c r="AG113" i="29"/>
  <c r="AJ112" i="29"/>
  <c r="D112" i="29"/>
  <c r="F106" i="29"/>
  <c r="O105" i="29"/>
  <c r="D105" i="29"/>
  <c r="L104" i="29"/>
  <c r="L103" i="29"/>
  <c r="O102" i="29"/>
  <c r="U101" i="29"/>
  <c r="X100" i="29"/>
  <c r="AA99" i="29"/>
  <c r="F124" i="29"/>
  <c r="O113" i="29"/>
  <c r="R112" i="29"/>
  <c r="U111" i="29"/>
  <c r="X110" i="29"/>
  <c r="AA109" i="29"/>
  <c r="AD108" i="29"/>
  <c r="AG107" i="29"/>
  <c r="AJ106" i="29"/>
  <c r="D106" i="29"/>
  <c r="AJ104" i="29"/>
  <c r="X104" i="29"/>
  <c r="U103" i="29"/>
  <c r="X102" i="29"/>
  <c r="D102" i="29"/>
  <c r="L101" i="29"/>
  <c r="D101" i="29"/>
  <c r="O100" i="29"/>
  <c r="R99" i="29"/>
  <c r="X133" i="29"/>
  <c r="O125" i="29"/>
  <c r="F118" i="29"/>
  <c r="AJ114" i="29"/>
  <c r="AJ111" i="29"/>
  <c r="I104" i="29"/>
  <c r="AD100" i="29"/>
  <c r="AD120" i="29"/>
  <c r="AJ118" i="29"/>
  <c r="U110" i="29"/>
  <c r="AD107" i="29"/>
  <c r="AG104" i="29"/>
  <c r="AJ101" i="29"/>
  <c r="X99" i="29"/>
  <c r="AA132" i="29"/>
  <c r="D129" i="29"/>
  <c r="L126" i="29"/>
  <c r="AJ124" i="29"/>
  <c r="X122" i="29"/>
  <c r="F114" i="29"/>
  <c r="I113" i="29"/>
  <c r="L112" i="29"/>
  <c r="O111" i="29"/>
  <c r="R110" i="29"/>
  <c r="U109" i="29"/>
  <c r="X108" i="29"/>
  <c r="AA107" i="29"/>
  <c r="AD106" i="29"/>
  <c r="AJ105" i="29"/>
  <c r="I105" i="29"/>
  <c r="R104" i="29"/>
  <c r="R103" i="29"/>
  <c r="F103" i="29"/>
  <c r="U102" i="29"/>
  <c r="I102" i="29"/>
  <c r="I101" i="29"/>
  <c r="AJ100" i="29"/>
  <c r="L100" i="29"/>
  <c r="D100" i="29"/>
  <c r="O99" i="29"/>
  <c r="L122" i="29"/>
  <c r="O121" i="29"/>
  <c r="R120" i="29"/>
  <c r="U119" i="29"/>
  <c r="X118" i="29"/>
  <c r="AA117" i="29"/>
  <c r="F116" i="29"/>
  <c r="O115" i="29"/>
  <c r="D114" i="29"/>
  <c r="F108" i="29"/>
  <c r="I107" i="29"/>
  <c r="L106" i="29"/>
  <c r="AG105" i="29"/>
  <c r="U105" i="29"/>
  <c r="D104" i="29"/>
  <c r="AD102" i="29"/>
  <c r="AA103" i="29"/>
  <c r="AD99" i="29"/>
  <c r="F99" i="29"/>
  <c r="O103" i="29"/>
  <c r="AA100" i="29"/>
  <c r="R102" i="29"/>
  <c r="AD93" i="29"/>
  <c r="F93" i="29"/>
  <c r="AG92" i="29"/>
  <c r="I92" i="29"/>
  <c r="AJ91" i="29"/>
  <c r="L91" i="29"/>
  <c r="D91" i="29"/>
  <c r="O90" i="29"/>
  <c r="R89" i="29"/>
  <c r="U93" i="29"/>
  <c r="X92" i="29"/>
  <c r="AA91" i="29"/>
  <c r="AD90" i="29"/>
  <c r="F90" i="29"/>
  <c r="AG89" i="29"/>
  <c r="I89" i="29"/>
  <c r="AJ88" i="29"/>
  <c r="L88" i="29"/>
  <c r="D88" i="29"/>
  <c r="O87" i="29"/>
  <c r="R86" i="29"/>
  <c r="U85" i="29"/>
  <c r="X84" i="29"/>
  <c r="AA83" i="29"/>
  <c r="AD82" i="29"/>
  <c r="F82" i="29"/>
  <c r="AG81" i="29"/>
  <c r="I81" i="29"/>
  <c r="AJ80" i="29"/>
  <c r="L80" i="29"/>
  <c r="D80" i="29"/>
  <c r="O79" i="29"/>
  <c r="R78" i="29"/>
  <c r="U77" i="29"/>
  <c r="X76" i="29"/>
  <c r="AA75" i="29"/>
  <c r="AD74" i="29"/>
  <c r="F74" i="29"/>
  <c r="AG73" i="29"/>
  <c r="I73" i="29"/>
  <c r="AJ72" i="29"/>
  <c r="L72" i="29"/>
  <c r="AJ93" i="29"/>
  <c r="L93" i="29"/>
  <c r="D93" i="29"/>
  <c r="O92" i="29"/>
  <c r="R91" i="29"/>
  <c r="U90" i="29"/>
  <c r="X89" i="29"/>
  <c r="AA93" i="29"/>
  <c r="AD92" i="29"/>
  <c r="F92" i="29"/>
  <c r="AG91" i="29"/>
  <c r="I91" i="29"/>
  <c r="AJ90" i="29"/>
  <c r="L90" i="29"/>
  <c r="D90" i="29"/>
  <c r="O89" i="29"/>
  <c r="R88" i="29"/>
  <c r="U87" i="29"/>
  <c r="X86" i="29"/>
  <c r="AA85" i="29"/>
  <c r="AD84" i="29"/>
  <c r="F84" i="29"/>
  <c r="AG83" i="29"/>
  <c r="I83" i="29"/>
  <c r="AJ82" i="29"/>
  <c r="L82" i="29"/>
  <c r="D82" i="29"/>
  <c r="O81" i="29"/>
  <c r="R80" i="29"/>
  <c r="U79" i="29"/>
  <c r="X78" i="29"/>
  <c r="AA77" i="29"/>
  <c r="AD76" i="29"/>
  <c r="F76" i="29"/>
  <c r="AG75" i="29"/>
  <c r="I75" i="29"/>
  <c r="AJ74" i="29"/>
  <c r="L74" i="29"/>
  <c r="D74" i="29"/>
  <c r="O73" i="29"/>
  <c r="R72" i="29"/>
  <c r="R93" i="29"/>
  <c r="U92" i="29"/>
  <c r="X91" i="29"/>
  <c r="AA90" i="29"/>
  <c r="AD89" i="29"/>
  <c r="F89" i="29"/>
  <c r="AG88" i="29"/>
  <c r="I88" i="29"/>
  <c r="AJ87" i="29"/>
  <c r="L87" i="29"/>
  <c r="D87" i="29"/>
  <c r="O86" i="29"/>
  <c r="R85" i="29"/>
  <c r="U84" i="29"/>
  <c r="X83" i="29"/>
  <c r="AA82" i="29"/>
  <c r="AD81" i="29"/>
  <c r="F81" i="29"/>
  <c r="AG80" i="29"/>
  <c r="I80" i="29"/>
  <c r="AJ79" i="29"/>
  <c r="L79" i="29"/>
  <c r="D79" i="29"/>
  <c r="O78" i="29"/>
  <c r="R77" i="29"/>
  <c r="U76" i="29"/>
  <c r="X75" i="29"/>
  <c r="AA74" i="29"/>
  <c r="AD73" i="29"/>
  <c r="F73" i="29"/>
  <c r="AG72" i="29"/>
  <c r="AG93" i="29"/>
  <c r="I93" i="29"/>
  <c r="AJ92" i="29"/>
  <c r="L92" i="29"/>
  <c r="D92" i="29"/>
  <c r="O91" i="29"/>
  <c r="R90" i="29"/>
  <c r="U89" i="29"/>
  <c r="X88" i="29"/>
  <c r="AA87" i="29"/>
  <c r="AD86" i="29"/>
  <c r="F86" i="29"/>
  <c r="AG85" i="29"/>
  <c r="I85" i="29"/>
  <c r="AJ84" i="29"/>
  <c r="L84" i="29"/>
  <c r="D84" i="29"/>
  <c r="O83" i="29"/>
  <c r="R82" i="29"/>
  <c r="U81" i="29"/>
  <c r="X80" i="29"/>
  <c r="AA79" i="29"/>
  <c r="AD78" i="29"/>
  <c r="F78" i="29"/>
  <c r="AG77" i="29"/>
  <c r="I77" i="29"/>
  <c r="AJ76" i="29"/>
  <c r="L76" i="29"/>
  <c r="D76" i="29"/>
  <c r="O75" i="29"/>
  <c r="R74" i="29"/>
  <c r="U73" i="29"/>
  <c r="X72" i="29"/>
  <c r="F91" i="29"/>
  <c r="I90" i="29"/>
  <c r="L89" i="29"/>
  <c r="O88" i="29"/>
  <c r="R87" i="29"/>
  <c r="U86" i="29"/>
  <c r="X85" i="29"/>
  <c r="AA84" i="29"/>
  <c r="AD83" i="29"/>
  <c r="AG82" i="29"/>
  <c r="AJ81" i="29"/>
  <c r="D81" i="29"/>
  <c r="F75" i="29"/>
  <c r="I74" i="29"/>
  <c r="L73" i="29"/>
  <c r="O72" i="29"/>
  <c r="X71" i="29"/>
  <c r="AA70" i="29"/>
  <c r="AD69" i="29"/>
  <c r="F69" i="29"/>
  <c r="AG68" i="29"/>
  <c r="I68" i="29"/>
  <c r="AJ67" i="29"/>
  <c r="L67" i="29"/>
  <c r="D67" i="29"/>
  <c r="O66" i="29"/>
  <c r="R65" i="29"/>
  <c r="U64" i="29"/>
  <c r="X63" i="29"/>
  <c r="AA62" i="29"/>
  <c r="AD88" i="29"/>
  <c r="AG87" i="29"/>
  <c r="AJ86" i="29"/>
  <c r="D86" i="29"/>
  <c r="F80" i="29"/>
  <c r="I79" i="29"/>
  <c r="L78" i="29"/>
  <c r="O77" i="29"/>
  <c r="R76" i="29"/>
  <c r="U75" i="29"/>
  <c r="X74" i="29"/>
  <c r="AA73" i="29"/>
  <c r="AD72" i="29"/>
  <c r="D72" i="29"/>
  <c r="O71" i="29"/>
  <c r="R70" i="29"/>
  <c r="U69" i="29"/>
  <c r="X68" i="29"/>
  <c r="AA67" i="29"/>
  <c r="AD66" i="29"/>
  <c r="F66" i="29"/>
  <c r="AG65" i="29"/>
  <c r="I65" i="29"/>
  <c r="AJ64" i="29"/>
  <c r="L64" i="29"/>
  <c r="D64" i="29"/>
  <c r="O63" i="29"/>
  <c r="R62" i="29"/>
  <c r="U88" i="29"/>
  <c r="AD85" i="29"/>
  <c r="AJ83" i="29"/>
  <c r="X93" i="29"/>
  <c r="AA92" i="29"/>
  <c r="AD91" i="29"/>
  <c r="AG90" i="29"/>
  <c r="AJ89" i="29"/>
  <c r="F85" i="29"/>
  <c r="I84" i="29"/>
  <c r="L83" i="29"/>
  <c r="O82" i="29"/>
  <c r="R81" i="29"/>
  <c r="U80" i="29"/>
  <c r="X79" i="29"/>
  <c r="AA78" i="29"/>
  <c r="AD77" i="29"/>
  <c r="AG76" i="29"/>
  <c r="AJ75" i="29"/>
  <c r="D75" i="29"/>
  <c r="AD71" i="29"/>
  <c r="F71" i="29"/>
  <c r="AG70" i="29"/>
  <c r="I70" i="29"/>
  <c r="AJ69" i="29"/>
  <c r="L69" i="29"/>
  <c r="D69" i="29"/>
  <c r="O68" i="29"/>
  <c r="R67" i="29"/>
  <c r="U66" i="29"/>
  <c r="X65" i="29"/>
  <c r="AA64" i="29"/>
  <c r="AD63" i="29"/>
  <c r="F63" i="29"/>
  <c r="AG62" i="29"/>
  <c r="I62" i="29"/>
  <c r="AA88" i="29"/>
  <c r="AD87" i="29"/>
  <c r="AG86" i="29"/>
  <c r="AJ85" i="29"/>
  <c r="D85" i="29"/>
  <c r="F79" i="29"/>
  <c r="I78" i="29"/>
  <c r="L77" i="29"/>
  <c r="O76" i="29"/>
  <c r="R75" i="29"/>
  <c r="U74" i="29"/>
  <c r="X73" i="29"/>
  <c r="AA72" i="29"/>
  <c r="U71" i="29"/>
  <c r="X70" i="29"/>
  <c r="AA69" i="29"/>
  <c r="AD68" i="29"/>
  <c r="F68" i="29"/>
  <c r="AG67" i="29"/>
  <c r="I67" i="29"/>
  <c r="AJ66" i="29"/>
  <c r="L66" i="29"/>
  <c r="D66" i="29"/>
  <c r="O65" i="29"/>
  <c r="R64" i="29"/>
  <c r="U63" i="29"/>
  <c r="X62" i="29"/>
  <c r="X87" i="29"/>
  <c r="AA86" i="29"/>
  <c r="AG84" i="29"/>
  <c r="D83" i="29"/>
  <c r="D89" i="29"/>
  <c r="F83" i="29"/>
  <c r="I82" i="29"/>
  <c r="L81" i="29"/>
  <c r="O80" i="29"/>
  <c r="R79" i="29"/>
  <c r="U78" i="29"/>
  <c r="X77" i="29"/>
  <c r="AA76" i="29"/>
  <c r="AD75" i="29"/>
  <c r="AG74" i="29"/>
  <c r="AJ73" i="29"/>
  <c r="D73" i="29"/>
  <c r="AJ71" i="29"/>
  <c r="L71" i="29"/>
  <c r="D71" i="29"/>
  <c r="O70" i="29"/>
  <c r="R69" i="29"/>
  <c r="U68" i="29"/>
  <c r="X67" i="29"/>
  <c r="AA66" i="29"/>
  <c r="AD65" i="29"/>
  <c r="F65" i="29"/>
  <c r="AG64" i="29"/>
  <c r="I64" i="29"/>
  <c r="AJ63" i="29"/>
  <c r="L63" i="29"/>
  <c r="D63" i="29"/>
  <c r="O62" i="29"/>
  <c r="O93" i="29"/>
  <c r="R92" i="29"/>
  <c r="U91" i="29"/>
  <c r="X90" i="29"/>
  <c r="AA89" i="29"/>
  <c r="F88" i="29"/>
  <c r="I87" i="29"/>
  <c r="L86" i="29"/>
  <c r="O85" i="29"/>
  <c r="R84" i="29"/>
  <c r="U83" i="29"/>
  <c r="X82" i="29"/>
  <c r="AA81" i="29"/>
  <c r="AD80" i="29"/>
  <c r="AG79" i="29"/>
  <c r="AJ78" i="29"/>
  <c r="D78" i="29"/>
  <c r="I72" i="29"/>
  <c r="AA71" i="29"/>
  <c r="AD70" i="29"/>
  <c r="F70" i="29"/>
  <c r="AG69" i="29"/>
  <c r="I69" i="29"/>
  <c r="AJ68" i="29"/>
  <c r="L68" i="29"/>
  <c r="D68" i="29"/>
  <c r="O67" i="29"/>
  <c r="R66" i="29"/>
  <c r="U65" i="29"/>
  <c r="X64" i="29"/>
  <c r="AA63" i="29"/>
  <c r="AD62" i="29"/>
  <c r="F62" i="29"/>
  <c r="L85" i="29"/>
  <c r="AD79" i="29"/>
  <c r="AJ77" i="29"/>
  <c r="F64" i="29"/>
  <c r="I63" i="29"/>
  <c r="L62" i="29"/>
  <c r="U70" i="29"/>
  <c r="X81" i="29"/>
  <c r="AG66" i="29"/>
  <c r="O84" i="29"/>
  <c r="F72" i="29"/>
  <c r="I71" i="29"/>
  <c r="L70" i="29"/>
  <c r="O69" i="29"/>
  <c r="R68" i="29"/>
  <c r="U67" i="29"/>
  <c r="X66" i="29"/>
  <c r="AA65" i="29"/>
  <c r="AD64" i="29"/>
  <c r="AG63" i="29"/>
  <c r="AJ62" i="29"/>
  <c r="D62" i="29"/>
  <c r="I76" i="29"/>
  <c r="R71" i="29"/>
  <c r="AD67" i="29"/>
  <c r="F77" i="29"/>
  <c r="L75" i="29"/>
  <c r="R73" i="29"/>
  <c r="O74" i="29"/>
  <c r="F87" i="29"/>
  <c r="R83" i="29"/>
  <c r="AA80" i="29"/>
  <c r="AG78" i="29"/>
  <c r="D77" i="29"/>
  <c r="AG71" i="29"/>
  <c r="AJ70" i="29"/>
  <c r="D70" i="29"/>
  <c r="AJ65" i="29"/>
  <c r="F67" i="29"/>
  <c r="I66" i="29"/>
  <c r="L65" i="29"/>
  <c r="O64" i="29"/>
  <c r="R63" i="29"/>
  <c r="U62" i="29"/>
  <c r="AA68" i="29"/>
  <c r="I86" i="29"/>
  <c r="U82" i="29"/>
  <c r="U72" i="29"/>
  <c r="X69" i="29"/>
  <c r="D65" i="29"/>
  <c r="AD54" i="29"/>
  <c r="F54" i="29"/>
  <c r="AG53" i="29"/>
  <c r="I53" i="29"/>
  <c r="AJ52" i="29"/>
  <c r="L52" i="29"/>
  <c r="D52" i="29"/>
  <c r="O51" i="29"/>
  <c r="R50" i="29"/>
  <c r="U49" i="29"/>
  <c r="X48" i="29"/>
  <c r="AA47" i="29"/>
  <c r="AD46" i="29"/>
  <c r="F46" i="29"/>
  <c r="AG45" i="29"/>
  <c r="I45" i="29"/>
  <c r="AJ44" i="29"/>
  <c r="L44" i="29"/>
  <c r="D44" i="29"/>
  <c r="O43" i="29"/>
  <c r="R42" i="29"/>
  <c r="U41" i="29"/>
  <c r="X40" i="29"/>
  <c r="R53" i="29"/>
  <c r="AA50" i="29"/>
  <c r="AG48" i="29"/>
  <c r="AD41" i="29"/>
  <c r="U54" i="29"/>
  <c r="X53" i="29"/>
  <c r="AA52" i="29"/>
  <c r="AD51" i="29"/>
  <c r="F51" i="29"/>
  <c r="AG50" i="29"/>
  <c r="I50" i="29"/>
  <c r="AJ49" i="29"/>
  <c r="L49" i="29"/>
  <c r="D49" i="29"/>
  <c r="O48" i="29"/>
  <c r="R47" i="29"/>
  <c r="U46" i="29"/>
  <c r="X45" i="29"/>
  <c r="AA44" i="29"/>
  <c r="AD43" i="29"/>
  <c r="F43" i="29"/>
  <c r="AG42" i="29"/>
  <c r="I42" i="29"/>
  <c r="AJ41" i="29"/>
  <c r="L41" i="29"/>
  <c r="D41" i="29"/>
  <c r="O40" i="29"/>
  <c r="AJ47" i="29"/>
  <c r="R45" i="29"/>
  <c r="AG40" i="29"/>
  <c r="AJ54" i="29"/>
  <c r="L54" i="29"/>
  <c r="D54" i="29"/>
  <c r="O53" i="29"/>
  <c r="R52" i="29"/>
  <c r="U51" i="29"/>
  <c r="X50" i="29"/>
  <c r="AA49" i="29"/>
  <c r="AD48" i="29"/>
  <c r="F48" i="29"/>
  <c r="AG47" i="29"/>
  <c r="I47" i="29"/>
  <c r="AJ46" i="29"/>
  <c r="L46" i="29"/>
  <c r="D46" i="29"/>
  <c r="O45" i="29"/>
  <c r="R44" i="29"/>
  <c r="U43" i="29"/>
  <c r="X42" i="29"/>
  <c r="AA41" i="29"/>
  <c r="AD40" i="29"/>
  <c r="F40" i="29"/>
  <c r="AD49" i="29"/>
  <c r="U44" i="29"/>
  <c r="I40" i="29"/>
  <c r="AA54" i="29"/>
  <c r="AD53" i="29"/>
  <c r="F53" i="29"/>
  <c r="AG52" i="29"/>
  <c r="I52" i="29"/>
  <c r="AJ51" i="29"/>
  <c r="L51" i="29"/>
  <c r="D51" i="29"/>
  <c r="O50" i="29"/>
  <c r="R49" i="29"/>
  <c r="U48" i="29"/>
  <c r="X47" i="29"/>
  <c r="AA46" i="29"/>
  <c r="AD45" i="29"/>
  <c r="F45" i="29"/>
  <c r="AG44" i="29"/>
  <c r="I44" i="29"/>
  <c r="AJ43" i="29"/>
  <c r="L43" i="29"/>
  <c r="D43" i="29"/>
  <c r="O42" i="29"/>
  <c r="R41" i="29"/>
  <c r="U40" i="29"/>
  <c r="F49" i="29"/>
  <c r="D47" i="29"/>
  <c r="R54" i="29"/>
  <c r="U53" i="29"/>
  <c r="X52" i="29"/>
  <c r="AA51" i="29"/>
  <c r="AD50" i="29"/>
  <c r="F50" i="29"/>
  <c r="AG49" i="29"/>
  <c r="I49" i="29"/>
  <c r="AJ48" i="29"/>
  <c r="L48" i="29"/>
  <c r="D48" i="29"/>
  <c r="O47" i="29"/>
  <c r="R46" i="29"/>
  <c r="U45" i="29"/>
  <c r="X44" i="29"/>
  <c r="AA43" i="29"/>
  <c r="AD42" i="29"/>
  <c r="F42" i="29"/>
  <c r="AG41" i="29"/>
  <c r="I41" i="29"/>
  <c r="AJ40" i="29"/>
  <c r="L40" i="29"/>
  <c r="D40" i="29"/>
  <c r="O54" i="29"/>
  <c r="X51" i="29"/>
  <c r="I48" i="29"/>
  <c r="O46" i="29"/>
  <c r="AG54" i="29"/>
  <c r="I54" i="29"/>
  <c r="AJ53" i="29"/>
  <c r="L53" i="29"/>
  <c r="D53" i="29"/>
  <c r="O52" i="29"/>
  <c r="R51" i="29"/>
  <c r="U50" i="29"/>
  <c r="X49" i="29"/>
  <c r="AA48" i="29"/>
  <c r="AD47" i="29"/>
  <c r="F47" i="29"/>
  <c r="AG46" i="29"/>
  <c r="I46" i="29"/>
  <c r="AJ45" i="29"/>
  <c r="L45" i="29"/>
  <c r="D45" i="29"/>
  <c r="O44" i="29"/>
  <c r="R43" i="29"/>
  <c r="U42" i="29"/>
  <c r="X41" i="29"/>
  <c r="AA40" i="29"/>
  <c r="X43" i="29"/>
  <c r="F41" i="29"/>
  <c r="X54" i="29"/>
  <c r="AA53" i="29"/>
  <c r="AD52" i="29"/>
  <c r="F52" i="29"/>
  <c r="AG51" i="29"/>
  <c r="I51" i="29"/>
  <c r="AJ50" i="29"/>
  <c r="L50" i="29"/>
  <c r="D50" i="29"/>
  <c r="O49" i="29"/>
  <c r="R48" i="29"/>
  <c r="U47" i="29"/>
  <c r="X46" i="29"/>
  <c r="AA45" i="29"/>
  <c r="AD44" i="29"/>
  <c r="F44" i="29"/>
  <c r="AG43" i="29"/>
  <c r="I43" i="29"/>
  <c r="AJ42" i="29"/>
  <c r="L42" i="29"/>
  <c r="D42" i="29"/>
  <c r="O41" i="29"/>
  <c r="R40" i="29"/>
  <c r="U52" i="29"/>
  <c r="L47" i="29"/>
  <c r="AA42" i="29"/>
  <c r="AD23" i="29"/>
  <c r="F23" i="29"/>
  <c r="AG22" i="29"/>
  <c r="I22" i="29"/>
  <c r="AJ21" i="29"/>
  <c r="L21" i="29"/>
  <c r="D21" i="29"/>
  <c r="O20" i="29"/>
  <c r="R19" i="29"/>
  <c r="U18" i="29"/>
  <c r="X17" i="29"/>
  <c r="AA16" i="29"/>
  <c r="AD15" i="29"/>
  <c r="F15" i="29"/>
  <c r="AG14" i="29"/>
  <c r="I14" i="29"/>
  <c r="AJ13" i="29"/>
  <c r="L13" i="29"/>
  <c r="D13" i="29"/>
  <c r="O12" i="29"/>
  <c r="R11" i="29"/>
  <c r="U10" i="29"/>
  <c r="X9" i="29"/>
  <c r="AA8" i="29"/>
  <c r="AA23" i="29"/>
  <c r="D20" i="29"/>
  <c r="R18" i="29"/>
  <c r="X16" i="29"/>
  <c r="AG13" i="29"/>
  <c r="AJ12" i="29"/>
  <c r="U23" i="29"/>
  <c r="X22" i="29"/>
  <c r="AA21" i="29"/>
  <c r="AD20" i="29"/>
  <c r="F20" i="29"/>
  <c r="AG19" i="29"/>
  <c r="I19" i="29"/>
  <c r="AJ18" i="29"/>
  <c r="L18" i="29"/>
  <c r="D18" i="29"/>
  <c r="O17" i="29"/>
  <c r="R16" i="29"/>
  <c r="U15" i="29"/>
  <c r="X14" i="29"/>
  <c r="AA13" i="29"/>
  <c r="AD12" i="29"/>
  <c r="F12" i="29"/>
  <c r="AG11" i="29"/>
  <c r="I11" i="29"/>
  <c r="AJ10" i="29"/>
  <c r="L10" i="29"/>
  <c r="D10" i="29"/>
  <c r="O9" i="29"/>
  <c r="R8" i="29"/>
  <c r="F22" i="29"/>
  <c r="I21" i="29"/>
  <c r="L20" i="29"/>
  <c r="U17" i="29"/>
  <c r="AA15" i="29"/>
  <c r="F14" i="29"/>
  <c r="AJ23" i="29"/>
  <c r="L23" i="29"/>
  <c r="D23" i="29"/>
  <c r="O22" i="29"/>
  <c r="R21" i="29"/>
  <c r="U20" i="29"/>
  <c r="X19" i="29"/>
  <c r="AA18" i="29"/>
  <c r="AD17" i="29"/>
  <c r="F17" i="29"/>
  <c r="AG16" i="29"/>
  <c r="I16" i="29"/>
  <c r="AJ15" i="29"/>
  <c r="L15" i="29"/>
  <c r="D15" i="29"/>
  <c r="O14" i="29"/>
  <c r="R13" i="29"/>
  <c r="U12" i="29"/>
  <c r="X11" i="29"/>
  <c r="AA10" i="29"/>
  <c r="AD9" i="29"/>
  <c r="F9" i="29"/>
  <c r="AG8" i="29"/>
  <c r="I8" i="29"/>
  <c r="AD22" i="29"/>
  <c r="AG21" i="29"/>
  <c r="AJ20" i="29"/>
  <c r="O19" i="29"/>
  <c r="AD14" i="29"/>
  <c r="I13" i="29"/>
  <c r="R23" i="29"/>
  <c r="U22" i="29"/>
  <c r="X21" i="29"/>
  <c r="AA20" i="29"/>
  <c r="AD19" i="29"/>
  <c r="F19" i="29"/>
  <c r="AG18" i="29"/>
  <c r="I18" i="29"/>
  <c r="AJ17" i="29"/>
  <c r="L17" i="29"/>
  <c r="D17" i="29"/>
  <c r="O16" i="29"/>
  <c r="R15" i="29"/>
  <c r="U14" i="29"/>
  <c r="X13" i="29"/>
  <c r="AA12" i="29"/>
  <c r="AD11" i="29"/>
  <c r="F11" i="29"/>
  <c r="AG10" i="29"/>
  <c r="I10" i="29"/>
  <c r="AJ9" i="29"/>
  <c r="L9" i="29"/>
  <c r="D9" i="29"/>
  <c r="O8" i="29"/>
  <c r="X23" i="29"/>
  <c r="F21" i="29"/>
  <c r="AJ19" i="29"/>
  <c r="L19" i="29"/>
  <c r="O18" i="29"/>
  <c r="U16" i="29"/>
  <c r="AA14" i="29"/>
  <c r="AG12" i="29"/>
  <c r="AG23" i="29"/>
  <c r="I23" i="29"/>
  <c r="AJ22" i="29"/>
  <c r="L22" i="29"/>
  <c r="D22" i="29"/>
  <c r="O21" i="29"/>
  <c r="R20" i="29"/>
  <c r="U19" i="29"/>
  <c r="X18" i="29"/>
  <c r="AA17" i="29"/>
  <c r="AD16" i="29"/>
  <c r="F16" i="29"/>
  <c r="AG15" i="29"/>
  <c r="I15" i="29"/>
  <c r="AJ14" i="29"/>
  <c r="L14" i="29"/>
  <c r="D14" i="29"/>
  <c r="O13" i="29"/>
  <c r="R12" i="29"/>
  <c r="U11" i="29"/>
  <c r="X10" i="29"/>
  <c r="AA9" i="29"/>
  <c r="AD8" i="29"/>
  <c r="F8" i="29"/>
  <c r="AA22" i="29"/>
  <c r="AD21" i="29"/>
  <c r="AG20" i="29"/>
  <c r="I20" i="29"/>
  <c r="D19" i="29"/>
  <c r="R17" i="29"/>
  <c r="X15" i="29"/>
  <c r="AD13" i="29"/>
  <c r="F13" i="29"/>
  <c r="I12" i="29"/>
  <c r="AJ11" i="29"/>
  <c r="O11" i="29"/>
  <c r="AD10" i="29"/>
  <c r="U9" i="29"/>
  <c r="AJ8" i="29"/>
  <c r="AA11" i="29"/>
  <c r="R10" i="29"/>
  <c r="D8" i="29"/>
  <c r="L12" i="29"/>
  <c r="I9" i="29"/>
  <c r="X20" i="29"/>
  <c r="F18" i="29"/>
  <c r="L16" i="29"/>
  <c r="R14" i="29"/>
  <c r="X12" i="29"/>
  <c r="L11" i="29"/>
  <c r="F10" i="29"/>
  <c r="R9" i="29"/>
  <c r="L8" i="29"/>
  <c r="D11" i="29"/>
  <c r="AG9" i="29"/>
  <c r="X8" i="29"/>
  <c r="U13" i="29"/>
  <c r="O10" i="29"/>
  <c r="R22" i="29"/>
  <c r="D12" i="29"/>
  <c r="O23" i="29"/>
  <c r="U21" i="29"/>
  <c r="AA19" i="29"/>
  <c r="AG17" i="29"/>
  <c r="D16" i="29"/>
  <c r="U8" i="29"/>
  <c r="AD18" i="29"/>
  <c r="I17" i="29"/>
  <c r="O15" i="29"/>
  <c r="AJ16" i="29"/>
  <c r="AD172" i="29"/>
  <c r="AG172" i="29"/>
  <c r="X172" i="29"/>
  <c r="F172" i="29"/>
  <c r="U172" i="29"/>
  <c r="O172" i="29"/>
  <c r="D172" i="29"/>
  <c r="I172" i="29"/>
  <c r="L172" i="29"/>
  <c r="AA172" i="29"/>
  <c r="R172" i="29"/>
  <c r="T102" i="29" l="1"/>
  <c r="AC100" i="29"/>
  <c r="Q103" i="29"/>
  <c r="H99" i="29"/>
  <c r="AF99" i="29"/>
  <c r="AC103" i="29"/>
  <c r="AF102" i="29"/>
  <c r="W105" i="29"/>
  <c r="AI105" i="29"/>
  <c r="N106" i="29"/>
  <c r="K107" i="29"/>
  <c r="H108" i="29"/>
  <c r="Q115" i="29"/>
  <c r="H116" i="29"/>
  <c r="AC117" i="29"/>
  <c r="Z118" i="29"/>
  <c r="W119" i="29"/>
  <c r="T120" i="29"/>
  <c r="Q121" i="29"/>
  <c r="N122" i="29"/>
  <c r="Q99" i="29"/>
  <c r="N100" i="29"/>
  <c r="AL100" i="29"/>
  <c r="K101" i="29"/>
  <c r="K102" i="29"/>
  <c r="W102" i="29"/>
  <c r="H103" i="29"/>
  <c r="T103" i="29"/>
  <c r="T104" i="29"/>
  <c r="K105" i="29"/>
  <c r="AL105" i="29"/>
  <c r="AF106" i="29"/>
  <c r="AC107" i="29"/>
  <c r="Z108" i="29"/>
  <c r="W109" i="29"/>
  <c r="T110" i="29"/>
  <c r="Q111" i="29"/>
  <c r="N112" i="29"/>
  <c r="K113" i="29"/>
  <c r="H114" i="29"/>
  <c r="Z122" i="29"/>
  <c r="AL124" i="29"/>
  <c r="N126" i="29"/>
  <c r="AC132" i="29"/>
  <c r="Z99" i="29"/>
  <c r="AL101" i="29"/>
  <c r="AI104" i="29"/>
  <c r="AF107" i="29"/>
  <c r="W110" i="29"/>
  <c r="AL118" i="29"/>
  <c r="AF120" i="29"/>
  <c r="AF100" i="29"/>
  <c r="K104" i="29"/>
  <c r="AL111" i="29"/>
  <c r="AL114" i="29"/>
  <c r="H118" i="29"/>
  <c r="Q125" i="29"/>
  <c r="Z133" i="29"/>
  <c r="T99" i="29"/>
  <c r="Q100" i="29"/>
  <c r="N101" i="29"/>
  <c r="Z102" i="29"/>
  <c r="W103" i="29"/>
  <c r="Z104" i="29"/>
  <c r="AL104" i="29"/>
  <c r="AL106" i="29"/>
  <c r="AI107" i="29"/>
  <c r="AF108" i="29"/>
  <c r="AC109" i="29"/>
  <c r="Z110" i="29"/>
  <c r="W111" i="29"/>
  <c r="T112" i="29"/>
  <c r="Q113" i="29"/>
  <c r="H124" i="29"/>
  <c r="AC99" i="29"/>
  <c r="Z100" i="29"/>
  <c r="W101" i="29"/>
  <c r="Q102" i="29"/>
  <c r="N103" i="29"/>
  <c r="N104" i="29"/>
  <c r="Q105" i="29"/>
  <c r="H106" i="29"/>
  <c r="AL112" i="29"/>
  <c r="AI113" i="29"/>
  <c r="H115" i="29"/>
  <c r="AL121" i="29"/>
  <c r="T124" i="29"/>
  <c r="AF126" i="29"/>
  <c r="H128" i="29"/>
  <c r="AI130" i="29"/>
  <c r="W134" i="29"/>
  <c r="W100" i="29"/>
  <c r="T101" i="29"/>
  <c r="N105" i="29"/>
  <c r="AC108" i="29"/>
  <c r="Q112" i="29"/>
  <c r="AI114" i="29"/>
  <c r="AC121" i="29"/>
  <c r="H100" i="29"/>
  <c r="AI112" i="29"/>
  <c r="N114" i="29"/>
  <c r="T116" i="29"/>
  <c r="AL129" i="29"/>
  <c r="N99" i="29"/>
  <c r="AL99" i="29"/>
  <c r="K100" i="29"/>
  <c r="AI100" i="29"/>
  <c r="H101" i="29"/>
  <c r="H102" i="29"/>
  <c r="AL103" i="29"/>
  <c r="Q104" i="29"/>
  <c r="AF105" i="29"/>
  <c r="K106" i="29"/>
  <c r="H107" i="29"/>
  <c r="AL113" i="29"/>
  <c r="AC116" i="29"/>
  <c r="K123" i="29"/>
  <c r="AC101" i="29"/>
  <c r="AI106" i="29"/>
  <c r="Z109" i="29"/>
  <c r="T111" i="29"/>
  <c r="N113" i="29"/>
  <c r="K114" i="29"/>
  <c r="AI119" i="29"/>
  <c r="K99" i="29"/>
  <c r="AI99" i="29"/>
  <c r="AI102" i="29"/>
  <c r="AF113" i="29"/>
  <c r="AC115" i="29"/>
  <c r="K117" i="29"/>
  <c r="AC127" i="29"/>
  <c r="W99" i="29"/>
  <c r="T100" i="29"/>
  <c r="Q101" i="29"/>
  <c r="Z101" i="29"/>
  <c r="AI101" i="29"/>
  <c r="H105" i="29"/>
  <c r="AC106" i="29"/>
  <c r="Z107" i="29"/>
  <c r="W108" i="29"/>
  <c r="T109" i="29"/>
  <c r="Q110" i="29"/>
  <c r="N111" i="29"/>
  <c r="K112" i="29"/>
  <c r="H113" i="29"/>
  <c r="Z114" i="29"/>
  <c r="AF116" i="29"/>
  <c r="W123" i="29"/>
  <c r="AI125" i="29"/>
  <c r="K127" i="29"/>
  <c r="AF131" i="29"/>
  <c r="T135" i="29"/>
  <c r="AF128" i="29"/>
  <c r="AC129" i="29"/>
  <c r="Z130" i="29"/>
  <c r="W131" i="29"/>
  <c r="T132" i="29"/>
  <c r="Q133" i="29"/>
  <c r="N134" i="29"/>
  <c r="K135" i="29"/>
  <c r="T106" i="29"/>
  <c r="Q107" i="29"/>
  <c r="N108" i="29"/>
  <c r="AL108" i="29"/>
  <c r="K109" i="29"/>
  <c r="AI109" i="29"/>
  <c r="H110" i="29"/>
  <c r="AF110" i="29"/>
  <c r="AC111" i="29"/>
  <c r="Z112" i="29"/>
  <c r="W113" i="29"/>
  <c r="Z117" i="29"/>
  <c r="W118" i="29"/>
  <c r="T119" i="29"/>
  <c r="Q120" i="29"/>
  <c r="N121" i="29"/>
  <c r="K122" i="29"/>
  <c r="H123" i="29"/>
  <c r="AF103" i="29"/>
  <c r="AC104" i="29"/>
  <c r="Z105" i="29"/>
  <c r="W106" i="29"/>
  <c r="T107" i="29"/>
  <c r="Q108" i="29"/>
  <c r="N109" i="29"/>
  <c r="AL109" i="29"/>
  <c r="K110" i="29"/>
  <c r="AI110" i="29"/>
  <c r="H111" i="29"/>
  <c r="AF111" i="29"/>
  <c r="AC112" i="29"/>
  <c r="Z113" i="29"/>
  <c r="Q114" i="29"/>
  <c r="AF115" i="29"/>
  <c r="Q117" i="29"/>
  <c r="N118" i="29"/>
  <c r="K119" i="29"/>
  <c r="H120" i="29"/>
  <c r="AL126" i="29"/>
  <c r="AI127" i="29"/>
  <c r="AI122" i="29"/>
  <c r="AF123" i="29"/>
  <c r="AC124" i="29"/>
  <c r="Z125" i="29"/>
  <c r="W126" i="29"/>
  <c r="T127" i="29"/>
  <c r="Q128" i="29"/>
  <c r="N129" i="29"/>
  <c r="K130" i="29"/>
  <c r="H131" i="29"/>
  <c r="AF101" i="29"/>
  <c r="AC102" i="29"/>
  <c r="Z103" i="29"/>
  <c r="W104" i="29"/>
  <c r="T105" i="29"/>
  <c r="Q106" i="29"/>
  <c r="N107" i="29"/>
  <c r="AL107" i="29"/>
  <c r="K108" i="29"/>
  <c r="AI108" i="29"/>
  <c r="H109" i="29"/>
  <c r="AF109" i="29"/>
  <c r="AC110" i="29"/>
  <c r="Z111" i="29"/>
  <c r="W112" i="29"/>
  <c r="T113" i="29"/>
  <c r="AF114" i="29"/>
  <c r="W115" i="29"/>
  <c r="AI115" i="29"/>
  <c r="Z116" i="29"/>
  <c r="AL116" i="29"/>
  <c r="AI117" i="29"/>
  <c r="AF118" i="29"/>
  <c r="AC119" i="29"/>
  <c r="Z120" i="29"/>
  <c r="W121" i="29"/>
  <c r="T122" i="29"/>
  <c r="Q123" i="29"/>
  <c r="N124" i="29"/>
  <c r="K125" i="29"/>
  <c r="H126" i="29"/>
  <c r="AL134" i="29"/>
  <c r="AI135" i="29"/>
  <c r="N102" i="29"/>
  <c r="AL102" i="29"/>
  <c r="K103" i="29"/>
  <c r="AI103" i="29"/>
  <c r="H104" i="29"/>
  <c r="AF104" i="29"/>
  <c r="AC105" i="29"/>
  <c r="Z106" i="29"/>
  <c r="W107" i="29"/>
  <c r="T108" i="29"/>
  <c r="Q109" i="29"/>
  <c r="N110" i="29"/>
  <c r="AL110" i="29"/>
  <c r="K111" i="29"/>
  <c r="AI111" i="29"/>
  <c r="H112" i="29"/>
  <c r="AF112" i="29"/>
  <c r="AC113" i="29"/>
  <c r="T114" i="29"/>
  <c r="K115" i="29"/>
  <c r="N116" i="29"/>
  <c r="AL122" i="29"/>
  <c r="AI123" i="29"/>
  <c r="AF124" i="29"/>
  <c r="AC125" i="29"/>
  <c r="Z126" i="29"/>
  <c r="W127" i="29"/>
  <c r="W117" i="29"/>
  <c r="T118" i="29"/>
  <c r="Q119" i="29"/>
  <c r="N120" i="29"/>
  <c r="AL120" i="29"/>
  <c r="K121" i="29"/>
  <c r="AI121" i="29"/>
  <c r="H122" i="29"/>
  <c r="AF122" i="29"/>
  <c r="AC123" i="29"/>
  <c r="Z124" i="29"/>
  <c r="W125" i="29"/>
  <c r="T126" i="29"/>
  <c r="Q127" i="29"/>
  <c r="N128" i="29"/>
  <c r="AL128" i="29"/>
  <c r="K129" i="29"/>
  <c r="AI129" i="29"/>
  <c r="H130" i="29"/>
  <c r="AF130" i="29"/>
  <c r="AC131" i="29"/>
  <c r="Z132" i="29"/>
  <c r="W133" i="29"/>
  <c r="T134" i="29"/>
  <c r="Q135" i="29"/>
  <c r="N115" i="29"/>
  <c r="AL115" i="29"/>
  <c r="K116" i="29"/>
  <c r="AI116" i="29"/>
  <c r="H117" i="29"/>
  <c r="AF117" i="29"/>
  <c r="AC118" i="29"/>
  <c r="Z119" i="29"/>
  <c r="W120" i="29"/>
  <c r="T121" i="29"/>
  <c r="Q122" i="29"/>
  <c r="N123" i="29"/>
  <c r="AL123" i="29"/>
  <c r="K124" i="29"/>
  <c r="AI124" i="29"/>
  <c r="H125" i="29"/>
  <c r="AF125" i="29"/>
  <c r="AC126" i="29"/>
  <c r="Z127" i="29"/>
  <c r="W128" i="29"/>
  <c r="T129" i="29"/>
  <c r="Q130" i="29"/>
  <c r="N131" i="29"/>
  <c r="AL131" i="29"/>
  <c r="K132" i="29"/>
  <c r="AI132" i="29"/>
  <c r="H133" i="29"/>
  <c r="AF133" i="29"/>
  <c r="AC134" i="29"/>
  <c r="Z135" i="29"/>
  <c r="Z128" i="29"/>
  <c r="W129" i="29"/>
  <c r="T130" i="29"/>
  <c r="Q131" i="29"/>
  <c r="N132" i="29"/>
  <c r="AL132" i="29"/>
  <c r="K133" i="29"/>
  <c r="AI133" i="29"/>
  <c r="H134" i="29"/>
  <c r="AF134" i="29"/>
  <c r="AC135" i="29"/>
  <c r="AC114" i="29"/>
  <c r="Z115" i="29"/>
  <c r="W116" i="29"/>
  <c r="T117" i="29"/>
  <c r="Q118" i="29"/>
  <c r="N119" i="29"/>
  <c r="AL119" i="29"/>
  <c r="K120" i="29"/>
  <c r="AI120" i="29"/>
  <c r="H121" i="29"/>
  <c r="AF121" i="29"/>
  <c r="AC122" i="29"/>
  <c r="Z123" i="29"/>
  <c r="W124" i="29"/>
  <c r="T125" i="29"/>
  <c r="Q126" i="29"/>
  <c r="N127" i="29"/>
  <c r="AL127" i="29"/>
  <c r="K128" i="29"/>
  <c r="AI128" i="29"/>
  <c r="H129" i="29"/>
  <c r="AF129" i="29"/>
  <c r="AC130" i="29"/>
  <c r="Z131" i="29"/>
  <c r="W132" i="29"/>
  <c r="T133" i="29"/>
  <c r="Q134" i="29"/>
  <c r="N135" i="29"/>
  <c r="AL135" i="29"/>
  <c r="T128" i="29"/>
  <c r="Q129" i="29"/>
  <c r="N130" i="29"/>
  <c r="AL130" i="29"/>
  <c r="K131" i="29"/>
  <c r="AI131" i="29"/>
  <c r="H132" i="29"/>
  <c r="AF132" i="29"/>
  <c r="AC133" i="29"/>
  <c r="Z134" i="29"/>
  <c r="W135" i="29"/>
  <c r="W114" i="29"/>
  <c r="T115" i="29"/>
  <c r="Q116" i="29"/>
  <c r="N117" i="29"/>
  <c r="AL117" i="29"/>
  <c r="K118" i="29"/>
  <c r="AI118" i="29"/>
  <c r="H119" i="29"/>
  <c r="AF119" i="29"/>
  <c r="AC120" i="29"/>
  <c r="Z121" i="29"/>
  <c r="W122" i="29"/>
  <c r="T123" i="29"/>
  <c r="Q124" i="29"/>
  <c r="N125" i="29"/>
  <c r="AL125" i="29"/>
  <c r="K126" i="29"/>
  <c r="AI126" i="29"/>
  <c r="H127" i="29"/>
  <c r="AF127" i="29"/>
  <c r="AC128" i="29"/>
  <c r="Z129" i="29"/>
  <c r="W130" i="29"/>
  <c r="T131" i="29"/>
  <c r="Q132" i="29"/>
  <c r="N133" i="29"/>
  <c r="AL133" i="29"/>
  <c r="K134" i="29"/>
  <c r="AI134" i="29"/>
  <c r="H135" i="29"/>
  <c r="AF135" i="29"/>
  <c r="Z69" i="29"/>
  <c r="W72" i="29"/>
  <c r="W82" i="29"/>
  <c r="K86" i="29"/>
  <c r="AC68" i="29"/>
  <c r="W62" i="29"/>
  <c r="T63" i="29"/>
  <c r="Q64" i="29"/>
  <c r="N65" i="29"/>
  <c r="K66" i="29"/>
  <c r="H67" i="29"/>
  <c r="AL65" i="29"/>
  <c r="AL70" i="29"/>
  <c r="AI71" i="29"/>
  <c r="AI78" i="29"/>
  <c r="AC80" i="29"/>
  <c r="T83" i="29"/>
  <c r="H87" i="29"/>
  <c r="Q74" i="29"/>
  <c r="T73" i="29"/>
  <c r="N75" i="29"/>
  <c r="H77" i="29"/>
  <c r="AF67" i="29"/>
  <c r="T71" i="29"/>
  <c r="K76" i="29"/>
  <c r="AL62" i="29"/>
  <c r="AI63" i="29"/>
  <c r="AF64" i="29"/>
  <c r="AC65" i="29"/>
  <c r="Z66" i="29"/>
  <c r="W67" i="29"/>
  <c r="T68" i="29"/>
  <c r="Q69" i="29"/>
  <c r="N70" i="29"/>
  <c r="K71" i="29"/>
  <c r="H72" i="29"/>
  <c r="Q84" i="29"/>
  <c r="AI66" i="29"/>
  <c r="Z81" i="29"/>
  <c r="W70" i="29"/>
  <c r="N62" i="29"/>
  <c r="K63" i="29"/>
  <c r="H64" i="29"/>
  <c r="AL77" i="29"/>
  <c r="AF79" i="29"/>
  <c r="N85" i="29"/>
  <c r="H62" i="29"/>
  <c r="AF62" i="29"/>
  <c r="AC63" i="29"/>
  <c r="Z64" i="29"/>
  <c r="W65" i="29"/>
  <c r="T66" i="29"/>
  <c r="Q67" i="29"/>
  <c r="N68" i="29"/>
  <c r="AL68" i="29"/>
  <c r="K69" i="29"/>
  <c r="AI69" i="29"/>
  <c r="H70" i="29"/>
  <c r="AF70" i="29"/>
  <c r="AC71" i="29"/>
  <c r="K72" i="29"/>
  <c r="AL78" i="29"/>
  <c r="AI79" i="29"/>
  <c r="AF80" i="29"/>
  <c r="AC81" i="29"/>
  <c r="Z82" i="29"/>
  <c r="W83" i="29"/>
  <c r="T84" i="29"/>
  <c r="Q85" i="29"/>
  <c r="N86" i="29"/>
  <c r="K87" i="29"/>
  <c r="H88" i="29"/>
  <c r="AC89" i="29"/>
  <c r="Z90" i="29"/>
  <c r="W91" i="29"/>
  <c r="T92" i="29"/>
  <c r="Q93" i="29"/>
  <c r="Q62" i="29"/>
  <c r="N63" i="29"/>
  <c r="AL63" i="29"/>
  <c r="K64" i="29"/>
  <c r="AI64" i="29"/>
  <c r="H65" i="29"/>
  <c r="AF65" i="29"/>
  <c r="AC66" i="29"/>
  <c r="Z67" i="29"/>
  <c r="W68" i="29"/>
  <c r="T69" i="29"/>
  <c r="Q70" i="29"/>
  <c r="N71" i="29"/>
  <c r="AL71" i="29"/>
  <c r="AL73" i="29"/>
  <c r="AI74" i="29"/>
  <c r="AF75" i="29"/>
  <c r="AC76" i="29"/>
  <c r="Z77" i="29"/>
  <c r="W78" i="29"/>
  <c r="T79" i="29"/>
  <c r="Q80" i="29"/>
  <c r="N81" i="29"/>
  <c r="K82" i="29"/>
  <c r="H83" i="29"/>
  <c r="AI84" i="29"/>
  <c r="AC86" i="29"/>
  <c r="Z87" i="29"/>
  <c r="Z62" i="29"/>
  <c r="W63" i="29"/>
  <c r="T64" i="29"/>
  <c r="Q65" i="29"/>
  <c r="N66" i="29"/>
  <c r="AL66" i="29"/>
  <c r="K67" i="29"/>
  <c r="AI67" i="29"/>
  <c r="H68" i="29"/>
  <c r="AF68" i="29"/>
  <c r="AC69" i="29"/>
  <c r="Z70" i="29"/>
  <c r="W71" i="29"/>
  <c r="AC72" i="29"/>
  <c r="Z73" i="29"/>
  <c r="W74" i="29"/>
  <c r="T75" i="29"/>
  <c r="Q76" i="29"/>
  <c r="N77" i="29"/>
  <c r="K78" i="29"/>
  <c r="H79" i="29"/>
  <c r="AL85" i="29"/>
  <c r="AI86" i="29"/>
  <c r="AF87" i="29"/>
  <c r="AC88" i="29"/>
  <c r="K62" i="29"/>
  <c r="AI62" i="29"/>
  <c r="H63" i="29"/>
  <c r="AF63" i="29"/>
  <c r="AC64" i="29"/>
  <c r="Z65" i="29"/>
  <c r="W66" i="29"/>
  <c r="T67" i="29"/>
  <c r="Q68" i="29"/>
  <c r="N69" i="29"/>
  <c r="AL69" i="29"/>
  <c r="K70" i="29"/>
  <c r="AI70" i="29"/>
  <c r="H71" i="29"/>
  <c r="AF71" i="29"/>
  <c r="AL75" i="29"/>
  <c r="AI76" i="29"/>
  <c r="AF77" i="29"/>
  <c r="AC78" i="29"/>
  <c r="Z79" i="29"/>
  <c r="W80" i="29"/>
  <c r="T81" i="29"/>
  <c r="Q82" i="29"/>
  <c r="N83" i="29"/>
  <c r="K84" i="29"/>
  <c r="H85" i="29"/>
  <c r="AL89" i="29"/>
  <c r="AI90" i="29"/>
  <c r="AF91" i="29"/>
  <c r="AC92" i="29"/>
  <c r="Z93" i="29"/>
  <c r="AL83" i="29"/>
  <c r="AF85" i="29"/>
  <c r="W88" i="29"/>
  <c r="T62" i="29"/>
  <c r="Q63" i="29"/>
  <c r="N64" i="29"/>
  <c r="AL64" i="29"/>
  <c r="K65" i="29"/>
  <c r="AI65" i="29"/>
  <c r="H66" i="29"/>
  <c r="AF66" i="29"/>
  <c r="AC67" i="29"/>
  <c r="Z68" i="29"/>
  <c r="W69" i="29"/>
  <c r="T70" i="29"/>
  <c r="Q71" i="29"/>
  <c r="AF72" i="29"/>
  <c r="AC73" i="29"/>
  <c r="Z74" i="29"/>
  <c r="W75" i="29"/>
  <c r="T76" i="29"/>
  <c r="Q77" i="29"/>
  <c r="N78" i="29"/>
  <c r="K79" i="29"/>
  <c r="H80" i="29"/>
  <c r="AL86" i="29"/>
  <c r="AI87" i="29"/>
  <c r="AF88" i="29"/>
  <c r="AC62" i="29"/>
  <c r="Z63" i="29"/>
  <c r="W64" i="29"/>
  <c r="T65" i="29"/>
  <c r="Q66" i="29"/>
  <c r="N67" i="29"/>
  <c r="AL67" i="29"/>
  <c r="K68" i="29"/>
  <c r="AI68" i="29"/>
  <c r="H69" i="29"/>
  <c r="AF69" i="29"/>
  <c r="AC70" i="29"/>
  <c r="Z71" i="29"/>
  <c r="Q72" i="29"/>
  <c r="N73" i="29"/>
  <c r="K74" i="29"/>
  <c r="H75" i="29"/>
  <c r="AL81" i="29"/>
  <c r="AI82" i="29"/>
  <c r="AF83" i="29"/>
  <c r="AC84" i="29"/>
  <c r="Z85" i="29"/>
  <c r="W86" i="29"/>
  <c r="T87" i="29"/>
  <c r="Q88" i="29"/>
  <c r="N89" i="29"/>
  <c r="K90" i="29"/>
  <c r="H91" i="29"/>
  <c r="Z72" i="29"/>
  <c r="W73" i="29"/>
  <c r="T74" i="29"/>
  <c r="Q75" i="29"/>
  <c r="N76" i="29"/>
  <c r="AL76" i="29"/>
  <c r="K77" i="29"/>
  <c r="AI77" i="29"/>
  <c r="H78" i="29"/>
  <c r="AF78" i="29"/>
  <c r="AC79" i="29"/>
  <c r="Z80" i="29"/>
  <c r="W81" i="29"/>
  <c r="T82" i="29"/>
  <c r="Q83" i="29"/>
  <c r="N84" i="29"/>
  <c r="AL84" i="29"/>
  <c r="K85" i="29"/>
  <c r="AI85" i="29"/>
  <c r="H86" i="29"/>
  <c r="AF86" i="29"/>
  <c r="AC87" i="29"/>
  <c r="Z88" i="29"/>
  <c r="W89" i="29"/>
  <c r="T90" i="29"/>
  <c r="Q91" i="29"/>
  <c r="N92" i="29"/>
  <c r="AL92" i="29"/>
  <c r="K93" i="29"/>
  <c r="AI93" i="29"/>
  <c r="AI72" i="29"/>
  <c r="H73" i="29"/>
  <c r="AF73" i="29"/>
  <c r="AC74" i="29"/>
  <c r="Z75" i="29"/>
  <c r="W76" i="29"/>
  <c r="T77" i="29"/>
  <c r="Q78" i="29"/>
  <c r="N79" i="29"/>
  <c r="AL79" i="29"/>
  <c r="K80" i="29"/>
  <c r="AI80" i="29"/>
  <c r="H81" i="29"/>
  <c r="AF81" i="29"/>
  <c r="AC82" i="29"/>
  <c r="Z83" i="29"/>
  <c r="W84" i="29"/>
  <c r="T85" i="29"/>
  <c r="Q86" i="29"/>
  <c r="N87" i="29"/>
  <c r="AL87" i="29"/>
  <c r="K88" i="29"/>
  <c r="AI88" i="29"/>
  <c r="H89" i="29"/>
  <c r="AF89" i="29"/>
  <c r="AC90" i="29"/>
  <c r="Z91" i="29"/>
  <c r="W92" i="29"/>
  <c r="T93" i="29"/>
  <c r="T72" i="29"/>
  <c r="Q73" i="29"/>
  <c r="N74" i="29"/>
  <c r="AL74" i="29"/>
  <c r="K75" i="29"/>
  <c r="AI75" i="29"/>
  <c r="H76" i="29"/>
  <c r="AF76" i="29"/>
  <c r="AC77" i="29"/>
  <c r="Z78" i="29"/>
  <c r="W79" i="29"/>
  <c r="T80" i="29"/>
  <c r="Q81" i="29"/>
  <c r="N82" i="29"/>
  <c r="AL82" i="29"/>
  <c r="K83" i="29"/>
  <c r="AI83" i="29"/>
  <c r="H84" i="29"/>
  <c r="AF84" i="29"/>
  <c r="AC85" i="29"/>
  <c r="Z86" i="29"/>
  <c r="W87" i="29"/>
  <c r="T88" i="29"/>
  <c r="Q89" i="29"/>
  <c r="N90" i="29"/>
  <c r="AL90" i="29"/>
  <c r="K91" i="29"/>
  <c r="AI91" i="29"/>
  <c r="H92" i="29"/>
  <c r="AF92" i="29"/>
  <c r="AC93" i="29"/>
  <c r="Z89" i="29"/>
  <c r="W90" i="29"/>
  <c r="T91" i="29"/>
  <c r="Q92" i="29"/>
  <c r="N93" i="29"/>
  <c r="AL93" i="29"/>
  <c r="N72" i="29"/>
  <c r="AL72" i="29"/>
  <c r="K73" i="29"/>
  <c r="AI73" i="29"/>
  <c r="H74" i="29"/>
  <c r="AF74" i="29"/>
  <c r="AC75" i="29"/>
  <c r="Z76" i="29"/>
  <c r="W77" i="29"/>
  <c r="T78" i="29"/>
  <c r="Q79" i="29"/>
  <c r="N80" i="29"/>
  <c r="AL80" i="29"/>
  <c r="K81" i="29"/>
  <c r="AI81" i="29"/>
  <c r="H82" i="29"/>
  <c r="AF82" i="29"/>
  <c r="AC83" i="29"/>
  <c r="Z84" i="29"/>
  <c r="W85" i="29"/>
  <c r="T86" i="29"/>
  <c r="Q87" i="29"/>
  <c r="N88" i="29"/>
  <c r="AL88" i="29"/>
  <c r="K89" i="29"/>
  <c r="AI89" i="29"/>
  <c r="H90" i="29"/>
  <c r="AF90" i="29"/>
  <c r="AC91" i="29"/>
  <c r="Z92" i="29"/>
  <c r="W93" i="29"/>
  <c r="T89" i="29"/>
  <c r="Q90" i="29"/>
  <c r="N91" i="29"/>
  <c r="AL91" i="29"/>
  <c r="K92" i="29"/>
  <c r="AI92" i="29"/>
  <c r="H93" i="29"/>
  <c r="AF93" i="29"/>
  <c r="AC42" i="29"/>
  <c r="N47" i="29"/>
  <c r="W52" i="29"/>
  <c r="T40" i="29"/>
  <c r="Q41" i="29"/>
  <c r="N42" i="29"/>
  <c r="AL42" i="29"/>
  <c r="K43" i="29"/>
  <c r="AI43" i="29"/>
  <c r="H44" i="29"/>
  <c r="AF44" i="29"/>
  <c r="AC45" i="29"/>
  <c r="Z46" i="29"/>
  <c r="W47" i="29"/>
  <c r="T48" i="29"/>
  <c r="Q49" i="29"/>
  <c r="N50" i="29"/>
  <c r="AL50" i="29"/>
  <c r="K51" i="29"/>
  <c r="AI51" i="29"/>
  <c r="H52" i="29"/>
  <c r="AF52" i="29"/>
  <c r="AC53" i="29"/>
  <c r="Z54" i="29"/>
  <c r="H41" i="29"/>
  <c r="Z43" i="29"/>
  <c r="AC40" i="29"/>
  <c r="Z41" i="29"/>
  <c r="W42" i="29"/>
  <c r="T43" i="29"/>
  <c r="Q44" i="29"/>
  <c r="N45" i="29"/>
  <c r="AL45" i="29"/>
  <c r="K46" i="29"/>
  <c r="AI46" i="29"/>
  <c r="H47" i="29"/>
  <c r="AF47" i="29"/>
  <c r="AC48" i="29"/>
  <c r="Z49" i="29"/>
  <c r="W50" i="29"/>
  <c r="T51" i="29"/>
  <c r="Q52" i="29"/>
  <c r="N53" i="29"/>
  <c r="AL53" i="29"/>
  <c r="K54" i="29"/>
  <c r="AI54" i="29"/>
  <c r="Q46" i="29"/>
  <c r="K48" i="29"/>
  <c r="Z51" i="29"/>
  <c r="Q54" i="29"/>
  <c r="N40" i="29"/>
  <c r="AL40" i="29"/>
  <c r="K41" i="29"/>
  <c r="AI41" i="29"/>
  <c r="H42" i="29"/>
  <c r="AF42" i="29"/>
  <c r="AC43" i="29"/>
  <c r="Z44" i="29"/>
  <c r="W45" i="29"/>
  <c r="T46" i="29"/>
  <c r="Q47" i="29"/>
  <c r="N48" i="29"/>
  <c r="AL48" i="29"/>
  <c r="K49" i="29"/>
  <c r="AI49" i="29"/>
  <c r="H50" i="29"/>
  <c r="AF50" i="29"/>
  <c r="AC51" i="29"/>
  <c r="Z52" i="29"/>
  <c r="W53" i="29"/>
  <c r="T54" i="29"/>
  <c r="H49" i="29"/>
  <c r="W40" i="29"/>
  <c r="T41" i="29"/>
  <c r="Q42" i="29"/>
  <c r="N43" i="29"/>
  <c r="AL43" i="29"/>
  <c r="K44" i="29"/>
  <c r="AI44" i="29"/>
  <c r="H45" i="29"/>
  <c r="AF45" i="29"/>
  <c r="AC46" i="29"/>
  <c r="Z47" i="29"/>
  <c r="W48" i="29"/>
  <c r="T49" i="29"/>
  <c r="Q50" i="29"/>
  <c r="N51" i="29"/>
  <c r="AL51" i="29"/>
  <c r="K52" i="29"/>
  <c r="AI52" i="29"/>
  <c r="H53" i="29"/>
  <c r="AF53" i="29"/>
  <c r="AC54" i="29"/>
  <c r="K40" i="29"/>
  <c r="W44" i="29"/>
  <c r="AF49" i="29"/>
  <c r="H40" i="29"/>
  <c r="AF40" i="29"/>
  <c r="AC41" i="29"/>
  <c r="Z42" i="29"/>
  <c r="W43" i="29"/>
  <c r="T44" i="29"/>
  <c r="Q45" i="29"/>
  <c r="N46" i="29"/>
  <c r="AL46" i="29"/>
  <c r="K47" i="29"/>
  <c r="AI47" i="29"/>
  <c r="H48" i="29"/>
  <c r="AF48" i="29"/>
  <c r="AC49" i="29"/>
  <c r="Z50" i="29"/>
  <c r="W51" i="29"/>
  <c r="T52" i="29"/>
  <c r="Q53" i="29"/>
  <c r="N54" i="29"/>
  <c r="AL54" i="29"/>
  <c r="AI40" i="29"/>
  <c r="T45" i="29"/>
  <c r="AL47" i="29"/>
  <c r="Q40" i="29"/>
  <c r="N41" i="29"/>
  <c r="AL41" i="29"/>
  <c r="K42" i="29"/>
  <c r="AI42" i="29"/>
  <c r="H43" i="29"/>
  <c r="AF43" i="29"/>
  <c r="AC44" i="29"/>
  <c r="Z45" i="29"/>
  <c r="W46" i="29"/>
  <c r="T47" i="29"/>
  <c r="Q48" i="29"/>
  <c r="N49" i="29"/>
  <c r="AL49" i="29"/>
  <c r="K50" i="29"/>
  <c r="AI50" i="29"/>
  <c r="H51" i="29"/>
  <c r="AF51" i="29"/>
  <c r="AC52" i="29"/>
  <c r="Z53" i="29"/>
  <c r="W54" i="29"/>
  <c r="AF41" i="29"/>
  <c r="AI48" i="29"/>
  <c r="AC50" i="29"/>
  <c r="T53" i="29"/>
  <c r="Z40" i="29"/>
  <c r="W41" i="29"/>
  <c r="T42" i="29"/>
  <c r="Q43" i="29"/>
  <c r="N44" i="29"/>
  <c r="AL44" i="29"/>
  <c r="K45" i="29"/>
  <c r="AI45" i="29"/>
  <c r="H46" i="29"/>
  <c r="AF46" i="29"/>
  <c r="AC47" i="29"/>
  <c r="Z48" i="29"/>
  <c r="W49" i="29"/>
  <c r="T50" i="29"/>
  <c r="Q51" i="29"/>
  <c r="N52" i="29"/>
  <c r="AL52" i="29"/>
  <c r="K53" i="29"/>
  <c r="AI53" i="29"/>
  <c r="H54" i="29"/>
  <c r="AF54" i="29"/>
  <c r="AL16" i="29"/>
  <c r="Q15" i="29"/>
  <c r="K17" i="29"/>
  <c r="AF18" i="29"/>
  <c r="W8" i="29"/>
  <c r="AI17" i="29"/>
  <c r="AC19" i="29"/>
  <c r="W21" i="29"/>
  <c r="Q23" i="29"/>
  <c r="T22" i="29"/>
  <c r="Q10" i="29"/>
  <c r="W13" i="29"/>
  <c r="Z8" i="29"/>
  <c r="AI9" i="29"/>
  <c r="N8" i="29"/>
  <c r="T9" i="29"/>
  <c r="H10" i="29"/>
  <c r="N11" i="29"/>
  <c r="Z12" i="29"/>
  <c r="T14" i="29"/>
  <c r="N16" i="29"/>
  <c r="H18" i="29"/>
  <c r="Z20" i="29"/>
  <c r="K9" i="29"/>
  <c r="N12" i="29"/>
  <c r="T10" i="29"/>
  <c r="AC11" i="29"/>
  <c r="AL8" i="29"/>
  <c r="W9" i="29"/>
  <c r="AF10" i="29"/>
  <c r="Q11" i="29"/>
  <c r="AL11" i="29"/>
  <c r="K12" i="29"/>
  <c r="H13" i="29"/>
  <c r="AF13" i="29"/>
  <c r="Z15" i="29"/>
  <c r="T17" i="29"/>
  <c r="K20" i="29"/>
  <c r="AI20" i="29"/>
  <c r="AF21" i="29"/>
  <c r="AC22" i="29"/>
  <c r="H8" i="29"/>
  <c r="AF8" i="29"/>
  <c r="AC9" i="29"/>
  <c r="Z10" i="29"/>
  <c r="W11" i="29"/>
  <c r="T12" i="29"/>
  <c r="Q13" i="29"/>
  <c r="N14" i="29"/>
  <c r="AL14" i="29"/>
  <c r="K15" i="29"/>
  <c r="AI15" i="29"/>
  <c r="H16" i="29"/>
  <c r="AF16" i="29"/>
  <c r="AC17" i="29"/>
  <c r="Z18" i="29"/>
  <c r="W19" i="29"/>
  <c r="T20" i="29"/>
  <c r="Q21" i="29"/>
  <c r="N22" i="29"/>
  <c r="AL22" i="29"/>
  <c r="K23" i="29"/>
  <c r="AI23" i="29"/>
  <c r="AI12" i="29"/>
  <c r="AC14" i="29"/>
  <c r="W16" i="29"/>
  <c r="Q18" i="29"/>
  <c r="N19" i="29"/>
  <c r="AL19" i="29"/>
  <c r="H21" i="29"/>
  <c r="Z23" i="29"/>
  <c r="Q8" i="29"/>
  <c r="N9" i="29"/>
  <c r="AL9" i="29"/>
  <c r="K10" i="29"/>
  <c r="AI10" i="29"/>
  <c r="H11" i="29"/>
  <c r="AF11" i="29"/>
  <c r="AC12" i="29"/>
  <c r="Z13" i="29"/>
  <c r="W14" i="29"/>
  <c r="T15" i="29"/>
  <c r="Q16" i="29"/>
  <c r="N17" i="29"/>
  <c r="AL17" i="29"/>
  <c r="K18" i="29"/>
  <c r="AI18" i="29"/>
  <c r="H19" i="29"/>
  <c r="AF19" i="29"/>
  <c r="AC20" i="29"/>
  <c r="Z21" i="29"/>
  <c r="W22" i="29"/>
  <c r="T23" i="29"/>
  <c r="K13" i="29"/>
  <c r="AF14" i="29"/>
  <c r="Q19" i="29"/>
  <c r="AL20" i="29"/>
  <c r="AI21" i="29"/>
  <c r="AF22" i="29"/>
  <c r="K8" i="29"/>
  <c r="AI8" i="29"/>
  <c r="H9" i="29"/>
  <c r="AF9" i="29"/>
  <c r="AC10" i="29"/>
  <c r="Z11" i="29"/>
  <c r="W12" i="29"/>
  <c r="T13" i="29"/>
  <c r="Q14" i="29"/>
  <c r="N15" i="29"/>
  <c r="AL15" i="29"/>
  <c r="K16" i="29"/>
  <c r="AI16" i="29"/>
  <c r="H17" i="29"/>
  <c r="AF17" i="29"/>
  <c r="AC18" i="29"/>
  <c r="Z19" i="29"/>
  <c r="W20" i="29"/>
  <c r="T21" i="29"/>
  <c r="Q22" i="29"/>
  <c r="N23" i="29"/>
  <c r="AL23" i="29"/>
  <c r="H14" i="29"/>
  <c r="AC15" i="29"/>
  <c r="W17" i="29"/>
  <c r="N20" i="29"/>
  <c r="K21" i="29"/>
  <c r="H22" i="29"/>
  <c r="T8" i="29"/>
  <c r="Q9" i="29"/>
  <c r="N10" i="29"/>
  <c r="AL10" i="29"/>
  <c r="K11" i="29"/>
  <c r="AI11" i="29"/>
  <c r="H12" i="29"/>
  <c r="AF12" i="29"/>
  <c r="AC13" i="29"/>
  <c r="Z14" i="29"/>
  <c r="W15" i="29"/>
  <c r="T16" i="29"/>
  <c r="Q17" i="29"/>
  <c r="N18" i="29"/>
  <c r="AL18" i="29"/>
  <c r="K19" i="29"/>
  <c r="AI19" i="29"/>
  <c r="H20" i="29"/>
  <c r="AF20" i="29"/>
  <c r="AC21" i="29"/>
  <c r="Z22" i="29"/>
  <c r="W23" i="29"/>
  <c r="AL12" i="29"/>
  <c r="AI13" i="29"/>
  <c r="Z16" i="29"/>
  <c r="T18" i="29"/>
  <c r="AC23" i="29"/>
  <c r="AC8" i="29"/>
  <c r="Z9" i="29"/>
  <c r="W10" i="29"/>
  <c r="T11" i="29"/>
  <c r="Q12" i="29"/>
  <c r="N13" i="29"/>
  <c r="AL13" i="29"/>
  <c r="K14" i="29"/>
  <c r="AI14" i="29"/>
  <c r="H15" i="29"/>
  <c r="AF15" i="29"/>
  <c r="AC16" i="29"/>
  <c r="Z17" i="29"/>
  <c r="W18" i="29"/>
  <c r="T19" i="29"/>
  <c r="Q20" i="29"/>
  <c r="N21" i="29"/>
  <c r="AL21" i="29"/>
  <c r="K22" i="29"/>
  <c r="AI22" i="29"/>
  <c r="H23" i="29"/>
  <c r="AF23" i="29"/>
  <c r="Q172" i="29"/>
  <c r="Z172" i="29"/>
  <c r="AI172" i="29"/>
  <c r="T172" i="29"/>
  <c r="AC172" i="29"/>
  <c r="N172" i="29"/>
  <c r="K172" i="29"/>
  <c r="W172" i="29"/>
  <c r="H172" i="29"/>
  <c r="AF172" i="29"/>
  <c r="O51" i="28"/>
  <c r="R341" i="28"/>
  <c r="E294" i="16"/>
  <c r="B299" i="15"/>
  <c r="B300" i="15"/>
  <c r="B301" i="15"/>
  <c r="C299" i="15"/>
  <c r="C300" i="15"/>
  <c r="C301" i="15"/>
  <c r="D299" i="15"/>
  <c r="D300" i="15"/>
  <c r="D301" i="15"/>
  <c r="E299" i="15"/>
  <c r="E300" i="15"/>
  <c r="E301" i="15"/>
  <c r="F299" i="15"/>
  <c r="G299" i="15" s="1"/>
  <c r="F300" i="15"/>
  <c r="G300" i="15" s="1"/>
  <c r="F301" i="15"/>
  <c r="G301" i="15" s="1"/>
  <c r="C341" i="28"/>
  <c r="D341" i="28"/>
  <c r="E341" i="28"/>
  <c r="H341" i="28"/>
  <c r="I341" i="28"/>
  <c r="J341" i="28"/>
  <c r="K341" i="28"/>
  <c r="L341" i="28"/>
  <c r="M341" i="28"/>
  <c r="N341" i="28"/>
  <c r="O341" i="28"/>
  <c r="Q341" i="28"/>
  <c r="S341" i="28"/>
  <c r="C342" i="1"/>
  <c r="D342" i="1"/>
  <c r="E342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P341" i="28"/>
  <c r="P52" i="28"/>
  <c r="P157" i="28"/>
  <c r="E296" i="14"/>
  <c r="E297" i="14"/>
  <c r="E298" i="14"/>
  <c r="E299" i="14"/>
  <c r="E300" i="14"/>
  <c r="E301" i="14"/>
  <c r="E302" i="14"/>
  <c r="F296" i="14"/>
  <c r="G296" i="14" s="1"/>
  <c r="F297" i="14"/>
  <c r="G297" i="14" s="1"/>
  <c r="F298" i="14"/>
  <c r="G298" i="14" s="1"/>
  <c r="F299" i="14"/>
  <c r="G299" i="14" s="1"/>
  <c r="F300" i="14"/>
  <c r="G300" i="14" s="1"/>
  <c r="F301" i="14"/>
  <c r="G301" i="14" s="1"/>
  <c r="F302" i="14"/>
  <c r="G302" i="14" s="1"/>
  <c r="E289" i="12"/>
  <c r="E290" i="12"/>
  <c r="E291" i="12"/>
  <c r="E292" i="12"/>
  <c r="E293" i="12"/>
  <c r="E294" i="12"/>
  <c r="E295" i="12"/>
  <c r="F289" i="12"/>
  <c r="G289" i="12" s="1"/>
  <c r="F290" i="12"/>
  <c r="G290" i="12" s="1"/>
  <c r="F291" i="12"/>
  <c r="G291" i="12" s="1"/>
  <c r="F292" i="12"/>
  <c r="G292" i="12" s="1"/>
  <c r="F293" i="12"/>
  <c r="G293" i="12" s="1"/>
  <c r="F294" i="12"/>
  <c r="G294" i="12" s="1"/>
  <c r="F295" i="12"/>
  <c r="G295" i="12" s="1"/>
  <c r="N50" i="28"/>
  <c r="N52" i="28"/>
  <c r="N335" i="28"/>
  <c r="M51" i="28"/>
  <c r="M157" i="28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L49" i="28" s="1"/>
  <c r="O38" i="10"/>
  <c r="L50" i="28" s="1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6" i="10"/>
  <c r="O237" i="10"/>
  <c r="O238" i="10"/>
  <c r="O239" i="10"/>
  <c r="O240" i="10"/>
  <c r="O241" i="10"/>
  <c r="O242" i="10"/>
  <c r="O243" i="10"/>
  <c r="O244" i="10"/>
  <c r="O245" i="10"/>
  <c r="O246" i="10"/>
  <c r="O247" i="10"/>
  <c r="O248" i="10"/>
  <c r="O249" i="10"/>
  <c r="O250" i="10"/>
  <c r="O251" i="10"/>
  <c r="O252" i="10"/>
  <c r="O253" i="10"/>
  <c r="O254" i="10"/>
  <c r="O255" i="10"/>
  <c r="O256" i="10"/>
  <c r="O257" i="10"/>
  <c r="O258" i="10"/>
  <c r="O259" i="10"/>
  <c r="O260" i="10"/>
  <c r="O261" i="10"/>
  <c r="O262" i="10"/>
  <c r="O263" i="10"/>
  <c r="O264" i="10"/>
  <c r="O265" i="10"/>
  <c r="O266" i="10"/>
  <c r="O267" i="10"/>
  <c r="O268" i="10"/>
  <c r="O269" i="10"/>
  <c r="O270" i="10"/>
  <c r="O271" i="10"/>
  <c r="O272" i="10"/>
  <c r="O273" i="10"/>
  <c r="O274" i="10"/>
  <c r="O275" i="10"/>
  <c r="O276" i="10"/>
  <c r="O277" i="10"/>
  <c r="O278" i="10"/>
  <c r="L344" i="28" s="1"/>
  <c r="O279" i="10"/>
  <c r="O280" i="10"/>
  <c r="O281" i="10"/>
  <c r="O282" i="10"/>
  <c r="O283" i="10"/>
  <c r="O284" i="10"/>
  <c r="E282" i="10"/>
  <c r="E283" i="10"/>
  <c r="E284" i="10"/>
  <c r="F282" i="10"/>
  <c r="G282" i="10" s="1"/>
  <c r="F283" i="10"/>
  <c r="G283" i="10" s="1"/>
  <c r="F284" i="10"/>
  <c r="G284" i="10" s="1"/>
  <c r="J6" i="33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K49" i="28" s="1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O200" i="9"/>
  <c r="O201" i="9"/>
  <c r="O202" i="9"/>
  <c r="O203" i="9"/>
  <c r="O204" i="9"/>
  <c r="O205" i="9"/>
  <c r="O206" i="9"/>
  <c r="O207" i="9"/>
  <c r="O208" i="9"/>
  <c r="O209" i="9"/>
  <c r="O210" i="9"/>
  <c r="O211" i="9"/>
  <c r="O212" i="9"/>
  <c r="O213" i="9"/>
  <c r="O214" i="9"/>
  <c r="O215" i="9"/>
  <c r="O216" i="9"/>
  <c r="O217" i="9"/>
  <c r="O218" i="9"/>
  <c r="O219" i="9"/>
  <c r="O220" i="9"/>
  <c r="O221" i="9"/>
  <c r="O222" i="9"/>
  <c r="O223" i="9"/>
  <c r="O224" i="9"/>
  <c r="O225" i="9"/>
  <c r="O226" i="9"/>
  <c r="O227" i="9"/>
  <c r="O228" i="9"/>
  <c r="O229" i="9"/>
  <c r="O230" i="9"/>
  <c r="O231" i="9"/>
  <c r="O232" i="9"/>
  <c r="O233" i="9"/>
  <c r="O234" i="9"/>
  <c r="O235" i="9"/>
  <c r="O236" i="9"/>
  <c r="O237" i="9"/>
  <c r="O238" i="9"/>
  <c r="O239" i="9"/>
  <c r="O240" i="9"/>
  <c r="O241" i="9"/>
  <c r="O242" i="9"/>
  <c r="O243" i="9"/>
  <c r="O244" i="9"/>
  <c r="O245" i="9"/>
  <c r="O246" i="9"/>
  <c r="O247" i="9"/>
  <c r="O248" i="9"/>
  <c r="O249" i="9"/>
  <c r="O250" i="9"/>
  <c r="O251" i="9"/>
  <c r="O252" i="9"/>
  <c r="O253" i="9"/>
  <c r="O254" i="9"/>
  <c r="O255" i="9"/>
  <c r="O256" i="9"/>
  <c r="O257" i="9"/>
  <c r="O258" i="9"/>
  <c r="O259" i="9"/>
  <c r="O260" i="9"/>
  <c r="O261" i="9"/>
  <c r="O262" i="9"/>
  <c r="O263" i="9"/>
  <c r="O264" i="9"/>
  <c r="O265" i="9"/>
  <c r="O266" i="9"/>
  <c r="O267" i="9"/>
  <c r="O268" i="9"/>
  <c r="O269" i="9"/>
  <c r="O270" i="9"/>
  <c r="O271" i="9"/>
  <c r="O272" i="9"/>
  <c r="O273" i="9"/>
  <c r="O274" i="9"/>
  <c r="O275" i="9"/>
  <c r="O276" i="9"/>
  <c r="O277" i="9"/>
  <c r="O278" i="9"/>
  <c r="O279" i="9"/>
  <c r="O280" i="9"/>
  <c r="O281" i="9"/>
  <c r="O282" i="9"/>
  <c r="O283" i="9"/>
  <c r="O284" i="9"/>
  <c r="K356" i="28" s="1"/>
  <c r="O285" i="9"/>
  <c r="E283" i="9"/>
  <c r="E284" i="9"/>
  <c r="E285" i="9"/>
  <c r="F283" i="9"/>
  <c r="G283" i="9" s="1"/>
  <c r="F284" i="9"/>
  <c r="F285" i="9"/>
  <c r="G285" i="9" s="1"/>
  <c r="G284" i="9"/>
  <c r="I6" i="33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J49" i="28" s="1"/>
  <c r="O39" i="8"/>
  <c r="O40" i="8"/>
  <c r="J51" i="28" s="1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J355" i="28" s="1"/>
  <c r="O279" i="8"/>
  <c r="O280" i="8"/>
  <c r="J357" i="28" s="1"/>
  <c r="E275" i="8"/>
  <c r="E276" i="8"/>
  <c r="E277" i="8"/>
  <c r="E278" i="8"/>
  <c r="E279" i="8"/>
  <c r="E280" i="8"/>
  <c r="F275" i="8"/>
  <c r="G275" i="8" s="1"/>
  <c r="F276" i="8"/>
  <c r="G276" i="8" s="1"/>
  <c r="F277" i="8"/>
  <c r="F278" i="8"/>
  <c r="F279" i="8"/>
  <c r="G279" i="8" s="1"/>
  <c r="F280" i="8"/>
  <c r="G280" i="8" s="1"/>
  <c r="G277" i="8"/>
  <c r="G278" i="8"/>
  <c r="G6" i="33"/>
  <c r="E283" i="7"/>
  <c r="E284" i="7"/>
  <c r="E285" i="7"/>
  <c r="E286" i="7"/>
  <c r="E287" i="7"/>
  <c r="E288" i="7"/>
  <c r="E289" i="7"/>
  <c r="E290" i="7"/>
  <c r="E291" i="7"/>
  <c r="E292" i="7"/>
  <c r="E293" i="7"/>
  <c r="F283" i="7"/>
  <c r="G283" i="7" s="1"/>
  <c r="F284" i="7"/>
  <c r="G284" i="7" s="1"/>
  <c r="F285" i="7"/>
  <c r="G285" i="7" s="1"/>
  <c r="F286" i="7"/>
  <c r="G286" i="7" s="1"/>
  <c r="F287" i="7"/>
  <c r="F288" i="7"/>
  <c r="F289" i="7"/>
  <c r="F290" i="7"/>
  <c r="F291" i="7"/>
  <c r="G291" i="7" s="1"/>
  <c r="F292" i="7"/>
  <c r="G292" i="7" s="1"/>
  <c r="F293" i="7"/>
  <c r="G293" i="7" s="1"/>
  <c r="G287" i="7"/>
  <c r="G288" i="7"/>
  <c r="G289" i="7"/>
  <c r="G290" i="7"/>
  <c r="O283" i="7"/>
  <c r="O284" i="7"/>
  <c r="O285" i="7"/>
  <c r="O286" i="7"/>
  <c r="O287" i="7"/>
  <c r="O288" i="7"/>
  <c r="O289" i="7"/>
  <c r="O290" i="7"/>
  <c r="O291" i="7"/>
  <c r="O292" i="7"/>
  <c r="O293" i="7"/>
  <c r="E272" i="7"/>
  <c r="E273" i="7"/>
  <c r="E274" i="7"/>
  <c r="E275" i="7"/>
  <c r="E276" i="7"/>
  <c r="E277" i="7"/>
  <c r="E278" i="7"/>
  <c r="E279" i="7"/>
  <c r="E280" i="7"/>
  <c r="E281" i="7"/>
  <c r="E282" i="7"/>
  <c r="F272" i="7"/>
  <c r="G272" i="7" s="1"/>
  <c r="F273" i="7"/>
  <c r="G273" i="7" s="1"/>
  <c r="F274" i="7"/>
  <c r="G274" i="7" s="1"/>
  <c r="F275" i="7"/>
  <c r="G275" i="7" s="1"/>
  <c r="F276" i="7"/>
  <c r="G276" i="7" s="1"/>
  <c r="F277" i="7"/>
  <c r="G277" i="7" s="1"/>
  <c r="F278" i="7"/>
  <c r="G278" i="7" s="1"/>
  <c r="F279" i="7"/>
  <c r="G279" i="7" s="1"/>
  <c r="F280" i="7"/>
  <c r="G280" i="7" s="1"/>
  <c r="F281" i="7"/>
  <c r="G281" i="7" s="1"/>
  <c r="F282" i="7"/>
  <c r="G282" i="7" s="1"/>
  <c r="O272" i="7"/>
  <c r="O273" i="7"/>
  <c r="O274" i="7"/>
  <c r="O275" i="7"/>
  <c r="O276" i="7"/>
  <c r="O277" i="7"/>
  <c r="O278" i="7"/>
  <c r="O279" i="7"/>
  <c r="I349" i="28" s="1"/>
  <c r="O280" i="7"/>
  <c r="I355" i="28" s="1"/>
  <c r="O281" i="7"/>
  <c r="I356" i="28" s="1"/>
  <c r="O282" i="7"/>
  <c r="I357" i="28" s="1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I47" i="28" s="1"/>
  <c r="O37" i="7"/>
  <c r="I48" i="28" s="1"/>
  <c r="O38" i="7"/>
  <c r="O39" i="7"/>
  <c r="I50" i="28" s="1"/>
  <c r="O40" i="7"/>
  <c r="O41" i="7"/>
  <c r="I52" i="28" s="1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I157" i="28" s="1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8" i="7"/>
  <c r="O169" i="7"/>
  <c r="O170" i="7"/>
  <c r="O171" i="7"/>
  <c r="O172" i="7"/>
  <c r="O173" i="7"/>
  <c r="O174" i="7"/>
  <c r="O175" i="7"/>
  <c r="O176" i="7"/>
  <c r="O177" i="7"/>
  <c r="O178" i="7"/>
  <c r="O179" i="7"/>
  <c r="O180" i="7"/>
  <c r="O181" i="7"/>
  <c r="O182" i="7"/>
  <c r="O183" i="7"/>
  <c r="O184" i="7"/>
  <c r="O185" i="7"/>
  <c r="O186" i="7"/>
  <c r="O187" i="7"/>
  <c r="O188" i="7"/>
  <c r="O189" i="7"/>
  <c r="O190" i="7"/>
  <c r="O191" i="7"/>
  <c r="O192" i="7"/>
  <c r="O193" i="7"/>
  <c r="O194" i="7"/>
  <c r="O195" i="7"/>
  <c r="O196" i="7"/>
  <c r="O197" i="7"/>
  <c r="O198" i="7"/>
  <c r="O199" i="7"/>
  <c r="O200" i="7"/>
  <c r="O201" i="7"/>
  <c r="O202" i="7"/>
  <c r="O203" i="7"/>
  <c r="O204" i="7"/>
  <c r="O205" i="7"/>
  <c r="O206" i="7"/>
  <c r="O207" i="7"/>
  <c r="O208" i="7"/>
  <c r="O209" i="7"/>
  <c r="O210" i="7"/>
  <c r="O211" i="7"/>
  <c r="O212" i="7"/>
  <c r="O213" i="7"/>
  <c r="O214" i="7"/>
  <c r="O215" i="7"/>
  <c r="O216" i="7"/>
  <c r="O217" i="7"/>
  <c r="O218" i="7"/>
  <c r="O219" i="7"/>
  <c r="O220" i="7"/>
  <c r="O221" i="7"/>
  <c r="O222" i="7"/>
  <c r="O223" i="7"/>
  <c r="O224" i="7"/>
  <c r="O225" i="7"/>
  <c r="O226" i="7"/>
  <c r="O227" i="7"/>
  <c r="O228" i="7"/>
  <c r="O229" i="7"/>
  <c r="O230" i="7"/>
  <c r="O231" i="7"/>
  <c r="O232" i="7"/>
  <c r="O233" i="7"/>
  <c r="O234" i="7"/>
  <c r="O235" i="7"/>
  <c r="O236" i="7"/>
  <c r="O237" i="7"/>
  <c r="O238" i="7"/>
  <c r="O239" i="7"/>
  <c r="O240" i="7"/>
  <c r="O241" i="7"/>
  <c r="O242" i="7"/>
  <c r="O243" i="7"/>
  <c r="O244" i="7"/>
  <c r="O245" i="7"/>
  <c r="O246" i="7"/>
  <c r="O247" i="7"/>
  <c r="O248" i="7"/>
  <c r="O249" i="7"/>
  <c r="O250" i="7"/>
  <c r="O251" i="7"/>
  <c r="O252" i="7"/>
  <c r="O253" i="7"/>
  <c r="O254" i="7"/>
  <c r="O255" i="7"/>
  <c r="O256" i="7"/>
  <c r="O257" i="7"/>
  <c r="O258" i="7"/>
  <c r="O259" i="7"/>
  <c r="O260" i="7"/>
  <c r="O261" i="7"/>
  <c r="O262" i="7"/>
  <c r="O263" i="7"/>
  <c r="O264" i="7"/>
  <c r="O265" i="7"/>
  <c r="O266" i="7"/>
  <c r="O267" i="7"/>
  <c r="O268" i="7"/>
  <c r="O269" i="7"/>
  <c r="O270" i="7"/>
  <c r="O271" i="7"/>
  <c r="O272" i="2"/>
  <c r="O271" i="2"/>
  <c r="O270" i="2"/>
  <c r="O269" i="2"/>
  <c r="O268" i="2"/>
  <c r="H337" i="28" s="1"/>
  <c r="O267" i="2"/>
  <c r="H335" i="28" s="1"/>
  <c r="O266" i="2"/>
  <c r="H333" i="28" s="1"/>
  <c r="O265" i="2"/>
  <c r="O264" i="2"/>
  <c r="O263" i="2"/>
  <c r="O262" i="2"/>
  <c r="O261" i="2"/>
  <c r="O260" i="2"/>
  <c r="O259" i="2"/>
  <c r="O258" i="2"/>
  <c r="O257" i="2"/>
  <c r="O256" i="2"/>
  <c r="O255" i="2"/>
  <c r="O254" i="2"/>
  <c r="O253" i="2"/>
  <c r="O252" i="2"/>
  <c r="O251" i="2"/>
  <c r="O250" i="2"/>
  <c r="O249" i="2"/>
  <c r="O248" i="2"/>
  <c r="O247" i="2"/>
  <c r="O246" i="2"/>
  <c r="O245" i="2"/>
  <c r="O244" i="2"/>
  <c r="O243" i="2"/>
  <c r="O242" i="2"/>
  <c r="O241" i="2"/>
  <c r="O240" i="2"/>
  <c r="O239" i="2"/>
  <c r="O238" i="2"/>
  <c r="O237" i="2"/>
  <c r="O236" i="2"/>
  <c r="O235" i="2"/>
  <c r="O234" i="2"/>
  <c r="O233" i="2"/>
  <c r="O232" i="2"/>
  <c r="O231" i="2"/>
  <c r="O230" i="2"/>
  <c r="O229" i="2"/>
  <c r="O228" i="2"/>
  <c r="O227" i="2"/>
  <c r="O226" i="2"/>
  <c r="O225" i="2"/>
  <c r="O224" i="2"/>
  <c r="O223" i="2"/>
  <c r="O222" i="2"/>
  <c r="O221" i="2"/>
  <c r="O220" i="2"/>
  <c r="O219" i="2"/>
  <c r="O218" i="2"/>
  <c r="O217" i="2"/>
  <c r="O216" i="2"/>
  <c r="O215" i="2"/>
  <c r="O214" i="2"/>
  <c r="O213" i="2"/>
  <c r="O212" i="2"/>
  <c r="O211" i="2"/>
  <c r="O210" i="2"/>
  <c r="O209" i="2"/>
  <c r="O208" i="2"/>
  <c r="O207" i="2"/>
  <c r="O206" i="2"/>
  <c r="O205" i="2"/>
  <c r="O204" i="2"/>
  <c r="O203" i="2"/>
  <c r="O202" i="2"/>
  <c r="O201" i="2"/>
  <c r="O200" i="2"/>
  <c r="O199" i="2"/>
  <c r="O198" i="2"/>
  <c r="O197" i="2"/>
  <c r="O196" i="2"/>
  <c r="O195" i="2"/>
  <c r="O194" i="2"/>
  <c r="O193" i="2"/>
  <c r="O192" i="2"/>
  <c r="O191" i="2"/>
  <c r="O190" i="2"/>
  <c r="O189" i="2"/>
  <c r="O188" i="2"/>
  <c r="O187" i="2"/>
  <c r="O186" i="2"/>
  <c r="O185" i="2"/>
  <c r="O184" i="2"/>
  <c r="O183" i="2"/>
  <c r="O182" i="2"/>
  <c r="O181" i="2"/>
  <c r="O180" i="2"/>
  <c r="O179" i="2"/>
  <c r="O178" i="2"/>
  <c r="O177" i="2"/>
  <c r="O176" i="2"/>
  <c r="O175" i="2"/>
  <c r="O174" i="2"/>
  <c r="O173" i="2"/>
  <c r="O172" i="2"/>
  <c r="O171" i="2"/>
  <c r="O170" i="2"/>
  <c r="O169" i="2"/>
  <c r="O168" i="2"/>
  <c r="O167" i="2"/>
  <c r="O166" i="2"/>
  <c r="O165" i="2"/>
  <c r="O164" i="2"/>
  <c r="O163" i="2"/>
  <c r="O162" i="2"/>
  <c r="O161" i="2"/>
  <c r="O160" i="2"/>
  <c r="O159" i="2"/>
  <c r="O158" i="2"/>
  <c r="O157" i="2"/>
  <c r="O156" i="2"/>
  <c r="O155" i="2"/>
  <c r="O154" i="2"/>
  <c r="O153" i="2"/>
  <c r="O152" i="2"/>
  <c r="O151" i="2"/>
  <c r="O150" i="2"/>
  <c r="O149" i="2"/>
  <c r="O148" i="2"/>
  <c r="O147" i="2"/>
  <c r="O146" i="2"/>
  <c r="O145" i="2"/>
  <c r="O144" i="2"/>
  <c r="H157" i="28" s="1"/>
  <c r="O143" i="2"/>
  <c r="O142" i="2"/>
  <c r="O141" i="2"/>
  <c r="O140" i="2"/>
  <c r="O139" i="2"/>
  <c r="O138" i="2"/>
  <c r="O137" i="2"/>
  <c r="O136" i="2"/>
  <c r="O135" i="2"/>
  <c r="O134" i="2"/>
  <c r="O133" i="2"/>
  <c r="O132" i="2"/>
  <c r="O131" i="2"/>
  <c r="O130" i="2"/>
  <c r="O129" i="2"/>
  <c r="O128" i="2"/>
  <c r="O127" i="2"/>
  <c r="O126" i="2"/>
  <c r="O125" i="2"/>
  <c r="O124" i="2"/>
  <c r="O123" i="2"/>
  <c r="O122" i="2"/>
  <c r="O121" i="2"/>
  <c r="O120" i="2"/>
  <c r="O119" i="2"/>
  <c r="O118" i="2"/>
  <c r="O117" i="2"/>
  <c r="O116" i="2"/>
  <c r="O115" i="2"/>
  <c r="O114" i="2"/>
  <c r="O113" i="2"/>
  <c r="O112" i="2"/>
  <c r="O111" i="2"/>
  <c r="O110" i="2"/>
  <c r="O109" i="2"/>
  <c r="O108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H52" i="28" s="1"/>
  <c r="O40" i="2"/>
  <c r="H51" i="28" s="1"/>
  <c r="O39" i="2"/>
  <c r="H50" i="28" s="1"/>
  <c r="O38" i="2"/>
  <c r="H49" i="28" s="1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C157" i="28"/>
  <c r="D157" i="28"/>
  <c r="E157" i="28"/>
  <c r="J157" i="28"/>
  <c r="K157" i="28"/>
  <c r="L157" i="28"/>
  <c r="N157" i="28"/>
  <c r="O157" i="28"/>
  <c r="Q157" i="28"/>
  <c r="R157" i="28"/>
  <c r="S157" i="28"/>
  <c r="C157" i="1"/>
  <c r="D157" i="1"/>
  <c r="E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C51" i="28"/>
  <c r="D51" i="28"/>
  <c r="E51" i="28"/>
  <c r="I51" i="28"/>
  <c r="K51" i="28"/>
  <c r="L51" i="28"/>
  <c r="N51" i="28"/>
  <c r="P51" i="28"/>
  <c r="Q51" i="28"/>
  <c r="R51" i="28"/>
  <c r="S51" i="28"/>
  <c r="C52" i="28"/>
  <c r="D52" i="28"/>
  <c r="E52" i="28"/>
  <c r="J52" i="28"/>
  <c r="K52" i="28"/>
  <c r="L52" i="28"/>
  <c r="M52" i="28"/>
  <c r="O52" i="28"/>
  <c r="Q52" i="28"/>
  <c r="R52" i="28"/>
  <c r="S52" i="28"/>
  <c r="C51" i="1"/>
  <c r="D51" i="1"/>
  <c r="E51" i="1"/>
  <c r="H51" i="1"/>
  <c r="I51" i="1"/>
  <c r="J51" i="1"/>
  <c r="K51" i="1"/>
  <c r="L51" i="1"/>
  <c r="M51" i="1"/>
  <c r="N51" i="1"/>
  <c r="O51" i="1"/>
  <c r="P51" i="1"/>
  <c r="Q51" i="1"/>
  <c r="R51" i="1"/>
  <c r="S51" i="1"/>
  <c r="C52" i="1"/>
  <c r="D52" i="1"/>
  <c r="E52" i="1"/>
  <c r="H52" i="1"/>
  <c r="I52" i="1"/>
  <c r="J52" i="1"/>
  <c r="K52" i="1"/>
  <c r="L52" i="1"/>
  <c r="M52" i="1"/>
  <c r="N52" i="1"/>
  <c r="O52" i="1"/>
  <c r="P52" i="1"/>
  <c r="Q52" i="1"/>
  <c r="R52" i="1"/>
  <c r="S52" i="1"/>
  <c r="D32" i="18"/>
  <c r="C36" i="1"/>
  <c r="D36" i="1"/>
  <c r="E36" i="1"/>
  <c r="H36" i="1"/>
  <c r="I36" i="1"/>
  <c r="J36" i="1"/>
  <c r="K36" i="1"/>
  <c r="L36" i="1"/>
  <c r="M36" i="1"/>
  <c r="N36" i="1"/>
  <c r="O36" i="1"/>
  <c r="P36" i="1"/>
  <c r="Q36" i="1"/>
  <c r="R36" i="1"/>
  <c r="S36" i="1"/>
  <c r="C37" i="1"/>
  <c r="D37" i="1"/>
  <c r="E37" i="1"/>
  <c r="H37" i="1"/>
  <c r="I37" i="1"/>
  <c r="J37" i="1"/>
  <c r="K37" i="1"/>
  <c r="L37" i="1"/>
  <c r="M37" i="1"/>
  <c r="N37" i="1"/>
  <c r="O37" i="1"/>
  <c r="P37" i="1"/>
  <c r="Q37" i="1"/>
  <c r="R37" i="1"/>
  <c r="S37" i="1"/>
  <c r="C36" i="28"/>
  <c r="D36" i="28"/>
  <c r="E36" i="28"/>
  <c r="H36" i="28"/>
  <c r="I36" i="28"/>
  <c r="K36" i="28"/>
  <c r="L36" i="28"/>
  <c r="M36" i="28"/>
  <c r="N36" i="28"/>
  <c r="O36" i="28"/>
  <c r="P36" i="28"/>
  <c r="Q36" i="28"/>
  <c r="C37" i="28"/>
  <c r="D37" i="28"/>
  <c r="E37" i="28"/>
  <c r="H37" i="28"/>
  <c r="I37" i="28"/>
  <c r="K37" i="28"/>
  <c r="L37" i="28"/>
  <c r="M37" i="28"/>
  <c r="N37" i="28"/>
  <c r="O37" i="28"/>
  <c r="P37" i="28"/>
  <c r="Q37" i="28"/>
  <c r="C45" i="1"/>
  <c r="D45" i="1"/>
  <c r="E45" i="1"/>
  <c r="H45" i="1"/>
  <c r="I45" i="1"/>
  <c r="J45" i="1"/>
  <c r="K45" i="1"/>
  <c r="L45" i="1"/>
  <c r="M45" i="1"/>
  <c r="N45" i="1"/>
  <c r="O45" i="1"/>
  <c r="P45" i="1"/>
  <c r="Q45" i="1"/>
  <c r="R45" i="1"/>
  <c r="S45" i="1"/>
  <c r="C45" i="28"/>
  <c r="D45" i="28"/>
  <c r="E45" i="28"/>
  <c r="H45" i="28"/>
  <c r="I45" i="28"/>
  <c r="K45" i="28"/>
  <c r="L45" i="28"/>
  <c r="M45" i="28"/>
  <c r="N45" i="28"/>
  <c r="O45" i="28"/>
  <c r="P45" i="28"/>
  <c r="C176" i="1"/>
  <c r="D176" i="1"/>
  <c r="E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C177" i="1"/>
  <c r="D177" i="1"/>
  <c r="E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C176" i="28"/>
  <c r="D176" i="28"/>
  <c r="E176" i="28"/>
  <c r="H176" i="28"/>
  <c r="I176" i="28"/>
  <c r="K176" i="28"/>
  <c r="L176" i="28"/>
  <c r="C177" i="28"/>
  <c r="D177" i="28"/>
  <c r="E177" i="28"/>
  <c r="H177" i="28"/>
  <c r="I177" i="28"/>
  <c r="K177" i="28"/>
  <c r="L177" i="28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F275" i="12"/>
  <c r="G275" i="12" s="1"/>
  <c r="F276" i="12"/>
  <c r="G276" i="12" s="1"/>
  <c r="F277" i="12"/>
  <c r="G277" i="12" s="1"/>
  <c r="F278" i="12"/>
  <c r="G278" i="12" s="1"/>
  <c r="F279" i="12"/>
  <c r="G279" i="12" s="1"/>
  <c r="F280" i="12"/>
  <c r="G280" i="12" s="1"/>
  <c r="F281" i="12"/>
  <c r="G281" i="12" s="1"/>
  <c r="F282" i="12"/>
  <c r="G282" i="12" s="1"/>
  <c r="F283" i="12"/>
  <c r="G283" i="12" s="1"/>
  <c r="F284" i="12"/>
  <c r="G284" i="12" s="1"/>
  <c r="F285" i="12"/>
  <c r="G285" i="12" s="1"/>
  <c r="F286" i="12"/>
  <c r="G286" i="12" s="1"/>
  <c r="F287" i="12"/>
  <c r="G287" i="12" s="1"/>
  <c r="F288" i="12"/>
  <c r="G288" i="12" s="1"/>
  <c r="E281" i="11"/>
  <c r="E282" i="11"/>
  <c r="E283" i="11"/>
  <c r="E284" i="11"/>
  <c r="E285" i="11"/>
  <c r="E286" i="11"/>
  <c r="E287" i="11"/>
  <c r="E288" i="11"/>
  <c r="F281" i="11"/>
  <c r="F282" i="11"/>
  <c r="G282" i="11" s="1"/>
  <c r="F283" i="11"/>
  <c r="G283" i="11" s="1"/>
  <c r="F284" i="11"/>
  <c r="G284" i="11" s="1"/>
  <c r="F285" i="11"/>
  <c r="G285" i="11" s="1"/>
  <c r="F286" i="11"/>
  <c r="G286" i="11" s="1"/>
  <c r="F287" i="11"/>
  <c r="G287" i="11" s="1"/>
  <c r="F288" i="11"/>
  <c r="G288" i="11" s="1"/>
  <c r="G281" i="11"/>
  <c r="E276" i="10"/>
  <c r="E277" i="10"/>
  <c r="E278" i="10"/>
  <c r="E279" i="10"/>
  <c r="E280" i="10"/>
  <c r="E281" i="10"/>
  <c r="F276" i="10"/>
  <c r="G276" i="10" s="1"/>
  <c r="F277" i="10"/>
  <c r="G277" i="10" s="1"/>
  <c r="F278" i="10"/>
  <c r="G278" i="10" s="1"/>
  <c r="F279" i="10"/>
  <c r="G279" i="10" s="1"/>
  <c r="F280" i="10"/>
  <c r="G280" i="10" s="1"/>
  <c r="F281" i="10"/>
  <c r="G281" i="10" s="1"/>
  <c r="E275" i="11"/>
  <c r="E276" i="11"/>
  <c r="E277" i="11"/>
  <c r="E278" i="11"/>
  <c r="E279" i="11"/>
  <c r="E280" i="11"/>
  <c r="F275" i="11"/>
  <c r="G275" i="11" s="1"/>
  <c r="F276" i="11"/>
  <c r="G276" i="11" s="1"/>
  <c r="F277" i="11"/>
  <c r="G277" i="11" s="1"/>
  <c r="F278" i="11"/>
  <c r="G278" i="11" s="1"/>
  <c r="F279" i="11"/>
  <c r="G279" i="11" s="1"/>
  <c r="F280" i="11"/>
  <c r="G280" i="11" s="1"/>
  <c r="C155" i="1"/>
  <c r="D155" i="1"/>
  <c r="E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C155" i="28"/>
  <c r="D155" i="28"/>
  <c r="E155" i="28"/>
  <c r="H155" i="28"/>
  <c r="I155" i="28"/>
  <c r="K155" i="28"/>
  <c r="L155" i="28"/>
  <c r="C48" i="1"/>
  <c r="D48" i="1"/>
  <c r="E48" i="1"/>
  <c r="H48" i="1"/>
  <c r="I48" i="1"/>
  <c r="J48" i="1"/>
  <c r="K48" i="1"/>
  <c r="L48" i="1"/>
  <c r="M48" i="1"/>
  <c r="N48" i="1"/>
  <c r="O48" i="1"/>
  <c r="P48" i="1"/>
  <c r="Q48" i="1"/>
  <c r="R48" i="1"/>
  <c r="S48" i="1"/>
  <c r="C49" i="1"/>
  <c r="D49" i="1"/>
  <c r="E49" i="1"/>
  <c r="H49" i="1"/>
  <c r="I49" i="1"/>
  <c r="J49" i="1"/>
  <c r="K49" i="1"/>
  <c r="L49" i="1"/>
  <c r="M49" i="1"/>
  <c r="N49" i="1"/>
  <c r="O49" i="1"/>
  <c r="P49" i="1"/>
  <c r="Q49" i="1"/>
  <c r="R49" i="1"/>
  <c r="S49" i="1"/>
  <c r="C50" i="1"/>
  <c r="D50" i="1"/>
  <c r="E50" i="1"/>
  <c r="H50" i="1"/>
  <c r="I50" i="1"/>
  <c r="J50" i="1"/>
  <c r="K50" i="1"/>
  <c r="L50" i="1"/>
  <c r="M50" i="1"/>
  <c r="N50" i="1"/>
  <c r="O50" i="1"/>
  <c r="P50" i="1"/>
  <c r="Q50" i="1"/>
  <c r="R50" i="1"/>
  <c r="S50" i="1"/>
  <c r="C48" i="28"/>
  <c r="D48" i="28"/>
  <c r="E48" i="28"/>
  <c r="H48" i="28"/>
  <c r="C49" i="28"/>
  <c r="D49" i="28"/>
  <c r="E49" i="28"/>
  <c r="I49" i="28"/>
  <c r="C50" i="28"/>
  <c r="D50" i="28"/>
  <c r="E50" i="28"/>
  <c r="E277" i="9"/>
  <c r="E278" i="9"/>
  <c r="E279" i="9"/>
  <c r="E280" i="9"/>
  <c r="E281" i="9"/>
  <c r="E282" i="9"/>
  <c r="F277" i="9"/>
  <c r="G277" i="9" s="1"/>
  <c r="F278" i="9"/>
  <c r="G278" i="9" s="1"/>
  <c r="F279" i="9"/>
  <c r="G279" i="9" s="1"/>
  <c r="F280" i="9"/>
  <c r="G280" i="9" s="1"/>
  <c r="F281" i="9"/>
  <c r="G281" i="9" s="1"/>
  <c r="F282" i="9"/>
  <c r="G282" i="9" s="1"/>
  <c r="K355" i="28"/>
  <c r="E273" i="8"/>
  <c r="E274" i="8"/>
  <c r="F273" i="8"/>
  <c r="G273" i="8" s="1"/>
  <c r="F274" i="8"/>
  <c r="G274" i="8" s="1"/>
  <c r="C284" i="1"/>
  <c r="D284" i="1"/>
  <c r="E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C284" i="28"/>
  <c r="D284" i="28"/>
  <c r="E284" i="28"/>
  <c r="B289" i="2"/>
  <c r="D289" i="2"/>
  <c r="C289" i="2"/>
  <c r="C47" i="28"/>
  <c r="D47" i="28"/>
  <c r="E47" i="28"/>
  <c r="L47" i="28"/>
  <c r="D146" i="18"/>
  <c r="C47" i="1"/>
  <c r="B34" i="11" s="1"/>
  <c r="D47" i="1"/>
  <c r="E47" i="1"/>
  <c r="H47" i="1"/>
  <c r="I47" i="1"/>
  <c r="J47" i="1"/>
  <c r="K47" i="1"/>
  <c r="L47" i="1"/>
  <c r="M47" i="1"/>
  <c r="N47" i="1"/>
  <c r="O47" i="1"/>
  <c r="P47" i="1"/>
  <c r="Q47" i="1"/>
  <c r="R47" i="1"/>
  <c r="S47" i="1"/>
  <c r="E270" i="12"/>
  <c r="E271" i="12"/>
  <c r="E272" i="12"/>
  <c r="E273" i="12"/>
  <c r="E274" i="12"/>
  <c r="F270" i="12"/>
  <c r="G270" i="12" s="1"/>
  <c r="F271" i="12"/>
  <c r="G271" i="12" s="1"/>
  <c r="F272" i="12"/>
  <c r="G272" i="12" s="1"/>
  <c r="F273" i="12"/>
  <c r="G273" i="12" s="1"/>
  <c r="F274" i="12"/>
  <c r="G274" i="12" s="1"/>
  <c r="N353" i="28"/>
  <c r="N357" i="28"/>
  <c r="E270" i="11"/>
  <c r="E271" i="11"/>
  <c r="E272" i="11"/>
  <c r="E273" i="11"/>
  <c r="E274" i="11"/>
  <c r="F270" i="11"/>
  <c r="G270" i="11" s="1"/>
  <c r="F271" i="11"/>
  <c r="G271" i="11" s="1"/>
  <c r="F272" i="11"/>
  <c r="G272" i="11" s="1"/>
  <c r="F273" i="11"/>
  <c r="G273" i="11" s="1"/>
  <c r="F274" i="11"/>
  <c r="G274" i="11" s="1"/>
  <c r="E271" i="10"/>
  <c r="E272" i="10"/>
  <c r="E273" i="10"/>
  <c r="E274" i="10"/>
  <c r="E275" i="10"/>
  <c r="F271" i="10"/>
  <c r="G271" i="10" s="1"/>
  <c r="F272" i="10"/>
  <c r="G272" i="10" s="1"/>
  <c r="F273" i="10"/>
  <c r="G273" i="10" s="1"/>
  <c r="F274" i="10"/>
  <c r="G274" i="10" s="1"/>
  <c r="F275" i="10"/>
  <c r="G275" i="10" s="1"/>
  <c r="L350" i="28"/>
  <c r="L353" i="28"/>
  <c r="L356" i="28"/>
  <c r="E271" i="9"/>
  <c r="E272" i="9"/>
  <c r="E273" i="9"/>
  <c r="E274" i="9"/>
  <c r="E275" i="9"/>
  <c r="E276" i="9"/>
  <c r="F271" i="9"/>
  <c r="G271" i="9" s="1"/>
  <c r="F272" i="9"/>
  <c r="G272" i="9" s="1"/>
  <c r="F273" i="9"/>
  <c r="G273" i="9" s="1"/>
  <c r="F274" i="9"/>
  <c r="G274" i="9" s="1"/>
  <c r="F275" i="9"/>
  <c r="G275" i="9" s="1"/>
  <c r="F276" i="9"/>
  <c r="G276" i="9" s="1"/>
  <c r="K350" i="28"/>
  <c r="K353" i="28"/>
  <c r="E268" i="8"/>
  <c r="E269" i="8"/>
  <c r="E270" i="8"/>
  <c r="E271" i="8"/>
  <c r="E272" i="8"/>
  <c r="F268" i="8"/>
  <c r="G268" i="8" s="1"/>
  <c r="F269" i="8"/>
  <c r="G269" i="8" s="1"/>
  <c r="F270" i="8"/>
  <c r="G270" i="8" s="1"/>
  <c r="F271" i="8"/>
  <c r="G271" i="8" s="1"/>
  <c r="F272" i="8"/>
  <c r="G272" i="8" s="1"/>
  <c r="J348" i="28"/>
  <c r="J356" i="28"/>
  <c r="E269" i="7"/>
  <c r="E270" i="7"/>
  <c r="E271" i="7"/>
  <c r="F269" i="7"/>
  <c r="G269" i="7" s="1"/>
  <c r="F270" i="7"/>
  <c r="G270" i="7" s="1"/>
  <c r="F271" i="7"/>
  <c r="G271" i="7" s="1"/>
  <c r="C353" i="28"/>
  <c r="C354" i="28"/>
  <c r="C355" i="28"/>
  <c r="C356" i="28"/>
  <c r="C357" i="28"/>
  <c r="D353" i="28"/>
  <c r="D354" i="28"/>
  <c r="D355" i="28"/>
  <c r="D356" i="28"/>
  <c r="D357" i="28"/>
  <c r="E353" i="28"/>
  <c r="E354" i="28"/>
  <c r="E355" i="28"/>
  <c r="E356" i="28"/>
  <c r="E357" i="28"/>
  <c r="I353" i="28"/>
  <c r="I354" i="28"/>
  <c r="J353" i="28"/>
  <c r="J354" i="28"/>
  <c r="K354" i="28"/>
  <c r="L354" i="28"/>
  <c r="L357" i="28"/>
  <c r="M353" i="28"/>
  <c r="M354" i="28"/>
  <c r="M355" i="28"/>
  <c r="N354" i="28"/>
  <c r="O354" i="28"/>
  <c r="P354" i="28"/>
  <c r="Q354" i="28"/>
  <c r="R354" i="28"/>
  <c r="C355" i="1"/>
  <c r="C356" i="1"/>
  <c r="B283" i="10" s="1"/>
  <c r="C357" i="1"/>
  <c r="B284" i="10" s="1"/>
  <c r="D355" i="1"/>
  <c r="D300" i="14" s="1"/>
  <c r="D356" i="1"/>
  <c r="D301" i="14" s="1"/>
  <c r="D357" i="1"/>
  <c r="D302" i="14" s="1"/>
  <c r="E355" i="1"/>
  <c r="E356" i="1"/>
  <c r="E357" i="1"/>
  <c r="H355" i="1"/>
  <c r="H356" i="1"/>
  <c r="H357" i="1"/>
  <c r="I355" i="1"/>
  <c r="I356" i="1"/>
  <c r="I357" i="1"/>
  <c r="J355" i="1"/>
  <c r="J356" i="1"/>
  <c r="J357" i="1"/>
  <c r="K355" i="1"/>
  <c r="K356" i="1"/>
  <c r="K357" i="1"/>
  <c r="L355" i="1"/>
  <c r="L356" i="1"/>
  <c r="L357" i="1"/>
  <c r="M355" i="1"/>
  <c r="M356" i="1"/>
  <c r="M357" i="1"/>
  <c r="N355" i="1"/>
  <c r="N356" i="1"/>
  <c r="N357" i="1"/>
  <c r="O355" i="1"/>
  <c r="O356" i="1"/>
  <c r="O357" i="1"/>
  <c r="P355" i="1"/>
  <c r="P356" i="1"/>
  <c r="P357" i="1"/>
  <c r="Q355" i="1"/>
  <c r="Q356" i="1"/>
  <c r="Q357" i="1"/>
  <c r="R355" i="1"/>
  <c r="R356" i="1"/>
  <c r="R357" i="1"/>
  <c r="S355" i="1"/>
  <c r="S356" i="1"/>
  <c r="S357" i="1"/>
  <c r="C351" i="1"/>
  <c r="D351" i="1"/>
  <c r="E351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C352" i="1"/>
  <c r="D352" i="1"/>
  <c r="E352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H353" i="28"/>
  <c r="H354" i="28"/>
  <c r="H327" i="28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H350" i="28" s="1"/>
  <c r="O287" i="2"/>
  <c r="O288" i="2"/>
  <c r="O289" i="2"/>
  <c r="O290" i="2"/>
  <c r="O291" i="2"/>
  <c r="F6" i="33"/>
  <c r="C41" i="28"/>
  <c r="D41" i="28"/>
  <c r="E41" i="28"/>
  <c r="I41" i="28"/>
  <c r="J41" i="28"/>
  <c r="K41" i="28"/>
  <c r="L41" i="28"/>
  <c r="M41" i="28"/>
  <c r="N41" i="28"/>
  <c r="O41" i="28"/>
  <c r="P41" i="28"/>
  <c r="Q41" i="28"/>
  <c r="R41" i="28"/>
  <c r="C42" i="28"/>
  <c r="D42" i="28"/>
  <c r="E42" i="28"/>
  <c r="I42" i="28"/>
  <c r="K42" i="28"/>
  <c r="L42" i="28"/>
  <c r="M42" i="28"/>
  <c r="N42" i="28"/>
  <c r="O42" i="28"/>
  <c r="P42" i="28"/>
  <c r="C42" i="1"/>
  <c r="D42" i="1"/>
  <c r="E42" i="1"/>
  <c r="H42" i="1"/>
  <c r="I42" i="1"/>
  <c r="J42" i="1"/>
  <c r="K42" i="1"/>
  <c r="L42" i="1"/>
  <c r="M42" i="1"/>
  <c r="N42" i="1"/>
  <c r="O42" i="1"/>
  <c r="P42" i="1"/>
  <c r="Q42" i="1"/>
  <c r="R42" i="1"/>
  <c r="S42" i="1"/>
  <c r="C41" i="1"/>
  <c r="D41" i="1"/>
  <c r="E41" i="1"/>
  <c r="H41" i="1"/>
  <c r="I41" i="1"/>
  <c r="J41" i="1"/>
  <c r="K41" i="1"/>
  <c r="L41" i="1"/>
  <c r="M41" i="1"/>
  <c r="N41" i="1"/>
  <c r="O41" i="1"/>
  <c r="P41" i="1"/>
  <c r="Q41" i="1"/>
  <c r="R41" i="1"/>
  <c r="S41" i="1"/>
  <c r="C32" i="28"/>
  <c r="D32" i="28"/>
  <c r="E32" i="28"/>
  <c r="H32" i="28"/>
  <c r="I32" i="28"/>
  <c r="K32" i="28"/>
  <c r="L32" i="28"/>
  <c r="M32" i="28"/>
  <c r="N32" i="28"/>
  <c r="O32" i="28"/>
  <c r="P32" i="28"/>
  <c r="Q32" i="28"/>
  <c r="R32" i="28"/>
  <c r="C32" i="1"/>
  <c r="D32" i="1"/>
  <c r="E32" i="1"/>
  <c r="H32" i="1"/>
  <c r="I32" i="1"/>
  <c r="J32" i="1"/>
  <c r="K32" i="1"/>
  <c r="L32" i="1"/>
  <c r="M32" i="1"/>
  <c r="N32" i="1"/>
  <c r="O32" i="1"/>
  <c r="P32" i="1"/>
  <c r="Q32" i="1"/>
  <c r="R32" i="1"/>
  <c r="S32" i="1"/>
  <c r="B7" i="25"/>
  <c r="E265" i="8"/>
  <c r="E266" i="8"/>
  <c r="E267" i="8"/>
  <c r="F265" i="8"/>
  <c r="G265" i="8" s="1"/>
  <c r="F266" i="8"/>
  <c r="G266" i="8" s="1"/>
  <c r="F267" i="8"/>
  <c r="G267" i="8" s="1"/>
  <c r="E266" i="7"/>
  <c r="E267" i="7"/>
  <c r="E268" i="7"/>
  <c r="F266" i="7"/>
  <c r="G266" i="7" s="1"/>
  <c r="F267" i="7"/>
  <c r="G267" i="7" s="1"/>
  <c r="F268" i="7"/>
  <c r="G268" i="7" s="1"/>
  <c r="I348" i="28"/>
  <c r="E256" i="2"/>
  <c r="E257" i="2"/>
  <c r="E258" i="2"/>
  <c r="F256" i="2"/>
  <c r="F257" i="2"/>
  <c r="F258" i="2"/>
  <c r="G256" i="2"/>
  <c r="G257" i="2"/>
  <c r="G258" i="2"/>
  <c r="C333" i="28"/>
  <c r="C334" i="28"/>
  <c r="C335" i="28"/>
  <c r="C336" i="28"/>
  <c r="C337" i="28"/>
  <c r="C338" i="28"/>
  <c r="C339" i="28"/>
  <c r="C340" i="28"/>
  <c r="C343" i="28"/>
  <c r="C344" i="28"/>
  <c r="C345" i="28"/>
  <c r="C346" i="28"/>
  <c r="C347" i="28"/>
  <c r="C348" i="28"/>
  <c r="C349" i="28"/>
  <c r="C350" i="28"/>
  <c r="C351" i="28"/>
  <c r="C352" i="28"/>
  <c r="D333" i="28"/>
  <c r="D334" i="28"/>
  <c r="D335" i="28"/>
  <c r="D336" i="28"/>
  <c r="D337" i="28"/>
  <c r="D338" i="28"/>
  <c r="D339" i="28"/>
  <c r="D340" i="28"/>
  <c r="D343" i="28"/>
  <c r="D344" i="28"/>
  <c r="D345" i="28"/>
  <c r="D346" i="28"/>
  <c r="D347" i="28"/>
  <c r="D348" i="28"/>
  <c r="D349" i="28"/>
  <c r="D350" i="28"/>
  <c r="D351" i="28"/>
  <c r="D352" i="28"/>
  <c r="E333" i="28"/>
  <c r="E334" i="28"/>
  <c r="E335" i="28"/>
  <c r="E336" i="28"/>
  <c r="E337" i="28"/>
  <c r="E338" i="28"/>
  <c r="E339" i="28"/>
  <c r="E340" i="28"/>
  <c r="E343" i="28"/>
  <c r="E344" i="28"/>
  <c r="E345" i="28"/>
  <c r="E346" i="28"/>
  <c r="E347" i="28"/>
  <c r="E348" i="28"/>
  <c r="E349" i="28"/>
  <c r="E350" i="28"/>
  <c r="E351" i="28"/>
  <c r="E352" i="28"/>
  <c r="H334" i="28"/>
  <c r="H336" i="28"/>
  <c r="H338" i="28"/>
  <c r="H339" i="28"/>
  <c r="H340" i="28"/>
  <c r="H343" i="28"/>
  <c r="H344" i="28"/>
  <c r="H345" i="28"/>
  <c r="H346" i="28"/>
  <c r="H347" i="28"/>
  <c r="H348" i="28"/>
  <c r="H351" i="28"/>
  <c r="H352" i="28"/>
  <c r="I334" i="28"/>
  <c r="I338" i="28"/>
  <c r="I339" i="28"/>
  <c r="I340" i="28"/>
  <c r="I345" i="28"/>
  <c r="I346" i="28"/>
  <c r="I350" i="28"/>
  <c r="I351" i="28"/>
  <c r="I352" i="28"/>
  <c r="J334" i="28"/>
  <c r="J338" i="28"/>
  <c r="J339" i="28"/>
  <c r="J340" i="28"/>
  <c r="J345" i="28"/>
  <c r="J346" i="28"/>
  <c r="J350" i="28"/>
  <c r="J351" i="28"/>
  <c r="J352" i="28"/>
  <c r="K334" i="28"/>
  <c r="K338" i="28"/>
  <c r="K339" i="28"/>
  <c r="K340" i="28"/>
  <c r="K345" i="28"/>
  <c r="K346" i="28"/>
  <c r="K349" i="28"/>
  <c r="K351" i="28"/>
  <c r="K352" i="28"/>
  <c r="L334" i="28"/>
  <c r="L338" i="28"/>
  <c r="L339" i="28"/>
  <c r="L340" i="28"/>
  <c r="L345" i="28"/>
  <c r="L346" i="28"/>
  <c r="L351" i="28"/>
  <c r="L352" i="28"/>
  <c r="M334" i="28"/>
  <c r="M338" i="28"/>
  <c r="M339" i="28"/>
  <c r="M340" i="28"/>
  <c r="M345" i="28"/>
  <c r="M346" i="28"/>
  <c r="M350" i="28"/>
  <c r="M351" i="28"/>
  <c r="M352" i="28"/>
  <c r="N334" i="28"/>
  <c r="N338" i="28"/>
  <c r="N339" i="28"/>
  <c r="N340" i="28"/>
  <c r="N345" i="28"/>
  <c r="N346" i="28"/>
  <c r="N350" i="28"/>
  <c r="N351" i="28"/>
  <c r="N352" i="28"/>
  <c r="O334" i="28"/>
  <c r="O338" i="28"/>
  <c r="O339" i="28"/>
  <c r="O340" i="28"/>
  <c r="O345" i="28"/>
  <c r="O346" i="28"/>
  <c r="O351" i="28"/>
  <c r="O352" i="28"/>
  <c r="P334" i="28"/>
  <c r="P338" i="28"/>
  <c r="P339" i="28"/>
  <c r="P340" i="28"/>
  <c r="P345" i="28"/>
  <c r="P346" i="28"/>
  <c r="P351" i="28"/>
  <c r="P352" i="28"/>
  <c r="Q334" i="28"/>
  <c r="Q338" i="28"/>
  <c r="Q339" i="28"/>
  <c r="Q340" i="28"/>
  <c r="Q345" i="28"/>
  <c r="Q346" i="28"/>
  <c r="Q351" i="28"/>
  <c r="Q352" i="28"/>
  <c r="R334" i="28"/>
  <c r="R338" i="28"/>
  <c r="R339" i="28"/>
  <c r="R340" i="28"/>
  <c r="R345" i="28"/>
  <c r="R346" i="28"/>
  <c r="R351" i="28"/>
  <c r="R352" i="28"/>
  <c r="S334" i="28"/>
  <c r="S338" i="28"/>
  <c r="S339" i="28"/>
  <c r="S340" i="28"/>
  <c r="S345" i="28"/>
  <c r="S346" i="28"/>
  <c r="S351" i="28"/>
  <c r="S352" i="28"/>
  <c r="C251" i="1"/>
  <c r="C252" i="1"/>
  <c r="C253" i="1"/>
  <c r="C254" i="1"/>
  <c r="C255" i="1"/>
  <c r="C256" i="1"/>
  <c r="D251" i="1"/>
  <c r="D252" i="1"/>
  <c r="D253" i="1"/>
  <c r="D254" i="1"/>
  <c r="D255" i="1"/>
  <c r="D256" i="1"/>
  <c r="E251" i="1"/>
  <c r="E252" i="1"/>
  <c r="E253" i="1"/>
  <c r="E254" i="1"/>
  <c r="E255" i="1"/>
  <c r="E256" i="1"/>
  <c r="H251" i="1"/>
  <c r="H252" i="1"/>
  <c r="H253" i="1"/>
  <c r="H254" i="1"/>
  <c r="H255" i="1"/>
  <c r="H256" i="1"/>
  <c r="I251" i="1"/>
  <c r="I252" i="1"/>
  <c r="I253" i="1"/>
  <c r="I254" i="1"/>
  <c r="I255" i="1"/>
  <c r="I256" i="1"/>
  <c r="J251" i="1"/>
  <c r="J252" i="1"/>
  <c r="J253" i="1"/>
  <c r="J254" i="1"/>
  <c r="J255" i="1"/>
  <c r="J256" i="1"/>
  <c r="K251" i="1"/>
  <c r="K252" i="1"/>
  <c r="K253" i="1"/>
  <c r="K254" i="1"/>
  <c r="K255" i="1"/>
  <c r="K256" i="1"/>
  <c r="L251" i="1"/>
  <c r="L252" i="1"/>
  <c r="L253" i="1"/>
  <c r="L254" i="1"/>
  <c r="L255" i="1"/>
  <c r="L256" i="1"/>
  <c r="M251" i="1"/>
  <c r="M252" i="1"/>
  <c r="M253" i="1"/>
  <c r="M254" i="1"/>
  <c r="M255" i="1"/>
  <c r="M256" i="1"/>
  <c r="N251" i="1"/>
  <c r="N252" i="1"/>
  <c r="N253" i="1"/>
  <c r="N254" i="1"/>
  <c r="N255" i="1"/>
  <c r="N256" i="1"/>
  <c r="O251" i="1"/>
  <c r="O252" i="1"/>
  <c r="O253" i="1"/>
  <c r="O254" i="1"/>
  <c r="O255" i="1"/>
  <c r="O256" i="1"/>
  <c r="P251" i="1"/>
  <c r="P252" i="1"/>
  <c r="P253" i="1"/>
  <c r="P254" i="1"/>
  <c r="P255" i="1"/>
  <c r="P256" i="1"/>
  <c r="Q251" i="1"/>
  <c r="Q252" i="1"/>
  <c r="Q253" i="1"/>
  <c r="Q254" i="1"/>
  <c r="Q255" i="1"/>
  <c r="Q256" i="1"/>
  <c r="R251" i="1"/>
  <c r="R252" i="1"/>
  <c r="R253" i="1"/>
  <c r="R254" i="1"/>
  <c r="R255" i="1"/>
  <c r="R256" i="1"/>
  <c r="S251" i="1"/>
  <c r="S252" i="1"/>
  <c r="S253" i="1"/>
  <c r="S254" i="1"/>
  <c r="S255" i="1"/>
  <c r="S256" i="1"/>
  <c r="C201" i="1"/>
  <c r="C202" i="1"/>
  <c r="C203" i="1"/>
  <c r="C204" i="1"/>
  <c r="C205" i="1"/>
  <c r="C206" i="1"/>
  <c r="D201" i="1"/>
  <c r="D202" i="1"/>
  <c r="D203" i="1"/>
  <c r="D204" i="1"/>
  <c r="D205" i="1"/>
  <c r="D206" i="1"/>
  <c r="E201" i="1"/>
  <c r="E202" i="1"/>
  <c r="E203" i="1"/>
  <c r="E204" i="1"/>
  <c r="E205" i="1"/>
  <c r="E206" i="1"/>
  <c r="H201" i="1"/>
  <c r="H202" i="1"/>
  <c r="H203" i="1"/>
  <c r="H204" i="1"/>
  <c r="H205" i="1"/>
  <c r="H206" i="1"/>
  <c r="I201" i="1"/>
  <c r="I202" i="1"/>
  <c r="I203" i="1"/>
  <c r="I204" i="1"/>
  <c r="I205" i="1"/>
  <c r="I206" i="1"/>
  <c r="J201" i="1"/>
  <c r="J202" i="1"/>
  <c r="J203" i="1"/>
  <c r="J204" i="1"/>
  <c r="J205" i="1"/>
  <c r="J206" i="1"/>
  <c r="K201" i="1"/>
  <c r="K202" i="1"/>
  <c r="K203" i="1"/>
  <c r="K204" i="1"/>
  <c r="K205" i="1"/>
  <c r="K206" i="1"/>
  <c r="L201" i="1"/>
  <c r="L202" i="1"/>
  <c r="L203" i="1"/>
  <c r="L204" i="1"/>
  <c r="L205" i="1"/>
  <c r="L206" i="1"/>
  <c r="M201" i="1"/>
  <c r="M202" i="1"/>
  <c r="M203" i="1"/>
  <c r="M204" i="1"/>
  <c r="M205" i="1"/>
  <c r="M206" i="1"/>
  <c r="N201" i="1"/>
  <c r="N202" i="1"/>
  <c r="N203" i="1"/>
  <c r="N204" i="1"/>
  <c r="N205" i="1"/>
  <c r="N206" i="1"/>
  <c r="O201" i="1"/>
  <c r="O202" i="1"/>
  <c r="O203" i="1"/>
  <c r="O204" i="1"/>
  <c r="O205" i="1"/>
  <c r="O206" i="1"/>
  <c r="P201" i="1"/>
  <c r="P202" i="1"/>
  <c r="P203" i="1"/>
  <c r="P204" i="1"/>
  <c r="P205" i="1"/>
  <c r="P206" i="1"/>
  <c r="Q201" i="1"/>
  <c r="Q202" i="1"/>
  <c r="Q203" i="1"/>
  <c r="Q204" i="1"/>
  <c r="Q205" i="1"/>
  <c r="Q206" i="1"/>
  <c r="R201" i="1"/>
  <c r="R202" i="1"/>
  <c r="R203" i="1"/>
  <c r="R204" i="1"/>
  <c r="R205" i="1"/>
  <c r="R206" i="1"/>
  <c r="S201" i="1"/>
  <c r="S202" i="1"/>
  <c r="S203" i="1"/>
  <c r="S204" i="1"/>
  <c r="S205" i="1"/>
  <c r="S206" i="1"/>
  <c r="C102" i="1"/>
  <c r="D102" i="1"/>
  <c r="E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C103" i="1"/>
  <c r="D103" i="1"/>
  <c r="E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C104" i="1"/>
  <c r="B88" i="11" s="1"/>
  <c r="D104" i="1"/>
  <c r="E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D37" i="23"/>
  <c r="D36" i="23"/>
  <c r="D35" i="23"/>
  <c r="C97" i="1"/>
  <c r="D97" i="1"/>
  <c r="E97" i="1"/>
  <c r="H97" i="1"/>
  <c r="I97" i="1"/>
  <c r="J97" i="1"/>
  <c r="K97" i="1"/>
  <c r="L97" i="1"/>
  <c r="M97" i="1"/>
  <c r="N97" i="1"/>
  <c r="O97" i="1"/>
  <c r="P97" i="1"/>
  <c r="Q97" i="1"/>
  <c r="R97" i="1"/>
  <c r="S97" i="1"/>
  <c r="C98" i="1"/>
  <c r="D98" i="1"/>
  <c r="E98" i="1"/>
  <c r="H98" i="1"/>
  <c r="I98" i="1"/>
  <c r="J98" i="1"/>
  <c r="K98" i="1"/>
  <c r="L98" i="1"/>
  <c r="M98" i="1"/>
  <c r="N98" i="1"/>
  <c r="O98" i="1"/>
  <c r="P98" i="1"/>
  <c r="Q98" i="1"/>
  <c r="R98" i="1"/>
  <c r="S98" i="1"/>
  <c r="C99" i="1"/>
  <c r="B83" i="11" s="1"/>
  <c r="D99" i="1"/>
  <c r="E99" i="1"/>
  <c r="H99" i="1"/>
  <c r="I99" i="1"/>
  <c r="J99" i="1"/>
  <c r="K99" i="1"/>
  <c r="L99" i="1"/>
  <c r="M99" i="1"/>
  <c r="N99" i="1"/>
  <c r="O99" i="1"/>
  <c r="P99" i="1"/>
  <c r="Q99" i="1"/>
  <c r="R99" i="1"/>
  <c r="S99" i="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F242" i="11"/>
  <c r="G242" i="11" s="1"/>
  <c r="F243" i="11"/>
  <c r="G243" i="11" s="1"/>
  <c r="F244" i="11"/>
  <c r="G244" i="11" s="1"/>
  <c r="F245" i="11"/>
  <c r="G245" i="11" s="1"/>
  <c r="F246" i="11"/>
  <c r="G246" i="11" s="1"/>
  <c r="F247" i="11"/>
  <c r="G247" i="11" s="1"/>
  <c r="F248" i="11"/>
  <c r="G248" i="11" s="1"/>
  <c r="F249" i="11"/>
  <c r="G249" i="11" s="1"/>
  <c r="F250" i="11"/>
  <c r="G250" i="11" s="1"/>
  <c r="F251" i="11"/>
  <c r="G251" i="11" s="1"/>
  <c r="F252" i="11"/>
  <c r="G252" i="11" s="1"/>
  <c r="F253" i="11"/>
  <c r="G253" i="11" s="1"/>
  <c r="F254" i="11"/>
  <c r="G254" i="11" s="1"/>
  <c r="F255" i="11"/>
  <c r="G255" i="11" s="1"/>
  <c r="F256" i="11"/>
  <c r="G256" i="11" s="1"/>
  <c r="F257" i="11"/>
  <c r="G257" i="11" s="1"/>
  <c r="F258" i="11"/>
  <c r="G258" i="11" s="1"/>
  <c r="F259" i="11"/>
  <c r="G259" i="11" s="1"/>
  <c r="F260" i="11"/>
  <c r="G260" i="11" s="1"/>
  <c r="F261" i="11"/>
  <c r="G261" i="11" s="1"/>
  <c r="F262" i="11"/>
  <c r="G262" i="11" s="1"/>
  <c r="F263" i="11"/>
  <c r="G263" i="11" s="1"/>
  <c r="F264" i="11"/>
  <c r="G264" i="11" s="1"/>
  <c r="F265" i="11"/>
  <c r="G265" i="11" s="1"/>
  <c r="F266" i="11"/>
  <c r="G266" i="11" s="1"/>
  <c r="F267" i="11"/>
  <c r="G267" i="11" s="1"/>
  <c r="F268" i="11"/>
  <c r="G268" i="11" s="1"/>
  <c r="F269" i="11"/>
  <c r="G269" i="11" s="1"/>
  <c r="M344" i="28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F243" i="10"/>
  <c r="G243" i="10" s="1"/>
  <c r="F244" i="10"/>
  <c r="G244" i="10" s="1"/>
  <c r="F245" i="10"/>
  <c r="G245" i="10" s="1"/>
  <c r="F246" i="10"/>
  <c r="G246" i="10" s="1"/>
  <c r="F247" i="10"/>
  <c r="G247" i="10" s="1"/>
  <c r="F248" i="10"/>
  <c r="G248" i="10" s="1"/>
  <c r="F249" i="10"/>
  <c r="G249" i="10" s="1"/>
  <c r="F250" i="10"/>
  <c r="G250" i="10" s="1"/>
  <c r="F251" i="10"/>
  <c r="G251" i="10" s="1"/>
  <c r="F252" i="10"/>
  <c r="G252" i="10" s="1"/>
  <c r="F253" i="10"/>
  <c r="G253" i="10" s="1"/>
  <c r="F254" i="10"/>
  <c r="G254" i="10" s="1"/>
  <c r="F255" i="10"/>
  <c r="G255" i="10" s="1"/>
  <c r="F256" i="10"/>
  <c r="G256" i="10" s="1"/>
  <c r="F257" i="10"/>
  <c r="G257" i="10" s="1"/>
  <c r="F258" i="10"/>
  <c r="G258" i="10" s="1"/>
  <c r="F259" i="10"/>
  <c r="G259" i="10" s="1"/>
  <c r="F260" i="10"/>
  <c r="G260" i="10" s="1"/>
  <c r="F261" i="10"/>
  <c r="G261" i="10" s="1"/>
  <c r="F262" i="10"/>
  <c r="G262" i="10" s="1"/>
  <c r="F263" i="10"/>
  <c r="G263" i="10" s="1"/>
  <c r="F264" i="10"/>
  <c r="G264" i="10" s="1"/>
  <c r="F265" i="10"/>
  <c r="G265" i="10" s="1"/>
  <c r="F266" i="10"/>
  <c r="G266" i="10" s="1"/>
  <c r="F267" i="10"/>
  <c r="G267" i="10" s="1"/>
  <c r="F268" i="10"/>
  <c r="G268" i="10" s="1"/>
  <c r="F269" i="10"/>
  <c r="G269" i="10" s="1"/>
  <c r="F270" i="10"/>
  <c r="G270" i="10" s="1"/>
  <c r="L326" i="28"/>
  <c r="L332" i="28"/>
  <c r="L333" i="28"/>
  <c r="L336" i="28"/>
  <c r="L337" i="28"/>
  <c r="L343" i="28"/>
  <c r="L348" i="28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F243" i="9"/>
  <c r="G243" i="9" s="1"/>
  <c r="F244" i="9"/>
  <c r="G244" i="9" s="1"/>
  <c r="F245" i="9"/>
  <c r="G245" i="9" s="1"/>
  <c r="F246" i="9"/>
  <c r="G246" i="9" s="1"/>
  <c r="F247" i="9"/>
  <c r="G247" i="9" s="1"/>
  <c r="F248" i="9"/>
  <c r="G248" i="9" s="1"/>
  <c r="F249" i="9"/>
  <c r="G249" i="9" s="1"/>
  <c r="F250" i="9"/>
  <c r="G250" i="9" s="1"/>
  <c r="F251" i="9"/>
  <c r="G251" i="9" s="1"/>
  <c r="F252" i="9"/>
  <c r="G252" i="9" s="1"/>
  <c r="F253" i="9"/>
  <c r="G253" i="9" s="1"/>
  <c r="F254" i="9"/>
  <c r="G254" i="9" s="1"/>
  <c r="F255" i="9"/>
  <c r="G255" i="9" s="1"/>
  <c r="F256" i="9"/>
  <c r="G256" i="9" s="1"/>
  <c r="F257" i="9"/>
  <c r="G257" i="9" s="1"/>
  <c r="F258" i="9"/>
  <c r="G258" i="9" s="1"/>
  <c r="F259" i="9"/>
  <c r="G259" i="9" s="1"/>
  <c r="F260" i="9"/>
  <c r="G260" i="9" s="1"/>
  <c r="F261" i="9"/>
  <c r="G261" i="9" s="1"/>
  <c r="F262" i="9"/>
  <c r="G262" i="9" s="1"/>
  <c r="F263" i="9"/>
  <c r="G263" i="9" s="1"/>
  <c r="F264" i="9"/>
  <c r="G264" i="9" s="1"/>
  <c r="F265" i="9"/>
  <c r="G265" i="9" s="1"/>
  <c r="F266" i="9"/>
  <c r="G266" i="9" s="1"/>
  <c r="F267" i="9"/>
  <c r="G267" i="9" s="1"/>
  <c r="F268" i="9"/>
  <c r="G268" i="9" s="1"/>
  <c r="F269" i="9"/>
  <c r="G269" i="9" s="1"/>
  <c r="F270" i="9"/>
  <c r="G270" i="9" s="1"/>
  <c r="K333" i="28"/>
  <c r="K336" i="28"/>
  <c r="K337" i="28"/>
  <c r="K343" i="28"/>
  <c r="K344" i="28"/>
  <c r="K347" i="28"/>
  <c r="K348" i="2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F241" i="8"/>
  <c r="G241" i="8" s="1"/>
  <c r="F242" i="8"/>
  <c r="G242" i="8" s="1"/>
  <c r="F243" i="8"/>
  <c r="G243" i="8" s="1"/>
  <c r="F244" i="8"/>
  <c r="G244" i="8" s="1"/>
  <c r="F245" i="8"/>
  <c r="G245" i="8" s="1"/>
  <c r="F246" i="8"/>
  <c r="G246" i="8" s="1"/>
  <c r="F247" i="8"/>
  <c r="G247" i="8" s="1"/>
  <c r="F248" i="8"/>
  <c r="G248" i="8" s="1"/>
  <c r="F249" i="8"/>
  <c r="G249" i="8" s="1"/>
  <c r="F250" i="8"/>
  <c r="G250" i="8" s="1"/>
  <c r="F251" i="8"/>
  <c r="G251" i="8" s="1"/>
  <c r="F252" i="8"/>
  <c r="G252" i="8" s="1"/>
  <c r="F253" i="8"/>
  <c r="G253" i="8" s="1"/>
  <c r="F254" i="8"/>
  <c r="G254" i="8" s="1"/>
  <c r="F255" i="8"/>
  <c r="G255" i="8" s="1"/>
  <c r="F256" i="8"/>
  <c r="G256" i="8" s="1"/>
  <c r="F257" i="8"/>
  <c r="G257" i="8" s="1"/>
  <c r="F258" i="8"/>
  <c r="G258" i="8" s="1"/>
  <c r="F259" i="8"/>
  <c r="G259" i="8" s="1"/>
  <c r="F260" i="8"/>
  <c r="G260" i="8" s="1"/>
  <c r="F261" i="8"/>
  <c r="G261" i="8" s="1"/>
  <c r="F262" i="8"/>
  <c r="G262" i="8" s="1"/>
  <c r="F263" i="8"/>
  <c r="G263" i="8" s="1"/>
  <c r="F264" i="8"/>
  <c r="G264" i="8" s="1"/>
  <c r="J326" i="28"/>
  <c r="J329" i="28"/>
  <c r="J336" i="28"/>
  <c r="J328" i="28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F242" i="7"/>
  <c r="G242" i="7" s="1"/>
  <c r="F243" i="7"/>
  <c r="G243" i="7" s="1"/>
  <c r="F244" i="7"/>
  <c r="G244" i="7" s="1"/>
  <c r="F245" i="7"/>
  <c r="G245" i="7" s="1"/>
  <c r="F246" i="7"/>
  <c r="G246" i="7" s="1"/>
  <c r="F247" i="7"/>
  <c r="G247" i="7" s="1"/>
  <c r="F248" i="7"/>
  <c r="G248" i="7" s="1"/>
  <c r="F249" i="7"/>
  <c r="G249" i="7" s="1"/>
  <c r="F250" i="7"/>
  <c r="G250" i="7" s="1"/>
  <c r="F251" i="7"/>
  <c r="G251" i="7" s="1"/>
  <c r="F252" i="7"/>
  <c r="G252" i="7" s="1"/>
  <c r="F253" i="7"/>
  <c r="G253" i="7" s="1"/>
  <c r="F254" i="7"/>
  <c r="G254" i="7" s="1"/>
  <c r="F255" i="7"/>
  <c r="G255" i="7" s="1"/>
  <c r="F256" i="7"/>
  <c r="G256" i="7" s="1"/>
  <c r="F257" i="7"/>
  <c r="G257" i="7" s="1"/>
  <c r="F258" i="7"/>
  <c r="G258" i="7" s="1"/>
  <c r="F259" i="7"/>
  <c r="G259" i="7" s="1"/>
  <c r="F260" i="7"/>
  <c r="G260" i="7" s="1"/>
  <c r="F261" i="7"/>
  <c r="G261" i="7" s="1"/>
  <c r="F262" i="7"/>
  <c r="G262" i="7" s="1"/>
  <c r="F263" i="7"/>
  <c r="G263" i="7" s="1"/>
  <c r="F264" i="7"/>
  <c r="G264" i="7" s="1"/>
  <c r="F265" i="7"/>
  <c r="G265" i="7" s="1"/>
  <c r="I328" i="28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C332" i="28"/>
  <c r="D332" i="28"/>
  <c r="E332" i="28"/>
  <c r="C247" i="1"/>
  <c r="D247" i="1"/>
  <c r="E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H41" i="28"/>
  <c r="H42" i="28"/>
  <c r="H284" i="28"/>
  <c r="I284" i="28"/>
  <c r="J32" i="28"/>
  <c r="J36" i="28"/>
  <c r="J37" i="28"/>
  <c r="J42" i="28"/>
  <c r="J45" i="28"/>
  <c r="J48" i="28"/>
  <c r="J50" i="28"/>
  <c r="J155" i="28"/>
  <c r="J176" i="28"/>
  <c r="J177" i="28"/>
  <c r="K47" i="28"/>
  <c r="K48" i="28"/>
  <c r="K50" i="28"/>
  <c r="K284" i="28"/>
  <c r="L48" i="28"/>
  <c r="L284" i="28"/>
  <c r="M176" i="28"/>
  <c r="M177" i="28"/>
  <c r="N47" i="28"/>
  <c r="N48" i="28"/>
  <c r="N49" i="28"/>
  <c r="N155" i="28"/>
  <c r="N176" i="28"/>
  <c r="N177" i="28"/>
  <c r="N284" i="28"/>
  <c r="N329" i="28"/>
  <c r="N330" i="28"/>
  <c r="N331" i="28"/>
  <c r="N333" i="28"/>
  <c r="N337" i="28"/>
  <c r="N347" i="28"/>
  <c r="E241" i="11"/>
  <c r="F241" i="11"/>
  <c r="G241" i="11" s="1"/>
  <c r="E234" i="10"/>
  <c r="E235" i="10"/>
  <c r="E236" i="10"/>
  <c r="E237" i="10"/>
  <c r="E238" i="10"/>
  <c r="E239" i="10"/>
  <c r="E240" i="10"/>
  <c r="E241" i="10"/>
  <c r="E242" i="10"/>
  <c r="F234" i="10"/>
  <c r="G234" i="10" s="1"/>
  <c r="F235" i="10"/>
  <c r="G235" i="10" s="1"/>
  <c r="F236" i="10"/>
  <c r="G236" i="10" s="1"/>
  <c r="F237" i="10"/>
  <c r="G237" i="10" s="1"/>
  <c r="F238" i="10"/>
  <c r="G238" i="10" s="1"/>
  <c r="F239" i="10"/>
  <c r="G239" i="10" s="1"/>
  <c r="F240" i="10"/>
  <c r="G240" i="10" s="1"/>
  <c r="F241" i="10"/>
  <c r="G241" i="10" s="1"/>
  <c r="F242" i="10"/>
  <c r="G242" i="10" s="1"/>
  <c r="E234" i="9"/>
  <c r="E235" i="9"/>
  <c r="E236" i="9"/>
  <c r="E237" i="9"/>
  <c r="E238" i="9"/>
  <c r="E239" i="9"/>
  <c r="E240" i="9"/>
  <c r="E241" i="9"/>
  <c r="E242" i="9"/>
  <c r="F234" i="9"/>
  <c r="G234" i="9" s="1"/>
  <c r="F235" i="9"/>
  <c r="G235" i="9" s="1"/>
  <c r="F236" i="9"/>
  <c r="G236" i="9" s="1"/>
  <c r="F237" i="9"/>
  <c r="G237" i="9" s="1"/>
  <c r="F238" i="9"/>
  <c r="G238" i="9" s="1"/>
  <c r="F239" i="9"/>
  <c r="G239" i="9" s="1"/>
  <c r="F240" i="9"/>
  <c r="G240" i="9" s="1"/>
  <c r="F241" i="9"/>
  <c r="G241" i="9" s="1"/>
  <c r="F242" i="9"/>
  <c r="G242" i="9" s="1"/>
  <c r="E232" i="8"/>
  <c r="E233" i="8"/>
  <c r="E234" i="8"/>
  <c r="E235" i="8"/>
  <c r="E236" i="8"/>
  <c r="E237" i="8"/>
  <c r="E238" i="8"/>
  <c r="E239" i="8"/>
  <c r="E240" i="8"/>
  <c r="F232" i="8"/>
  <c r="G232" i="8" s="1"/>
  <c r="F233" i="8"/>
  <c r="G233" i="8" s="1"/>
  <c r="F234" i="8"/>
  <c r="G234" i="8" s="1"/>
  <c r="F235" i="8"/>
  <c r="G235" i="8" s="1"/>
  <c r="F236" i="8"/>
  <c r="G236" i="8" s="1"/>
  <c r="F237" i="8"/>
  <c r="G237" i="8" s="1"/>
  <c r="F238" i="8"/>
  <c r="G238" i="8" s="1"/>
  <c r="F239" i="8"/>
  <c r="G239" i="8" s="1"/>
  <c r="F240" i="8"/>
  <c r="G240" i="8" s="1"/>
  <c r="E233" i="7"/>
  <c r="E234" i="7"/>
  <c r="E235" i="7"/>
  <c r="E236" i="7"/>
  <c r="E237" i="7"/>
  <c r="E238" i="7"/>
  <c r="E239" i="7"/>
  <c r="E240" i="7"/>
  <c r="E241" i="7"/>
  <c r="F233" i="7"/>
  <c r="G233" i="7" s="1"/>
  <c r="F234" i="7"/>
  <c r="G234" i="7" s="1"/>
  <c r="F235" i="7"/>
  <c r="G235" i="7" s="1"/>
  <c r="F236" i="7"/>
  <c r="G236" i="7" s="1"/>
  <c r="F237" i="7"/>
  <c r="G237" i="7" s="1"/>
  <c r="F238" i="7"/>
  <c r="G238" i="7" s="1"/>
  <c r="F239" i="7"/>
  <c r="G239" i="7" s="1"/>
  <c r="F240" i="7"/>
  <c r="G240" i="7" s="1"/>
  <c r="F241" i="7"/>
  <c r="G241" i="7" s="1"/>
  <c r="E220" i="2"/>
  <c r="E221" i="2"/>
  <c r="E222" i="2"/>
  <c r="E223" i="2"/>
  <c r="E224" i="2"/>
  <c r="E225" i="2"/>
  <c r="E226" i="2"/>
  <c r="E227" i="2"/>
  <c r="E228" i="2"/>
  <c r="E229" i="2"/>
  <c r="E230" i="2"/>
  <c r="E231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C330" i="28"/>
  <c r="C331" i="28"/>
  <c r="D330" i="28"/>
  <c r="D331" i="28"/>
  <c r="E330" i="28"/>
  <c r="E331" i="28"/>
  <c r="H331" i="28"/>
  <c r="I331" i="28"/>
  <c r="J331" i="28"/>
  <c r="K331" i="28"/>
  <c r="L330" i="28"/>
  <c r="L331" i="28"/>
  <c r="C258" i="1"/>
  <c r="D258" i="1"/>
  <c r="E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C259" i="1"/>
  <c r="D259" i="1"/>
  <c r="E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C324" i="28"/>
  <c r="C325" i="28"/>
  <c r="C326" i="28"/>
  <c r="C327" i="28"/>
  <c r="C328" i="28"/>
  <c r="C329" i="28"/>
  <c r="D324" i="28"/>
  <c r="D325" i="28"/>
  <c r="D326" i="28"/>
  <c r="D327" i="28"/>
  <c r="D328" i="28"/>
  <c r="D329" i="28"/>
  <c r="E324" i="28"/>
  <c r="E325" i="28"/>
  <c r="E326" i="28"/>
  <c r="E327" i="28"/>
  <c r="E328" i="28"/>
  <c r="E329" i="28"/>
  <c r="H328" i="28"/>
  <c r="K328" i="28"/>
  <c r="K329" i="28"/>
  <c r="L328" i="28"/>
  <c r="M328" i="28"/>
  <c r="O328" i="28"/>
  <c r="P328" i="28"/>
  <c r="Q328" i="28"/>
  <c r="R328" i="28"/>
  <c r="S328" i="28"/>
  <c r="C288" i="1"/>
  <c r="D288" i="1"/>
  <c r="E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C209" i="1"/>
  <c r="D209" i="1"/>
  <c r="E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C200" i="1"/>
  <c r="D200" i="1"/>
  <c r="E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C143" i="1"/>
  <c r="D143" i="1"/>
  <c r="E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C144" i="1"/>
  <c r="D144" i="1"/>
  <c r="E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C141" i="1"/>
  <c r="D141" i="1"/>
  <c r="E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D69" i="18"/>
  <c r="C319" i="28"/>
  <c r="C320" i="28"/>
  <c r="C321" i="28"/>
  <c r="C322" i="28"/>
  <c r="C323" i="28"/>
  <c r="D319" i="28"/>
  <c r="D320" i="28"/>
  <c r="D321" i="28"/>
  <c r="D322" i="28"/>
  <c r="D323" i="28"/>
  <c r="E319" i="28"/>
  <c r="E320" i="28"/>
  <c r="E321" i="28"/>
  <c r="E322" i="28"/>
  <c r="E323" i="28"/>
  <c r="K322" i="28"/>
  <c r="K323" i="28"/>
  <c r="N321" i="28"/>
  <c r="C283" i="1"/>
  <c r="D283" i="1"/>
  <c r="E283" i="1"/>
  <c r="H283" i="1"/>
  <c r="I283" i="1"/>
  <c r="J283" i="1"/>
  <c r="K283" i="1"/>
  <c r="L283" i="1"/>
  <c r="M283" i="1"/>
  <c r="N283" i="1"/>
  <c r="O283" i="1"/>
  <c r="P283" i="1"/>
  <c r="Q283" i="1"/>
  <c r="R283" i="1"/>
  <c r="S283" i="1"/>
  <c r="C310" i="1"/>
  <c r="D310" i="1"/>
  <c r="E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C233" i="1"/>
  <c r="D233" i="1"/>
  <c r="E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C164" i="1"/>
  <c r="B134" i="11" s="1"/>
  <c r="D164" i="1"/>
  <c r="E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C165" i="1"/>
  <c r="D165" i="1"/>
  <c r="E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E299" i="17"/>
  <c r="E300" i="17"/>
  <c r="E301" i="17"/>
  <c r="E302" i="17"/>
  <c r="F299" i="17"/>
  <c r="G299" i="17" s="1"/>
  <c r="F300" i="17"/>
  <c r="G300" i="17" s="1"/>
  <c r="F301" i="17"/>
  <c r="G301" i="17" s="1"/>
  <c r="F302" i="17"/>
  <c r="G302" i="17" s="1"/>
  <c r="E299" i="16"/>
  <c r="E300" i="16"/>
  <c r="E301" i="16"/>
  <c r="E302" i="16"/>
  <c r="F299" i="16"/>
  <c r="G299" i="16" s="1"/>
  <c r="F300" i="16"/>
  <c r="G300" i="16" s="1"/>
  <c r="F301" i="16"/>
  <c r="G301" i="16" s="1"/>
  <c r="F302" i="16"/>
  <c r="G302" i="16" s="1"/>
  <c r="D95" i="18"/>
  <c r="D126" i="18"/>
  <c r="D125" i="18"/>
  <c r="D124" i="18"/>
  <c r="D123" i="18"/>
  <c r="D122" i="18"/>
  <c r="D121" i="18"/>
  <c r="C15" i="1"/>
  <c r="B15" i="11" s="1"/>
  <c r="C16" i="1"/>
  <c r="B16" i="11" s="1"/>
  <c r="C17" i="1"/>
  <c r="B17" i="11" s="1"/>
  <c r="C18" i="1"/>
  <c r="B18" i="11" s="1"/>
  <c r="C19" i="1"/>
  <c r="C20" i="1"/>
  <c r="B19" i="11" s="1"/>
  <c r="C21" i="1"/>
  <c r="C22" i="1"/>
  <c r="B20" i="11" s="1"/>
  <c r="C23" i="1"/>
  <c r="B21" i="11" s="1"/>
  <c r="C24" i="1"/>
  <c r="B22" i="11" s="1"/>
  <c r="C25" i="1"/>
  <c r="B23" i="11" s="1"/>
  <c r="C26" i="1"/>
  <c r="C27" i="1"/>
  <c r="B24" i="11" s="1"/>
  <c r="C28" i="1"/>
  <c r="B25" i="11" s="1"/>
  <c r="C29" i="1"/>
  <c r="C30" i="1"/>
  <c r="B26" i="11" s="1"/>
  <c r="C31" i="1"/>
  <c r="C33" i="1"/>
  <c r="B27" i="11" s="1"/>
  <c r="C34" i="1"/>
  <c r="B28" i="11" s="1"/>
  <c r="C35" i="1"/>
  <c r="B29" i="11" s="1"/>
  <c r="C38" i="1"/>
  <c r="B30" i="11" s="1"/>
  <c r="C39" i="1"/>
  <c r="B31" i="11" s="1"/>
  <c r="C40" i="1"/>
  <c r="C43" i="1"/>
  <c r="B32" i="11" s="1"/>
  <c r="C44" i="1"/>
  <c r="B33" i="11" s="1"/>
  <c r="C46" i="1"/>
  <c r="C53" i="1"/>
  <c r="C54" i="1"/>
  <c r="B39" i="11" s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B73" i="11" s="1"/>
  <c r="C89" i="1"/>
  <c r="C90" i="1"/>
  <c r="C91" i="1"/>
  <c r="C92" i="1"/>
  <c r="C93" i="1"/>
  <c r="C94" i="1"/>
  <c r="C95" i="1"/>
  <c r="C96" i="1"/>
  <c r="B80" i="11" s="1"/>
  <c r="C100" i="1"/>
  <c r="B84" i="11" s="1"/>
  <c r="C101" i="1"/>
  <c r="C105" i="1"/>
  <c r="B89" i="11" s="1"/>
  <c r="C106" i="1"/>
  <c r="C107" i="1"/>
  <c r="C108" i="1"/>
  <c r="C109" i="1"/>
  <c r="C110" i="1"/>
  <c r="B94" i="11" s="1"/>
  <c r="C111" i="1"/>
  <c r="C112" i="1"/>
  <c r="C113" i="1"/>
  <c r="C114" i="1"/>
  <c r="C115" i="1"/>
  <c r="C116" i="1"/>
  <c r="C117" i="1"/>
  <c r="C118" i="1"/>
  <c r="B102" i="11" s="1"/>
  <c r="C119" i="1"/>
  <c r="C120" i="1"/>
  <c r="C121" i="1"/>
  <c r="C122" i="1"/>
  <c r="C123" i="1"/>
  <c r="C124" i="1"/>
  <c r="C125" i="1"/>
  <c r="B109" i="11" s="1"/>
  <c r="C126" i="1"/>
  <c r="B110" i="11" s="1"/>
  <c r="C127" i="1"/>
  <c r="B111" i="11" s="1"/>
  <c r="C128" i="1"/>
  <c r="B112" i="11" s="1"/>
  <c r="C129" i="1"/>
  <c r="B113" i="11" s="1"/>
  <c r="C130" i="1"/>
  <c r="B114" i="11" s="1"/>
  <c r="C131" i="1"/>
  <c r="B115" i="11" s="1"/>
  <c r="C132" i="1"/>
  <c r="B116" i="11" s="1"/>
  <c r="C133" i="1"/>
  <c r="B117" i="11" s="1"/>
  <c r="C134" i="1"/>
  <c r="B118" i="11" s="1"/>
  <c r="C135" i="1"/>
  <c r="B119" i="11" s="1"/>
  <c r="C136" i="1"/>
  <c r="B120" i="11" s="1"/>
  <c r="C137" i="1"/>
  <c r="B121" i="11" s="1"/>
  <c r="C138" i="1"/>
  <c r="B122" i="11" s="1"/>
  <c r="C139" i="1"/>
  <c r="C140" i="1"/>
  <c r="B124" i="11" s="1"/>
  <c r="C142" i="1"/>
  <c r="C145" i="1"/>
  <c r="B129" i="11" s="1"/>
  <c r="C146" i="1"/>
  <c r="B130" i="11" s="1"/>
  <c r="C147" i="1"/>
  <c r="B131" i="11" s="1"/>
  <c r="C148" i="1"/>
  <c r="C149" i="1"/>
  <c r="C150" i="1"/>
  <c r="B136" i="11" s="1"/>
  <c r="C151" i="1"/>
  <c r="B137" i="11" s="1"/>
  <c r="C152" i="1"/>
  <c r="B138" i="11" s="1"/>
  <c r="C153" i="1"/>
  <c r="C154" i="1"/>
  <c r="B140" i="11" s="1"/>
  <c r="C156" i="1"/>
  <c r="C158" i="1"/>
  <c r="C159" i="1"/>
  <c r="C160" i="1"/>
  <c r="C161" i="1"/>
  <c r="C162" i="1"/>
  <c r="C163" i="1"/>
  <c r="C166" i="1"/>
  <c r="C167" i="1"/>
  <c r="C168" i="1"/>
  <c r="C169" i="1"/>
  <c r="C170" i="1"/>
  <c r="C171" i="1"/>
  <c r="C172" i="1"/>
  <c r="C173" i="1"/>
  <c r="C174" i="1"/>
  <c r="C175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B170" i="11" s="1"/>
  <c r="C197" i="1"/>
  <c r="C198" i="1"/>
  <c r="B171" i="11" s="1"/>
  <c r="C199" i="1"/>
  <c r="B172" i="11" s="1"/>
  <c r="C207" i="1"/>
  <c r="C208" i="1"/>
  <c r="C210" i="1"/>
  <c r="C211" i="1"/>
  <c r="C212" i="1"/>
  <c r="C213" i="1"/>
  <c r="C214" i="1"/>
  <c r="B186" i="11" s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4" i="1"/>
  <c r="C235" i="1"/>
  <c r="C236" i="1"/>
  <c r="C237" i="1"/>
  <c r="C238" i="1"/>
  <c r="C239" i="1"/>
  <c r="C240" i="1"/>
  <c r="B203" i="11" s="1"/>
  <c r="C241" i="1"/>
  <c r="C242" i="1"/>
  <c r="C243" i="1"/>
  <c r="C244" i="1"/>
  <c r="C245" i="1"/>
  <c r="B207" i="11" s="1"/>
  <c r="C246" i="1"/>
  <c r="C248" i="1"/>
  <c r="C249" i="1"/>
  <c r="C250" i="1"/>
  <c r="C257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B234" i="11" s="1"/>
  <c r="C275" i="1"/>
  <c r="C276" i="1"/>
  <c r="C277" i="1"/>
  <c r="C278" i="1"/>
  <c r="C279" i="1"/>
  <c r="C280" i="1"/>
  <c r="C281" i="1"/>
  <c r="C282" i="1"/>
  <c r="C285" i="1"/>
  <c r="C286" i="1"/>
  <c r="C287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B280" i="12" s="1"/>
  <c r="C338" i="1"/>
  <c r="C339" i="1"/>
  <c r="C340" i="1"/>
  <c r="C343" i="1"/>
  <c r="B275" i="7" s="1"/>
  <c r="C344" i="1"/>
  <c r="B296" i="14" s="1"/>
  <c r="C345" i="1"/>
  <c r="C346" i="1"/>
  <c r="C347" i="1"/>
  <c r="B277" i="9" s="1"/>
  <c r="C348" i="1"/>
  <c r="B298" i="14" s="1"/>
  <c r="C349" i="1"/>
  <c r="B299" i="14" s="1"/>
  <c r="C350" i="1"/>
  <c r="C353" i="1"/>
  <c r="C354" i="1"/>
  <c r="E298" i="16"/>
  <c r="F298" i="16"/>
  <c r="G298" i="16" s="1"/>
  <c r="D353" i="1"/>
  <c r="D8" i="32"/>
  <c r="U32" i="18"/>
  <c r="AD32" i="18"/>
  <c r="D139" i="32"/>
  <c r="R37" i="23"/>
  <c r="L171" i="29"/>
  <c r="I98" i="32"/>
  <c r="S14" i="25"/>
  <c r="D99" i="32"/>
  <c r="O139" i="32"/>
  <c r="I95" i="32"/>
  <c r="AJ37" i="23"/>
  <c r="L99" i="32"/>
  <c r="AJ95" i="32"/>
  <c r="AG171" i="29"/>
  <c r="O94" i="29"/>
  <c r="AG95" i="29"/>
  <c r="I37" i="23"/>
  <c r="O98" i="32"/>
  <c r="D95" i="29"/>
  <c r="X37" i="23"/>
  <c r="I8" i="32"/>
  <c r="AJ94" i="29"/>
  <c r="U98" i="32"/>
  <c r="AA32" i="18"/>
  <c r="AD98" i="32"/>
  <c r="R146" i="18"/>
  <c r="U8" i="32"/>
  <c r="L95" i="29"/>
  <c r="U95" i="32"/>
  <c r="X99" i="32"/>
  <c r="AA97" i="32"/>
  <c r="I146" i="18"/>
  <c r="X97" i="32"/>
  <c r="R95" i="29"/>
  <c r="D98" i="32"/>
  <c r="O146" i="18"/>
  <c r="R139" i="32"/>
  <c r="I171" i="29"/>
  <c r="O171" i="29"/>
  <c r="L139" i="32"/>
  <c r="AD97" i="32"/>
  <c r="D97" i="32"/>
  <c r="AG95" i="32"/>
  <c r="L8" i="32"/>
  <c r="AD95" i="32"/>
  <c r="U37" i="23"/>
  <c r="O32" i="18"/>
  <c r="AA8" i="32"/>
  <c r="F97" i="32"/>
  <c r="F37" i="23"/>
  <c r="U99" i="32"/>
  <c r="L146" i="18"/>
  <c r="O95" i="29"/>
  <c r="L37" i="23"/>
  <c r="X146" i="18"/>
  <c r="F98" i="32"/>
  <c r="R97" i="32"/>
  <c r="AM146" i="18"/>
  <c r="D95" i="32"/>
  <c r="AD171" i="29"/>
  <c r="I32" i="18"/>
  <c r="AJ95" i="29"/>
  <c r="D171" i="29"/>
  <c r="X8" i="32"/>
  <c r="AG32" i="18"/>
  <c r="X171" i="29"/>
  <c r="U95" i="29"/>
  <c r="AD146" i="18"/>
  <c r="R171" i="29"/>
  <c r="AJ99" i="32"/>
  <c r="F146" i="18"/>
  <c r="O99" i="32"/>
  <c r="F139" i="32"/>
  <c r="U94" i="29"/>
  <c r="AA94" i="29"/>
  <c r="AA95" i="29"/>
  <c r="F95" i="32"/>
  <c r="I97" i="32"/>
  <c r="AD95" i="29"/>
  <c r="AG98" i="32"/>
  <c r="L98" i="32"/>
  <c r="AA99" i="32"/>
  <c r="AM32" i="18"/>
  <c r="F94" i="29"/>
  <c r="AJ8" i="32"/>
  <c r="AG94" i="29"/>
  <c r="AG139" i="32"/>
  <c r="L32" i="18"/>
  <c r="U146" i="18"/>
  <c r="AJ32" i="18"/>
  <c r="AG97" i="32"/>
  <c r="X95" i="29"/>
  <c r="I99" i="32"/>
  <c r="AA171" i="29"/>
  <c r="AD37" i="23"/>
  <c r="AA146" i="18"/>
  <c r="U171" i="29"/>
  <c r="F95" i="29"/>
  <c r="AD8" i="32"/>
  <c r="R8" i="32"/>
  <c r="AD99" i="32"/>
  <c r="U97" i="32"/>
  <c r="AG99" i="32"/>
  <c r="AD139" i="32"/>
  <c r="AA37" i="23"/>
  <c r="L97" i="32"/>
  <c r="L95" i="32"/>
  <c r="X98" i="32"/>
  <c r="AM37" i="23"/>
  <c r="X95" i="32"/>
  <c r="AJ139" i="32"/>
  <c r="L94" i="29"/>
  <c r="X94" i="29"/>
  <c r="R94" i="29"/>
  <c r="AA98" i="32"/>
  <c r="U139" i="32"/>
  <c r="I139" i="32"/>
  <c r="F8" i="32"/>
  <c r="I95" i="29"/>
  <c r="F171" i="29"/>
  <c r="R99" i="32"/>
  <c r="AA139" i="32"/>
  <c r="R32" i="18"/>
  <c r="O97" i="32"/>
  <c r="O8" i="32"/>
  <c r="R98" i="32"/>
  <c r="X139" i="32"/>
  <c r="AJ146" i="18"/>
  <c r="AG146" i="18"/>
  <c r="AG8" i="32"/>
  <c r="D94" i="29"/>
  <c r="I94" i="29"/>
  <c r="U13" i="25"/>
  <c r="AD94" i="29"/>
  <c r="AG37" i="23"/>
  <c r="AJ97" i="32"/>
  <c r="R95" i="32"/>
  <c r="X32" i="18"/>
  <c r="F32" i="18"/>
  <c r="F99" i="32"/>
  <c r="AA95" i="32"/>
  <c r="AJ98" i="32"/>
  <c r="O37" i="23"/>
  <c r="O95" i="32"/>
  <c r="B65" i="11" l="1"/>
  <c r="B57" i="11"/>
  <c r="B49" i="11"/>
  <c r="B41" i="11"/>
  <c r="B38" i="11"/>
  <c r="B204" i="11"/>
  <c r="B164" i="11"/>
  <c r="B79" i="11"/>
  <c r="B224" i="11"/>
  <c r="B156" i="11"/>
  <c r="B206" i="11"/>
  <c r="B211" i="11"/>
  <c r="B279" i="12"/>
  <c r="B260" i="11"/>
  <c r="B142" i="11"/>
  <c r="B294" i="16"/>
  <c r="B252" i="11"/>
  <c r="B237" i="11"/>
  <c r="B233" i="11"/>
  <c r="B198" i="11"/>
  <c r="B187" i="11"/>
  <c r="B213" i="11"/>
  <c r="B277" i="11"/>
  <c r="B223" i="11"/>
  <c r="B163" i="11"/>
  <c r="B155" i="11"/>
  <c r="B108" i="11"/>
  <c r="B100" i="11"/>
  <c r="B92" i="11"/>
  <c r="B78" i="11"/>
  <c r="B71" i="11"/>
  <c r="B63" i="11"/>
  <c r="B55" i="11"/>
  <c r="B47" i="11"/>
  <c r="B275" i="11"/>
  <c r="B274" i="11"/>
  <c r="B261" i="11"/>
  <c r="B256" i="11"/>
  <c r="B249" i="11"/>
  <c r="B245" i="11"/>
  <c r="B222" i="11"/>
  <c r="B195" i="11"/>
  <c r="B190" i="11"/>
  <c r="B184" i="11"/>
  <c r="B162" i="11"/>
  <c r="B154" i="11"/>
  <c r="B148" i="11"/>
  <c r="B107" i="11"/>
  <c r="B99" i="11"/>
  <c r="B91" i="11"/>
  <c r="B70" i="11"/>
  <c r="B62" i="11"/>
  <c r="B54" i="11"/>
  <c r="B46" i="11"/>
  <c r="B178" i="11"/>
  <c r="B266" i="11"/>
  <c r="B248" i="11"/>
  <c r="B229" i="11"/>
  <c r="B221" i="11"/>
  <c r="B183" i="11"/>
  <c r="B169" i="11"/>
  <c r="B161" i="11"/>
  <c r="B153" i="11"/>
  <c r="B147" i="11"/>
  <c r="B143" i="11"/>
  <c r="B235" i="11"/>
  <c r="B188" i="11"/>
  <c r="B97" i="11"/>
  <c r="B76" i="11"/>
  <c r="B60" i="11"/>
  <c r="B44" i="11"/>
  <c r="B105" i="11"/>
  <c r="B68" i="11"/>
  <c r="B52" i="11"/>
  <c r="B278" i="12"/>
  <c r="B259" i="11"/>
  <c r="B254" i="11"/>
  <c r="B241" i="11"/>
  <c r="B194" i="11"/>
  <c r="B180" i="11"/>
  <c r="B159" i="11"/>
  <c r="B151" i="11"/>
  <c r="B145" i="11"/>
  <c r="B264" i="11"/>
  <c r="B217" i="11"/>
  <c r="B205" i="11"/>
  <c r="B167" i="11"/>
  <c r="B104" i="11"/>
  <c r="B85" i="11"/>
  <c r="B67" i="11"/>
  <c r="B51" i="11"/>
  <c r="B271" i="11"/>
  <c r="B263" i="11"/>
  <c r="B253" i="11"/>
  <c r="B240" i="11"/>
  <c r="B226" i="11"/>
  <c r="B199" i="11"/>
  <c r="B193" i="11"/>
  <c r="B179" i="11"/>
  <c r="B166" i="11"/>
  <c r="B158" i="11"/>
  <c r="B144" i="11"/>
  <c r="B103" i="11"/>
  <c r="B95" i="11"/>
  <c r="B74" i="11"/>
  <c r="B66" i="11"/>
  <c r="B58" i="11"/>
  <c r="B50" i="11"/>
  <c r="B42" i="11"/>
  <c r="B82" i="11"/>
  <c r="B87" i="11"/>
  <c r="B174" i="11"/>
  <c r="B214" i="11"/>
  <c r="B280" i="9"/>
  <c r="D281" i="7"/>
  <c r="B279" i="7"/>
  <c r="B280" i="8"/>
  <c r="D285" i="9"/>
  <c r="B283" i="9"/>
  <c r="D283" i="10"/>
  <c r="B295" i="12"/>
  <c r="B302" i="14"/>
  <c r="B225" i="11"/>
  <c r="B157" i="11"/>
  <c r="D280" i="7"/>
  <c r="B278" i="7"/>
  <c r="B279" i="8"/>
  <c r="D284" i="9"/>
  <c r="D282" i="10"/>
  <c r="C295" i="12"/>
  <c r="B294" i="12"/>
  <c r="C302" i="14"/>
  <c r="B301" i="14"/>
  <c r="B165" i="11"/>
  <c r="B251" i="11"/>
  <c r="B232" i="11"/>
  <c r="B202" i="11"/>
  <c r="B197" i="11"/>
  <c r="B101" i="11"/>
  <c r="B93" i="11"/>
  <c r="B72" i="11"/>
  <c r="B64" i="11"/>
  <c r="B56" i="11"/>
  <c r="B48" i="11"/>
  <c r="B40" i="11"/>
  <c r="B212" i="11"/>
  <c r="C282" i="7"/>
  <c r="B277" i="7"/>
  <c r="C280" i="8"/>
  <c r="B278" i="8"/>
  <c r="D283" i="9"/>
  <c r="C284" i="10"/>
  <c r="D295" i="12"/>
  <c r="C294" i="12"/>
  <c r="B293" i="12"/>
  <c r="C301" i="14"/>
  <c r="B300" i="14"/>
  <c r="B276" i="11"/>
  <c r="B262" i="11"/>
  <c r="B208" i="11"/>
  <c r="B196" i="11"/>
  <c r="B191" i="11"/>
  <c r="B185" i="11"/>
  <c r="C281" i="7"/>
  <c r="B276" i="7"/>
  <c r="C279" i="8"/>
  <c r="B277" i="8"/>
  <c r="C285" i="9"/>
  <c r="C283" i="10"/>
  <c r="D294" i="12"/>
  <c r="C293" i="12"/>
  <c r="B292" i="12"/>
  <c r="C300" i="14"/>
  <c r="C280" i="7"/>
  <c r="D280" i="8"/>
  <c r="C278" i="8"/>
  <c r="B276" i="8"/>
  <c r="C284" i="9"/>
  <c r="C282" i="10"/>
  <c r="D293" i="12"/>
  <c r="B291" i="12"/>
  <c r="B243" i="11"/>
  <c r="B189" i="11"/>
  <c r="B106" i="11"/>
  <c r="B98" i="11"/>
  <c r="B90" i="11"/>
  <c r="B77" i="11"/>
  <c r="B69" i="11"/>
  <c r="B61" i="11"/>
  <c r="B53" i="11"/>
  <c r="B45" i="11"/>
  <c r="B244" i="11"/>
  <c r="B177" i="11"/>
  <c r="B282" i="7"/>
  <c r="B274" i="7"/>
  <c r="D279" i="8"/>
  <c r="B275" i="8"/>
  <c r="C283" i="9"/>
  <c r="B290" i="12"/>
  <c r="B297" i="14"/>
  <c r="B255" i="11"/>
  <c r="B247" i="11"/>
  <c r="B242" i="11"/>
  <c r="B228" i="11"/>
  <c r="B220" i="11"/>
  <c r="B182" i="11"/>
  <c r="B168" i="11"/>
  <c r="B160" i="11"/>
  <c r="B152" i="11"/>
  <c r="B146" i="11"/>
  <c r="B181" i="11"/>
  <c r="B176" i="11"/>
  <c r="B216" i="11"/>
  <c r="B281" i="10"/>
  <c r="B281" i="7"/>
  <c r="B273" i="7"/>
  <c r="D278" i="8"/>
  <c r="B285" i="9"/>
  <c r="B289" i="12"/>
  <c r="B265" i="11"/>
  <c r="B246" i="11"/>
  <c r="B227" i="11"/>
  <c r="B96" i="11"/>
  <c r="B75" i="11"/>
  <c r="B59" i="11"/>
  <c r="B43" i="11"/>
  <c r="B218" i="11"/>
  <c r="B81" i="11"/>
  <c r="B86" i="11"/>
  <c r="B175" i="11"/>
  <c r="B215" i="11"/>
  <c r="B280" i="10"/>
  <c r="D282" i="7"/>
  <c r="B280" i="7"/>
  <c r="B272" i="7"/>
  <c r="B284" i="9"/>
  <c r="D284" i="10"/>
  <c r="B282" i="10"/>
  <c r="AI8" i="32"/>
  <c r="Q8" i="32"/>
  <c r="Z8" i="32"/>
  <c r="T8" i="32"/>
  <c r="AC8" i="32"/>
  <c r="N8" i="32"/>
  <c r="AL8" i="32"/>
  <c r="W8" i="32"/>
  <c r="K8" i="32"/>
  <c r="H8" i="32"/>
  <c r="AF8" i="32"/>
  <c r="D288" i="7"/>
  <c r="C291" i="7"/>
  <c r="C283" i="7"/>
  <c r="B286" i="7"/>
  <c r="D287" i="7"/>
  <c r="C290" i="7"/>
  <c r="B293" i="7"/>
  <c r="B285" i="7"/>
  <c r="D286" i="7"/>
  <c r="C289" i="7"/>
  <c r="B292" i="7"/>
  <c r="B284" i="7"/>
  <c r="D293" i="7"/>
  <c r="D285" i="7"/>
  <c r="C288" i="7"/>
  <c r="B291" i="7"/>
  <c r="B283" i="7"/>
  <c r="B37" i="11"/>
  <c r="D292" i="7"/>
  <c r="D284" i="7"/>
  <c r="C287" i="7"/>
  <c r="B290" i="7"/>
  <c r="D291" i="7"/>
  <c r="D283" i="7"/>
  <c r="C286" i="7"/>
  <c r="B289" i="7"/>
  <c r="D290" i="7"/>
  <c r="C293" i="7"/>
  <c r="C285" i="7"/>
  <c r="B288" i="7"/>
  <c r="D289" i="7"/>
  <c r="C292" i="7"/>
  <c r="C284" i="7"/>
  <c r="B287" i="7"/>
  <c r="B141" i="11"/>
  <c r="B239" i="11"/>
  <c r="B35" i="11"/>
  <c r="B149" i="11"/>
  <c r="B36" i="11"/>
  <c r="J284" i="28"/>
  <c r="J47" i="28"/>
  <c r="I330" i="28"/>
  <c r="I333" i="28"/>
  <c r="I332" i="28"/>
  <c r="B282" i="2"/>
  <c r="B281" i="2"/>
  <c r="B302" i="17"/>
  <c r="B301" i="17"/>
  <c r="B270" i="2"/>
  <c r="B273" i="2"/>
  <c r="B300" i="17"/>
  <c r="B269" i="2"/>
  <c r="B299" i="16"/>
  <c r="B268" i="2"/>
  <c r="B298" i="16"/>
  <c r="B267" i="2"/>
  <c r="B287" i="2"/>
  <c r="B259" i="9"/>
  <c r="H356" i="28"/>
  <c r="T32" i="18"/>
  <c r="AC32" i="18"/>
  <c r="AL32" i="18"/>
  <c r="W32" i="18"/>
  <c r="H32" i="18"/>
  <c r="AF32" i="18"/>
  <c r="Q32" i="18"/>
  <c r="AO32" i="18"/>
  <c r="N32" i="18"/>
  <c r="Z32" i="18"/>
  <c r="K32" i="18"/>
  <c r="AI32" i="18"/>
  <c r="M335" i="28"/>
  <c r="B272" i="11"/>
  <c r="B125" i="11"/>
  <c r="B150" i="11"/>
  <c r="B281" i="11"/>
  <c r="B230" i="11"/>
  <c r="B201" i="11"/>
  <c r="B192" i="11"/>
  <c r="B275" i="10"/>
  <c r="B250" i="11"/>
  <c r="B126" i="11"/>
  <c r="B279" i="11"/>
  <c r="B238" i="11"/>
  <c r="B219" i="11"/>
  <c r="B209" i="11"/>
  <c r="B200" i="11"/>
  <c r="D288" i="11"/>
  <c r="C288" i="11"/>
  <c r="B288" i="11"/>
  <c r="B285" i="12"/>
  <c r="B277" i="12"/>
  <c r="B123" i="11"/>
  <c r="B231" i="11"/>
  <c r="B278" i="11"/>
  <c r="B270" i="11"/>
  <c r="D287" i="11"/>
  <c r="C287" i="11"/>
  <c r="B287" i="11"/>
  <c r="B284" i="12"/>
  <c r="B276" i="12"/>
  <c r="B280" i="11"/>
  <c r="B132" i="11"/>
  <c r="B269" i="11"/>
  <c r="D286" i="11"/>
  <c r="C286" i="11"/>
  <c r="B286" i="11"/>
  <c r="B283" i="12"/>
  <c r="B275" i="12"/>
  <c r="B133" i="11"/>
  <c r="B288" i="2"/>
  <c r="B279" i="10"/>
  <c r="B268" i="11"/>
  <c r="B128" i="11"/>
  <c r="B285" i="11"/>
  <c r="B282" i="12"/>
  <c r="B278" i="10"/>
  <c r="B267" i="11"/>
  <c r="B127" i="11"/>
  <c r="B284" i="11"/>
  <c r="B281" i="12"/>
  <c r="B236" i="11"/>
  <c r="B173" i="11"/>
  <c r="B291" i="2"/>
  <c r="B139" i="11"/>
  <c r="B277" i="10"/>
  <c r="B258" i="11"/>
  <c r="B283" i="11"/>
  <c r="B288" i="12"/>
  <c r="B210" i="11"/>
  <c r="B290" i="2"/>
  <c r="B276" i="10"/>
  <c r="B273" i="11"/>
  <c r="B257" i="11"/>
  <c r="B135" i="11"/>
  <c r="B282" i="11"/>
  <c r="B287" i="12"/>
  <c r="B286" i="12"/>
  <c r="N320" i="28"/>
  <c r="N322" i="28"/>
  <c r="N348" i="28"/>
  <c r="N332" i="28"/>
  <c r="N344" i="28"/>
  <c r="N324" i="28"/>
  <c r="N319" i="28"/>
  <c r="N356" i="28"/>
  <c r="N325" i="28"/>
  <c r="N336" i="28"/>
  <c r="N326" i="28"/>
  <c r="N355" i="28"/>
  <c r="M337" i="28"/>
  <c r="M349" i="28"/>
  <c r="M336" i="28"/>
  <c r="M284" i="28"/>
  <c r="M357" i="28"/>
  <c r="M50" i="28"/>
  <c r="M329" i="28"/>
  <c r="M356" i="28"/>
  <c r="M48" i="28"/>
  <c r="L322" i="28"/>
  <c r="L355" i="28"/>
  <c r="M47" i="28"/>
  <c r="M347" i="28"/>
  <c r="M331" i="28"/>
  <c r="M330" i="28"/>
  <c r="M155" i="28"/>
  <c r="M49" i="28"/>
  <c r="M333" i="28"/>
  <c r="M343" i="28"/>
  <c r="B240" i="9"/>
  <c r="C291" i="2"/>
  <c r="C290" i="2"/>
  <c r="C287" i="2"/>
  <c r="C288" i="2"/>
  <c r="D288" i="2"/>
  <c r="D291" i="2"/>
  <c r="B281" i="9"/>
  <c r="B279" i="9"/>
  <c r="B269" i="8"/>
  <c r="B274" i="8"/>
  <c r="B278" i="9"/>
  <c r="B273" i="8"/>
  <c r="B271" i="9"/>
  <c r="B282" i="9"/>
  <c r="K357" i="28"/>
  <c r="K335" i="28"/>
  <c r="K332" i="28"/>
  <c r="K330" i="28"/>
  <c r="K327" i="28"/>
  <c r="K326" i="28"/>
  <c r="J327" i="28"/>
  <c r="J337" i="28"/>
  <c r="J349" i="28"/>
  <c r="D290" i="2"/>
  <c r="J347" i="28"/>
  <c r="J332" i="28"/>
  <c r="J335" i="28"/>
  <c r="D287" i="2"/>
  <c r="I335" i="28"/>
  <c r="I323" i="28"/>
  <c r="I329" i="28"/>
  <c r="I327" i="28"/>
  <c r="I347" i="28"/>
  <c r="I337" i="28"/>
  <c r="I326" i="28"/>
  <c r="I344" i="28"/>
  <c r="I336" i="28"/>
  <c r="H357" i="28"/>
  <c r="Q139" i="32"/>
  <c r="K139" i="32"/>
  <c r="Z139" i="32"/>
  <c r="T139" i="32"/>
  <c r="AC139" i="32"/>
  <c r="N139" i="32"/>
  <c r="AL139" i="32"/>
  <c r="AI139" i="32"/>
  <c r="W139" i="32"/>
  <c r="H139" i="32"/>
  <c r="AF139" i="32"/>
  <c r="B270" i="12"/>
  <c r="B273" i="9"/>
  <c r="B266" i="8"/>
  <c r="B263" i="2"/>
  <c r="B272" i="10"/>
  <c r="H47" i="28"/>
  <c r="N146" i="18"/>
  <c r="AL146" i="18"/>
  <c r="W146" i="18"/>
  <c r="AC146" i="18"/>
  <c r="H146" i="18"/>
  <c r="AF146" i="18"/>
  <c r="Q146" i="18"/>
  <c r="AO146" i="18"/>
  <c r="Z146" i="18"/>
  <c r="T146" i="18"/>
  <c r="K146" i="18"/>
  <c r="AI146" i="18"/>
  <c r="B272" i="9"/>
  <c r="B271" i="10"/>
  <c r="B268" i="8"/>
  <c r="B266" i="2"/>
  <c r="B252" i="10"/>
  <c r="B270" i="7"/>
  <c r="B271" i="12"/>
  <c r="B271" i="8"/>
  <c r="B276" i="9"/>
  <c r="B270" i="8"/>
  <c r="B275" i="9"/>
  <c r="B274" i="9"/>
  <c r="B244" i="10"/>
  <c r="B274" i="10"/>
  <c r="B274" i="12"/>
  <c r="B273" i="10"/>
  <c r="B273" i="12"/>
  <c r="B269" i="7"/>
  <c r="B272" i="12"/>
  <c r="B243" i="9"/>
  <c r="B236" i="10"/>
  <c r="B272" i="8"/>
  <c r="H324" i="28"/>
  <c r="H323" i="28"/>
  <c r="H329" i="28"/>
  <c r="H321" i="28"/>
  <c r="H322" i="28"/>
  <c r="H320" i="28"/>
  <c r="H355" i="28"/>
  <c r="H326" i="28"/>
  <c r="H325" i="28"/>
  <c r="T171" i="29"/>
  <c r="AI171" i="29"/>
  <c r="Q171" i="29"/>
  <c r="AF171" i="29"/>
  <c r="W171" i="29"/>
  <c r="N171" i="29"/>
  <c r="Z171" i="29"/>
  <c r="AC171" i="29"/>
  <c r="H171" i="29"/>
  <c r="K171" i="29"/>
  <c r="N349" i="28"/>
  <c r="M348" i="28"/>
  <c r="M332" i="28"/>
  <c r="L349" i="28"/>
  <c r="L335" i="28"/>
  <c r="L329" i="28"/>
  <c r="L323" i="28"/>
  <c r="J322" i="28"/>
  <c r="J333" i="28"/>
  <c r="J344" i="28"/>
  <c r="B262" i="2"/>
  <c r="B261" i="2"/>
  <c r="J330" i="28"/>
  <c r="B271" i="7"/>
  <c r="H349" i="28"/>
  <c r="I322" i="28"/>
  <c r="B256" i="2"/>
  <c r="B265" i="2"/>
  <c r="B264" i="2"/>
  <c r="B278" i="2"/>
  <c r="B279" i="2"/>
  <c r="B277" i="2"/>
  <c r="B276" i="2"/>
  <c r="B275" i="2"/>
  <c r="B274" i="2"/>
  <c r="B286" i="2"/>
  <c r="B272" i="2"/>
  <c r="B271" i="2"/>
  <c r="B285" i="2"/>
  <c r="B260" i="2"/>
  <c r="B284" i="2"/>
  <c r="B283" i="2"/>
  <c r="B259" i="2"/>
  <c r="B280" i="2"/>
  <c r="H332" i="28"/>
  <c r="H319" i="28"/>
  <c r="H330" i="28"/>
  <c r="L327" i="28"/>
  <c r="J323" i="28"/>
  <c r="B232" i="2"/>
  <c r="B224" i="2"/>
  <c r="B263" i="7"/>
  <c r="B245" i="7"/>
  <c r="B257" i="2"/>
  <c r="B265" i="8"/>
  <c r="B244" i="7"/>
  <c r="B239" i="2"/>
  <c r="B268" i="7"/>
  <c r="B267" i="7"/>
  <c r="B233" i="2"/>
  <c r="B266" i="7"/>
  <c r="B221" i="2"/>
  <c r="B267" i="8"/>
  <c r="B258" i="2"/>
  <c r="L347" i="28"/>
  <c r="J343" i="28"/>
  <c r="I343" i="28"/>
  <c r="N323" i="28"/>
  <c r="N343" i="28"/>
  <c r="N327" i="28"/>
  <c r="W95" i="32"/>
  <c r="Q97" i="32"/>
  <c r="N98" i="32"/>
  <c r="AL98" i="32"/>
  <c r="K99" i="32"/>
  <c r="AI99" i="32"/>
  <c r="AC95" i="32"/>
  <c r="Z99" i="32"/>
  <c r="H95" i="32"/>
  <c r="AF95" i="32"/>
  <c r="Z97" i="32"/>
  <c r="W98" i="32"/>
  <c r="T99" i="32"/>
  <c r="T98" i="32"/>
  <c r="N95" i="32"/>
  <c r="AF97" i="32"/>
  <c r="AC98" i="32"/>
  <c r="Q95" i="32"/>
  <c r="K97" i="32"/>
  <c r="AI97" i="32"/>
  <c r="H98" i="32"/>
  <c r="AF98" i="32"/>
  <c r="AC99" i="32"/>
  <c r="Q99" i="32"/>
  <c r="H97" i="32"/>
  <c r="Z95" i="32"/>
  <c r="T97" i="32"/>
  <c r="Q98" i="32"/>
  <c r="N99" i="32"/>
  <c r="AL99" i="32"/>
  <c r="W97" i="32"/>
  <c r="K95" i="32"/>
  <c r="AI95" i="32"/>
  <c r="AC97" i="32"/>
  <c r="Z98" i="32"/>
  <c r="W99" i="32"/>
  <c r="AL95" i="32"/>
  <c r="T95" i="32"/>
  <c r="N97" i="32"/>
  <c r="AL97" i="32"/>
  <c r="K98" i="32"/>
  <c r="AI98" i="32"/>
  <c r="H99" i="32"/>
  <c r="AF99" i="32"/>
  <c r="H94" i="29"/>
  <c r="AF94" i="29"/>
  <c r="N94" i="29"/>
  <c r="AL94" i="29"/>
  <c r="K95" i="29"/>
  <c r="AI95" i="29"/>
  <c r="W94" i="29"/>
  <c r="T95" i="29"/>
  <c r="Q94" i="29"/>
  <c r="N95" i="29"/>
  <c r="AL95" i="29"/>
  <c r="Z94" i="29"/>
  <c r="W95" i="29"/>
  <c r="AC95" i="29"/>
  <c r="K94" i="29"/>
  <c r="AI94" i="29"/>
  <c r="H95" i="29"/>
  <c r="AF95" i="29"/>
  <c r="T94" i="29"/>
  <c r="Q95" i="29"/>
  <c r="AC94" i="29"/>
  <c r="Z95" i="29"/>
  <c r="B234" i="9"/>
  <c r="B222" i="2"/>
  <c r="B235" i="9"/>
  <c r="B226" i="2"/>
  <c r="B223" i="2"/>
  <c r="B225" i="2"/>
  <c r="B241" i="9"/>
  <c r="B258" i="9"/>
  <c r="AC37" i="23"/>
  <c r="N37" i="23"/>
  <c r="AL37" i="23"/>
  <c r="T37" i="23"/>
  <c r="W37" i="23"/>
  <c r="H37" i="23"/>
  <c r="AF37" i="23"/>
  <c r="Q37" i="23"/>
  <c r="AO37" i="23"/>
  <c r="Z37" i="23"/>
  <c r="K37" i="23"/>
  <c r="AI37" i="23"/>
  <c r="B251" i="10"/>
  <c r="B237" i="8"/>
  <c r="B253" i="8"/>
  <c r="B259" i="7"/>
  <c r="B245" i="8"/>
  <c r="B266" i="9"/>
  <c r="B259" i="10"/>
  <c r="B243" i="7"/>
  <c r="B250" i="9"/>
  <c r="B243" i="10"/>
  <c r="B254" i="2"/>
  <c r="B238" i="2"/>
  <c r="B251" i="7"/>
  <c r="B261" i="8"/>
  <c r="B236" i="8"/>
  <c r="B253" i="2"/>
  <c r="B245" i="2"/>
  <c r="B237" i="2"/>
  <c r="B258" i="7"/>
  <c r="B250" i="7"/>
  <c r="B242" i="7"/>
  <c r="B260" i="8"/>
  <c r="B252" i="8"/>
  <c r="B244" i="8"/>
  <c r="B265" i="9"/>
  <c r="B257" i="9"/>
  <c r="B249" i="9"/>
  <c r="B266" i="10"/>
  <c r="B258" i="10"/>
  <c r="B250" i="10"/>
  <c r="B252" i="2"/>
  <c r="B244" i="2"/>
  <c r="B236" i="2"/>
  <c r="B265" i="7"/>
  <c r="B257" i="7"/>
  <c r="B249" i="7"/>
  <c r="B259" i="8"/>
  <c r="B251" i="8"/>
  <c r="B243" i="8"/>
  <c r="B264" i="9"/>
  <c r="B256" i="9"/>
  <c r="B248" i="9"/>
  <c r="B265" i="10"/>
  <c r="B257" i="10"/>
  <c r="B249" i="10"/>
  <c r="B251" i="2"/>
  <c r="B243" i="2"/>
  <c r="B235" i="2"/>
  <c r="B264" i="7"/>
  <c r="B256" i="7"/>
  <c r="B248" i="7"/>
  <c r="B258" i="8"/>
  <c r="B250" i="8"/>
  <c r="B242" i="8"/>
  <c r="B263" i="9"/>
  <c r="B255" i="9"/>
  <c r="B247" i="9"/>
  <c r="B264" i="10"/>
  <c r="B256" i="10"/>
  <c r="B248" i="10"/>
  <c r="B235" i="7"/>
  <c r="B220" i="2"/>
  <c r="B250" i="2"/>
  <c r="B242" i="2"/>
  <c r="B234" i="2"/>
  <c r="B255" i="7"/>
  <c r="B247" i="7"/>
  <c r="B257" i="8"/>
  <c r="B249" i="8"/>
  <c r="B241" i="8"/>
  <c r="B270" i="9"/>
  <c r="B262" i="9"/>
  <c r="B254" i="9"/>
  <c r="B246" i="9"/>
  <c r="B263" i="10"/>
  <c r="B255" i="10"/>
  <c r="B247" i="10"/>
  <c r="B246" i="2"/>
  <c r="B267" i="10"/>
  <c r="B238" i="10"/>
  <c r="B237" i="10"/>
  <c r="B238" i="8"/>
  <c r="B227" i="2"/>
  <c r="B240" i="7"/>
  <c r="B249" i="2"/>
  <c r="B241" i="2"/>
  <c r="B262" i="7"/>
  <c r="B254" i="7"/>
  <c r="B246" i="7"/>
  <c r="B264" i="8"/>
  <c r="B256" i="8"/>
  <c r="B248" i="8"/>
  <c r="B269" i="9"/>
  <c r="B261" i="9"/>
  <c r="B253" i="9"/>
  <c r="B245" i="9"/>
  <c r="B270" i="10"/>
  <c r="B262" i="10"/>
  <c r="B254" i="10"/>
  <c r="B246" i="10"/>
  <c r="B248" i="2"/>
  <c r="B240" i="2"/>
  <c r="B261" i="7"/>
  <c r="B253" i="7"/>
  <c r="B263" i="8"/>
  <c r="B255" i="8"/>
  <c r="B247" i="8"/>
  <c r="B268" i="9"/>
  <c r="B260" i="9"/>
  <c r="B252" i="9"/>
  <c r="B244" i="9"/>
  <c r="B269" i="10"/>
  <c r="B261" i="10"/>
  <c r="B253" i="10"/>
  <c r="B245" i="10"/>
  <c r="B255" i="2"/>
  <c r="B247" i="2"/>
  <c r="B260" i="7"/>
  <c r="B252" i="7"/>
  <c r="B262" i="8"/>
  <c r="B254" i="8"/>
  <c r="B246" i="8"/>
  <c r="B267" i="9"/>
  <c r="B251" i="9"/>
  <c r="B268" i="10"/>
  <c r="B260" i="10"/>
  <c r="N328" i="28"/>
  <c r="M319" i="28"/>
  <c r="B229" i="2"/>
  <c r="B228" i="2"/>
  <c r="B241" i="7"/>
  <c r="B233" i="7"/>
  <c r="B235" i="8"/>
  <c r="B239" i="9"/>
  <c r="B235" i="10"/>
  <c r="B234" i="8"/>
  <c r="B238" i="9"/>
  <c r="B242" i="10"/>
  <c r="B234" i="10"/>
  <c r="B239" i="7"/>
  <c r="B233" i="8"/>
  <c r="B237" i="9"/>
  <c r="B241" i="10"/>
  <c r="B238" i="7"/>
  <c r="B240" i="8"/>
  <c r="B232" i="8"/>
  <c r="B236" i="9"/>
  <c r="B240" i="10"/>
  <c r="B234" i="7"/>
  <c r="B237" i="7"/>
  <c r="B239" i="8"/>
  <c r="B239" i="10"/>
  <c r="B231" i="2"/>
  <c r="B236" i="7"/>
  <c r="B242" i="9"/>
  <c r="B230" i="2"/>
  <c r="D301" i="17"/>
  <c r="B299" i="17"/>
  <c r="B302" i="16"/>
  <c r="D301" i="16"/>
  <c r="B301" i="16"/>
  <c r="B300" i="16"/>
  <c r="D34" i="23"/>
  <c r="D33" i="23"/>
  <c r="D32" i="23"/>
  <c r="D31" i="23"/>
  <c r="D30" i="23"/>
  <c r="D29" i="23"/>
  <c r="D28" i="23"/>
  <c r="D27" i="23"/>
  <c r="D11" i="18"/>
  <c r="D12" i="18" l="1"/>
  <c r="U124" i="18"/>
  <c r="R154" i="32"/>
  <c r="L137" i="32"/>
  <c r="O126" i="18"/>
  <c r="U123" i="18"/>
  <c r="AD137" i="32"/>
  <c r="AJ153" i="32"/>
  <c r="AD34" i="23"/>
  <c r="AM126" i="18"/>
  <c r="AA137" i="32"/>
  <c r="R56" i="32"/>
  <c r="L125" i="18"/>
  <c r="F137" i="32"/>
  <c r="AD124" i="18"/>
  <c r="D154" i="32"/>
  <c r="O56" i="32"/>
  <c r="U154" i="32"/>
  <c r="AM124" i="18"/>
  <c r="O121" i="18"/>
  <c r="AA125" i="18"/>
  <c r="I138" i="32"/>
  <c r="AJ126" i="18"/>
  <c r="X34" i="23"/>
  <c r="U56" i="32"/>
  <c r="X122" i="18"/>
  <c r="X123" i="18"/>
  <c r="AA135" i="32"/>
  <c r="AA123" i="18"/>
  <c r="R34" i="23"/>
  <c r="I154" i="32"/>
  <c r="AJ34" i="23"/>
  <c r="X56" i="32"/>
  <c r="AG153" i="32"/>
  <c r="R121" i="18"/>
  <c r="R152" i="32"/>
  <c r="AJ152" i="32"/>
  <c r="AJ154" i="32"/>
  <c r="AJ123" i="18"/>
  <c r="O124" i="18"/>
  <c r="AA126" i="18"/>
  <c r="AG34" i="23"/>
  <c r="L138" i="32"/>
  <c r="L122" i="18"/>
  <c r="F154" i="32"/>
  <c r="L126" i="18"/>
  <c r="AA34" i="23"/>
  <c r="AG125" i="18"/>
  <c r="R122" i="18"/>
  <c r="X135" i="32"/>
  <c r="AG123" i="18"/>
  <c r="AD56" i="32"/>
  <c r="F34" i="23"/>
  <c r="D137" i="32"/>
  <c r="O125" i="18"/>
  <c r="F126" i="18"/>
  <c r="U152" i="32"/>
  <c r="AG121" i="18"/>
  <c r="D152" i="32"/>
  <c r="AG138" i="32"/>
  <c r="AM125" i="18"/>
  <c r="I126" i="18"/>
  <c r="O34" i="23"/>
  <c r="AD123" i="18"/>
  <c r="U153" i="32"/>
  <c r="F124" i="18"/>
  <c r="AJ125" i="18"/>
  <c r="AG56" i="32"/>
  <c r="O135" i="32"/>
  <c r="R137" i="32"/>
  <c r="L123" i="18"/>
  <c r="X126" i="18"/>
  <c r="AD121" i="18"/>
  <c r="AM123" i="18"/>
  <c r="AD125" i="18"/>
  <c r="AD152" i="32"/>
  <c r="U126" i="18"/>
  <c r="R135" i="32"/>
  <c r="AG135" i="32"/>
  <c r="AA154" i="32"/>
  <c r="D135" i="32"/>
  <c r="R123" i="18"/>
  <c r="X124" i="18"/>
  <c r="L135" i="32"/>
  <c r="R138" i="32"/>
  <c r="F123" i="18"/>
  <c r="D56" i="32"/>
  <c r="X138" i="32"/>
  <c r="D153" i="32"/>
  <c r="AA56" i="32"/>
  <c r="F56" i="32"/>
  <c r="L154" i="32"/>
  <c r="F121" i="18"/>
  <c r="AG124" i="18"/>
  <c r="AD126" i="18"/>
  <c r="AM122" i="18"/>
  <c r="AJ135" i="32"/>
  <c r="AJ121" i="18"/>
  <c r="U122" i="18"/>
  <c r="O154" i="32"/>
  <c r="AG154" i="32"/>
  <c r="AJ122" i="18"/>
  <c r="AA152" i="32"/>
  <c r="I121" i="18"/>
  <c r="X125" i="18"/>
  <c r="F135" i="32"/>
  <c r="U138" i="32"/>
  <c r="I125" i="18"/>
  <c r="AA153" i="32"/>
  <c r="AA122" i="18"/>
  <c r="O123" i="18"/>
  <c r="I123" i="18"/>
  <c r="AD138" i="32"/>
  <c r="U135" i="32"/>
  <c r="U34" i="23"/>
  <c r="AA121" i="18"/>
  <c r="AJ137" i="32"/>
  <c r="F138" i="32"/>
  <c r="X154" i="32"/>
  <c r="AG137" i="32"/>
  <c r="I34" i="23"/>
  <c r="AD122" i="18"/>
  <c r="X137" i="32"/>
  <c r="I122" i="18"/>
  <c r="I124" i="18"/>
  <c r="AJ56" i="32"/>
  <c r="I137" i="32"/>
  <c r="AM34" i="23"/>
  <c r="I152" i="32"/>
  <c r="AG126" i="18"/>
  <c r="D138" i="32"/>
  <c r="AD135" i="32"/>
  <c r="L121" i="18"/>
  <c r="AM121" i="18"/>
  <c r="F125" i="18"/>
  <c r="L153" i="32"/>
  <c r="X152" i="32"/>
  <c r="AA138" i="32"/>
  <c r="L34" i="23"/>
  <c r="AD153" i="32"/>
  <c r="O122" i="18"/>
  <c r="R126" i="18"/>
  <c r="F122" i="18"/>
  <c r="L56" i="32"/>
  <c r="AG152" i="32"/>
  <c r="AJ138" i="32"/>
  <c r="U137" i="32"/>
  <c r="F152" i="32"/>
  <c r="R125" i="18"/>
  <c r="U121" i="18"/>
  <c r="U125" i="18"/>
  <c r="F153" i="32"/>
  <c r="O138" i="32"/>
  <c r="R124" i="18"/>
  <c r="O153" i="32"/>
  <c r="AA124" i="18"/>
  <c r="L124" i="18"/>
  <c r="I153" i="32"/>
  <c r="L152" i="32"/>
  <c r="X153" i="32"/>
  <c r="X121" i="18"/>
  <c r="O137" i="32"/>
  <c r="I135" i="32"/>
  <c r="AD154" i="32"/>
  <c r="R153" i="32"/>
  <c r="AG122" i="18"/>
  <c r="I56" i="32"/>
  <c r="O152" i="32"/>
  <c r="AJ124" i="18"/>
  <c r="AC153" i="32" l="1"/>
  <c r="K121" i="18"/>
  <c r="N56" i="32"/>
  <c r="K138" i="32"/>
  <c r="Z122" i="18"/>
  <c r="K56" i="32"/>
  <c r="T135" i="32"/>
  <c r="AI135" i="32"/>
  <c r="K123" i="18"/>
  <c r="Q153" i="32"/>
  <c r="W153" i="32"/>
  <c r="AF34" i="23"/>
  <c r="AI152" i="32"/>
  <c r="AF153" i="32"/>
  <c r="H34" i="23"/>
  <c r="AL154" i="32"/>
  <c r="AI153" i="32"/>
  <c r="K34" i="23"/>
  <c r="Z154" i="32"/>
  <c r="AC34" i="23"/>
  <c r="K153" i="32"/>
  <c r="AI125" i="18"/>
  <c r="AL125" i="18"/>
  <c r="AO123" i="18"/>
  <c r="H123" i="18"/>
  <c r="Q138" i="32"/>
  <c r="N135" i="32"/>
  <c r="AC126" i="18"/>
  <c r="K152" i="32"/>
  <c r="AC154" i="32"/>
  <c r="W34" i="23"/>
  <c r="Q56" i="32"/>
  <c r="Z56" i="32"/>
  <c r="AC152" i="32"/>
  <c r="N154" i="32"/>
  <c r="T125" i="18"/>
  <c r="AF152" i="32"/>
  <c r="Q34" i="23"/>
  <c r="AI34" i="23"/>
  <c r="AI56" i="32"/>
  <c r="Z121" i="18"/>
  <c r="AI122" i="18"/>
  <c r="H121" i="18"/>
  <c r="T121" i="18"/>
  <c r="Q135" i="32"/>
  <c r="W121" i="18"/>
  <c r="W123" i="18"/>
  <c r="H124" i="18"/>
  <c r="K126" i="18"/>
  <c r="T138" i="32"/>
  <c r="W138" i="32"/>
  <c r="AI124" i="18"/>
  <c r="N137" i="32"/>
  <c r="H122" i="18"/>
  <c r="AI154" i="32"/>
  <c r="Z34" i="23"/>
  <c r="H152" i="32"/>
  <c r="AF154" i="32"/>
  <c r="W154" i="32"/>
  <c r="Q137" i="32"/>
  <c r="T126" i="18"/>
  <c r="N126" i="18"/>
  <c r="AC123" i="18"/>
  <c r="H135" i="32"/>
  <c r="W122" i="18"/>
  <c r="AF137" i="32"/>
  <c r="AO126" i="18"/>
  <c r="AL122" i="18"/>
  <c r="Z135" i="32"/>
  <c r="K135" i="32"/>
  <c r="Q124" i="18"/>
  <c r="AL121" i="18"/>
  <c r="AL135" i="32"/>
  <c r="K137" i="32"/>
  <c r="AI123" i="18"/>
  <c r="AF125" i="18"/>
  <c r="T124" i="18"/>
  <c r="N123" i="18"/>
  <c r="Q125" i="18"/>
  <c r="AF126" i="18"/>
  <c r="W137" i="32"/>
  <c r="Z137" i="32"/>
  <c r="K124" i="18"/>
  <c r="H125" i="18"/>
  <c r="T122" i="18"/>
  <c r="K122" i="18"/>
  <c r="N152" i="32"/>
  <c r="W126" i="18"/>
  <c r="AC121" i="18"/>
  <c r="H137" i="32"/>
  <c r="AF138" i="32"/>
  <c r="Q126" i="18"/>
  <c r="AI138" i="32"/>
  <c r="AL138" i="32"/>
  <c r="AC122" i="18"/>
  <c r="Q122" i="18"/>
  <c r="N121" i="18"/>
  <c r="AO121" i="18"/>
  <c r="Z125" i="18"/>
  <c r="H154" i="32"/>
  <c r="T56" i="32"/>
  <c r="AF56" i="32"/>
  <c r="AC56" i="32"/>
  <c r="Z152" i="32"/>
  <c r="AO34" i="23"/>
  <c r="AF122" i="18"/>
  <c r="N125" i="18"/>
  <c r="AF121" i="18"/>
  <c r="N122" i="18"/>
  <c r="AC138" i="32"/>
  <c r="N124" i="18"/>
  <c r="AO122" i="18"/>
  <c r="W135" i="32"/>
  <c r="AF124" i="18"/>
  <c r="AI126" i="18"/>
  <c r="K125" i="18"/>
  <c r="Z153" i="32"/>
  <c r="N153" i="32"/>
  <c r="N34" i="23"/>
  <c r="AL34" i="23"/>
  <c r="T34" i="23"/>
  <c r="Q154" i="32"/>
  <c r="AL153" i="32"/>
  <c r="W152" i="32"/>
  <c r="Q152" i="32"/>
  <c r="AI137" i="32"/>
  <c r="AC124" i="18"/>
  <c r="Z123" i="18"/>
  <c r="AL126" i="18"/>
  <c r="W124" i="18"/>
  <c r="AC135" i="32"/>
  <c r="AF135" i="32"/>
  <c r="Q123" i="18"/>
  <c r="AL137" i="32"/>
  <c r="T123" i="18"/>
  <c r="AL124" i="18"/>
  <c r="T137" i="32"/>
  <c r="AO124" i="18"/>
  <c r="Z124" i="18"/>
  <c r="T154" i="32"/>
  <c r="AL152" i="32"/>
  <c r="H153" i="32"/>
  <c r="W56" i="32"/>
  <c r="T152" i="32"/>
  <c r="K154" i="32"/>
  <c r="AL56" i="32"/>
  <c r="H56" i="32"/>
  <c r="T153" i="32"/>
  <c r="Z126" i="18"/>
  <c r="H138" i="32"/>
  <c r="W125" i="18"/>
  <c r="N138" i="32"/>
  <c r="AI121" i="18"/>
  <c r="AC137" i="32"/>
  <c r="Z138" i="32"/>
  <c r="H126" i="18"/>
  <c r="AL123" i="18"/>
  <c r="AO125" i="18"/>
  <c r="Q121" i="18"/>
  <c r="AF123" i="18"/>
  <c r="AC125" i="18"/>
  <c r="D13" i="18"/>
  <c r="D14" i="18" l="1"/>
  <c r="D15" i="18" l="1"/>
  <c r="F15" i="18"/>
  <c r="H15" i="18" l="1"/>
  <c r="D16" i="18"/>
  <c r="I15" i="18"/>
  <c r="R15" i="18"/>
  <c r="AJ15" i="18"/>
  <c r="AD15" i="18"/>
  <c r="F16" i="18"/>
  <c r="O15" i="18"/>
  <c r="AG15" i="18"/>
  <c r="U15" i="18"/>
  <c r="AA15" i="18"/>
  <c r="X15" i="18"/>
  <c r="AM15" i="18"/>
  <c r="L15" i="18"/>
  <c r="AL15" i="18" l="1"/>
  <c r="Z15" i="18"/>
  <c r="N15" i="18"/>
  <c r="K15" i="18"/>
  <c r="W15" i="18"/>
  <c r="T15" i="18"/>
  <c r="AF15" i="18"/>
  <c r="AI15" i="18"/>
  <c r="AO15" i="18"/>
  <c r="AC15" i="18"/>
  <c r="Q15" i="18"/>
  <c r="H16" i="18"/>
  <c r="E297" i="17"/>
  <c r="E298" i="17"/>
  <c r="F297" i="17"/>
  <c r="G297" i="17" s="1"/>
  <c r="F298" i="17"/>
  <c r="G298" i="17" s="1"/>
  <c r="D18" i="23"/>
  <c r="D190" i="1"/>
  <c r="E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D107" i="1"/>
  <c r="E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F219" i="17"/>
  <c r="G219" i="17" s="1"/>
  <c r="F220" i="17"/>
  <c r="G220" i="17" s="1"/>
  <c r="F221" i="17"/>
  <c r="G221" i="17" s="1"/>
  <c r="F222" i="17"/>
  <c r="G222" i="17" s="1"/>
  <c r="F223" i="17"/>
  <c r="G223" i="17" s="1"/>
  <c r="F224" i="17"/>
  <c r="G224" i="17" s="1"/>
  <c r="F225" i="17"/>
  <c r="G225" i="17" s="1"/>
  <c r="F226" i="17"/>
  <c r="G226" i="17" s="1"/>
  <c r="F227" i="17"/>
  <c r="G227" i="17" s="1"/>
  <c r="F228" i="17"/>
  <c r="G228" i="17" s="1"/>
  <c r="F229" i="17"/>
  <c r="G229" i="17" s="1"/>
  <c r="F230" i="17"/>
  <c r="G230" i="17" s="1"/>
  <c r="F231" i="17"/>
  <c r="G231" i="17" s="1"/>
  <c r="F232" i="17"/>
  <c r="G232" i="17" s="1"/>
  <c r="F233" i="17"/>
  <c r="G233" i="17" s="1"/>
  <c r="F234" i="17"/>
  <c r="G234" i="17" s="1"/>
  <c r="F235" i="17"/>
  <c r="G235" i="17" s="1"/>
  <c r="F236" i="17"/>
  <c r="G236" i="17" s="1"/>
  <c r="F237" i="17"/>
  <c r="G237" i="17" s="1"/>
  <c r="F238" i="17"/>
  <c r="G238" i="17" s="1"/>
  <c r="F239" i="17"/>
  <c r="G239" i="17" s="1"/>
  <c r="F240" i="17"/>
  <c r="G240" i="17" s="1"/>
  <c r="F241" i="17"/>
  <c r="G241" i="17" s="1"/>
  <c r="F242" i="17"/>
  <c r="G242" i="17" s="1"/>
  <c r="F243" i="17"/>
  <c r="G243" i="17" s="1"/>
  <c r="F244" i="17"/>
  <c r="G244" i="17" s="1"/>
  <c r="F245" i="17"/>
  <c r="G245" i="17" s="1"/>
  <c r="F246" i="17"/>
  <c r="G246" i="17" s="1"/>
  <c r="F247" i="17"/>
  <c r="G247" i="17" s="1"/>
  <c r="F248" i="17"/>
  <c r="G248" i="17" s="1"/>
  <c r="F249" i="17"/>
  <c r="G249" i="17" s="1"/>
  <c r="F250" i="17"/>
  <c r="G250" i="17" s="1"/>
  <c r="F251" i="17"/>
  <c r="G251" i="17" s="1"/>
  <c r="F252" i="17"/>
  <c r="G252" i="17" s="1"/>
  <c r="F253" i="17"/>
  <c r="G253" i="17" s="1"/>
  <c r="F254" i="17"/>
  <c r="G254" i="17" s="1"/>
  <c r="F255" i="17"/>
  <c r="G255" i="17" s="1"/>
  <c r="F256" i="17"/>
  <c r="G256" i="17" s="1"/>
  <c r="F257" i="17"/>
  <c r="G257" i="17" s="1"/>
  <c r="F258" i="17"/>
  <c r="G258" i="17" s="1"/>
  <c r="F259" i="17"/>
  <c r="G259" i="17" s="1"/>
  <c r="F260" i="17"/>
  <c r="G260" i="17" s="1"/>
  <c r="F261" i="17"/>
  <c r="G261" i="17" s="1"/>
  <c r="F262" i="17"/>
  <c r="G262" i="17" s="1"/>
  <c r="F263" i="17"/>
  <c r="G263" i="17" s="1"/>
  <c r="F264" i="17"/>
  <c r="G264" i="17" s="1"/>
  <c r="F265" i="17"/>
  <c r="G265" i="17" s="1"/>
  <c r="F266" i="17"/>
  <c r="G266" i="17" s="1"/>
  <c r="F267" i="17"/>
  <c r="G267" i="17" s="1"/>
  <c r="F268" i="17"/>
  <c r="G268" i="17" s="1"/>
  <c r="F269" i="17"/>
  <c r="G269" i="17" s="1"/>
  <c r="F270" i="17"/>
  <c r="G270" i="17" s="1"/>
  <c r="F271" i="17"/>
  <c r="G271" i="17" s="1"/>
  <c r="F272" i="17"/>
  <c r="G272" i="17" s="1"/>
  <c r="F273" i="17"/>
  <c r="G273" i="17" s="1"/>
  <c r="F274" i="17"/>
  <c r="G274" i="17" s="1"/>
  <c r="F275" i="17"/>
  <c r="G275" i="17" s="1"/>
  <c r="F276" i="17"/>
  <c r="G276" i="17" s="1"/>
  <c r="F277" i="17"/>
  <c r="G277" i="17" s="1"/>
  <c r="F278" i="17"/>
  <c r="G278" i="17" s="1"/>
  <c r="F279" i="17"/>
  <c r="G279" i="17" s="1"/>
  <c r="F280" i="17"/>
  <c r="G280" i="17" s="1"/>
  <c r="F281" i="17"/>
  <c r="G281" i="17" s="1"/>
  <c r="F282" i="17"/>
  <c r="G282" i="17" s="1"/>
  <c r="F283" i="17"/>
  <c r="G283" i="17" s="1"/>
  <c r="F284" i="17"/>
  <c r="G284" i="17" s="1"/>
  <c r="F285" i="17"/>
  <c r="G285" i="17" s="1"/>
  <c r="F286" i="17"/>
  <c r="G286" i="17" s="1"/>
  <c r="F287" i="17"/>
  <c r="G287" i="17" s="1"/>
  <c r="F288" i="17"/>
  <c r="G288" i="17" s="1"/>
  <c r="F289" i="17"/>
  <c r="G289" i="17" s="1"/>
  <c r="F290" i="17"/>
  <c r="G290" i="17" s="1"/>
  <c r="F291" i="17"/>
  <c r="G291" i="17" s="1"/>
  <c r="F292" i="17"/>
  <c r="G292" i="17" s="1"/>
  <c r="F293" i="17"/>
  <c r="G293" i="17" s="1"/>
  <c r="F294" i="17"/>
  <c r="G294" i="17" s="1"/>
  <c r="F295" i="17"/>
  <c r="G295" i="17" s="1"/>
  <c r="F296" i="17"/>
  <c r="G296" i="17" s="1"/>
  <c r="S284" i="28"/>
  <c r="S326" i="28"/>
  <c r="S327" i="28"/>
  <c r="S336" i="28"/>
  <c r="S337" i="28"/>
  <c r="S350" i="28"/>
  <c r="S353" i="28"/>
  <c r="S354" i="28"/>
  <c r="S355" i="28"/>
  <c r="S356" i="28"/>
  <c r="S342" i="28"/>
  <c r="C232" i="27"/>
  <c r="C233" i="27"/>
  <c r="C234" i="27"/>
  <c r="C235" i="27"/>
  <c r="C236" i="27"/>
  <c r="C237" i="27"/>
  <c r="C238" i="27"/>
  <c r="C239" i="27"/>
  <c r="C240" i="27"/>
  <c r="C241" i="27"/>
  <c r="C242" i="27"/>
  <c r="C243" i="27"/>
  <c r="C244" i="27"/>
  <c r="C245" i="27"/>
  <c r="C246" i="27"/>
  <c r="C247" i="27"/>
  <c r="C248" i="27"/>
  <c r="C249" i="27"/>
  <c r="C250" i="27"/>
  <c r="C251" i="27"/>
  <c r="C252" i="27"/>
  <c r="C253" i="27"/>
  <c r="C254" i="27"/>
  <c r="C255" i="27"/>
  <c r="C256" i="27"/>
  <c r="C257" i="27"/>
  <c r="C258" i="27"/>
  <c r="C259" i="27"/>
  <c r="C260" i="27"/>
  <c r="C261" i="27"/>
  <c r="C262" i="27"/>
  <c r="C263" i="27"/>
  <c r="C264" i="27"/>
  <c r="C265" i="27"/>
  <c r="C266" i="27"/>
  <c r="C267" i="27"/>
  <c r="C268" i="27"/>
  <c r="C269" i="27"/>
  <c r="C270" i="27"/>
  <c r="C271" i="27"/>
  <c r="C272" i="27"/>
  <c r="C273" i="27"/>
  <c r="C274" i="27"/>
  <c r="C275" i="27"/>
  <c r="C276" i="27"/>
  <c r="C277" i="27"/>
  <c r="C278" i="27"/>
  <c r="C279" i="27"/>
  <c r="C280" i="27"/>
  <c r="C281" i="27"/>
  <c r="C282" i="27"/>
  <c r="C283" i="27"/>
  <c r="C284" i="27"/>
  <c r="C285" i="27"/>
  <c r="C286" i="27"/>
  <c r="C287" i="27"/>
  <c r="C288" i="27"/>
  <c r="C289" i="27"/>
  <c r="C290" i="27"/>
  <c r="C291" i="27"/>
  <c r="C292" i="27"/>
  <c r="C293" i="27"/>
  <c r="C294" i="27"/>
  <c r="C295" i="27"/>
  <c r="C296" i="27"/>
  <c r="C297" i="27"/>
  <c r="C298" i="27"/>
  <c r="C299" i="27"/>
  <c r="C300" i="27"/>
  <c r="C301" i="27"/>
  <c r="C302" i="27"/>
  <c r="C303" i="27"/>
  <c r="C304" i="27"/>
  <c r="C305" i="27"/>
  <c r="C306" i="27"/>
  <c r="C307" i="27"/>
  <c r="C308" i="27"/>
  <c r="C309" i="27"/>
  <c r="C310" i="27"/>
  <c r="C311" i="27"/>
  <c r="C312" i="27"/>
  <c r="C313" i="27"/>
  <c r="C314" i="27"/>
  <c r="C315" i="27"/>
  <c r="C316" i="27"/>
  <c r="C317" i="27"/>
  <c r="C318" i="27"/>
  <c r="C319" i="27"/>
  <c r="C320" i="27"/>
  <c r="C321" i="27"/>
  <c r="C322" i="27"/>
  <c r="C323" i="27"/>
  <c r="C324" i="27"/>
  <c r="C325" i="27"/>
  <c r="C326" i="27"/>
  <c r="C327" i="27"/>
  <c r="C328" i="27"/>
  <c r="C329" i="27"/>
  <c r="C330" i="27"/>
  <c r="C331" i="27"/>
  <c r="C332" i="27"/>
  <c r="C333" i="27"/>
  <c r="C334" i="27"/>
  <c r="C335" i="27"/>
  <c r="C336" i="27"/>
  <c r="C337" i="27"/>
  <c r="C338" i="27"/>
  <c r="C339" i="27"/>
  <c r="C340" i="27"/>
  <c r="C341" i="27"/>
  <c r="C342" i="27"/>
  <c r="C343" i="27"/>
  <c r="C344" i="27"/>
  <c r="C345" i="27"/>
  <c r="C346" i="27"/>
  <c r="C347" i="27"/>
  <c r="C348" i="27"/>
  <c r="C349" i="27"/>
  <c r="C350" i="27"/>
  <c r="C351" i="27"/>
  <c r="C352" i="27"/>
  <c r="C353" i="27"/>
  <c r="C354" i="27"/>
  <c r="C355" i="27"/>
  <c r="C356" i="27"/>
  <c r="C357" i="27"/>
  <c r="C358" i="27"/>
  <c r="C359" i="27"/>
  <c r="C360" i="27"/>
  <c r="C361" i="27"/>
  <c r="C362" i="27"/>
  <c r="C363" i="27"/>
  <c r="C364" i="27"/>
  <c r="C365" i="27"/>
  <c r="C366" i="27"/>
  <c r="C367" i="27"/>
  <c r="C368" i="27"/>
  <c r="C369" i="27"/>
  <c r="C370" i="27"/>
  <c r="C371" i="27"/>
  <c r="C372" i="27"/>
  <c r="C373" i="27"/>
  <c r="C374" i="27"/>
  <c r="C375" i="27"/>
  <c r="C376" i="27"/>
  <c r="C377" i="27"/>
  <c r="C378" i="27"/>
  <c r="C379" i="27"/>
  <c r="C380" i="27"/>
  <c r="C381" i="27"/>
  <c r="C382" i="27"/>
  <c r="C383" i="27"/>
  <c r="C384" i="27"/>
  <c r="C385" i="27"/>
  <c r="C386" i="27"/>
  <c r="C387" i="27"/>
  <c r="C388" i="27"/>
  <c r="C389" i="27"/>
  <c r="C390" i="27"/>
  <c r="C391" i="27"/>
  <c r="C392" i="27"/>
  <c r="C393" i="27"/>
  <c r="C394" i="27"/>
  <c r="C395" i="27"/>
  <c r="C396" i="27"/>
  <c r="C397" i="27"/>
  <c r="C398" i="27"/>
  <c r="C399" i="27"/>
  <c r="C400" i="27"/>
  <c r="C401" i="27"/>
  <c r="C402" i="27"/>
  <c r="C403" i="27"/>
  <c r="C404" i="27"/>
  <c r="C405" i="27"/>
  <c r="C406" i="27"/>
  <c r="C407" i="27"/>
  <c r="C408" i="27"/>
  <c r="C409" i="27"/>
  <c r="C410" i="27"/>
  <c r="C411" i="27"/>
  <c r="C412" i="27"/>
  <c r="C413" i="27"/>
  <c r="C414" i="27"/>
  <c r="C415" i="27"/>
  <c r="C416" i="27"/>
  <c r="C417" i="27"/>
  <c r="C418" i="27"/>
  <c r="C419" i="27"/>
  <c r="C420" i="27"/>
  <c r="C421" i="27"/>
  <c r="C422" i="27"/>
  <c r="C423" i="27"/>
  <c r="C424" i="27"/>
  <c r="C425" i="27"/>
  <c r="C426" i="27"/>
  <c r="C427" i="27"/>
  <c r="C428" i="27"/>
  <c r="C429" i="27"/>
  <c r="C430" i="27"/>
  <c r="C431" i="27"/>
  <c r="C432" i="27"/>
  <c r="C433" i="27"/>
  <c r="C434" i="27"/>
  <c r="C435" i="27"/>
  <c r="C436" i="27"/>
  <c r="C437" i="27"/>
  <c r="C438" i="27"/>
  <c r="C439" i="27"/>
  <c r="C440" i="27"/>
  <c r="C441" i="27"/>
  <c r="C442" i="27"/>
  <c r="C443" i="27"/>
  <c r="C444" i="27"/>
  <c r="C445" i="27"/>
  <c r="C446" i="27"/>
  <c r="C447" i="27"/>
  <c r="C448" i="27"/>
  <c r="C449" i="27"/>
  <c r="C450" i="27"/>
  <c r="C451" i="27"/>
  <c r="C452" i="27"/>
  <c r="C453" i="27"/>
  <c r="C454" i="27"/>
  <c r="C455" i="27"/>
  <c r="C456" i="27"/>
  <c r="C457" i="27"/>
  <c r="C458" i="27"/>
  <c r="C459" i="27"/>
  <c r="C460" i="27"/>
  <c r="C461" i="27"/>
  <c r="C462" i="27"/>
  <c r="C463" i="27"/>
  <c r="C464" i="27"/>
  <c r="C465" i="27"/>
  <c r="C466" i="27"/>
  <c r="C467" i="27"/>
  <c r="C468" i="27"/>
  <c r="C469" i="27"/>
  <c r="C470" i="27"/>
  <c r="C471" i="27"/>
  <c r="C472" i="27"/>
  <c r="C473" i="27"/>
  <c r="C474" i="27"/>
  <c r="C475" i="27"/>
  <c r="C476" i="27"/>
  <c r="C477" i="27"/>
  <c r="C478" i="27"/>
  <c r="C479" i="27"/>
  <c r="C480" i="27"/>
  <c r="C481" i="27"/>
  <c r="C482" i="27"/>
  <c r="C483" i="27"/>
  <c r="C484" i="27"/>
  <c r="C485" i="27"/>
  <c r="C486" i="27"/>
  <c r="C487" i="27"/>
  <c r="C488" i="27"/>
  <c r="C489" i="27"/>
  <c r="C490" i="27"/>
  <c r="C491" i="27"/>
  <c r="C492" i="27"/>
  <c r="C493" i="27"/>
  <c r="C494" i="27"/>
  <c r="C495" i="27"/>
  <c r="C496" i="27"/>
  <c r="C497" i="27"/>
  <c r="C498" i="27"/>
  <c r="C499" i="27"/>
  <c r="C500" i="27"/>
  <c r="C501" i="27"/>
  <c r="C502" i="27"/>
  <c r="C503" i="27"/>
  <c r="C504" i="27"/>
  <c r="C505" i="27"/>
  <c r="C506" i="27"/>
  <c r="C507" i="27"/>
  <c r="C508" i="27"/>
  <c r="C509" i="27"/>
  <c r="C510" i="27"/>
  <c r="C511" i="27"/>
  <c r="C512" i="27"/>
  <c r="C513" i="27"/>
  <c r="C514" i="27"/>
  <c r="C515" i="27"/>
  <c r="C516" i="27"/>
  <c r="C517" i="27"/>
  <c r="C518" i="27"/>
  <c r="C519" i="27"/>
  <c r="C520" i="27"/>
  <c r="C521" i="27"/>
  <c r="C522" i="27"/>
  <c r="C523" i="27"/>
  <c r="C524" i="27"/>
  <c r="C525" i="27"/>
  <c r="C526" i="27"/>
  <c r="C527" i="27"/>
  <c r="C528" i="27"/>
  <c r="C529" i="27"/>
  <c r="C530" i="27"/>
  <c r="C531" i="27"/>
  <c r="C532" i="27"/>
  <c r="C533" i="27"/>
  <c r="C534" i="27"/>
  <c r="C535" i="27"/>
  <c r="C536" i="27"/>
  <c r="C537" i="27"/>
  <c r="C538" i="27"/>
  <c r="C539" i="27"/>
  <c r="C540" i="27"/>
  <c r="C541" i="27"/>
  <c r="C542" i="27"/>
  <c r="C543" i="27"/>
  <c r="C544" i="27"/>
  <c r="C545" i="27"/>
  <c r="C546" i="27"/>
  <c r="C547" i="27"/>
  <c r="C548" i="27"/>
  <c r="C549" i="27"/>
  <c r="C550" i="27"/>
  <c r="C551" i="27"/>
  <c r="C552" i="27"/>
  <c r="C553" i="27"/>
  <c r="C554" i="27"/>
  <c r="C555" i="27"/>
  <c r="C556" i="27"/>
  <c r="C557" i="27"/>
  <c r="C558" i="27"/>
  <c r="C559" i="27"/>
  <c r="C560" i="27"/>
  <c r="C561" i="27"/>
  <c r="C562" i="27"/>
  <c r="C563" i="27"/>
  <c r="C564" i="27"/>
  <c r="C565" i="27"/>
  <c r="C566" i="27"/>
  <c r="C567" i="27"/>
  <c r="C568" i="27"/>
  <c r="C569" i="27"/>
  <c r="C570" i="27"/>
  <c r="C571" i="27"/>
  <c r="C572" i="27"/>
  <c r="E232" i="27"/>
  <c r="E233" i="27"/>
  <c r="E234" i="27"/>
  <c r="E235" i="27"/>
  <c r="E236" i="27"/>
  <c r="E237" i="27"/>
  <c r="E238" i="27"/>
  <c r="E239" i="27"/>
  <c r="E240" i="27"/>
  <c r="E241" i="27"/>
  <c r="E242" i="27"/>
  <c r="E243" i="27"/>
  <c r="E244" i="27"/>
  <c r="E245" i="27"/>
  <c r="E246" i="27"/>
  <c r="E247" i="27"/>
  <c r="E248" i="27"/>
  <c r="E249" i="27"/>
  <c r="E250" i="27"/>
  <c r="E251" i="27"/>
  <c r="E252" i="27"/>
  <c r="E253" i="27"/>
  <c r="E254" i="27"/>
  <c r="E255" i="27"/>
  <c r="E256" i="27"/>
  <c r="E257" i="27"/>
  <c r="E258" i="27"/>
  <c r="E259" i="27"/>
  <c r="E260" i="27"/>
  <c r="E261" i="27"/>
  <c r="E262" i="27"/>
  <c r="E263" i="27"/>
  <c r="E264" i="27"/>
  <c r="E265" i="27"/>
  <c r="E266" i="27"/>
  <c r="E267" i="27"/>
  <c r="E268" i="27"/>
  <c r="E269" i="27"/>
  <c r="E270" i="27"/>
  <c r="E271" i="27"/>
  <c r="E272" i="27"/>
  <c r="E273" i="27"/>
  <c r="E274" i="27"/>
  <c r="E275" i="27"/>
  <c r="E276" i="27"/>
  <c r="E277" i="27"/>
  <c r="E278" i="27"/>
  <c r="E279" i="27"/>
  <c r="E280" i="27"/>
  <c r="E281" i="27"/>
  <c r="E282" i="27"/>
  <c r="E283" i="27"/>
  <c r="E284" i="27"/>
  <c r="E285" i="27"/>
  <c r="E286" i="27"/>
  <c r="E287" i="27"/>
  <c r="E288" i="27"/>
  <c r="E289" i="27"/>
  <c r="E290" i="27"/>
  <c r="E291" i="27"/>
  <c r="E292" i="27"/>
  <c r="E293" i="27"/>
  <c r="E294" i="27"/>
  <c r="E295" i="27"/>
  <c r="E296" i="27"/>
  <c r="E297" i="27"/>
  <c r="E298" i="27"/>
  <c r="E299" i="27"/>
  <c r="E300" i="27"/>
  <c r="E301" i="27"/>
  <c r="E302" i="27"/>
  <c r="E303" i="27"/>
  <c r="E304" i="27"/>
  <c r="E305" i="27"/>
  <c r="E306" i="27"/>
  <c r="E307" i="27"/>
  <c r="E308" i="27"/>
  <c r="E309" i="27"/>
  <c r="E310" i="27"/>
  <c r="E311" i="27"/>
  <c r="E312" i="27"/>
  <c r="E313" i="27"/>
  <c r="E314" i="27"/>
  <c r="E315" i="27"/>
  <c r="E316" i="27"/>
  <c r="E317" i="27"/>
  <c r="E318" i="27"/>
  <c r="E319" i="27"/>
  <c r="E320" i="27"/>
  <c r="E321" i="27"/>
  <c r="E322" i="27"/>
  <c r="E323" i="27"/>
  <c r="E324" i="27"/>
  <c r="E325" i="27"/>
  <c r="E326" i="27"/>
  <c r="E327" i="27"/>
  <c r="E328" i="27"/>
  <c r="E329" i="27"/>
  <c r="E330" i="27"/>
  <c r="E331" i="27"/>
  <c r="E332" i="27"/>
  <c r="E333" i="27"/>
  <c r="E334" i="27"/>
  <c r="E335" i="27"/>
  <c r="E336" i="27"/>
  <c r="E337" i="27"/>
  <c r="E338" i="27"/>
  <c r="E339" i="27"/>
  <c r="E340" i="27"/>
  <c r="E341" i="27"/>
  <c r="E342" i="27"/>
  <c r="E343" i="27"/>
  <c r="E344" i="27"/>
  <c r="E345" i="27"/>
  <c r="E346" i="27"/>
  <c r="E347" i="27"/>
  <c r="E348" i="27"/>
  <c r="E349" i="27"/>
  <c r="E350" i="27"/>
  <c r="E351" i="27"/>
  <c r="E352" i="27"/>
  <c r="E353" i="27"/>
  <c r="E354" i="27"/>
  <c r="E355" i="27"/>
  <c r="E356" i="27"/>
  <c r="E357" i="27"/>
  <c r="E358" i="27"/>
  <c r="E359" i="27"/>
  <c r="E360" i="27"/>
  <c r="E361" i="27"/>
  <c r="E362" i="27"/>
  <c r="E363" i="27"/>
  <c r="E364" i="27"/>
  <c r="E365" i="27"/>
  <c r="E366" i="27"/>
  <c r="E367" i="27"/>
  <c r="E368" i="27"/>
  <c r="E369" i="27"/>
  <c r="E370" i="27"/>
  <c r="E371" i="27"/>
  <c r="E372" i="27"/>
  <c r="E373" i="27"/>
  <c r="E374" i="27"/>
  <c r="E375" i="27"/>
  <c r="E376" i="27"/>
  <c r="E377" i="27"/>
  <c r="E378" i="27"/>
  <c r="E379" i="27"/>
  <c r="E380" i="27"/>
  <c r="E381" i="27"/>
  <c r="E382" i="27"/>
  <c r="E383" i="27"/>
  <c r="E384" i="27"/>
  <c r="E385" i="27"/>
  <c r="E386" i="27"/>
  <c r="E387" i="27"/>
  <c r="E388" i="27"/>
  <c r="E389" i="27"/>
  <c r="E390" i="27"/>
  <c r="E391" i="27"/>
  <c r="E392" i="27"/>
  <c r="E393" i="27"/>
  <c r="E394" i="27"/>
  <c r="E395" i="27"/>
  <c r="E396" i="27"/>
  <c r="E397" i="27"/>
  <c r="E398" i="27"/>
  <c r="E399" i="27"/>
  <c r="E400" i="27"/>
  <c r="E401" i="27"/>
  <c r="E402" i="27"/>
  <c r="E403" i="27"/>
  <c r="E404" i="27"/>
  <c r="E405" i="27"/>
  <c r="E406" i="27"/>
  <c r="E407" i="27"/>
  <c r="E408" i="27"/>
  <c r="E409" i="27"/>
  <c r="E410" i="27"/>
  <c r="E411" i="27"/>
  <c r="E412" i="27"/>
  <c r="E413" i="27"/>
  <c r="E414" i="27"/>
  <c r="E415" i="27"/>
  <c r="E416" i="27"/>
  <c r="E417" i="27"/>
  <c r="E418" i="27"/>
  <c r="E419" i="27"/>
  <c r="E420" i="27"/>
  <c r="E421" i="27"/>
  <c r="E422" i="27"/>
  <c r="E423" i="27"/>
  <c r="E424" i="27"/>
  <c r="E425" i="27"/>
  <c r="E426" i="27"/>
  <c r="E427" i="27"/>
  <c r="E428" i="27"/>
  <c r="E429" i="27"/>
  <c r="E430" i="27"/>
  <c r="E431" i="27"/>
  <c r="E432" i="27"/>
  <c r="E433" i="27"/>
  <c r="E434" i="27"/>
  <c r="E435" i="27"/>
  <c r="E436" i="27"/>
  <c r="E437" i="27"/>
  <c r="E438" i="27"/>
  <c r="E439" i="27"/>
  <c r="E440" i="27"/>
  <c r="E441" i="27"/>
  <c r="E442" i="27"/>
  <c r="E443" i="27"/>
  <c r="E444" i="27"/>
  <c r="E445" i="27"/>
  <c r="E446" i="27"/>
  <c r="E447" i="27"/>
  <c r="E448" i="27"/>
  <c r="E449" i="27"/>
  <c r="E450" i="27"/>
  <c r="E451" i="27"/>
  <c r="E452" i="27"/>
  <c r="E453" i="27"/>
  <c r="E454" i="27"/>
  <c r="E455" i="27"/>
  <c r="E456" i="27"/>
  <c r="E457" i="27"/>
  <c r="E458" i="27"/>
  <c r="E459" i="27"/>
  <c r="E460" i="27"/>
  <c r="E461" i="27"/>
  <c r="E462" i="27"/>
  <c r="E463" i="27"/>
  <c r="E464" i="27"/>
  <c r="E465" i="27"/>
  <c r="E466" i="27"/>
  <c r="E467" i="27"/>
  <c r="E468" i="27"/>
  <c r="E469" i="27"/>
  <c r="E470" i="27"/>
  <c r="E471" i="27"/>
  <c r="E472" i="27"/>
  <c r="E473" i="27"/>
  <c r="E474" i="27"/>
  <c r="E475" i="27"/>
  <c r="E476" i="27"/>
  <c r="E477" i="27"/>
  <c r="E478" i="27"/>
  <c r="E479" i="27"/>
  <c r="E480" i="27"/>
  <c r="E481" i="27"/>
  <c r="E482" i="27"/>
  <c r="E483" i="27"/>
  <c r="E484" i="27"/>
  <c r="E485" i="27"/>
  <c r="E486" i="27"/>
  <c r="E487" i="27"/>
  <c r="E488" i="27"/>
  <c r="E489" i="27"/>
  <c r="E490" i="27"/>
  <c r="E491" i="27"/>
  <c r="E492" i="27"/>
  <c r="E493" i="27"/>
  <c r="E494" i="27"/>
  <c r="E495" i="27"/>
  <c r="E496" i="27"/>
  <c r="E497" i="27"/>
  <c r="E498" i="27"/>
  <c r="E499" i="27"/>
  <c r="E500" i="27"/>
  <c r="E501" i="27"/>
  <c r="E502" i="27"/>
  <c r="E503" i="27"/>
  <c r="E504" i="27"/>
  <c r="E505" i="27"/>
  <c r="E506" i="27"/>
  <c r="E507" i="27"/>
  <c r="E508" i="27"/>
  <c r="E509" i="27"/>
  <c r="E510" i="27"/>
  <c r="E511" i="27"/>
  <c r="E512" i="27"/>
  <c r="E513" i="27"/>
  <c r="E514" i="27"/>
  <c r="E515" i="27"/>
  <c r="E516" i="27"/>
  <c r="E517" i="27"/>
  <c r="E518" i="27"/>
  <c r="E519" i="27"/>
  <c r="E520" i="27"/>
  <c r="E521" i="27"/>
  <c r="E522" i="27"/>
  <c r="E523" i="27"/>
  <c r="E524" i="27"/>
  <c r="E525" i="27"/>
  <c r="E526" i="27"/>
  <c r="E527" i="27"/>
  <c r="E528" i="27"/>
  <c r="E529" i="27"/>
  <c r="E530" i="27"/>
  <c r="E531" i="27"/>
  <c r="E532" i="27"/>
  <c r="E533" i="27"/>
  <c r="E534" i="27"/>
  <c r="E535" i="27"/>
  <c r="E536" i="27"/>
  <c r="E537" i="27"/>
  <c r="E538" i="27"/>
  <c r="E539" i="27"/>
  <c r="E540" i="27"/>
  <c r="E541" i="27"/>
  <c r="E542" i="27"/>
  <c r="E543" i="27"/>
  <c r="E544" i="27"/>
  <c r="E545" i="27"/>
  <c r="E546" i="27"/>
  <c r="E547" i="27"/>
  <c r="E548" i="27"/>
  <c r="E549" i="27"/>
  <c r="E550" i="27"/>
  <c r="E551" i="27"/>
  <c r="E552" i="27"/>
  <c r="E553" i="27"/>
  <c r="E554" i="27"/>
  <c r="E555" i="27"/>
  <c r="E556" i="27"/>
  <c r="E557" i="27"/>
  <c r="E558" i="27"/>
  <c r="E559" i="27"/>
  <c r="E560" i="27"/>
  <c r="E561" i="27"/>
  <c r="E562" i="27"/>
  <c r="E563" i="27"/>
  <c r="E564" i="27"/>
  <c r="E565" i="27"/>
  <c r="E566" i="27"/>
  <c r="E567" i="27"/>
  <c r="E568" i="27"/>
  <c r="E569" i="27"/>
  <c r="E570" i="27"/>
  <c r="E571" i="27"/>
  <c r="E572" i="27"/>
  <c r="O29" i="32"/>
  <c r="AG27" i="23"/>
  <c r="AA27" i="23"/>
  <c r="L27" i="23"/>
  <c r="AJ171" i="29"/>
  <c r="AD29" i="32"/>
  <c r="O28" i="32"/>
  <c r="AJ86" i="32"/>
  <c r="I30" i="32"/>
  <c r="X27" i="23"/>
  <c r="D86" i="32"/>
  <c r="AG29" i="32"/>
  <c r="U31" i="32"/>
  <c r="D28" i="32"/>
  <c r="R27" i="23"/>
  <c r="L28" i="32"/>
  <c r="AJ27" i="23"/>
  <c r="L29" i="32"/>
  <c r="I31" i="32"/>
  <c r="R86" i="32"/>
  <c r="AD30" i="32"/>
  <c r="AA30" i="32"/>
  <c r="D31" i="32"/>
  <c r="X16" i="18"/>
  <c r="O27" i="23"/>
  <c r="AM27" i="23"/>
  <c r="R16" i="18"/>
  <c r="F28" i="32"/>
  <c r="AD86" i="32"/>
  <c r="AJ29" i="32"/>
  <c r="R28" i="32"/>
  <c r="L86" i="32"/>
  <c r="AG30" i="32"/>
  <c r="R31" i="32"/>
  <c r="O31" i="32"/>
  <c r="U30" i="32"/>
  <c r="L31" i="32"/>
  <c r="D29" i="32"/>
  <c r="F30" i="32"/>
  <c r="AA31" i="32"/>
  <c r="AJ31" i="32"/>
  <c r="L30" i="32"/>
  <c r="AD31" i="32"/>
  <c r="R30" i="32"/>
  <c r="F29" i="32"/>
  <c r="AA28" i="32"/>
  <c r="F86" i="32"/>
  <c r="I28" i="32"/>
  <c r="X30" i="32"/>
  <c r="AG86" i="32"/>
  <c r="AD27" i="23"/>
  <c r="U16" i="18"/>
  <c r="X86" i="32"/>
  <c r="AG16" i="18"/>
  <c r="L16" i="18"/>
  <c r="X29" i="32"/>
  <c r="AA29" i="32"/>
  <c r="AG28" i="32"/>
  <c r="AM16" i="18"/>
  <c r="I27" i="23"/>
  <c r="U27" i="23"/>
  <c r="AD28" i="32"/>
  <c r="X31" i="32"/>
  <c r="I29" i="32"/>
  <c r="U86" i="32"/>
  <c r="D30" i="32"/>
  <c r="R29" i="32"/>
  <c r="U29" i="32"/>
  <c r="AD16" i="18"/>
  <c r="AA16" i="18"/>
  <c r="I86" i="32"/>
  <c r="I16" i="18"/>
  <c r="F31" i="32"/>
  <c r="AJ172" i="29"/>
  <c r="AJ30" i="32"/>
  <c r="F27" i="23"/>
  <c r="AG31" i="32"/>
  <c r="U28" i="32"/>
  <c r="O16" i="18"/>
  <c r="AJ16" i="18"/>
  <c r="AA86" i="32"/>
  <c r="O30" i="32"/>
  <c r="AJ28" i="32"/>
  <c r="X28" i="32"/>
  <c r="O86" i="32"/>
  <c r="AL172" i="29" l="1"/>
  <c r="S335" i="28"/>
  <c r="S325" i="28"/>
  <c r="S349" i="28"/>
  <c r="S333" i="28"/>
  <c r="S324" i="28"/>
  <c r="S348" i="28"/>
  <c r="S332" i="28"/>
  <c r="S323" i="28"/>
  <c r="S357" i="28"/>
  <c r="S347" i="28"/>
  <c r="S331" i="28"/>
  <c r="S322" i="28"/>
  <c r="S344" i="28"/>
  <c r="S330" i="28"/>
  <c r="S321" i="28"/>
  <c r="S343" i="28"/>
  <c r="S329" i="28"/>
  <c r="S320" i="28"/>
  <c r="K86" i="32"/>
  <c r="AF86" i="32"/>
  <c r="H86" i="32"/>
  <c r="AI86" i="32"/>
  <c r="AC86" i="32"/>
  <c r="Z86" i="32"/>
  <c r="W86" i="32"/>
  <c r="T86" i="32"/>
  <c r="Q86" i="32"/>
  <c r="AL86" i="32"/>
  <c r="N86" i="32"/>
  <c r="AL171" i="29"/>
  <c r="S319" i="28"/>
  <c r="AF27" i="23"/>
  <c r="AC27" i="23"/>
  <c r="Z27" i="23"/>
  <c r="H27" i="23"/>
  <c r="W27" i="23"/>
  <c r="T27" i="23"/>
  <c r="AO27" i="23"/>
  <c r="Q27" i="23"/>
  <c r="AL27" i="23"/>
  <c r="N27" i="23"/>
  <c r="AI27" i="23"/>
  <c r="K27" i="23"/>
  <c r="AL30" i="32"/>
  <c r="W28" i="32"/>
  <c r="K28" i="32"/>
  <c r="AL31" i="32"/>
  <c r="Z31" i="32"/>
  <c r="N31" i="32"/>
  <c r="AI29" i="32"/>
  <c r="W29" i="32"/>
  <c r="K29" i="32"/>
  <c r="AL16" i="18"/>
  <c r="Z16" i="18"/>
  <c r="N16" i="18"/>
  <c r="AI31" i="32"/>
  <c r="W31" i="32"/>
  <c r="K31" i="32"/>
  <c r="AF29" i="32"/>
  <c r="T29" i="32"/>
  <c r="H29" i="32"/>
  <c r="AI16" i="18"/>
  <c r="W16" i="18"/>
  <c r="K16" i="18"/>
  <c r="Z30" i="32"/>
  <c r="AF30" i="32"/>
  <c r="T30" i="32"/>
  <c r="H30" i="32"/>
  <c r="AC28" i="32"/>
  <c r="Q28" i="32"/>
  <c r="N30" i="32"/>
  <c r="AI30" i="32"/>
  <c r="H28" i="32"/>
  <c r="AF31" i="32"/>
  <c r="T31" i="32"/>
  <c r="H31" i="32"/>
  <c r="AC29" i="32"/>
  <c r="Q29" i="32"/>
  <c r="AF16" i="18"/>
  <c r="T16" i="18"/>
  <c r="W30" i="32"/>
  <c r="AF28" i="32"/>
  <c r="AC30" i="32"/>
  <c r="Q30" i="32"/>
  <c r="AL28" i="32"/>
  <c r="Z28" i="32"/>
  <c r="N28" i="32"/>
  <c r="AI28" i="32"/>
  <c r="K30" i="32"/>
  <c r="T28" i="32"/>
  <c r="AC31" i="32"/>
  <c r="Q31" i="32"/>
  <c r="AL29" i="32"/>
  <c r="Z29" i="32"/>
  <c r="N29" i="32"/>
  <c r="AO16" i="18"/>
  <c r="AC16" i="18"/>
  <c r="Q16" i="18"/>
  <c r="D78" i="1"/>
  <c r="E78" i="1"/>
  <c r="H78" i="1"/>
  <c r="I78" i="1"/>
  <c r="J78" i="1"/>
  <c r="K78" i="1"/>
  <c r="L78" i="1"/>
  <c r="M78" i="1"/>
  <c r="N78" i="1"/>
  <c r="O78" i="1"/>
  <c r="P78" i="1"/>
  <c r="Q78" i="1"/>
  <c r="R78" i="1"/>
  <c r="S78" i="1"/>
  <c r="D105" i="1"/>
  <c r="E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D106" i="1"/>
  <c r="E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D64" i="1"/>
  <c r="E64" i="1"/>
  <c r="H64" i="1"/>
  <c r="I64" i="1"/>
  <c r="J64" i="1"/>
  <c r="K64" i="1"/>
  <c r="L64" i="1"/>
  <c r="M64" i="1"/>
  <c r="N64" i="1"/>
  <c r="O64" i="1"/>
  <c r="P64" i="1"/>
  <c r="Q64" i="1"/>
  <c r="R64" i="1"/>
  <c r="S64" i="1"/>
  <c r="D43" i="1"/>
  <c r="E43" i="1"/>
  <c r="H43" i="1"/>
  <c r="I43" i="1"/>
  <c r="J43" i="1"/>
  <c r="K43" i="1"/>
  <c r="L43" i="1"/>
  <c r="M43" i="1"/>
  <c r="N43" i="1"/>
  <c r="O43" i="1"/>
  <c r="P43" i="1"/>
  <c r="Q43" i="1"/>
  <c r="R43" i="1"/>
  <c r="S43" i="1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5" i="16"/>
  <c r="E296" i="16"/>
  <c r="E297" i="16"/>
  <c r="F214" i="16"/>
  <c r="G214" i="16" s="1"/>
  <c r="F215" i="16"/>
  <c r="G215" i="16" s="1"/>
  <c r="F216" i="16"/>
  <c r="G216" i="16" s="1"/>
  <c r="F217" i="16"/>
  <c r="G217" i="16" s="1"/>
  <c r="F218" i="16"/>
  <c r="G218" i="16" s="1"/>
  <c r="F219" i="16"/>
  <c r="G219" i="16" s="1"/>
  <c r="F220" i="16"/>
  <c r="G220" i="16" s="1"/>
  <c r="F221" i="16"/>
  <c r="G221" i="16" s="1"/>
  <c r="F222" i="16"/>
  <c r="G222" i="16" s="1"/>
  <c r="F223" i="16"/>
  <c r="G223" i="16" s="1"/>
  <c r="F224" i="16"/>
  <c r="G224" i="16" s="1"/>
  <c r="F225" i="16"/>
  <c r="G225" i="16" s="1"/>
  <c r="F226" i="16"/>
  <c r="G226" i="16" s="1"/>
  <c r="F227" i="16"/>
  <c r="G227" i="16" s="1"/>
  <c r="F228" i="16"/>
  <c r="G228" i="16" s="1"/>
  <c r="F229" i="16"/>
  <c r="G229" i="16" s="1"/>
  <c r="F230" i="16"/>
  <c r="G230" i="16" s="1"/>
  <c r="F231" i="16"/>
  <c r="G231" i="16" s="1"/>
  <c r="F232" i="16"/>
  <c r="G232" i="16" s="1"/>
  <c r="F233" i="16"/>
  <c r="G233" i="16" s="1"/>
  <c r="F234" i="16"/>
  <c r="G234" i="16" s="1"/>
  <c r="F235" i="16"/>
  <c r="G235" i="16" s="1"/>
  <c r="F236" i="16"/>
  <c r="G236" i="16" s="1"/>
  <c r="F237" i="16"/>
  <c r="G237" i="16" s="1"/>
  <c r="F238" i="16"/>
  <c r="G238" i="16" s="1"/>
  <c r="F239" i="16"/>
  <c r="G239" i="16" s="1"/>
  <c r="F240" i="16"/>
  <c r="G240" i="16" s="1"/>
  <c r="F241" i="16"/>
  <c r="G241" i="16" s="1"/>
  <c r="F242" i="16"/>
  <c r="G242" i="16" s="1"/>
  <c r="F243" i="16"/>
  <c r="G243" i="16" s="1"/>
  <c r="F244" i="16"/>
  <c r="G244" i="16" s="1"/>
  <c r="F245" i="16"/>
  <c r="G245" i="16" s="1"/>
  <c r="F246" i="16"/>
  <c r="G246" i="16" s="1"/>
  <c r="F247" i="16"/>
  <c r="G247" i="16" s="1"/>
  <c r="F248" i="16"/>
  <c r="G248" i="16" s="1"/>
  <c r="F249" i="16"/>
  <c r="G249" i="16" s="1"/>
  <c r="F250" i="16"/>
  <c r="G250" i="16" s="1"/>
  <c r="F251" i="16"/>
  <c r="G251" i="16" s="1"/>
  <c r="F252" i="16"/>
  <c r="G252" i="16" s="1"/>
  <c r="F253" i="16"/>
  <c r="G253" i="16" s="1"/>
  <c r="F254" i="16"/>
  <c r="G254" i="16" s="1"/>
  <c r="F255" i="16"/>
  <c r="G255" i="16" s="1"/>
  <c r="F256" i="16"/>
  <c r="G256" i="16" s="1"/>
  <c r="F257" i="16"/>
  <c r="G257" i="16" s="1"/>
  <c r="F258" i="16"/>
  <c r="G258" i="16" s="1"/>
  <c r="F259" i="16"/>
  <c r="G259" i="16" s="1"/>
  <c r="F260" i="16"/>
  <c r="G260" i="16" s="1"/>
  <c r="F261" i="16"/>
  <c r="G261" i="16" s="1"/>
  <c r="F262" i="16"/>
  <c r="G262" i="16" s="1"/>
  <c r="F263" i="16"/>
  <c r="G263" i="16" s="1"/>
  <c r="F264" i="16"/>
  <c r="G264" i="16" s="1"/>
  <c r="F265" i="16"/>
  <c r="G265" i="16" s="1"/>
  <c r="F266" i="16"/>
  <c r="G266" i="16" s="1"/>
  <c r="F267" i="16"/>
  <c r="G267" i="16" s="1"/>
  <c r="F268" i="16"/>
  <c r="G268" i="16" s="1"/>
  <c r="F269" i="16"/>
  <c r="G269" i="16" s="1"/>
  <c r="F270" i="16"/>
  <c r="G270" i="16" s="1"/>
  <c r="F271" i="16"/>
  <c r="G271" i="16" s="1"/>
  <c r="F272" i="16"/>
  <c r="G272" i="16" s="1"/>
  <c r="F273" i="16"/>
  <c r="G273" i="16" s="1"/>
  <c r="F274" i="16"/>
  <c r="G274" i="16" s="1"/>
  <c r="F275" i="16"/>
  <c r="G275" i="16" s="1"/>
  <c r="F276" i="16"/>
  <c r="G276" i="16" s="1"/>
  <c r="F277" i="16"/>
  <c r="G277" i="16" s="1"/>
  <c r="F278" i="16"/>
  <c r="G278" i="16" s="1"/>
  <c r="F279" i="16"/>
  <c r="G279" i="16" s="1"/>
  <c r="F280" i="16"/>
  <c r="G280" i="16" s="1"/>
  <c r="F281" i="16"/>
  <c r="G281" i="16" s="1"/>
  <c r="F282" i="16"/>
  <c r="G282" i="16" s="1"/>
  <c r="F283" i="16"/>
  <c r="G283" i="16" s="1"/>
  <c r="F284" i="16"/>
  <c r="G284" i="16" s="1"/>
  <c r="F285" i="16"/>
  <c r="G285" i="16" s="1"/>
  <c r="F286" i="16"/>
  <c r="G286" i="16" s="1"/>
  <c r="F287" i="16"/>
  <c r="G287" i="16" s="1"/>
  <c r="F288" i="16"/>
  <c r="G288" i="16" s="1"/>
  <c r="F289" i="16"/>
  <c r="G289" i="16" s="1"/>
  <c r="F290" i="16"/>
  <c r="G290" i="16" s="1"/>
  <c r="F291" i="16"/>
  <c r="G291" i="16" s="1"/>
  <c r="F292" i="16"/>
  <c r="G292" i="16" s="1"/>
  <c r="F293" i="16"/>
  <c r="G293" i="16" s="1"/>
  <c r="F294" i="16"/>
  <c r="G294" i="16" s="1"/>
  <c r="F295" i="16"/>
  <c r="G295" i="16" s="1"/>
  <c r="F296" i="16"/>
  <c r="G296" i="16" s="1"/>
  <c r="F297" i="16"/>
  <c r="G297" i="16" s="1"/>
  <c r="R284" i="28"/>
  <c r="R350" i="28"/>
  <c r="R353" i="28"/>
  <c r="R355" i="28"/>
  <c r="D135" i="1"/>
  <c r="E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D73" i="1"/>
  <c r="E73" i="1"/>
  <c r="H73" i="1"/>
  <c r="I73" i="1"/>
  <c r="J73" i="1"/>
  <c r="K73" i="1"/>
  <c r="L73" i="1"/>
  <c r="M73" i="1"/>
  <c r="N73" i="1"/>
  <c r="O73" i="1"/>
  <c r="P73" i="1"/>
  <c r="Q73" i="1"/>
  <c r="R73" i="1"/>
  <c r="S73" i="1"/>
  <c r="D74" i="1"/>
  <c r="E74" i="1"/>
  <c r="H74" i="1"/>
  <c r="I74" i="1"/>
  <c r="J74" i="1"/>
  <c r="K74" i="1"/>
  <c r="L74" i="1"/>
  <c r="M74" i="1"/>
  <c r="N74" i="1"/>
  <c r="O74" i="1"/>
  <c r="P74" i="1"/>
  <c r="Q74" i="1"/>
  <c r="R74" i="1"/>
  <c r="S74" i="1"/>
  <c r="L62" i="18"/>
  <c r="L26" i="23"/>
  <c r="R62" i="18"/>
  <c r="I62" i="18"/>
  <c r="O62" i="18"/>
  <c r="R356" i="28" l="1"/>
  <c r="R343" i="28"/>
  <c r="R348" i="28"/>
  <c r="R331" i="28"/>
  <c r="R357" i="28"/>
  <c r="R344" i="28"/>
  <c r="R330" i="28"/>
  <c r="R321" i="28"/>
  <c r="R329" i="28"/>
  <c r="R320" i="28"/>
  <c r="R337" i="28"/>
  <c r="R327" i="28"/>
  <c r="R319" i="28"/>
  <c r="R326" i="28"/>
  <c r="R336" i="28"/>
  <c r="R335" i="28"/>
  <c r="R325" i="28"/>
  <c r="R349" i="28"/>
  <c r="R333" i="28"/>
  <c r="R324" i="28"/>
  <c r="R332" i="28"/>
  <c r="R323" i="28"/>
  <c r="R347" i="28"/>
  <c r="R322" i="28"/>
  <c r="Q42" i="28"/>
  <c r="Q45" i="28"/>
  <c r="Q47" i="28"/>
  <c r="Q48" i="28"/>
  <c r="Q49" i="28"/>
  <c r="Q50" i="28"/>
  <c r="Q155" i="28"/>
  <c r="Q176" i="28"/>
  <c r="Q177" i="28"/>
  <c r="Q284" i="28"/>
  <c r="Q327" i="28"/>
  <c r="Q329" i="28"/>
  <c r="Q337" i="28"/>
  <c r="Q343" i="28"/>
  <c r="Q350" i="28"/>
  <c r="Q353" i="28"/>
  <c r="Q355" i="28"/>
  <c r="Q356" i="28"/>
  <c r="Q357" i="28"/>
  <c r="Q320" i="28"/>
  <c r="D77" i="1"/>
  <c r="E77" i="1"/>
  <c r="H77" i="1"/>
  <c r="I77" i="1"/>
  <c r="J77" i="1"/>
  <c r="K77" i="1"/>
  <c r="L77" i="1"/>
  <c r="M77" i="1"/>
  <c r="N77" i="1"/>
  <c r="O77" i="1"/>
  <c r="P77" i="1"/>
  <c r="Q77" i="1"/>
  <c r="R77" i="1"/>
  <c r="S77" i="1"/>
  <c r="E296" i="13"/>
  <c r="F296" i="13"/>
  <c r="G296" i="13" s="1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E237" i="15"/>
  <c r="E238" i="15"/>
  <c r="E239" i="15"/>
  <c r="E240" i="15"/>
  <c r="E241" i="15"/>
  <c r="E242" i="15"/>
  <c r="E243" i="15"/>
  <c r="E244" i="15"/>
  <c r="E245" i="15"/>
  <c r="E246" i="15"/>
  <c r="E247" i="15"/>
  <c r="E248" i="15"/>
  <c r="E249" i="15"/>
  <c r="E250" i="15"/>
  <c r="E251" i="15"/>
  <c r="E252" i="15"/>
  <c r="E253" i="15"/>
  <c r="E254" i="15"/>
  <c r="E255" i="15"/>
  <c r="E256" i="15"/>
  <c r="E257" i="15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73" i="15"/>
  <c r="E274" i="15"/>
  <c r="E275" i="15"/>
  <c r="E276" i="15"/>
  <c r="E277" i="15"/>
  <c r="E278" i="15"/>
  <c r="E279" i="15"/>
  <c r="E280" i="15"/>
  <c r="E281" i="15"/>
  <c r="E282" i="15"/>
  <c r="E283" i="15"/>
  <c r="E284" i="15"/>
  <c r="E285" i="15"/>
  <c r="E286" i="15"/>
  <c r="E287" i="15"/>
  <c r="E288" i="15"/>
  <c r="E289" i="15"/>
  <c r="E290" i="15"/>
  <c r="E291" i="15"/>
  <c r="E292" i="15"/>
  <c r="E293" i="15"/>
  <c r="E294" i="15"/>
  <c r="E295" i="15"/>
  <c r="E296" i="15"/>
  <c r="E297" i="15"/>
  <c r="E298" i="15"/>
  <c r="F203" i="15"/>
  <c r="G203" i="15" s="1"/>
  <c r="F204" i="15"/>
  <c r="G204" i="15" s="1"/>
  <c r="F205" i="15"/>
  <c r="G205" i="15" s="1"/>
  <c r="F206" i="15"/>
  <c r="G206" i="15" s="1"/>
  <c r="F207" i="15"/>
  <c r="G207" i="15" s="1"/>
  <c r="F208" i="15"/>
  <c r="G208" i="15" s="1"/>
  <c r="F209" i="15"/>
  <c r="G209" i="15" s="1"/>
  <c r="F210" i="15"/>
  <c r="G210" i="15" s="1"/>
  <c r="F211" i="15"/>
  <c r="G211" i="15" s="1"/>
  <c r="F212" i="15"/>
  <c r="G212" i="15" s="1"/>
  <c r="F213" i="15"/>
  <c r="G213" i="15" s="1"/>
  <c r="F214" i="15"/>
  <c r="G214" i="15" s="1"/>
  <c r="F215" i="15"/>
  <c r="G215" i="15" s="1"/>
  <c r="F216" i="15"/>
  <c r="G216" i="15" s="1"/>
  <c r="F217" i="15"/>
  <c r="G217" i="15" s="1"/>
  <c r="F218" i="15"/>
  <c r="G218" i="15" s="1"/>
  <c r="F219" i="15"/>
  <c r="G219" i="15" s="1"/>
  <c r="F220" i="15"/>
  <c r="G220" i="15" s="1"/>
  <c r="F221" i="15"/>
  <c r="G221" i="15" s="1"/>
  <c r="F222" i="15"/>
  <c r="G222" i="15" s="1"/>
  <c r="F223" i="15"/>
  <c r="G223" i="15" s="1"/>
  <c r="F224" i="15"/>
  <c r="G224" i="15" s="1"/>
  <c r="F225" i="15"/>
  <c r="G225" i="15" s="1"/>
  <c r="F226" i="15"/>
  <c r="G226" i="15" s="1"/>
  <c r="F227" i="15"/>
  <c r="G227" i="15" s="1"/>
  <c r="F228" i="15"/>
  <c r="G228" i="15" s="1"/>
  <c r="F229" i="15"/>
  <c r="G229" i="15" s="1"/>
  <c r="F230" i="15"/>
  <c r="G230" i="15" s="1"/>
  <c r="F231" i="15"/>
  <c r="G231" i="15" s="1"/>
  <c r="F232" i="15"/>
  <c r="G232" i="15" s="1"/>
  <c r="F233" i="15"/>
  <c r="G233" i="15" s="1"/>
  <c r="F234" i="15"/>
  <c r="G234" i="15" s="1"/>
  <c r="F235" i="15"/>
  <c r="G235" i="15" s="1"/>
  <c r="F236" i="15"/>
  <c r="G236" i="15" s="1"/>
  <c r="F237" i="15"/>
  <c r="G237" i="15" s="1"/>
  <c r="F238" i="15"/>
  <c r="G238" i="15" s="1"/>
  <c r="F239" i="15"/>
  <c r="G239" i="15" s="1"/>
  <c r="F240" i="15"/>
  <c r="G240" i="15" s="1"/>
  <c r="F241" i="15"/>
  <c r="G241" i="15" s="1"/>
  <c r="F242" i="15"/>
  <c r="G242" i="15" s="1"/>
  <c r="F243" i="15"/>
  <c r="G243" i="15" s="1"/>
  <c r="F244" i="15"/>
  <c r="G244" i="15" s="1"/>
  <c r="F245" i="15"/>
  <c r="G245" i="15" s="1"/>
  <c r="F246" i="15"/>
  <c r="G246" i="15" s="1"/>
  <c r="F247" i="15"/>
  <c r="G247" i="15" s="1"/>
  <c r="F248" i="15"/>
  <c r="G248" i="15" s="1"/>
  <c r="F249" i="15"/>
  <c r="G249" i="15" s="1"/>
  <c r="F250" i="15"/>
  <c r="G250" i="15" s="1"/>
  <c r="F251" i="15"/>
  <c r="G251" i="15" s="1"/>
  <c r="F252" i="15"/>
  <c r="G252" i="15" s="1"/>
  <c r="F253" i="15"/>
  <c r="G253" i="15" s="1"/>
  <c r="F254" i="15"/>
  <c r="G254" i="15" s="1"/>
  <c r="F255" i="15"/>
  <c r="G255" i="15" s="1"/>
  <c r="F256" i="15"/>
  <c r="G256" i="15" s="1"/>
  <c r="F257" i="15"/>
  <c r="G257" i="15" s="1"/>
  <c r="F258" i="15"/>
  <c r="G258" i="15" s="1"/>
  <c r="F259" i="15"/>
  <c r="G259" i="15" s="1"/>
  <c r="F260" i="15"/>
  <c r="G260" i="15" s="1"/>
  <c r="F261" i="15"/>
  <c r="G261" i="15" s="1"/>
  <c r="F262" i="15"/>
  <c r="G262" i="15" s="1"/>
  <c r="F263" i="15"/>
  <c r="G263" i="15" s="1"/>
  <c r="F264" i="15"/>
  <c r="G264" i="15" s="1"/>
  <c r="F265" i="15"/>
  <c r="G265" i="15" s="1"/>
  <c r="F266" i="15"/>
  <c r="G266" i="15" s="1"/>
  <c r="F267" i="15"/>
  <c r="G267" i="15" s="1"/>
  <c r="F268" i="15"/>
  <c r="G268" i="15" s="1"/>
  <c r="F269" i="15"/>
  <c r="G269" i="15" s="1"/>
  <c r="F270" i="15"/>
  <c r="G270" i="15" s="1"/>
  <c r="F271" i="15"/>
  <c r="G271" i="15" s="1"/>
  <c r="F272" i="15"/>
  <c r="G272" i="15" s="1"/>
  <c r="F273" i="15"/>
  <c r="G273" i="15" s="1"/>
  <c r="F274" i="15"/>
  <c r="G274" i="15" s="1"/>
  <c r="F275" i="15"/>
  <c r="G275" i="15" s="1"/>
  <c r="F276" i="15"/>
  <c r="G276" i="15" s="1"/>
  <c r="F277" i="15"/>
  <c r="G277" i="15" s="1"/>
  <c r="F278" i="15"/>
  <c r="G278" i="15" s="1"/>
  <c r="F279" i="15"/>
  <c r="G279" i="15" s="1"/>
  <c r="F280" i="15"/>
  <c r="G280" i="15" s="1"/>
  <c r="F281" i="15"/>
  <c r="G281" i="15" s="1"/>
  <c r="F282" i="15"/>
  <c r="G282" i="15" s="1"/>
  <c r="F283" i="15"/>
  <c r="G283" i="15" s="1"/>
  <c r="F284" i="15"/>
  <c r="G284" i="15" s="1"/>
  <c r="F285" i="15"/>
  <c r="G285" i="15" s="1"/>
  <c r="F286" i="15"/>
  <c r="G286" i="15" s="1"/>
  <c r="F287" i="15"/>
  <c r="G287" i="15" s="1"/>
  <c r="F288" i="15"/>
  <c r="G288" i="15" s="1"/>
  <c r="F289" i="15"/>
  <c r="G289" i="15" s="1"/>
  <c r="F290" i="15"/>
  <c r="G290" i="15" s="1"/>
  <c r="F291" i="15"/>
  <c r="G291" i="15" s="1"/>
  <c r="F292" i="15"/>
  <c r="G292" i="15" s="1"/>
  <c r="F293" i="15"/>
  <c r="G293" i="15" s="1"/>
  <c r="F294" i="15"/>
  <c r="G294" i="15" s="1"/>
  <c r="F295" i="15"/>
  <c r="G295" i="15" s="1"/>
  <c r="F296" i="15"/>
  <c r="G296" i="15" s="1"/>
  <c r="F297" i="15"/>
  <c r="G297" i="15" s="1"/>
  <c r="F298" i="15"/>
  <c r="G298" i="15" s="1"/>
  <c r="P47" i="28"/>
  <c r="P48" i="28"/>
  <c r="P49" i="28"/>
  <c r="P50" i="28"/>
  <c r="P155" i="28"/>
  <c r="P176" i="28"/>
  <c r="P177" i="28"/>
  <c r="P284" i="28"/>
  <c r="P319" i="28"/>
  <c r="P350" i="28"/>
  <c r="P353" i="28"/>
  <c r="P356" i="28"/>
  <c r="Q323" i="28" l="1"/>
  <c r="Q344" i="28"/>
  <c r="Q330" i="28"/>
  <c r="Q336" i="28"/>
  <c r="Q326" i="28"/>
  <c r="Q335" i="28"/>
  <c r="Q325" i="28"/>
  <c r="Q349" i="28"/>
  <c r="Q333" i="28"/>
  <c r="Q324" i="28"/>
  <c r="Q322" i="28"/>
  <c r="Q348" i="28"/>
  <c r="Q332" i="28"/>
  <c r="Q347" i="28"/>
  <c r="Q331" i="28"/>
  <c r="P357" i="28"/>
  <c r="P333" i="28"/>
  <c r="P332" i="28"/>
  <c r="P355" i="28"/>
  <c r="P331" i="28"/>
  <c r="P349" i="28"/>
  <c r="P320" i="28"/>
  <c r="Q321" i="28"/>
  <c r="Q319" i="28"/>
  <c r="P335" i="28"/>
  <c r="P321" i="28"/>
  <c r="P327" i="28"/>
  <c r="P330" i="28"/>
  <c r="P348" i="28"/>
  <c r="P343" i="28"/>
  <c r="P324" i="28"/>
  <c r="P347" i="28"/>
  <c r="P337" i="28"/>
  <c r="P323" i="28"/>
  <c r="P326" i="28"/>
  <c r="P344" i="28"/>
  <c r="P336" i="28"/>
  <c r="P322" i="28"/>
  <c r="P329" i="28"/>
  <c r="P325" i="28"/>
  <c r="D30" i="1"/>
  <c r="E30" i="1"/>
  <c r="H30" i="1"/>
  <c r="I30" i="1"/>
  <c r="J30" i="1"/>
  <c r="K30" i="1"/>
  <c r="L30" i="1"/>
  <c r="M30" i="1"/>
  <c r="N30" i="1"/>
  <c r="O30" i="1"/>
  <c r="P30" i="1"/>
  <c r="Q30" i="1"/>
  <c r="R30" i="1"/>
  <c r="S30" i="1"/>
  <c r="D31" i="1"/>
  <c r="E31" i="1"/>
  <c r="H31" i="1"/>
  <c r="I31" i="1"/>
  <c r="J31" i="1"/>
  <c r="K31" i="1"/>
  <c r="L31" i="1"/>
  <c r="M31" i="1"/>
  <c r="N31" i="1"/>
  <c r="O31" i="1"/>
  <c r="P31" i="1"/>
  <c r="Q31" i="1"/>
  <c r="R31" i="1"/>
  <c r="S31" i="1"/>
  <c r="D58" i="1"/>
  <c r="E58" i="1"/>
  <c r="H58" i="1"/>
  <c r="I58" i="1"/>
  <c r="J58" i="1"/>
  <c r="K58" i="1"/>
  <c r="L58" i="1"/>
  <c r="M58" i="1"/>
  <c r="N58" i="1"/>
  <c r="O58" i="1"/>
  <c r="P58" i="1"/>
  <c r="Q58" i="1"/>
  <c r="R58" i="1"/>
  <c r="S58" i="1"/>
  <c r="E202" i="14"/>
  <c r="E203" i="14"/>
  <c r="E204" i="14"/>
  <c r="E205" i="14"/>
  <c r="E206" i="14"/>
  <c r="E207" i="14"/>
  <c r="E208" i="14"/>
  <c r="E209" i="14"/>
  <c r="E210" i="14"/>
  <c r="E211" i="14"/>
  <c r="E212" i="14"/>
  <c r="E213" i="14"/>
  <c r="E214" i="14"/>
  <c r="E215" i="14"/>
  <c r="E216" i="14"/>
  <c r="E217" i="14"/>
  <c r="E218" i="14"/>
  <c r="E219" i="14"/>
  <c r="E220" i="14"/>
  <c r="E221" i="14"/>
  <c r="E222" i="14"/>
  <c r="E223" i="14"/>
  <c r="E224" i="14"/>
  <c r="E225" i="14"/>
  <c r="E226" i="14"/>
  <c r="E227" i="14"/>
  <c r="E228" i="14"/>
  <c r="E229" i="14"/>
  <c r="E230" i="14"/>
  <c r="E231" i="14"/>
  <c r="E232" i="14"/>
  <c r="E233" i="14"/>
  <c r="E234" i="14"/>
  <c r="E235" i="14"/>
  <c r="E236" i="14"/>
  <c r="E237" i="14"/>
  <c r="E238" i="14"/>
  <c r="E239" i="14"/>
  <c r="E240" i="14"/>
  <c r="E241" i="14"/>
  <c r="E242" i="14"/>
  <c r="E243" i="14"/>
  <c r="E244" i="14"/>
  <c r="E245" i="14"/>
  <c r="E246" i="14"/>
  <c r="E247" i="14"/>
  <c r="E248" i="14"/>
  <c r="E249" i="14"/>
  <c r="E250" i="14"/>
  <c r="E251" i="14"/>
  <c r="E252" i="14"/>
  <c r="E253" i="14"/>
  <c r="E254" i="14"/>
  <c r="E255" i="14"/>
  <c r="E256" i="14"/>
  <c r="E257" i="14"/>
  <c r="E258" i="14"/>
  <c r="E259" i="14"/>
  <c r="E260" i="14"/>
  <c r="E261" i="14"/>
  <c r="E262" i="14"/>
  <c r="E263" i="14"/>
  <c r="E264" i="14"/>
  <c r="E265" i="14"/>
  <c r="E266" i="14"/>
  <c r="E267" i="14"/>
  <c r="E268" i="14"/>
  <c r="E269" i="14"/>
  <c r="E270" i="14"/>
  <c r="E271" i="14"/>
  <c r="E272" i="14"/>
  <c r="E273" i="14"/>
  <c r="E274" i="14"/>
  <c r="E275" i="14"/>
  <c r="E276" i="14"/>
  <c r="E277" i="14"/>
  <c r="E278" i="14"/>
  <c r="E279" i="14"/>
  <c r="E280" i="14"/>
  <c r="E281" i="14"/>
  <c r="E282" i="14"/>
  <c r="E283" i="14"/>
  <c r="E284" i="14"/>
  <c r="E285" i="14"/>
  <c r="E286" i="14"/>
  <c r="E287" i="14"/>
  <c r="E288" i="14"/>
  <c r="E289" i="14"/>
  <c r="E290" i="14"/>
  <c r="E291" i="14"/>
  <c r="E292" i="14"/>
  <c r="E294" i="14"/>
  <c r="E295" i="14"/>
  <c r="F202" i="14"/>
  <c r="G202" i="14" s="1"/>
  <c r="F203" i="14"/>
  <c r="G203" i="14" s="1"/>
  <c r="F204" i="14"/>
  <c r="G204" i="14" s="1"/>
  <c r="F205" i="14"/>
  <c r="G205" i="14" s="1"/>
  <c r="F206" i="14"/>
  <c r="G206" i="14" s="1"/>
  <c r="F207" i="14"/>
  <c r="G207" i="14" s="1"/>
  <c r="F208" i="14"/>
  <c r="G208" i="14" s="1"/>
  <c r="F209" i="14"/>
  <c r="G209" i="14" s="1"/>
  <c r="F210" i="14"/>
  <c r="G210" i="14" s="1"/>
  <c r="F211" i="14"/>
  <c r="G211" i="14" s="1"/>
  <c r="F212" i="14"/>
  <c r="G212" i="14" s="1"/>
  <c r="F213" i="14"/>
  <c r="G213" i="14" s="1"/>
  <c r="F214" i="14"/>
  <c r="G214" i="14" s="1"/>
  <c r="F215" i="14"/>
  <c r="G215" i="14" s="1"/>
  <c r="F216" i="14"/>
  <c r="G216" i="14" s="1"/>
  <c r="F217" i="14"/>
  <c r="G217" i="14" s="1"/>
  <c r="F218" i="14"/>
  <c r="G218" i="14" s="1"/>
  <c r="F219" i="14"/>
  <c r="G219" i="14" s="1"/>
  <c r="F220" i="14"/>
  <c r="G220" i="14" s="1"/>
  <c r="F221" i="14"/>
  <c r="G221" i="14" s="1"/>
  <c r="F222" i="14"/>
  <c r="G222" i="14" s="1"/>
  <c r="F223" i="14"/>
  <c r="G223" i="14" s="1"/>
  <c r="F224" i="14"/>
  <c r="G224" i="14" s="1"/>
  <c r="F225" i="14"/>
  <c r="G225" i="14" s="1"/>
  <c r="F226" i="14"/>
  <c r="G226" i="14" s="1"/>
  <c r="F227" i="14"/>
  <c r="G227" i="14" s="1"/>
  <c r="F228" i="14"/>
  <c r="G228" i="14" s="1"/>
  <c r="F229" i="14"/>
  <c r="G229" i="14" s="1"/>
  <c r="F230" i="14"/>
  <c r="G230" i="14" s="1"/>
  <c r="F231" i="14"/>
  <c r="G231" i="14" s="1"/>
  <c r="F232" i="14"/>
  <c r="G232" i="14" s="1"/>
  <c r="F233" i="14"/>
  <c r="G233" i="14" s="1"/>
  <c r="F234" i="14"/>
  <c r="G234" i="14" s="1"/>
  <c r="F235" i="14"/>
  <c r="G235" i="14" s="1"/>
  <c r="F236" i="14"/>
  <c r="G236" i="14" s="1"/>
  <c r="F237" i="14"/>
  <c r="G237" i="14" s="1"/>
  <c r="F238" i="14"/>
  <c r="G238" i="14" s="1"/>
  <c r="F239" i="14"/>
  <c r="G239" i="14" s="1"/>
  <c r="F240" i="14"/>
  <c r="G240" i="14" s="1"/>
  <c r="F241" i="14"/>
  <c r="G241" i="14" s="1"/>
  <c r="F242" i="14"/>
  <c r="G242" i="14" s="1"/>
  <c r="F243" i="14"/>
  <c r="G243" i="14" s="1"/>
  <c r="F244" i="14"/>
  <c r="G244" i="14" s="1"/>
  <c r="F245" i="14"/>
  <c r="G245" i="14" s="1"/>
  <c r="F246" i="14"/>
  <c r="G246" i="14" s="1"/>
  <c r="F247" i="14"/>
  <c r="G247" i="14" s="1"/>
  <c r="F248" i="14"/>
  <c r="G248" i="14" s="1"/>
  <c r="F249" i="14"/>
  <c r="G249" i="14" s="1"/>
  <c r="F250" i="14"/>
  <c r="G250" i="14" s="1"/>
  <c r="F251" i="14"/>
  <c r="G251" i="14" s="1"/>
  <c r="F252" i="14"/>
  <c r="G252" i="14" s="1"/>
  <c r="F253" i="14"/>
  <c r="G253" i="14" s="1"/>
  <c r="F254" i="14"/>
  <c r="G254" i="14" s="1"/>
  <c r="F255" i="14"/>
  <c r="G255" i="14" s="1"/>
  <c r="F256" i="14"/>
  <c r="G256" i="14" s="1"/>
  <c r="F257" i="14"/>
  <c r="G257" i="14" s="1"/>
  <c r="F258" i="14"/>
  <c r="G258" i="14" s="1"/>
  <c r="F259" i="14"/>
  <c r="G259" i="14" s="1"/>
  <c r="F260" i="14"/>
  <c r="G260" i="14" s="1"/>
  <c r="F261" i="14"/>
  <c r="G261" i="14" s="1"/>
  <c r="F262" i="14"/>
  <c r="G262" i="14" s="1"/>
  <c r="F263" i="14"/>
  <c r="G263" i="14" s="1"/>
  <c r="F264" i="14"/>
  <c r="G264" i="14" s="1"/>
  <c r="F265" i="14"/>
  <c r="G265" i="14" s="1"/>
  <c r="F266" i="14"/>
  <c r="G266" i="14" s="1"/>
  <c r="F267" i="14"/>
  <c r="G267" i="14" s="1"/>
  <c r="F268" i="14"/>
  <c r="G268" i="14" s="1"/>
  <c r="F269" i="14"/>
  <c r="G269" i="14" s="1"/>
  <c r="F270" i="14"/>
  <c r="G270" i="14" s="1"/>
  <c r="F271" i="14"/>
  <c r="G271" i="14" s="1"/>
  <c r="F272" i="14"/>
  <c r="G272" i="14" s="1"/>
  <c r="F273" i="14"/>
  <c r="G273" i="14" s="1"/>
  <c r="F274" i="14"/>
  <c r="G274" i="14" s="1"/>
  <c r="F275" i="14"/>
  <c r="G275" i="14" s="1"/>
  <c r="F276" i="14"/>
  <c r="G276" i="14" s="1"/>
  <c r="F277" i="14"/>
  <c r="G277" i="14" s="1"/>
  <c r="F278" i="14"/>
  <c r="G278" i="14" s="1"/>
  <c r="F279" i="14"/>
  <c r="G279" i="14" s="1"/>
  <c r="F280" i="14"/>
  <c r="G280" i="14" s="1"/>
  <c r="F281" i="14"/>
  <c r="G281" i="14" s="1"/>
  <c r="F282" i="14"/>
  <c r="G282" i="14" s="1"/>
  <c r="F283" i="14"/>
  <c r="G283" i="14" s="1"/>
  <c r="F284" i="14"/>
  <c r="G284" i="14" s="1"/>
  <c r="F285" i="14"/>
  <c r="G285" i="14" s="1"/>
  <c r="F286" i="14"/>
  <c r="G286" i="14" s="1"/>
  <c r="F287" i="14"/>
  <c r="G287" i="14" s="1"/>
  <c r="F288" i="14"/>
  <c r="G288" i="14" s="1"/>
  <c r="F289" i="14"/>
  <c r="G289" i="14" s="1"/>
  <c r="F290" i="14"/>
  <c r="G290" i="14" s="1"/>
  <c r="F291" i="14"/>
  <c r="G291" i="14" s="1"/>
  <c r="F292" i="14"/>
  <c r="G292" i="14" s="1"/>
  <c r="F293" i="14"/>
  <c r="G293" i="14" s="1"/>
  <c r="F294" i="14"/>
  <c r="G294" i="14" s="1"/>
  <c r="F295" i="14"/>
  <c r="G295" i="14" s="1"/>
  <c r="E290" i="13"/>
  <c r="E291" i="13"/>
  <c r="E292" i="13"/>
  <c r="E293" i="13"/>
  <c r="E294" i="13"/>
  <c r="E295" i="13"/>
  <c r="F290" i="13"/>
  <c r="G290" i="13" s="1"/>
  <c r="F291" i="13"/>
  <c r="G291" i="13" s="1"/>
  <c r="F292" i="13"/>
  <c r="G292" i="13" s="1"/>
  <c r="F293" i="13"/>
  <c r="G293" i="13" s="1"/>
  <c r="F294" i="13"/>
  <c r="G294" i="13" s="1"/>
  <c r="F295" i="13"/>
  <c r="G295" i="13" s="1"/>
  <c r="E201" i="13"/>
  <c r="E202" i="13"/>
  <c r="E203" i="13"/>
  <c r="E204" i="13"/>
  <c r="E205" i="13"/>
  <c r="E206" i="13"/>
  <c r="E207" i="13"/>
  <c r="E208" i="13"/>
  <c r="E209" i="13"/>
  <c r="E210" i="13"/>
  <c r="E211" i="13"/>
  <c r="E212" i="13"/>
  <c r="E213" i="13"/>
  <c r="E214" i="13"/>
  <c r="E215" i="13"/>
  <c r="E216" i="13"/>
  <c r="E217" i="13"/>
  <c r="E218" i="13"/>
  <c r="E219" i="13"/>
  <c r="E220" i="13"/>
  <c r="E221" i="13"/>
  <c r="E222" i="13"/>
  <c r="E223" i="13"/>
  <c r="E224" i="13"/>
  <c r="E225" i="13"/>
  <c r="E226" i="13"/>
  <c r="E227" i="13"/>
  <c r="E228" i="13"/>
  <c r="E229" i="13"/>
  <c r="E230" i="13"/>
  <c r="E231" i="13"/>
  <c r="E232" i="13"/>
  <c r="E233" i="13"/>
  <c r="E234" i="13"/>
  <c r="E235" i="13"/>
  <c r="E236" i="13"/>
  <c r="E237" i="13"/>
  <c r="E238" i="13"/>
  <c r="E239" i="13"/>
  <c r="E240" i="13"/>
  <c r="E241" i="13"/>
  <c r="E242" i="13"/>
  <c r="E243" i="13"/>
  <c r="E244" i="13"/>
  <c r="E245" i="13"/>
  <c r="E246" i="13"/>
  <c r="E247" i="13"/>
  <c r="E248" i="13"/>
  <c r="E249" i="13"/>
  <c r="E250" i="13"/>
  <c r="E251" i="13"/>
  <c r="E252" i="13"/>
  <c r="E253" i="13"/>
  <c r="E254" i="13"/>
  <c r="E255" i="13"/>
  <c r="E256" i="13"/>
  <c r="E257" i="13"/>
  <c r="E258" i="13"/>
  <c r="E259" i="13"/>
  <c r="E260" i="13"/>
  <c r="E261" i="13"/>
  <c r="E262" i="13"/>
  <c r="E263" i="13"/>
  <c r="E264" i="13"/>
  <c r="E265" i="13"/>
  <c r="E266" i="13"/>
  <c r="E267" i="13"/>
  <c r="E268" i="13"/>
  <c r="E269" i="13"/>
  <c r="E270" i="13"/>
  <c r="E271" i="13"/>
  <c r="E272" i="13"/>
  <c r="E273" i="13"/>
  <c r="E274" i="13"/>
  <c r="E275" i="13"/>
  <c r="E276" i="13"/>
  <c r="E277" i="13"/>
  <c r="E278" i="13"/>
  <c r="E279" i="13"/>
  <c r="E280" i="13"/>
  <c r="E281" i="13"/>
  <c r="E282" i="13"/>
  <c r="E283" i="13"/>
  <c r="E284" i="13"/>
  <c r="E285" i="13"/>
  <c r="E286" i="13"/>
  <c r="E287" i="13"/>
  <c r="E288" i="13"/>
  <c r="E289" i="13"/>
  <c r="F201" i="13"/>
  <c r="G201" i="13" s="1"/>
  <c r="F202" i="13"/>
  <c r="G202" i="13" s="1"/>
  <c r="F203" i="13"/>
  <c r="G203" i="13" s="1"/>
  <c r="F204" i="13"/>
  <c r="G204" i="13" s="1"/>
  <c r="F205" i="13"/>
  <c r="G205" i="13" s="1"/>
  <c r="F206" i="13"/>
  <c r="G206" i="13" s="1"/>
  <c r="F207" i="13"/>
  <c r="G207" i="13" s="1"/>
  <c r="F208" i="13"/>
  <c r="G208" i="13" s="1"/>
  <c r="F209" i="13"/>
  <c r="G209" i="13" s="1"/>
  <c r="F210" i="13"/>
  <c r="G210" i="13" s="1"/>
  <c r="F211" i="13"/>
  <c r="G211" i="13" s="1"/>
  <c r="F212" i="13"/>
  <c r="G212" i="13" s="1"/>
  <c r="F213" i="13"/>
  <c r="G213" i="13" s="1"/>
  <c r="F214" i="13"/>
  <c r="G214" i="13" s="1"/>
  <c r="F215" i="13"/>
  <c r="G215" i="13" s="1"/>
  <c r="F216" i="13"/>
  <c r="G216" i="13" s="1"/>
  <c r="F217" i="13"/>
  <c r="G217" i="13" s="1"/>
  <c r="F218" i="13"/>
  <c r="G218" i="13" s="1"/>
  <c r="F219" i="13"/>
  <c r="G219" i="13" s="1"/>
  <c r="F220" i="13"/>
  <c r="G220" i="13" s="1"/>
  <c r="F221" i="13"/>
  <c r="G221" i="13" s="1"/>
  <c r="F222" i="13"/>
  <c r="G222" i="13" s="1"/>
  <c r="F223" i="13"/>
  <c r="G223" i="13" s="1"/>
  <c r="F224" i="13"/>
  <c r="G224" i="13" s="1"/>
  <c r="F225" i="13"/>
  <c r="G225" i="13" s="1"/>
  <c r="F226" i="13"/>
  <c r="G226" i="13" s="1"/>
  <c r="F227" i="13"/>
  <c r="G227" i="13" s="1"/>
  <c r="F228" i="13"/>
  <c r="G228" i="13" s="1"/>
  <c r="F229" i="13"/>
  <c r="G229" i="13" s="1"/>
  <c r="F230" i="13"/>
  <c r="G230" i="13" s="1"/>
  <c r="F231" i="13"/>
  <c r="G231" i="13" s="1"/>
  <c r="F232" i="13"/>
  <c r="G232" i="13" s="1"/>
  <c r="F233" i="13"/>
  <c r="G233" i="13" s="1"/>
  <c r="F234" i="13"/>
  <c r="G234" i="13" s="1"/>
  <c r="F235" i="13"/>
  <c r="G235" i="13" s="1"/>
  <c r="F236" i="13"/>
  <c r="G236" i="13" s="1"/>
  <c r="F237" i="13"/>
  <c r="G237" i="13" s="1"/>
  <c r="F238" i="13"/>
  <c r="G238" i="13" s="1"/>
  <c r="F239" i="13"/>
  <c r="G239" i="13" s="1"/>
  <c r="F240" i="13"/>
  <c r="G240" i="13" s="1"/>
  <c r="F241" i="13"/>
  <c r="G241" i="13" s="1"/>
  <c r="F242" i="13"/>
  <c r="G242" i="13" s="1"/>
  <c r="F243" i="13"/>
  <c r="G243" i="13" s="1"/>
  <c r="F244" i="13"/>
  <c r="G244" i="13" s="1"/>
  <c r="F245" i="13"/>
  <c r="G245" i="13" s="1"/>
  <c r="F246" i="13"/>
  <c r="G246" i="13" s="1"/>
  <c r="F247" i="13"/>
  <c r="G247" i="13" s="1"/>
  <c r="F248" i="13"/>
  <c r="G248" i="13" s="1"/>
  <c r="F249" i="13"/>
  <c r="G249" i="13" s="1"/>
  <c r="F250" i="13"/>
  <c r="G250" i="13" s="1"/>
  <c r="F251" i="13"/>
  <c r="G251" i="13" s="1"/>
  <c r="F252" i="13"/>
  <c r="G252" i="13" s="1"/>
  <c r="F253" i="13"/>
  <c r="G253" i="13" s="1"/>
  <c r="F254" i="13"/>
  <c r="G254" i="13" s="1"/>
  <c r="F255" i="13"/>
  <c r="G255" i="13" s="1"/>
  <c r="F256" i="13"/>
  <c r="G256" i="13" s="1"/>
  <c r="F257" i="13"/>
  <c r="G257" i="13" s="1"/>
  <c r="F258" i="13"/>
  <c r="G258" i="13" s="1"/>
  <c r="F259" i="13"/>
  <c r="G259" i="13" s="1"/>
  <c r="F260" i="13"/>
  <c r="G260" i="13" s="1"/>
  <c r="F261" i="13"/>
  <c r="G261" i="13" s="1"/>
  <c r="F262" i="13"/>
  <c r="G262" i="13" s="1"/>
  <c r="F263" i="13"/>
  <c r="G263" i="13" s="1"/>
  <c r="F264" i="13"/>
  <c r="G264" i="13" s="1"/>
  <c r="F265" i="13"/>
  <c r="G265" i="13" s="1"/>
  <c r="F266" i="13"/>
  <c r="G266" i="13" s="1"/>
  <c r="F267" i="13"/>
  <c r="G267" i="13" s="1"/>
  <c r="F268" i="13"/>
  <c r="G268" i="13" s="1"/>
  <c r="F269" i="13"/>
  <c r="G269" i="13" s="1"/>
  <c r="F270" i="13"/>
  <c r="G270" i="13" s="1"/>
  <c r="F271" i="13"/>
  <c r="G271" i="13" s="1"/>
  <c r="F272" i="13"/>
  <c r="G272" i="13" s="1"/>
  <c r="F273" i="13"/>
  <c r="G273" i="13" s="1"/>
  <c r="F274" i="13"/>
  <c r="G274" i="13" s="1"/>
  <c r="F275" i="13"/>
  <c r="G275" i="13" s="1"/>
  <c r="F276" i="13"/>
  <c r="G276" i="13" s="1"/>
  <c r="F277" i="13"/>
  <c r="G277" i="13" s="1"/>
  <c r="F278" i="13"/>
  <c r="G278" i="13" s="1"/>
  <c r="F279" i="13"/>
  <c r="G279" i="13" s="1"/>
  <c r="F280" i="13"/>
  <c r="G280" i="13" s="1"/>
  <c r="F281" i="13"/>
  <c r="G281" i="13" s="1"/>
  <c r="F282" i="13"/>
  <c r="G282" i="13" s="1"/>
  <c r="F283" i="13"/>
  <c r="G283" i="13" s="1"/>
  <c r="F284" i="13"/>
  <c r="G284" i="13" s="1"/>
  <c r="F285" i="13"/>
  <c r="G285" i="13" s="1"/>
  <c r="F286" i="13"/>
  <c r="G286" i="13" s="1"/>
  <c r="F287" i="13"/>
  <c r="G287" i="13" s="1"/>
  <c r="F288" i="13"/>
  <c r="G288" i="13" s="1"/>
  <c r="F289" i="13"/>
  <c r="G289" i="13" s="1"/>
  <c r="O284" i="28"/>
  <c r="O322" i="28"/>
  <c r="O331" i="28"/>
  <c r="O333" i="28"/>
  <c r="O335" i="28"/>
  <c r="O336" i="28"/>
  <c r="O350" i="28"/>
  <c r="O353" i="28"/>
  <c r="O355" i="28"/>
  <c r="O356" i="28"/>
  <c r="O357" i="28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F201" i="12"/>
  <c r="G201" i="12" s="1"/>
  <c r="F202" i="12"/>
  <c r="G202" i="12" s="1"/>
  <c r="F203" i="12"/>
  <c r="G203" i="12" s="1"/>
  <c r="F204" i="12"/>
  <c r="G204" i="12" s="1"/>
  <c r="F205" i="12"/>
  <c r="G205" i="12" s="1"/>
  <c r="F206" i="12"/>
  <c r="G206" i="12" s="1"/>
  <c r="F207" i="12"/>
  <c r="G207" i="12" s="1"/>
  <c r="F208" i="12"/>
  <c r="G208" i="12" s="1"/>
  <c r="F209" i="12"/>
  <c r="G209" i="12" s="1"/>
  <c r="F210" i="12"/>
  <c r="G210" i="12" s="1"/>
  <c r="F211" i="12"/>
  <c r="G211" i="12" s="1"/>
  <c r="F212" i="12"/>
  <c r="G212" i="12" s="1"/>
  <c r="F213" i="12"/>
  <c r="G213" i="12" s="1"/>
  <c r="F214" i="12"/>
  <c r="G214" i="12" s="1"/>
  <c r="F215" i="12"/>
  <c r="G215" i="12" s="1"/>
  <c r="F216" i="12"/>
  <c r="G216" i="12" s="1"/>
  <c r="F217" i="12"/>
  <c r="G217" i="12" s="1"/>
  <c r="F218" i="12"/>
  <c r="G218" i="12" s="1"/>
  <c r="F219" i="12"/>
  <c r="G219" i="12" s="1"/>
  <c r="F220" i="12"/>
  <c r="G220" i="12" s="1"/>
  <c r="F221" i="12"/>
  <c r="G221" i="12" s="1"/>
  <c r="F222" i="12"/>
  <c r="G222" i="12" s="1"/>
  <c r="F223" i="12"/>
  <c r="G223" i="12" s="1"/>
  <c r="F224" i="12"/>
  <c r="G224" i="12" s="1"/>
  <c r="F225" i="12"/>
  <c r="G225" i="12" s="1"/>
  <c r="F226" i="12"/>
  <c r="G226" i="12" s="1"/>
  <c r="F227" i="12"/>
  <c r="G227" i="12" s="1"/>
  <c r="F228" i="12"/>
  <c r="G228" i="12" s="1"/>
  <c r="F229" i="12"/>
  <c r="G229" i="12" s="1"/>
  <c r="F230" i="12"/>
  <c r="G230" i="12" s="1"/>
  <c r="F231" i="12"/>
  <c r="G231" i="12" s="1"/>
  <c r="F232" i="12"/>
  <c r="G232" i="12" s="1"/>
  <c r="F233" i="12"/>
  <c r="G233" i="12" s="1"/>
  <c r="F234" i="12"/>
  <c r="G234" i="12" s="1"/>
  <c r="F235" i="12"/>
  <c r="G235" i="12" s="1"/>
  <c r="F236" i="12"/>
  <c r="G236" i="12" s="1"/>
  <c r="F237" i="12"/>
  <c r="G237" i="12" s="1"/>
  <c r="F238" i="12"/>
  <c r="G238" i="12" s="1"/>
  <c r="F239" i="12"/>
  <c r="G239" i="12" s="1"/>
  <c r="F240" i="12"/>
  <c r="G240" i="12" s="1"/>
  <c r="F241" i="12"/>
  <c r="G241" i="12" s="1"/>
  <c r="F242" i="12"/>
  <c r="G242" i="12" s="1"/>
  <c r="F243" i="12"/>
  <c r="G243" i="12" s="1"/>
  <c r="F244" i="12"/>
  <c r="G244" i="12" s="1"/>
  <c r="F245" i="12"/>
  <c r="G245" i="12" s="1"/>
  <c r="F246" i="12"/>
  <c r="G246" i="12" s="1"/>
  <c r="F247" i="12"/>
  <c r="G247" i="12" s="1"/>
  <c r="F248" i="12"/>
  <c r="G248" i="12" s="1"/>
  <c r="F249" i="12"/>
  <c r="G249" i="12" s="1"/>
  <c r="F250" i="12"/>
  <c r="G250" i="12" s="1"/>
  <c r="F251" i="12"/>
  <c r="G251" i="12" s="1"/>
  <c r="F252" i="12"/>
  <c r="G252" i="12" s="1"/>
  <c r="F253" i="12"/>
  <c r="G253" i="12" s="1"/>
  <c r="F254" i="12"/>
  <c r="G254" i="12" s="1"/>
  <c r="F255" i="12"/>
  <c r="G255" i="12" s="1"/>
  <c r="F256" i="12"/>
  <c r="G256" i="12" s="1"/>
  <c r="F257" i="12"/>
  <c r="G257" i="12" s="1"/>
  <c r="F258" i="12"/>
  <c r="G258" i="12" s="1"/>
  <c r="F259" i="12"/>
  <c r="G259" i="12" s="1"/>
  <c r="F260" i="12"/>
  <c r="G260" i="12" s="1"/>
  <c r="F261" i="12"/>
  <c r="G261" i="12" s="1"/>
  <c r="F262" i="12"/>
  <c r="G262" i="12" s="1"/>
  <c r="F263" i="12"/>
  <c r="G263" i="12" s="1"/>
  <c r="F264" i="12"/>
  <c r="G264" i="12" s="1"/>
  <c r="F265" i="12"/>
  <c r="G265" i="12" s="1"/>
  <c r="F266" i="12"/>
  <c r="G266" i="12" s="1"/>
  <c r="F267" i="12"/>
  <c r="G267" i="12" s="1"/>
  <c r="F268" i="12"/>
  <c r="G268" i="12" s="1"/>
  <c r="F269" i="12"/>
  <c r="G269" i="12" s="1"/>
  <c r="AG18" i="23"/>
  <c r="AA66" i="18"/>
  <c r="R141" i="32"/>
  <c r="I66" i="18"/>
  <c r="X141" i="32"/>
  <c r="AA140" i="32"/>
  <c r="U141" i="32"/>
  <c r="X66" i="18"/>
  <c r="AJ140" i="32"/>
  <c r="I87" i="18"/>
  <c r="AG141" i="32"/>
  <c r="AG66" i="18"/>
  <c r="O141" i="32"/>
  <c r="AA141" i="32"/>
  <c r="AJ18" i="23"/>
  <c r="AG140" i="32"/>
  <c r="L66" i="18"/>
  <c r="R18" i="23"/>
  <c r="O66" i="18"/>
  <c r="AD18" i="23"/>
  <c r="F141" i="32"/>
  <c r="I18" i="23"/>
  <c r="D141" i="32"/>
  <c r="F18" i="23"/>
  <c r="R140" i="32"/>
  <c r="L140" i="32"/>
  <c r="AJ141" i="32"/>
  <c r="D140" i="32"/>
  <c r="U140" i="32"/>
  <c r="AM66" i="18"/>
  <c r="U66" i="18"/>
  <c r="AM18" i="23"/>
  <c r="L141" i="32"/>
  <c r="AD141" i="32"/>
  <c r="I141" i="32"/>
  <c r="O140" i="32"/>
  <c r="R66" i="18"/>
  <c r="AA18" i="23"/>
  <c r="AD66" i="18"/>
  <c r="X18" i="23"/>
  <c r="U18" i="23"/>
  <c r="F66" i="18"/>
  <c r="F140" i="32"/>
  <c r="AD140" i="32"/>
  <c r="I140" i="32"/>
  <c r="X140" i="32"/>
  <c r="L18" i="23"/>
  <c r="O18" i="23"/>
  <c r="AJ66" i="18"/>
  <c r="O330" i="28" l="1"/>
  <c r="O321" i="28"/>
  <c r="O329" i="28"/>
  <c r="O320" i="28"/>
  <c r="O347" i="28"/>
  <c r="O326" i="28"/>
  <c r="O343" i="28"/>
  <c r="O324" i="28"/>
  <c r="O337" i="28"/>
  <c r="O323" i="28"/>
  <c r="O332" i="28"/>
  <c r="O319" i="28"/>
  <c r="O348" i="28"/>
  <c r="O349" i="28"/>
  <c r="O327" i="28"/>
  <c r="O344" i="28"/>
  <c r="O325" i="28"/>
  <c r="Z66" i="18"/>
  <c r="AF66" i="18"/>
  <c r="AL141" i="32"/>
  <c r="N66" i="18"/>
  <c r="T66" i="18"/>
  <c r="H66" i="18"/>
  <c r="Q140" i="32"/>
  <c r="W141" i="32"/>
  <c r="AL18" i="23"/>
  <c r="N18" i="23"/>
  <c r="H141" i="32"/>
  <c r="AC140" i="32"/>
  <c r="T18" i="23"/>
  <c r="AF140" i="32"/>
  <c r="Z140" i="32"/>
  <c r="Q141" i="32"/>
  <c r="AI66" i="18"/>
  <c r="N140" i="32"/>
  <c r="K140" i="32"/>
  <c r="AF141" i="32"/>
  <c r="AC66" i="18"/>
  <c r="W140" i="32"/>
  <c r="AI140" i="32"/>
  <c r="N141" i="32"/>
  <c r="Z141" i="32"/>
  <c r="AI18" i="23"/>
  <c r="AF18" i="23"/>
  <c r="T140" i="32"/>
  <c r="H18" i="23"/>
  <c r="AO18" i="23"/>
  <c r="AC141" i="32"/>
  <c r="H140" i="32"/>
  <c r="AI141" i="32"/>
  <c r="AO66" i="18"/>
  <c r="K66" i="18"/>
  <c r="Q66" i="18"/>
  <c r="AL66" i="18"/>
  <c r="T141" i="32"/>
  <c r="Z18" i="23"/>
  <c r="AL140" i="32"/>
  <c r="W66" i="18"/>
  <c r="W18" i="23"/>
  <c r="K141" i="32"/>
  <c r="Q18" i="23"/>
  <c r="K18" i="23"/>
  <c r="AC18" i="23"/>
  <c r="K6" i="33"/>
  <c r="R58" i="11" l="1"/>
  <c r="F208" i="32"/>
  <c r="D208" i="32"/>
  <c r="AJ208" i="32"/>
  <c r="AG208" i="32"/>
  <c r="AD208" i="32"/>
  <c r="X208" i="32"/>
  <c r="O208" i="32"/>
  <c r="L208" i="32"/>
  <c r="I208" i="32"/>
  <c r="R208" i="32"/>
  <c r="U208" i="32"/>
  <c r="AA208" i="32"/>
  <c r="AI208" i="32" l="1"/>
  <c r="AL208" i="32"/>
  <c r="AF208" i="32"/>
  <c r="K208" i="32"/>
  <c r="T208" i="32"/>
  <c r="AC208" i="32"/>
  <c r="N208" i="32"/>
  <c r="H208" i="32"/>
  <c r="W208" i="32"/>
  <c r="Q208" i="32"/>
  <c r="Z208" i="32"/>
  <c r="D114" i="18"/>
  <c r="D113" i="18"/>
  <c r="D112" i="18"/>
  <c r="D111" i="18"/>
  <c r="D110" i="18"/>
  <c r="D109" i="18"/>
  <c r="D108" i="18"/>
  <c r="L321" i="28"/>
  <c r="L324" i="28"/>
  <c r="L320" i="28" l="1"/>
  <c r="L319" i="28"/>
  <c r="L325" i="28"/>
  <c r="E200" i="11" l="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F200" i="11"/>
  <c r="G200" i="11" s="1"/>
  <c r="F201" i="11"/>
  <c r="G201" i="11" s="1"/>
  <c r="F202" i="11"/>
  <c r="G202" i="11" s="1"/>
  <c r="F203" i="11"/>
  <c r="G203" i="11" s="1"/>
  <c r="F204" i="11"/>
  <c r="G204" i="11" s="1"/>
  <c r="F205" i="11"/>
  <c r="G205" i="11" s="1"/>
  <c r="F206" i="11"/>
  <c r="G206" i="11" s="1"/>
  <c r="F207" i="11"/>
  <c r="G207" i="11" s="1"/>
  <c r="F208" i="11"/>
  <c r="G208" i="11" s="1"/>
  <c r="F209" i="11"/>
  <c r="G209" i="11" s="1"/>
  <c r="F210" i="11"/>
  <c r="G210" i="11" s="1"/>
  <c r="F211" i="11"/>
  <c r="G211" i="11" s="1"/>
  <c r="F212" i="11"/>
  <c r="G212" i="11" s="1"/>
  <c r="F213" i="11"/>
  <c r="G213" i="11" s="1"/>
  <c r="F214" i="11"/>
  <c r="G214" i="11" s="1"/>
  <c r="F215" i="11"/>
  <c r="G215" i="11" s="1"/>
  <c r="F216" i="11"/>
  <c r="G216" i="11" s="1"/>
  <c r="F217" i="11"/>
  <c r="G217" i="11" s="1"/>
  <c r="F218" i="11"/>
  <c r="G218" i="11" s="1"/>
  <c r="F219" i="11"/>
  <c r="G219" i="11" s="1"/>
  <c r="F220" i="11"/>
  <c r="G220" i="11" s="1"/>
  <c r="F221" i="11"/>
  <c r="G221" i="11" s="1"/>
  <c r="F222" i="11"/>
  <c r="G222" i="11" s="1"/>
  <c r="F223" i="11"/>
  <c r="G223" i="11" s="1"/>
  <c r="F224" i="11"/>
  <c r="G224" i="11" s="1"/>
  <c r="F225" i="11"/>
  <c r="G225" i="11" s="1"/>
  <c r="F226" i="11"/>
  <c r="G226" i="11" s="1"/>
  <c r="F227" i="11"/>
  <c r="G227" i="11" s="1"/>
  <c r="F228" i="11"/>
  <c r="G228" i="11" s="1"/>
  <c r="F229" i="11"/>
  <c r="G229" i="11" s="1"/>
  <c r="F230" i="11"/>
  <c r="G230" i="11" s="1"/>
  <c r="F231" i="11"/>
  <c r="G231" i="11" s="1"/>
  <c r="F232" i="11"/>
  <c r="G232" i="11" s="1"/>
  <c r="F233" i="11"/>
  <c r="G233" i="11" s="1"/>
  <c r="F234" i="11"/>
  <c r="G234" i="11" s="1"/>
  <c r="F235" i="11"/>
  <c r="G235" i="11" s="1"/>
  <c r="F236" i="11"/>
  <c r="G236" i="11" s="1"/>
  <c r="F237" i="11"/>
  <c r="G237" i="11" s="1"/>
  <c r="F238" i="11"/>
  <c r="G238" i="11" s="1"/>
  <c r="F239" i="11"/>
  <c r="G239" i="11" s="1"/>
  <c r="F240" i="11"/>
  <c r="G240" i="11" s="1"/>
  <c r="D56" i="1"/>
  <c r="E56" i="1"/>
  <c r="H56" i="1"/>
  <c r="I56" i="1"/>
  <c r="J56" i="1"/>
  <c r="K56" i="1"/>
  <c r="L56" i="1"/>
  <c r="M56" i="1"/>
  <c r="N56" i="1"/>
  <c r="O56" i="1"/>
  <c r="P56" i="1"/>
  <c r="Q56" i="1"/>
  <c r="R56" i="1"/>
  <c r="S56" i="1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F199" i="10"/>
  <c r="G199" i="10" s="1"/>
  <c r="F200" i="10"/>
  <c r="G200" i="10" s="1"/>
  <c r="F201" i="10"/>
  <c r="G201" i="10" s="1"/>
  <c r="F202" i="10"/>
  <c r="G202" i="10" s="1"/>
  <c r="F203" i="10"/>
  <c r="G203" i="10" s="1"/>
  <c r="F204" i="10"/>
  <c r="G204" i="10" s="1"/>
  <c r="F205" i="10"/>
  <c r="G205" i="10" s="1"/>
  <c r="F206" i="10"/>
  <c r="G206" i="10" s="1"/>
  <c r="F207" i="10"/>
  <c r="G207" i="10" s="1"/>
  <c r="F208" i="10"/>
  <c r="G208" i="10" s="1"/>
  <c r="F209" i="10"/>
  <c r="G209" i="10" s="1"/>
  <c r="F210" i="10"/>
  <c r="G210" i="10" s="1"/>
  <c r="F211" i="10"/>
  <c r="G211" i="10" s="1"/>
  <c r="F212" i="10"/>
  <c r="G212" i="10" s="1"/>
  <c r="F213" i="10"/>
  <c r="G213" i="10" s="1"/>
  <c r="F214" i="10"/>
  <c r="G214" i="10" s="1"/>
  <c r="F215" i="10"/>
  <c r="G215" i="10" s="1"/>
  <c r="F216" i="10"/>
  <c r="G216" i="10" s="1"/>
  <c r="F217" i="10"/>
  <c r="G217" i="10" s="1"/>
  <c r="F218" i="10"/>
  <c r="G218" i="10" s="1"/>
  <c r="F219" i="10"/>
  <c r="G219" i="10" s="1"/>
  <c r="F220" i="10"/>
  <c r="G220" i="10" s="1"/>
  <c r="F221" i="10"/>
  <c r="G221" i="10" s="1"/>
  <c r="F222" i="10"/>
  <c r="G222" i="10" s="1"/>
  <c r="F223" i="10"/>
  <c r="G223" i="10" s="1"/>
  <c r="F224" i="10"/>
  <c r="G224" i="10" s="1"/>
  <c r="F225" i="10"/>
  <c r="G225" i="10" s="1"/>
  <c r="F226" i="10"/>
  <c r="G226" i="10" s="1"/>
  <c r="F227" i="10"/>
  <c r="G227" i="10" s="1"/>
  <c r="F228" i="10"/>
  <c r="G228" i="10" s="1"/>
  <c r="F229" i="10"/>
  <c r="G229" i="10" s="1"/>
  <c r="F230" i="10"/>
  <c r="G230" i="10" s="1"/>
  <c r="F231" i="10"/>
  <c r="G231" i="10" s="1"/>
  <c r="F232" i="10"/>
  <c r="G232" i="10" s="1"/>
  <c r="F233" i="10"/>
  <c r="G233" i="10" s="1"/>
  <c r="M320" i="28" l="1"/>
  <c r="M322" i="28"/>
  <c r="M325" i="28"/>
  <c r="M327" i="28"/>
  <c r="M324" i="28"/>
  <c r="M326" i="28"/>
  <c r="M321" i="28"/>
  <c r="M323" i="28"/>
  <c r="D117" i="1"/>
  <c r="E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D72" i="1"/>
  <c r="E72" i="1"/>
  <c r="H72" i="1"/>
  <c r="I72" i="1"/>
  <c r="J72" i="1"/>
  <c r="K72" i="1"/>
  <c r="L72" i="1"/>
  <c r="M72" i="1"/>
  <c r="N72" i="1"/>
  <c r="O72" i="1"/>
  <c r="P72" i="1"/>
  <c r="Q72" i="1"/>
  <c r="R72" i="1"/>
  <c r="S72" i="1"/>
  <c r="D70" i="1"/>
  <c r="E70" i="1"/>
  <c r="H70" i="1"/>
  <c r="I70" i="1"/>
  <c r="J70" i="1"/>
  <c r="K70" i="1"/>
  <c r="L70" i="1"/>
  <c r="M70" i="1"/>
  <c r="N70" i="1"/>
  <c r="O70" i="1"/>
  <c r="P70" i="1"/>
  <c r="Q70" i="1"/>
  <c r="R70" i="1"/>
  <c r="S70" i="1"/>
  <c r="C265" i="28"/>
  <c r="C266" i="28"/>
  <c r="C267" i="28"/>
  <c r="C268" i="28"/>
  <c r="C269" i="28"/>
  <c r="C270" i="28"/>
  <c r="C271" i="28"/>
  <c r="C272" i="28"/>
  <c r="C273" i="28"/>
  <c r="C274" i="28"/>
  <c r="C275" i="28"/>
  <c r="C276" i="28"/>
  <c r="C277" i="28"/>
  <c r="C278" i="28"/>
  <c r="C279" i="28"/>
  <c r="C280" i="28"/>
  <c r="C281" i="28"/>
  <c r="C282" i="28"/>
  <c r="C283" i="28"/>
  <c r="C285" i="28"/>
  <c r="C286" i="28"/>
  <c r="C287" i="28"/>
  <c r="C288" i="28"/>
  <c r="C289" i="28"/>
  <c r="C290" i="28"/>
  <c r="C291" i="28"/>
  <c r="C292" i="28"/>
  <c r="C293" i="28"/>
  <c r="C294" i="28"/>
  <c r="C295" i="28"/>
  <c r="C296" i="28"/>
  <c r="C297" i="28"/>
  <c r="C298" i="28"/>
  <c r="C299" i="28"/>
  <c r="C300" i="28"/>
  <c r="C301" i="28"/>
  <c r="C302" i="28"/>
  <c r="C303" i="28"/>
  <c r="C304" i="28"/>
  <c r="C305" i="28"/>
  <c r="C306" i="28"/>
  <c r="C307" i="28"/>
  <c r="C308" i="28"/>
  <c r="C309" i="28"/>
  <c r="C310" i="28"/>
  <c r="C311" i="28"/>
  <c r="C312" i="28"/>
  <c r="C313" i="28"/>
  <c r="C314" i="28"/>
  <c r="C315" i="28"/>
  <c r="C316" i="28"/>
  <c r="C317" i="28"/>
  <c r="C318" i="28"/>
  <c r="D265" i="28"/>
  <c r="D266" i="28"/>
  <c r="D267" i="28"/>
  <c r="D268" i="28"/>
  <c r="D269" i="28"/>
  <c r="D270" i="28"/>
  <c r="D271" i="28"/>
  <c r="D272" i="28"/>
  <c r="D273" i="28"/>
  <c r="D274" i="28"/>
  <c r="D275" i="28"/>
  <c r="D276" i="28"/>
  <c r="D277" i="28"/>
  <c r="D278" i="28"/>
  <c r="D279" i="28"/>
  <c r="D280" i="28"/>
  <c r="D281" i="28"/>
  <c r="D282" i="28"/>
  <c r="D283" i="28"/>
  <c r="D285" i="28"/>
  <c r="D286" i="28"/>
  <c r="D287" i="28"/>
  <c r="D288" i="28"/>
  <c r="D289" i="28"/>
  <c r="D290" i="28"/>
  <c r="D291" i="28"/>
  <c r="D292" i="28"/>
  <c r="D293" i="28"/>
  <c r="D294" i="28"/>
  <c r="D295" i="28"/>
  <c r="D296" i="28"/>
  <c r="D297" i="28"/>
  <c r="D298" i="28"/>
  <c r="D299" i="28"/>
  <c r="D300" i="28"/>
  <c r="D301" i="28"/>
  <c r="D302" i="28"/>
  <c r="D303" i="28"/>
  <c r="D304" i="28"/>
  <c r="D305" i="28"/>
  <c r="D306" i="28"/>
  <c r="D307" i="28"/>
  <c r="D308" i="28"/>
  <c r="D309" i="28"/>
  <c r="D310" i="28"/>
  <c r="D311" i="28"/>
  <c r="D312" i="28"/>
  <c r="D313" i="28"/>
  <c r="D314" i="28"/>
  <c r="D315" i="28"/>
  <c r="D316" i="28"/>
  <c r="D317" i="28"/>
  <c r="D318" i="28"/>
  <c r="E265" i="28"/>
  <c r="E266" i="28"/>
  <c r="E267" i="28"/>
  <c r="E268" i="28"/>
  <c r="E269" i="28"/>
  <c r="E270" i="28"/>
  <c r="E271" i="28"/>
  <c r="E272" i="28"/>
  <c r="E273" i="28"/>
  <c r="E274" i="28"/>
  <c r="E275" i="28"/>
  <c r="E276" i="28"/>
  <c r="E277" i="28"/>
  <c r="E278" i="28"/>
  <c r="E279" i="28"/>
  <c r="E280" i="28"/>
  <c r="E281" i="28"/>
  <c r="E282" i="28"/>
  <c r="E283" i="28"/>
  <c r="E285" i="28"/>
  <c r="E286" i="28"/>
  <c r="E287" i="28"/>
  <c r="E288" i="28"/>
  <c r="E289" i="28"/>
  <c r="E290" i="28"/>
  <c r="E291" i="28"/>
  <c r="E292" i="28"/>
  <c r="E293" i="28"/>
  <c r="E294" i="28"/>
  <c r="E295" i="28"/>
  <c r="E296" i="28"/>
  <c r="E297" i="28"/>
  <c r="E298" i="28"/>
  <c r="E299" i="28"/>
  <c r="E300" i="28"/>
  <c r="E301" i="28"/>
  <c r="E302" i="28"/>
  <c r="E303" i="28"/>
  <c r="E304" i="28"/>
  <c r="E305" i="28"/>
  <c r="E306" i="28"/>
  <c r="E307" i="28"/>
  <c r="E308" i="28"/>
  <c r="E309" i="28"/>
  <c r="E310" i="28"/>
  <c r="E311" i="28"/>
  <c r="E312" i="28"/>
  <c r="E313" i="28"/>
  <c r="E314" i="28"/>
  <c r="E315" i="28"/>
  <c r="E316" i="28"/>
  <c r="E317" i="28"/>
  <c r="E318" i="28"/>
  <c r="L265" i="28"/>
  <c r="L266" i="28"/>
  <c r="L267" i="28"/>
  <c r="L268" i="28"/>
  <c r="L269" i="28"/>
  <c r="L270" i="28"/>
  <c r="L271" i="28"/>
  <c r="L272" i="28"/>
  <c r="L273" i="28"/>
  <c r="L274" i="28"/>
  <c r="L275" i="28"/>
  <c r="L276" i="28"/>
  <c r="L277" i="28"/>
  <c r="L278" i="28"/>
  <c r="L279" i="28"/>
  <c r="L280" i="28"/>
  <c r="L281" i="28"/>
  <c r="L282" i="28"/>
  <c r="L283" i="28"/>
  <c r="L285" i="28"/>
  <c r="L286" i="28"/>
  <c r="L287" i="28"/>
  <c r="L288" i="28"/>
  <c r="L289" i="28"/>
  <c r="L290" i="28"/>
  <c r="L291" i="28"/>
  <c r="L292" i="28"/>
  <c r="L293" i="28"/>
  <c r="L294" i="28"/>
  <c r="L295" i="28"/>
  <c r="L296" i="28"/>
  <c r="L297" i="28"/>
  <c r="L298" i="28"/>
  <c r="L299" i="28"/>
  <c r="L300" i="28"/>
  <c r="L301" i="28"/>
  <c r="L302" i="28"/>
  <c r="L303" i="28"/>
  <c r="L304" i="28"/>
  <c r="L305" i="28"/>
  <c r="L306" i="28"/>
  <c r="L307" i="28"/>
  <c r="L308" i="28"/>
  <c r="L309" i="28"/>
  <c r="L310" i="28"/>
  <c r="L311" i="28"/>
  <c r="L312" i="28"/>
  <c r="L313" i="28"/>
  <c r="L314" i="28"/>
  <c r="L315" i="28"/>
  <c r="L316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278" i="28"/>
  <c r="M279" i="28"/>
  <c r="M280" i="28"/>
  <c r="M281" i="28"/>
  <c r="M282" i="28"/>
  <c r="M283" i="28"/>
  <c r="M285" i="28"/>
  <c r="M286" i="28"/>
  <c r="M287" i="28"/>
  <c r="M288" i="28"/>
  <c r="M289" i="28"/>
  <c r="M290" i="28"/>
  <c r="M291" i="28"/>
  <c r="M292" i="28"/>
  <c r="M293" i="28"/>
  <c r="M294" i="28"/>
  <c r="M295" i="28"/>
  <c r="M296" i="28"/>
  <c r="M297" i="28"/>
  <c r="M298" i="28"/>
  <c r="M299" i="28"/>
  <c r="M300" i="28"/>
  <c r="M301" i="28"/>
  <c r="M302" i="28"/>
  <c r="M303" i="28"/>
  <c r="M304" i="28"/>
  <c r="M305" i="28"/>
  <c r="M306" i="28"/>
  <c r="M307" i="28"/>
  <c r="M308" i="28"/>
  <c r="M309" i="28"/>
  <c r="M310" i="28"/>
  <c r="M311" i="28"/>
  <c r="M312" i="28"/>
  <c r="M313" i="28"/>
  <c r="M314" i="28"/>
  <c r="M315" i="28"/>
  <c r="M316" i="28"/>
  <c r="M317" i="28"/>
  <c r="N265" i="28"/>
  <c r="N266" i="28"/>
  <c r="N267" i="28"/>
  <c r="N268" i="28"/>
  <c r="N269" i="28"/>
  <c r="N270" i="28"/>
  <c r="N271" i="28"/>
  <c r="N272" i="28"/>
  <c r="N273" i="28"/>
  <c r="N274" i="28"/>
  <c r="N275" i="28"/>
  <c r="N276" i="28"/>
  <c r="N277" i="28"/>
  <c r="N278" i="28"/>
  <c r="N279" i="28"/>
  <c r="N280" i="28"/>
  <c r="N281" i="28"/>
  <c r="N282" i="28"/>
  <c r="N283" i="28"/>
  <c r="N285" i="28"/>
  <c r="N286" i="28"/>
  <c r="N287" i="28"/>
  <c r="N288" i="28"/>
  <c r="N289" i="28"/>
  <c r="N290" i="28"/>
  <c r="N291" i="28"/>
  <c r="N292" i="28"/>
  <c r="N293" i="28"/>
  <c r="N294" i="28"/>
  <c r="N295" i="28"/>
  <c r="N296" i="28"/>
  <c r="N297" i="28"/>
  <c r="N298" i="28"/>
  <c r="N299" i="28"/>
  <c r="N300" i="28"/>
  <c r="N301" i="28"/>
  <c r="N302" i="28"/>
  <c r="N303" i="28"/>
  <c r="N304" i="28"/>
  <c r="N305" i="28"/>
  <c r="N306" i="28"/>
  <c r="N307" i="28"/>
  <c r="N308" i="28"/>
  <c r="N309" i="28"/>
  <c r="N310" i="28"/>
  <c r="N311" i="28"/>
  <c r="N312" i="28"/>
  <c r="N313" i="28"/>
  <c r="N314" i="28"/>
  <c r="N315" i="28"/>
  <c r="N316" i="28"/>
  <c r="N317" i="28"/>
  <c r="O265" i="28"/>
  <c r="O266" i="28"/>
  <c r="O267" i="28"/>
  <c r="O268" i="28"/>
  <c r="O269" i="28"/>
  <c r="O270" i="28"/>
  <c r="O271" i="28"/>
  <c r="O272" i="28"/>
  <c r="O273" i="28"/>
  <c r="O274" i="28"/>
  <c r="O275" i="28"/>
  <c r="O276" i="28"/>
  <c r="O277" i="28"/>
  <c r="O278" i="28"/>
  <c r="O279" i="28"/>
  <c r="O280" i="28"/>
  <c r="O281" i="28"/>
  <c r="O282" i="28"/>
  <c r="O283" i="28"/>
  <c r="O285" i="28"/>
  <c r="O286" i="28"/>
  <c r="O287" i="28"/>
  <c r="O288" i="28"/>
  <c r="O289" i="28"/>
  <c r="O290" i="28"/>
  <c r="O291" i="28"/>
  <c r="O292" i="28"/>
  <c r="O293" i="28"/>
  <c r="O294" i="28"/>
  <c r="O295" i="28"/>
  <c r="O296" i="28"/>
  <c r="O297" i="28"/>
  <c r="O298" i="28"/>
  <c r="O299" i="28"/>
  <c r="O300" i="28"/>
  <c r="O301" i="28"/>
  <c r="O302" i="28"/>
  <c r="O303" i="28"/>
  <c r="O304" i="28"/>
  <c r="O305" i="28"/>
  <c r="O306" i="28"/>
  <c r="O307" i="28"/>
  <c r="O308" i="28"/>
  <c r="O309" i="28"/>
  <c r="O310" i="28"/>
  <c r="O311" i="28"/>
  <c r="O312" i="28"/>
  <c r="O313" i="28"/>
  <c r="O314" i="28"/>
  <c r="O315" i="28"/>
  <c r="O316" i="28"/>
  <c r="O317" i="28"/>
  <c r="P265" i="28"/>
  <c r="P266" i="28"/>
  <c r="P267" i="28"/>
  <c r="P268" i="28"/>
  <c r="P269" i="28"/>
  <c r="P270" i="28"/>
  <c r="P271" i="28"/>
  <c r="P272" i="28"/>
  <c r="P273" i="28"/>
  <c r="P274" i="28"/>
  <c r="P275" i="28"/>
  <c r="P276" i="28"/>
  <c r="P277" i="28"/>
  <c r="P278" i="28"/>
  <c r="P279" i="28"/>
  <c r="P280" i="28"/>
  <c r="P281" i="28"/>
  <c r="P282" i="28"/>
  <c r="P283" i="28"/>
  <c r="P285" i="28"/>
  <c r="P286" i="28"/>
  <c r="P287" i="28"/>
  <c r="P288" i="28"/>
  <c r="P289" i="28"/>
  <c r="P290" i="28"/>
  <c r="P291" i="28"/>
  <c r="P292" i="28"/>
  <c r="P293" i="28"/>
  <c r="P294" i="28"/>
  <c r="P295" i="28"/>
  <c r="P296" i="28"/>
  <c r="P297" i="28"/>
  <c r="P298" i="28"/>
  <c r="P299" i="28"/>
  <c r="P300" i="28"/>
  <c r="P301" i="28"/>
  <c r="P302" i="28"/>
  <c r="P303" i="28"/>
  <c r="P304" i="28"/>
  <c r="P305" i="28"/>
  <c r="P306" i="28"/>
  <c r="P307" i="28"/>
  <c r="P308" i="28"/>
  <c r="P309" i="28"/>
  <c r="P310" i="28"/>
  <c r="P311" i="28"/>
  <c r="P312" i="28"/>
  <c r="P313" i="28"/>
  <c r="P314" i="28"/>
  <c r="P315" i="28"/>
  <c r="P316" i="28"/>
  <c r="P317" i="28"/>
  <c r="Q265" i="28"/>
  <c r="Q266" i="28"/>
  <c r="Q267" i="28"/>
  <c r="Q268" i="28"/>
  <c r="Q269" i="28"/>
  <c r="Q270" i="28"/>
  <c r="Q271" i="28"/>
  <c r="Q272" i="28"/>
  <c r="Q273" i="28"/>
  <c r="Q274" i="28"/>
  <c r="Q275" i="28"/>
  <c r="Q276" i="28"/>
  <c r="Q277" i="28"/>
  <c r="Q278" i="28"/>
  <c r="Q279" i="28"/>
  <c r="Q280" i="28"/>
  <c r="Q281" i="28"/>
  <c r="Q282" i="28"/>
  <c r="Q283" i="28"/>
  <c r="Q285" i="28"/>
  <c r="Q286" i="28"/>
  <c r="Q287" i="28"/>
  <c r="Q288" i="28"/>
  <c r="Q289" i="28"/>
  <c r="Q290" i="28"/>
  <c r="Q291" i="28"/>
  <c r="Q292" i="28"/>
  <c r="Q293" i="28"/>
  <c r="Q294" i="28"/>
  <c r="Q295" i="28"/>
  <c r="Q296" i="28"/>
  <c r="Q297" i="28"/>
  <c r="Q298" i="28"/>
  <c r="Q299" i="28"/>
  <c r="Q300" i="28"/>
  <c r="Q301" i="28"/>
  <c r="Q302" i="28"/>
  <c r="Q303" i="28"/>
  <c r="Q304" i="28"/>
  <c r="Q305" i="28"/>
  <c r="Q306" i="28"/>
  <c r="Q307" i="28"/>
  <c r="Q308" i="28"/>
  <c r="Q309" i="28"/>
  <c r="Q310" i="28"/>
  <c r="Q311" i="28"/>
  <c r="Q312" i="28"/>
  <c r="Q313" i="28"/>
  <c r="Q314" i="28"/>
  <c r="Q315" i="28"/>
  <c r="Q316" i="28"/>
  <c r="Q317" i="28"/>
  <c r="Q318" i="28"/>
  <c r="R266" i="28"/>
  <c r="R267" i="28"/>
  <c r="R268" i="28"/>
  <c r="R269" i="28"/>
  <c r="R270" i="28"/>
  <c r="R271" i="28"/>
  <c r="R272" i="28"/>
  <c r="R273" i="28"/>
  <c r="R274" i="28"/>
  <c r="R275" i="28"/>
  <c r="R276" i="28"/>
  <c r="R277" i="28"/>
  <c r="R278" i="28"/>
  <c r="R279" i="28"/>
  <c r="R280" i="28"/>
  <c r="R281" i="28"/>
  <c r="R282" i="28"/>
  <c r="R283" i="28"/>
  <c r="R285" i="28"/>
  <c r="R286" i="28"/>
  <c r="R287" i="28"/>
  <c r="R288" i="28"/>
  <c r="R289" i="28"/>
  <c r="R290" i="28"/>
  <c r="R291" i="28"/>
  <c r="R292" i="28"/>
  <c r="R293" i="28"/>
  <c r="R294" i="28"/>
  <c r="R295" i="28"/>
  <c r="R296" i="28"/>
  <c r="R297" i="28"/>
  <c r="R298" i="28"/>
  <c r="R299" i="28"/>
  <c r="R300" i="28"/>
  <c r="R301" i="28"/>
  <c r="R302" i="28"/>
  <c r="R303" i="28"/>
  <c r="R304" i="28"/>
  <c r="R305" i="28"/>
  <c r="R306" i="28"/>
  <c r="R307" i="28"/>
  <c r="R308" i="28"/>
  <c r="R309" i="28"/>
  <c r="R310" i="28"/>
  <c r="R311" i="28"/>
  <c r="R312" i="28"/>
  <c r="R313" i="28"/>
  <c r="R314" i="28"/>
  <c r="R315" i="28"/>
  <c r="R316" i="28"/>
  <c r="R317" i="28"/>
  <c r="R318" i="28"/>
  <c r="S269" i="28"/>
  <c r="S270" i="28"/>
  <c r="S271" i="28"/>
  <c r="S272" i="28"/>
  <c r="S273" i="28"/>
  <c r="S274" i="28"/>
  <c r="S275" i="28"/>
  <c r="S276" i="28"/>
  <c r="S277" i="28"/>
  <c r="S278" i="28"/>
  <c r="S279" i="28"/>
  <c r="S280" i="28"/>
  <c r="S281" i="28"/>
  <c r="S282" i="28"/>
  <c r="S283" i="28"/>
  <c r="S285" i="28"/>
  <c r="S286" i="28"/>
  <c r="S287" i="28"/>
  <c r="S288" i="28"/>
  <c r="S289" i="28"/>
  <c r="S290" i="28"/>
  <c r="S291" i="28"/>
  <c r="S292" i="28"/>
  <c r="S293" i="28"/>
  <c r="S294" i="28"/>
  <c r="S295" i="28"/>
  <c r="S296" i="28"/>
  <c r="S297" i="28"/>
  <c r="S298" i="28"/>
  <c r="S299" i="28"/>
  <c r="S300" i="28"/>
  <c r="S301" i="28"/>
  <c r="S302" i="28"/>
  <c r="S303" i="28"/>
  <c r="S304" i="28"/>
  <c r="S305" i="28"/>
  <c r="S306" i="28"/>
  <c r="S307" i="28"/>
  <c r="S308" i="28"/>
  <c r="S309" i="28"/>
  <c r="S310" i="28"/>
  <c r="S311" i="28"/>
  <c r="S312" i="28"/>
  <c r="S313" i="28"/>
  <c r="S314" i="28"/>
  <c r="S315" i="28"/>
  <c r="S316" i="28"/>
  <c r="S317" i="28"/>
  <c r="S318" i="28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F199" i="9"/>
  <c r="G199" i="9" s="1"/>
  <c r="F200" i="9"/>
  <c r="G200" i="9" s="1"/>
  <c r="F201" i="9"/>
  <c r="G201" i="9" s="1"/>
  <c r="F202" i="9"/>
  <c r="G202" i="9" s="1"/>
  <c r="F203" i="9"/>
  <c r="G203" i="9" s="1"/>
  <c r="F204" i="9"/>
  <c r="G204" i="9" s="1"/>
  <c r="F205" i="9"/>
  <c r="G205" i="9" s="1"/>
  <c r="F206" i="9"/>
  <c r="G206" i="9" s="1"/>
  <c r="F207" i="9"/>
  <c r="G207" i="9" s="1"/>
  <c r="F208" i="9"/>
  <c r="G208" i="9" s="1"/>
  <c r="F209" i="9"/>
  <c r="G209" i="9" s="1"/>
  <c r="F210" i="9"/>
  <c r="G210" i="9" s="1"/>
  <c r="F211" i="9"/>
  <c r="G211" i="9" s="1"/>
  <c r="F212" i="9"/>
  <c r="G212" i="9" s="1"/>
  <c r="F213" i="9"/>
  <c r="G213" i="9" s="1"/>
  <c r="F214" i="9"/>
  <c r="G214" i="9" s="1"/>
  <c r="F215" i="9"/>
  <c r="G215" i="9" s="1"/>
  <c r="F216" i="9"/>
  <c r="G216" i="9" s="1"/>
  <c r="F217" i="9"/>
  <c r="G217" i="9" s="1"/>
  <c r="F218" i="9"/>
  <c r="G218" i="9" s="1"/>
  <c r="F219" i="9"/>
  <c r="G219" i="9" s="1"/>
  <c r="F220" i="9"/>
  <c r="G220" i="9" s="1"/>
  <c r="F221" i="9"/>
  <c r="G221" i="9" s="1"/>
  <c r="F222" i="9"/>
  <c r="G222" i="9" s="1"/>
  <c r="F223" i="9"/>
  <c r="G223" i="9" s="1"/>
  <c r="F224" i="9"/>
  <c r="G224" i="9" s="1"/>
  <c r="F225" i="9"/>
  <c r="G225" i="9" s="1"/>
  <c r="F226" i="9"/>
  <c r="G226" i="9" s="1"/>
  <c r="F227" i="9"/>
  <c r="G227" i="9" s="1"/>
  <c r="F228" i="9"/>
  <c r="G228" i="9" s="1"/>
  <c r="F229" i="9"/>
  <c r="G229" i="9" s="1"/>
  <c r="F230" i="9"/>
  <c r="G230" i="9" s="1"/>
  <c r="F231" i="9"/>
  <c r="G231" i="9" s="1"/>
  <c r="F232" i="9"/>
  <c r="G232" i="9" s="1"/>
  <c r="F233" i="9"/>
  <c r="G233" i="9" s="1"/>
  <c r="K266" i="28"/>
  <c r="K267" i="28"/>
  <c r="K268" i="28"/>
  <c r="K279" i="28"/>
  <c r="K297" i="28"/>
  <c r="K295" i="28"/>
  <c r="K304" i="28"/>
  <c r="K305" i="28"/>
  <c r="K321" i="28"/>
  <c r="K270" i="28"/>
  <c r="K271" i="28"/>
  <c r="K278" i="28"/>
  <c r="K282" i="28"/>
  <c r="K283" i="28"/>
  <c r="K287" i="28"/>
  <c r="K288" i="28"/>
  <c r="K291" i="28"/>
  <c r="K308" i="28"/>
  <c r="K310" i="28"/>
  <c r="K312" i="28"/>
  <c r="K313" i="28"/>
  <c r="E229" i="8"/>
  <c r="E230" i="8"/>
  <c r="E231" i="8"/>
  <c r="F229" i="8"/>
  <c r="G229" i="8" s="1"/>
  <c r="F230" i="8"/>
  <c r="G230" i="8" s="1"/>
  <c r="F231" i="8"/>
  <c r="G231" i="8" s="1"/>
  <c r="J282" i="28"/>
  <c r="J286" i="28"/>
  <c r="J307" i="28"/>
  <c r="J311" i="28"/>
  <c r="E225" i="7"/>
  <c r="E226" i="7"/>
  <c r="E227" i="7"/>
  <c r="E228" i="7"/>
  <c r="E229" i="7"/>
  <c r="E230" i="7"/>
  <c r="E231" i="7"/>
  <c r="E232" i="7"/>
  <c r="F225" i="7"/>
  <c r="G225" i="7" s="1"/>
  <c r="F226" i="7"/>
  <c r="G226" i="7" s="1"/>
  <c r="F227" i="7"/>
  <c r="G227" i="7" s="1"/>
  <c r="F228" i="7"/>
  <c r="G228" i="7" s="1"/>
  <c r="F229" i="7"/>
  <c r="G229" i="7" s="1"/>
  <c r="F230" i="7"/>
  <c r="G230" i="7" s="1"/>
  <c r="F231" i="7"/>
  <c r="G231" i="7" s="1"/>
  <c r="F232" i="7"/>
  <c r="G232" i="7" s="1"/>
  <c r="I320" i="28"/>
  <c r="I324" i="28"/>
  <c r="I278" i="28"/>
  <c r="I289" i="28"/>
  <c r="B207" i="15"/>
  <c r="B215" i="16"/>
  <c r="B220" i="17"/>
  <c r="B221" i="17"/>
  <c r="B224" i="17"/>
  <c r="B226" i="17"/>
  <c r="B228" i="17"/>
  <c r="B229" i="17"/>
  <c r="B232" i="17"/>
  <c r="B234" i="17"/>
  <c r="B236" i="17"/>
  <c r="B237" i="17"/>
  <c r="B241" i="17"/>
  <c r="B243" i="17"/>
  <c r="B245" i="17"/>
  <c r="B246" i="17"/>
  <c r="B248" i="17"/>
  <c r="B249" i="17"/>
  <c r="B250" i="17"/>
  <c r="B251" i="17"/>
  <c r="B252" i="17"/>
  <c r="B253" i="17"/>
  <c r="B254" i="17"/>
  <c r="B255" i="17"/>
  <c r="B256" i="17"/>
  <c r="B257" i="17"/>
  <c r="B259" i="17"/>
  <c r="B260" i="17"/>
  <c r="B261" i="17"/>
  <c r="B262" i="17"/>
  <c r="B263" i="17"/>
  <c r="B264" i="17"/>
  <c r="B273" i="17"/>
  <c r="B274" i="17"/>
  <c r="B276" i="17"/>
  <c r="B277" i="17"/>
  <c r="B278" i="17"/>
  <c r="B280" i="17"/>
  <c r="B281" i="17"/>
  <c r="B283" i="17"/>
  <c r="B284" i="17"/>
  <c r="B285" i="17"/>
  <c r="B286" i="17"/>
  <c r="B288" i="17"/>
  <c r="B289" i="17"/>
  <c r="B291" i="17"/>
  <c r="B292" i="17"/>
  <c r="B293" i="17"/>
  <c r="B294" i="17"/>
  <c r="B295" i="17"/>
  <c r="B296" i="17"/>
  <c r="B297" i="17"/>
  <c r="B298" i="17"/>
  <c r="D318" i="1"/>
  <c r="D319" i="1"/>
  <c r="D320" i="1"/>
  <c r="D321" i="1"/>
  <c r="D322" i="1"/>
  <c r="D323" i="1"/>
  <c r="D324" i="1"/>
  <c r="D325" i="1"/>
  <c r="D270" i="2" s="1"/>
  <c r="D326" i="1"/>
  <c r="D327" i="1"/>
  <c r="D272" i="2" s="1"/>
  <c r="D328" i="1"/>
  <c r="D329" i="1"/>
  <c r="D273" i="2" s="1"/>
  <c r="D330" i="1"/>
  <c r="D274" i="2" s="1"/>
  <c r="D331" i="1"/>
  <c r="D332" i="1"/>
  <c r="D333" i="1"/>
  <c r="D271" i="7" s="1"/>
  <c r="D334" i="1"/>
  <c r="D335" i="1"/>
  <c r="D272" i="7" s="1"/>
  <c r="D336" i="1"/>
  <c r="D337" i="1"/>
  <c r="D338" i="1"/>
  <c r="D339" i="1"/>
  <c r="D340" i="1"/>
  <c r="D343" i="1"/>
  <c r="D294" i="16" s="1"/>
  <c r="D344" i="1"/>
  <c r="D345" i="1"/>
  <c r="D346" i="1"/>
  <c r="D347" i="1"/>
  <c r="D348" i="1"/>
  <c r="D349" i="1"/>
  <c r="D350" i="1"/>
  <c r="D354" i="1"/>
  <c r="E318" i="1"/>
  <c r="E319" i="1"/>
  <c r="E320" i="1"/>
  <c r="E321" i="1"/>
  <c r="E322" i="1"/>
  <c r="C267" i="2" s="1"/>
  <c r="E323" i="1"/>
  <c r="E324" i="1"/>
  <c r="E325" i="1"/>
  <c r="C270" i="2" s="1"/>
  <c r="E326" i="1"/>
  <c r="E327" i="1"/>
  <c r="C272" i="2" s="1"/>
  <c r="E328" i="1"/>
  <c r="E329" i="1"/>
  <c r="C273" i="2" s="1"/>
  <c r="E330" i="1"/>
  <c r="C274" i="2" s="1"/>
  <c r="E331" i="1"/>
  <c r="E332" i="1"/>
  <c r="E333" i="1"/>
  <c r="C271" i="7" s="1"/>
  <c r="E334" i="1"/>
  <c r="E335" i="1"/>
  <c r="C272" i="7" s="1"/>
  <c r="E336" i="1"/>
  <c r="E337" i="1"/>
  <c r="E338" i="1"/>
  <c r="E339" i="1"/>
  <c r="E340" i="1"/>
  <c r="E343" i="1"/>
  <c r="C294" i="16" s="1"/>
  <c r="E344" i="1"/>
  <c r="E345" i="1"/>
  <c r="C295" i="17" s="1"/>
  <c r="E346" i="1"/>
  <c r="E347" i="1"/>
  <c r="E348" i="1"/>
  <c r="E349" i="1"/>
  <c r="E350" i="1"/>
  <c r="E353" i="1"/>
  <c r="E354" i="1"/>
  <c r="C294" i="17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3" i="1"/>
  <c r="H344" i="1"/>
  <c r="H345" i="1"/>
  <c r="H346" i="1"/>
  <c r="H347" i="1"/>
  <c r="H348" i="1"/>
  <c r="H349" i="1"/>
  <c r="H350" i="1"/>
  <c r="H353" i="1"/>
  <c r="H354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3" i="1"/>
  <c r="I344" i="1"/>
  <c r="I345" i="1"/>
  <c r="I346" i="1"/>
  <c r="I347" i="1"/>
  <c r="I348" i="1"/>
  <c r="I349" i="1"/>
  <c r="I350" i="1"/>
  <c r="I353" i="1"/>
  <c r="I354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3" i="1"/>
  <c r="J344" i="1"/>
  <c r="J345" i="1"/>
  <c r="J346" i="1"/>
  <c r="J347" i="1"/>
  <c r="J348" i="1"/>
  <c r="J349" i="1"/>
  <c r="J350" i="1"/>
  <c r="J353" i="1"/>
  <c r="J354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3" i="1"/>
  <c r="K344" i="1"/>
  <c r="K345" i="1"/>
  <c r="K346" i="1"/>
  <c r="K347" i="1"/>
  <c r="K348" i="1"/>
  <c r="K349" i="1"/>
  <c r="K350" i="1"/>
  <c r="K353" i="1"/>
  <c r="K354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3" i="1"/>
  <c r="L344" i="1"/>
  <c r="L345" i="1"/>
  <c r="L346" i="1"/>
  <c r="L347" i="1"/>
  <c r="L348" i="1"/>
  <c r="L349" i="1"/>
  <c r="L350" i="1"/>
  <c r="L353" i="1"/>
  <c r="L354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3" i="1"/>
  <c r="M344" i="1"/>
  <c r="M345" i="1"/>
  <c r="M346" i="1"/>
  <c r="M347" i="1"/>
  <c r="M348" i="1"/>
  <c r="M349" i="1"/>
  <c r="M350" i="1"/>
  <c r="M353" i="1"/>
  <c r="M354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3" i="1"/>
  <c r="N344" i="1"/>
  <c r="N345" i="1"/>
  <c r="N346" i="1"/>
  <c r="N347" i="1"/>
  <c r="N348" i="1"/>
  <c r="N349" i="1"/>
  <c r="N350" i="1"/>
  <c r="N353" i="1"/>
  <c r="N354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3" i="1"/>
  <c r="O344" i="1"/>
  <c r="O345" i="1"/>
  <c r="O346" i="1"/>
  <c r="O347" i="1"/>
  <c r="O348" i="1"/>
  <c r="O349" i="1"/>
  <c r="O350" i="1"/>
  <c r="O353" i="1"/>
  <c r="O354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3" i="1"/>
  <c r="P344" i="1"/>
  <c r="P345" i="1"/>
  <c r="P346" i="1"/>
  <c r="P347" i="1"/>
  <c r="P348" i="1"/>
  <c r="P349" i="1"/>
  <c r="P350" i="1"/>
  <c r="P353" i="1"/>
  <c r="P354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3" i="1"/>
  <c r="Q344" i="1"/>
  <c r="Q345" i="1"/>
  <c r="Q346" i="1"/>
  <c r="Q347" i="1"/>
  <c r="Q348" i="1"/>
  <c r="Q349" i="1"/>
  <c r="Q350" i="1"/>
  <c r="Q353" i="1"/>
  <c r="Q354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3" i="1"/>
  <c r="R344" i="1"/>
  <c r="R345" i="1"/>
  <c r="R346" i="1"/>
  <c r="R347" i="1"/>
  <c r="R348" i="1"/>
  <c r="R349" i="1"/>
  <c r="R350" i="1"/>
  <c r="R353" i="1"/>
  <c r="R354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3" i="1"/>
  <c r="S344" i="1"/>
  <c r="S345" i="1"/>
  <c r="S346" i="1"/>
  <c r="S347" i="1"/>
  <c r="S348" i="1"/>
  <c r="S349" i="1"/>
  <c r="S350" i="1"/>
  <c r="S353" i="1"/>
  <c r="S354" i="1"/>
  <c r="D130" i="32"/>
  <c r="AG192" i="29"/>
  <c r="AD130" i="32"/>
  <c r="X192" i="29"/>
  <c r="O192" i="29"/>
  <c r="U192" i="29"/>
  <c r="I130" i="32"/>
  <c r="AJ130" i="32"/>
  <c r="AD192" i="29"/>
  <c r="R192" i="29"/>
  <c r="AA130" i="32"/>
  <c r="AA192" i="29"/>
  <c r="X130" i="32"/>
  <c r="AJ180" i="29"/>
  <c r="U130" i="32"/>
  <c r="AJ192" i="29"/>
  <c r="L130" i="32"/>
  <c r="O130" i="32"/>
  <c r="R130" i="32"/>
  <c r="F130" i="32"/>
  <c r="AG130" i="32"/>
  <c r="AJ45" i="23"/>
  <c r="C275" i="8" l="1"/>
  <c r="C277" i="7"/>
  <c r="C297" i="14"/>
  <c r="C290" i="12"/>
  <c r="C280" i="9"/>
  <c r="C279" i="10"/>
  <c r="C274" i="7"/>
  <c r="C287" i="12"/>
  <c r="D297" i="14"/>
  <c r="D290" i="12"/>
  <c r="D277" i="7"/>
  <c r="D275" i="8"/>
  <c r="D279" i="10"/>
  <c r="D280" i="9"/>
  <c r="D274" i="7"/>
  <c r="D287" i="12"/>
  <c r="C273" i="7"/>
  <c r="C286" i="12"/>
  <c r="D273" i="7"/>
  <c r="D286" i="12"/>
  <c r="C296" i="14"/>
  <c r="C289" i="12"/>
  <c r="C276" i="7"/>
  <c r="C274" i="8"/>
  <c r="D276" i="7"/>
  <c r="D296" i="14"/>
  <c r="D289" i="12"/>
  <c r="D274" i="8"/>
  <c r="C275" i="7"/>
  <c r="C273" i="8"/>
  <c r="C288" i="12"/>
  <c r="D275" i="7"/>
  <c r="D273" i="8"/>
  <c r="D288" i="12"/>
  <c r="C277" i="8"/>
  <c r="C279" i="7"/>
  <c r="C299" i="14"/>
  <c r="C292" i="12"/>
  <c r="C281" i="10"/>
  <c r="C282" i="9"/>
  <c r="D277" i="8"/>
  <c r="D299" i="14"/>
  <c r="D292" i="12"/>
  <c r="D279" i="7"/>
  <c r="D282" i="9"/>
  <c r="D281" i="10"/>
  <c r="C276" i="8"/>
  <c r="C278" i="7"/>
  <c r="C298" i="14"/>
  <c r="C291" i="12"/>
  <c r="C281" i="9"/>
  <c r="C280" i="10"/>
  <c r="D298" i="14"/>
  <c r="D291" i="12"/>
  <c r="D278" i="7"/>
  <c r="D276" i="8"/>
  <c r="D280" i="10"/>
  <c r="D281" i="9"/>
  <c r="C269" i="2"/>
  <c r="D269" i="2"/>
  <c r="C268" i="2"/>
  <c r="D268" i="2"/>
  <c r="D267" i="2"/>
  <c r="C290" i="17"/>
  <c r="C291" i="17"/>
  <c r="C286" i="17"/>
  <c r="D291" i="17"/>
  <c r="D290" i="17"/>
  <c r="C283" i="11"/>
  <c r="C283" i="12"/>
  <c r="C276" i="10"/>
  <c r="C280" i="12"/>
  <c r="C280" i="11"/>
  <c r="D283" i="12"/>
  <c r="D283" i="11"/>
  <c r="D276" i="10"/>
  <c r="D280" i="12"/>
  <c r="D280" i="11"/>
  <c r="C279" i="11"/>
  <c r="C279" i="12"/>
  <c r="C272" i="10"/>
  <c r="D279" i="12"/>
  <c r="D279" i="11"/>
  <c r="D272" i="10"/>
  <c r="C278" i="12"/>
  <c r="C278" i="11"/>
  <c r="D278" i="12"/>
  <c r="D278" i="11"/>
  <c r="C282" i="2"/>
  <c r="C282" i="11"/>
  <c r="C282" i="12"/>
  <c r="C271" i="2"/>
  <c r="C271" i="12"/>
  <c r="C271" i="11"/>
  <c r="D282" i="2"/>
  <c r="D282" i="12"/>
  <c r="D282" i="11"/>
  <c r="D271" i="2"/>
  <c r="D271" i="11"/>
  <c r="D271" i="12"/>
  <c r="C281" i="2"/>
  <c r="C281" i="11"/>
  <c r="C281" i="12"/>
  <c r="C277" i="12"/>
  <c r="C277" i="11"/>
  <c r="D281" i="2"/>
  <c r="D281" i="12"/>
  <c r="D281" i="11"/>
  <c r="D277" i="12"/>
  <c r="D277" i="11"/>
  <c r="C276" i="2"/>
  <c r="C276" i="12"/>
  <c r="C276" i="11"/>
  <c r="D276" i="2"/>
  <c r="D276" i="12"/>
  <c r="D276" i="11"/>
  <c r="C278" i="10"/>
  <c r="C285" i="11"/>
  <c r="C285" i="12"/>
  <c r="C275" i="2"/>
  <c r="C275" i="12"/>
  <c r="C275" i="11"/>
  <c r="D285" i="12"/>
  <c r="D285" i="11"/>
  <c r="D278" i="10"/>
  <c r="D275" i="2"/>
  <c r="D275" i="12"/>
  <c r="D275" i="11"/>
  <c r="C284" i="11"/>
  <c r="C284" i="12"/>
  <c r="C277" i="10"/>
  <c r="D284" i="12"/>
  <c r="D284" i="11"/>
  <c r="D277" i="10"/>
  <c r="D283" i="2"/>
  <c r="D277" i="9"/>
  <c r="D269" i="8"/>
  <c r="C279" i="2"/>
  <c r="C273" i="9"/>
  <c r="D279" i="2"/>
  <c r="D273" i="9"/>
  <c r="C283" i="2"/>
  <c r="C277" i="9"/>
  <c r="C269" i="8"/>
  <c r="C285" i="2"/>
  <c r="C279" i="9"/>
  <c r="D285" i="2"/>
  <c r="D279" i="9"/>
  <c r="C284" i="2"/>
  <c r="C278" i="9"/>
  <c r="D284" i="2"/>
  <c r="D278" i="9"/>
  <c r="C286" i="2"/>
  <c r="C271" i="10"/>
  <c r="C272" i="9"/>
  <c r="C270" i="12"/>
  <c r="C270" i="7"/>
  <c r="C270" i="11"/>
  <c r="C268" i="8"/>
  <c r="D286" i="2"/>
  <c r="D270" i="11"/>
  <c r="D271" i="10"/>
  <c r="D272" i="9"/>
  <c r="D270" i="12"/>
  <c r="D270" i="7"/>
  <c r="D268" i="8"/>
  <c r="C278" i="2"/>
  <c r="C277" i="2"/>
  <c r="D278" i="2"/>
  <c r="D280" i="2"/>
  <c r="C280" i="2"/>
  <c r="D277" i="2"/>
  <c r="C283" i="17"/>
  <c r="D283" i="17"/>
  <c r="C279" i="17"/>
  <c r="C253" i="7"/>
  <c r="D253" i="7"/>
  <c r="C251" i="8"/>
  <c r="D251" i="8"/>
  <c r="C298" i="16"/>
  <c r="D298" i="16"/>
  <c r="C297" i="17"/>
  <c r="D297" i="17"/>
  <c r="C288" i="17"/>
  <c r="C287" i="17"/>
  <c r="C278" i="17"/>
  <c r="C293" i="17"/>
  <c r="C285" i="17"/>
  <c r="K293" i="28"/>
  <c r="K276" i="28"/>
  <c r="K302" i="28"/>
  <c r="K325" i="28"/>
  <c r="K324" i="28"/>
  <c r="K275" i="28"/>
  <c r="K320" i="28"/>
  <c r="J321" i="28"/>
  <c r="J324" i="28"/>
  <c r="I321" i="28"/>
  <c r="K301" i="28"/>
  <c r="J319" i="28"/>
  <c r="J325" i="28"/>
  <c r="I319" i="28"/>
  <c r="I325" i="28"/>
  <c r="K296" i="28"/>
  <c r="K285" i="28"/>
  <c r="K309" i="28"/>
  <c r="K292" i="28"/>
  <c r="K300" i="28"/>
  <c r="K274" i="28"/>
  <c r="K319" i="28"/>
  <c r="C298" i="17"/>
  <c r="D298" i="17"/>
  <c r="C302" i="17"/>
  <c r="C302" i="16"/>
  <c r="D302" i="17"/>
  <c r="D302" i="16"/>
  <c r="C301" i="16"/>
  <c r="C301" i="17"/>
  <c r="D300" i="17"/>
  <c r="D300" i="16"/>
  <c r="C300" i="17"/>
  <c r="C300" i="16"/>
  <c r="D299" i="17"/>
  <c r="D299" i="16"/>
  <c r="C299" i="17"/>
  <c r="C299" i="16"/>
  <c r="AL130" i="32"/>
  <c r="AI130" i="32"/>
  <c r="AF130" i="32"/>
  <c r="AC130" i="32"/>
  <c r="Z130" i="32"/>
  <c r="W130" i="32"/>
  <c r="T130" i="32"/>
  <c r="Q130" i="32"/>
  <c r="K298" i="28"/>
  <c r="K272" i="28"/>
  <c r="K311" i="28"/>
  <c r="K303" i="28"/>
  <c r="K294" i="28"/>
  <c r="K286" i="28"/>
  <c r="K277" i="28"/>
  <c r="K269" i="28"/>
  <c r="K307" i="28"/>
  <c r="K299" i="28"/>
  <c r="K290" i="28"/>
  <c r="K281" i="28"/>
  <c r="K273" i="28"/>
  <c r="K306" i="28"/>
  <c r="K280" i="28"/>
  <c r="K289" i="28"/>
  <c r="N130" i="32"/>
  <c r="J289" i="28"/>
  <c r="J313" i="28"/>
  <c r="J278" i="28"/>
  <c r="I282" i="28"/>
  <c r="K130" i="32"/>
  <c r="I286" i="28"/>
  <c r="I309" i="28"/>
  <c r="H130" i="32"/>
  <c r="I313" i="28"/>
  <c r="I310" i="28"/>
  <c r="I307" i="28"/>
  <c r="D285" i="17"/>
  <c r="C277" i="17"/>
  <c r="D292" i="17"/>
  <c r="D296" i="17"/>
  <c r="D289" i="17"/>
  <c r="D277" i="17"/>
  <c r="D295" i="17"/>
  <c r="D288" i="17"/>
  <c r="C292" i="17"/>
  <c r="C284" i="17"/>
  <c r="D294" i="17"/>
  <c r="D287" i="17"/>
  <c r="B268" i="17"/>
  <c r="B267" i="17"/>
  <c r="B271" i="17"/>
  <c r="B266" i="17"/>
  <c r="D293" i="17"/>
  <c r="D286" i="17"/>
  <c r="D278" i="17"/>
  <c r="B272" i="17"/>
  <c r="B239" i="17"/>
  <c r="B240" i="17"/>
  <c r="B231" i="17"/>
  <c r="B223" i="17"/>
  <c r="B230" i="17"/>
  <c r="B222" i="17"/>
  <c r="B244" i="17"/>
  <c r="B235" i="17"/>
  <c r="B227" i="17"/>
  <c r="B219" i="17"/>
  <c r="B242" i="17"/>
  <c r="B233" i="17"/>
  <c r="B225" i="17"/>
  <c r="B268" i="16"/>
  <c r="B269" i="17"/>
  <c r="B271" i="16"/>
  <c r="B270" i="17"/>
  <c r="D280" i="16"/>
  <c r="D279" i="17"/>
  <c r="D276" i="16"/>
  <c r="B291" i="16"/>
  <c r="B290" i="17"/>
  <c r="B283" i="16"/>
  <c r="B282" i="17"/>
  <c r="B267" i="16"/>
  <c r="B265" i="17"/>
  <c r="B259" i="16"/>
  <c r="B258" i="17"/>
  <c r="B272" i="16"/>
  <c r="C296" i="17"/>
  <c r="C290" i="16"/>
  <c r="C289" i="17"/>
  <c r="C282" i="16"/>
  <c r="D285" i="16"/>
  <c r="D284" i="17"/>
  <c r="B288" i="16"/>
  <c r="B287" i="17"/>
  <c r="B280" i="16"/>
  <c r="B279" i="17"/>
  <c r="B276" i="16"/>
  <c r="B275" i="17"/>
  <c r="B249" i="16"/>
  <c r="B247" i="17"/>
  <c r="B240" i="16"/>
  <c r="B238" i="17"/>
  <c r="B217" i="16"/>
  <c r="B220" i="12"/>
  <c r="B241" i="16"/>
  <c r="B216" i="16"/>
  <c r="B264" i="16"/>
  <c r="B232" i="16"/>
  <c r="B224" i="16"/>
  <c r="B214" i="16"/>
  <c r="B253" i="16"/>
  <c r="B244" i="16"/>
  <c r="B235" i="16"/>
  <c r="B227" i="16"/>
  <c r="D289" i="16"/>
  <c r="D281" i="16"/>
  <c r="B260" i="16"/>
  <c r="B254" i="16"/>
  <c r="B245" i="16"/>
  <c r="B236" i="16"/>
  <c r="B228" i="16"/>
  <c r="C284" i="16"/>
  <c r="D287" i="16"/>
  <c r="D275" i="16"/>
  <c r="B297" i="16"/>
  <c r="B290" i="16"/>
  <c r="B282" i="16"/>
  <c r="B278" i="16"/>
  <c r="B266" i="16"/>
  <c r="B252" i="16"/>
  <c r="B234" i="16"/>
  <c r="B226" i="16"/>
  <c r="C289" i="16"/>
  <c r="C281" i="16"/>
  <c r="D284" i="16"/>
  <c r="B287" i="16"/>
  <c r="B279" i="16"/>
  <c r="B275" i="16"/>
  <c r="B263" i="16"/>
  <c r="B257" i="16"/>
  <c r="B248" i="16"/>
  <c r="B239" i="16"/>
  <c r="B231" i="16"/>
  <c r="B223" i="16"/>
  <c r="B243" i="16"/>
  <c r="B242" i="16"/>
  <c r="C291" i="16"/>
  <c r="C283" i="16"/>
  <c r="D286" i="16"/>
  <c r="B289" i="16"/>
  <c r="B281" i="16"/>
  <c r="B277" i="16"/>
  <c r="B265" i="16"/>
  <c r="B258" i="16"/>
  <c r="B251" i="16"/>
  <c r="B250" i="16"/>
  <c r="B233" i="16"/>
  <c r="B225" i="16"/>
  <c r="C288" i="16"/>
  <c r="C280" i="16"/>
  <c r="C276" i="16"/>
  <c r="D291" i="16"/>
  <c r="D283" i="16"/>
  <c r="B286" i="16"/>
  <c r="B274" i="16"/>
  <c r="B262" i="16"/>
  <c r="B256" i="16"/>
  <c r="B247" i="16"/>
  <c r="B238" i="16"/>
  <c r="B230" i="16"/>
  <c r="B222" i="16"/>
  <c r="C287" i="16"/>
  <c r="C275" i="16"/>
  <c r="D297" i="16"/>
  <c r="D290" i="16"/>
  <c r="D282" i="16"/>
  <c r="B285" i="16"/>
  <c r="B261" i="16"/>
  <c r="B255" i="16"/>
  <c r="B246" i="16"/>
  <c r="B237" i="16"/>
  <c r="B229" i="16"/>
  <c r="B221" i="16"/>
  <c r="B284" i="16"/>
  <c r="B270" i="16"/>
  <c r="B269" i="16"/>
  <c r="B220" i="16"/>
  <c r="B219" i="16"/>
  <c r="B273" i="16"/>
  <c r="D293" i="16"/>
  <c r="B295" i="16"/>
  <c r="C296" i="16"/>
  <c r="D292" i="16"/>
  <c r="C295" i="16"/>
  <c r="B293" i="16"/>
  <c r="C282" i="14"/>
  <c r="C286" i="16"/>
  <c r="D296" i="16"/>
  <c r="B292" i="16"/>
  <c r="C293" i="16"/>
  <c r="C285" i="16"/>
  <c r="C286" i="15"/>
  <c r="D295" i="16"/>
  <c r="D288" i="16"/>
  <c r="B220" i="14"/>
  <c r="B218" i="16"/>
  <c r="C292" i="16"/>
  <c r="B296" i="16"/>
  <c r="B218" i="14"/>
  <c r="B282" i="14"/>
  <c r="B221" i="14"/>
  <c r="B222" i="12"/>
  <c r="B298" i="15"/>
  <c r="B268" i="15"/>
  <c r="B221" i="12"/>
  <c r="C285" i="15"/>
  <c r="B221" i="15"/>
  <c r="B208" i="13"/>
  <c r="B223" i="12"/>
  <c r="D282" i="14"/>
  <c r="B255" i="15"/>
  <c r="B205" i="13"/>
  <c r="B207" i="13"/>
  <c r="B206" i="13"/>
  <c r="B201" i="12"/>
  <c r="B219" i="14"/>
  <c r="B285" i="15"/>
  <c r="D295" i="15"/>
  <c r="B282" i="15"/>
  <c r="B243" i="15"/>
  <c r="B235" i="15"/>
  <c r="B229" i="15"/>
  <c r="B215" i="15"/>
  <c r="B227" i="14"/>
  <c r="B208" i="15"/>
  <c r="C276" i="15"/>
  <c r="D290" i="15"/>
  <c r="B274" i="15"/>
  <c r="B267" i="15"/>
  <c r="B258" i="15"/>
  <c r="B250" i="15"/>
  <c r="B228" i="15"/>
  <c r="B214" i="15"/>
  <c r="B212" i="15"/>
  <c r="D276" i="15"/>
  <c r="B248" i="15"/>
  <c r="B211" i="15"/>
  <c r="C295" i="15"/>
  <c r="C280" i="15"/>
  <c r="D298" i="15"/>
  <c r="B278" i="15"/>
  <c r="B262" i="15"/>
  <c r="B230" i="15"/>
  <c r="C298" i="15"/>
  <c r="D289" i="15"/>
  <c r="B296" i="15"/>
  <c r="B292" i="15"/>
  <c r="B281" i="15"/>
  <c r="B273" i="15"/>
  <c r="B213" i="15"/>
  <c r="C294" i="15"/>
  <c r="B277" i="15"/>
  <c r="B270" i="15"/>
  <c r="B254" i="15"/>
  <c r="B246" i="15"/>
  <c r="B238" i="15"/>
  <c r="B210" i="15"/>
  <c r="C289" i="15"/>
  <c r="D296" i="15"/>
  <c r="D292" i="15"/>
  <c r="D281" i="15"/>
  <c r="B276" i="15"/>
  <c r="B269" i="15"/>
  <c r="B260" i="15"/>
  <c r="B253" i="15"/>
  <c r="B245" i="15"/>
  <c r="B237" i="15"/>
  <c r="B231" i="15"/>
  <c r="B217" i="15"/>
  <c r="B209" i="15"/>
  <c r="B252" i="15"/>
  <c r="B244" i="15"/>
  <c r="B236" i="15"/>
  <c r="B216" i="15"/>
  <c r="B293" i="15"/>
  <c r="AL192" i="29"/>
  <c r="AC192" i="29"/>
  <c r="AF192" i="29"/>
  <c r="T192" i="29"/>
  <c r="Z192" i="29"/>
  <c r="W192" i="29"/>
  <c r="AI192" i="29"/>
  <c r="D291" i="15"/>
  <c r="D280" i="15"/>
  <c r="B275" i="15"/>
  <c r="B265" i="15"/>
  <c r="B259" i="15"/>
  <c r="B232" i="15"/>
  <c r="D288" i="15"/>
  <c r="D294" i="15"/>
  <c r="B297" i="15"/>
  <c r="B287" i="15"/>
  <c r="B251" i="15"/>
  <c r="B226" i="15"/>
  <c r="C275" i="15"/>
  <c r="B266" i="15"/>
  <c r="B257" i="15"/>
  <c r="B242" i="15"/>
  <c r="B234" i="15"/>
  <c r="B206" i="15"/>
  <c r="B223" i="15"/>
  <c r="B225" i="15"/>
  <c r="C297" i="15"/>
  <c r="C287" i="15"/>
  <c r="C293" i="15"/>
  <c r="C282" i="15"/>
  <c r="D286" i="15"/>
  <c r="B295" i="15"/>
  <c r="B291" i="15"/>
  <c r="B280" i="15"/>
  <c r="B264" i="15"/>
  <c r="B256" i="15"/>
  <c r="B249" i="15"/>
  <c r="B241" i="15"/>
  <c r="B233" i="15"/>
  <c r="B222" i="15"/>
  <c r="B227" i="15"/>
  <c r="B205" i="15"/>
  <c r="C296" i="15"/>
  <c r="C292" i="15"/>
  <c r="C281" i="15"/>
  <c r="D285" i="15"/>
  <c r="B294" i="15"/>
  <c r="B290" i="15"/>
  <c r="B279" i="15"/>
  <c r="B272" i="15"/>
  <c r="B263" i="15"/>
  <c r="B240" i="15"/>
  <c r="B220" i="15"/>
  <c r="C288" i="15"/>
  <c r="B224" i="15"/>
  <c r="C291" i="15"/>
  <c r="D275" i="15"/>
  <c r="B289" i="15"/>
  <c r="B271" i="15"/>
  <c r="B247" i="15"/>
  <c r="B239" i="15"/>
  <c r="B219" i="15"/>
  <c r="B288" i="15"/>
  <c r="C290" i="15"/>
  <c r="D297" i="15"/>
  <c r="D287" i="15"/>
  <c r="D293" i="15"/>
  <c r="D282" i="15"/>
  <c r="B286" i="15"/>
  <c r="B261" i="15"/>
  <c r="B218" i="15"/>
  <c r="B229" i="12"/>
  <c r="B296" i="13"/>
  <c r="B283" i="15"/>
  <c r="B284" i="15"/>
  <c r="C296" i="13"/>
  <c r="C284" i="15"/>
  <c r="C283" i="15"/>
  <c r="B269" i="13"/>
  <c r="B203" i="12"/>
  <c r="B204" i="15"/>
  <c r="D296" i="13"/>
  <c r="D283" i="15"/>
  <c r="D284" i="15"/>
  <c r="B202" i="12"/>
  <c r="B203" i="15"/>
  <c r="B214" i="13"/>
  <c r="C292" i="13"/>
  <c r="C290" i="14"/>
  <c r="C277" i="13"/>
  <c r="B290" i="13"/>
  <c r="B274" i="14"/>
  <c r="B261" i="13"/>
  <c r="B253" i="12"/>
  <c r="B251" i="14"/>
  <c r="B238" i="13"/>
  <c r="B219" i="12"/>
  <c r="B204" i="13"/>
  <c r="B217" i="14"/>
  <c r="C284" i="13"/>
  <c r="C285" i="14"/>
  <c r="D287" i="13"/>
  <c r="B295" i="14"/>
  <c r="B282" i="13"/>
  <c r="B283" i="14"/>
  <c r="B270" i="13"/>
  <c r="B268" i="12"/>
  <c r="B266" i="14"/>
  <c r="B253" i="13"/>
  <c r="B252" i="12"/>
  <c r="B237" i="13"/>
  <c r="B250" i="14"/>
  <c r="B236" i="12"/>
  <c r="B221" i="13"/>
  <c r="B234" i="14"/>
  <c r="B218" i="12"/>
  <c r="B216" i="14"/>
  <c r="B203" i="13"/>
  <c r="B211" i="12"/>
  <c r="B209" i="14"/>
  <c r="D280" i="13"/>
  <c r="B284" i="14"/>
  <c r="B271" i="13"/>
  <c r="C290" i="13"/>
  <c r="C283" i="13"/>
  <c r="C288" i="14"/>
  <c r="C275" i="13"/>
  <c r="C271" i="13"/>
  <c r="C284" i="14"/>
  <c r="D293" i="13"/>
  <c r="D286" i="13"/>
  <c r="D291" i="14"/>
  <c r="D278" i="13"/>
  <c r="D287" i="14"/>
  <c r="D277" i="14"/>
  <c r="B289" i="13"/>
  <c r="B294" i="14"/>
  <c r="B281" i="13"/>
  <c r="B268" i="13"/>
  <c r="B281" i="14"/>
  <c r="B272" i="14"/>
  <c r="B259" i="13"/>
  <c r="B267" i="12"/>
  <c r="B265" i="14"/>
  <c r="B252" i="13"/>
  <c r="B259" i="12"/>
  <c r="B257" i="14"/>
  <c r="B244" i="13"/>
  <c r="B251" i="12"/>
  <c r="B249" i="14"/>
  <c r="B236" i="13"/>
  <c r="B243" i="12"/>
  <c r="B241" i="14"/>
  <c r="B228" i="13"/>
  <c r="B235" i="12"/>
  <c r="B233" i="14"/>
  <c r="B220" i="13"/>
  <c r="B215" i="14"/>
  <c r="B202" i="13"/>
  <c r="B209" i="12"/>
  <c r="B207" i="14"/>
  <c r="C295" i="14"/>
  <c r="C282" i="13"/>
  <c r="C283" i="14"/>
  <c r="C270" i="13"/>
  <c r="D292" i="13"/>
  <c r="D285" i="13"/>
  <c r="D290" i="14"/>
  <c r="D277" i="13"/>
  <c r="D286" i="14"/>
  <c r="B295" i="13"/>
  <c r="B288" i="13"/>
  <c r="B280" i="13"/>
  <c r="B280" i="14"/>
  <c r="B267" i="13"/>
  <c r="B271" i="14"/>
  <c r="B258" i="13"/>
  <c r="B266" i="12"/>
  <c r="B264" i="14"/>
  <c r="B251" i="13"/>
  <c r="B258" i="12"/>
  <c r="B256" i="14"/>
  <c r="B243" i="13"/>
  <c r="B250" i="12"/>
  <c r="B248" i="14"/>
  <c r="B235" i="13"/>
  <c r="B242" i="12"/>
  <c r="B240" i="14"/>
  <c r="B227" i="13"/>
  <c r="B234" i="12"/>
  <c r="B232" i="14"/>
  <c r="B219" i="13"/>
  <c r="B228" i="12"/>
  <c r="B213" i="13"/>
  <c r="B226" i="14"/>
  <c r="B216" i="12"/>
  <c r="B214" i="14"/>
  <c r="B201" i="13"/>
  <c r="B208" i="12"/>
  <c r="B206" i="14"/>
  <c r="B288" i="14"/>
  <c r="B275" i="13"/>
  <c r="B261" i="12"/>
  <c r="B259" i="14"/>
  <c r="B246" i="13"/>
  <c r="B237" i="12"/>
  <c r="B235" i="14"/>
  <c r="B222" i="13"/>
  <c r="C291" i="13"/>
  <c r="C289" i="14"/>
  <c r="C276" i="13"/>
  <c r="D294" i="13"/>
  <c r="D292" i="14"/>
  <c r="D279" i="13"/>
  <c r="D278" i="14"/>
  <c r="B273" i="14"/>
  <c r="B260" i="13"/>
  <c r="B260" i="12"/>
  <c r="B258" i="14"/>
  <c r="B245" i="13"/>
  <c r="B244" i="12"/>
  <c r="B242" i="14"/>
  <c r="B229" i="13"/>
  <c r="C289" i="13"/>
  <c r="C294" i="14"/>
  <c r="C281" i="13"/>
  <c r="D291" i="13"/>
  <c r="D284" i="13"/>
  <c r="D289" i="14"/>
  <c r="D276" i="13"/>
  <c r="D285" i="14"/>
  <c r="B294" i="13"/>
  <c r="B287" i="13"/>
  <c r="B292" i="14"/>
  <c r="B279" i="13"/>
  <c r="B278" i="14"/>
  <c r="B279" i="14"/>
  <c r="B265" i="13"/>
  <c r="B266" i="13"/>
  <c r="B270" i="14"/>
  <c r="B257" i="13"/>
  <c r="B265" i="12"/>
  <c r="B263" i="14"/>
  <c r="B250" i="13"/>
  <c r="B257" i="12"/>
  <c r="B255" i="14"/>
  <c r="B242" i="13"/>
  <c r="B249" i="12"/>
  <c r="B247" i="14"/>
  <c r="B234" i="13"/>
  <c r="B241" i="12"/>
  <c r="B239" i="14"/>
  <c r="B226" i="13"/>
  <c r="B233" i="12"/>
  <c r="B231" i="14"/>
  <c r="B218" i="13"/>
  <c r="B227" i="12"/>
  <c r="B212" i="13"/>
  <c r="B225" i="14"/>
  <c r="B215" i="12"/>
  <c r="B213" i="14"/>
  <c r="B207" i="12"/>
  <c r="B205" i="14"/>
  <c r="C285" i="13"/>
  <c r="C286" i="14"/>
  <c r="D288" i="13"/>
  <c r="C295" i="13"/>
  <c r="C288" i="13"/>
  <c r="C280" i="13"/>
  <c r="D290" i="13"/>
  <c r="D283" i="13"/>
  <c r="D288" i="14"/>
  <c r="D275" i="13"/>
  <c r="D284" i="14"/>
  <c r="D271" i="13"/>
  <c r="B293" i="13"/>
  <c r="B286" i="13"/>
  <c r="B291" i="14"/>
  <c r="B278" i="13"/>
  <c r="B287" i="14"/>
  <c r="B274" i="13"/>
  <c r="B264" i="13"/>
  <c r="B277" i="14"/>
  <c r="B256" i="13"/>
  <c r="B269" i="14"/>
  <c r="B264" i="12"/>
  <c r="B262" i="14"/>
  <c r="B249" i="13"/>
  <c r="B256" i="12"/>
  <c r="B254" i="14"/>
  <c r="B241" i="13"/>
  <c r="B248" i="12"/>
  <c r="B246" i="14"/>
  <c r="B233" i="13"/>
  <c r="B240" i="12"/>
  <c r="B238" i="14"/>
  <c r="B225" i="13"/>
  <c r="B230" i="14"/>
  <c r="B217" i="13"/>
  <c r="B226" i="12"/>
  <c r="B224" i="14"/>
  <c r="B211" i="13"/>
  <c r="B214" i="12"/>
  <c r="B212" i="14"/>
  <c r="B206" i="12"/>
  <c r="B204" i="14"/>
  <c r="D295" i="13"/>
  <c r="B283" i="13"/>
  <c r="B269" i="12"/>
  <c r="B267" i="14"/>
  <c r="B254" i="13"/>
  <c r="B245" i="12"/>
  <c r="B243" i="14"/>
  <c r="B230" i="13"/>
  <c r="B210" i="12"/>
  <c r="B208" i="14"/>
  <c r="C294" i="13"/>
  <c r="C287" i="13"/>
  <c r="C279" i="13"/>
  <c r="C292" i="14"/>
  <c r="C278" i="14"/>
  <c r="D295" i="14"/>
  <c r="D282" i="13"/>
  <c r="D270" i="13"/>
  <c r="D283" i="14"/>
  <c r="B292" i="13"/>
  <c r="B285" i="13"/>
  <c r="B277" i="13"/>
  <c r="B290" i="14"/>
  <c r="B286" i="14"/>
  <c r="B273" i="13"/>
  <c r="B276" i="14"/>
  <c r="B263" i="13"/>
  <c r="B268" i="14"/>
  <c r="B255" i="13"/>
  <c r="B263" i="12"/>
  <c r="B248" i="13"/>
  <c r="B261" i="14"/>
  <c r="B255" i="12"/>
  <c r="B240" i="13"/>
  <c r="B253" i="14"/>
  <c r="B247" i="12"/>
  <c r="B232" i="13"/>
  <c r="B245" i="14"/>
  <c r="B239" i="12"/>
  <c r="B224" i="13"/>
  <c r="B237" i="14"/>
  <c r="B231" i="12"/>
  <c r="B216" i="13"/>
  <c r="B229" i="14"/>
  <c r="B225" i="12"/>
  <c r="B223" i="14"/>
  <c r="B210" i="13"/>
  <c r="B213" i="12"/>
  <c r="B211" i="14"/>
  <c r="B205" i="12"/>
  <c r="B203" i="14"/>
  <c r="C293" i="13"/>
  <c r="C286" i="13"/>
  <c r="C291" i="14"/>
  <c r="C278" i="13"/>
  <c r="C287" i="14"/>
  <c r="C277" i="14"/>
  <c r="D289" i="13"/>
  <c r="D294" i="14"/>
  <c r="D281" i="13"/>
  <c r="B291" i="13"/>
  <c r="B284" i="13"/>
  <c r="B276" i="13"/>
  <c r="B289" i="14"/>
  <c r="B272" i="13"/>
  <c r="B285" i="14"/>
  <c r="B275" i="14"/>
  <c r="B262" i="13"/>
  <c r="B262" i="12"/>
  <c r="B260" i="14"/>
  <c r="B247" i="13"/>
  <c r="B254" i="12"/>
  <c r="B252" i="14"/>
  <c r="B239" i="13"/>
  <c r="B246" i="12"/>
  <c r="B244" i="14"/>
  <c r="B231" i="13"/>
  <c r="B238" i="12"/>
  <c r="B236" i="14"/>
  <c r="B223" i="13"/>
  <c r="B230" i="12"/>
  <c r="B228" i="14"/>
  <c r="B215" i="13"/>
  <c r="B224" i="12"/>
  <c r="B222" i="14"/>
  <c r="B209" i="13"/>
  <c r="B212" i="12"/>
  <c r="B210" i="14"/>
  <c r="B204" i="12"/>
  <c r="B202" i="14"/>
  <c r="I312" i="28"/>
  <c r="I311" i="28"/>
  <c r="B232" i="12"/>
  <c r="B217" i="12"/>
  <c r="B223" i="10"/>
  <c r="B215" i="10"/>
  <c r="B199" i="10"/>
  <c r="B222" i="10"/>
  <c r="B214" i="10"/>
  <c r="B206" i="10"/>
  <c r="B229" i="10"/>
  <c r="B221" i="10"/>
  <c r="B213" i="10"/>
  <c r="B205" i="10"/>
  <c r="B228" i="10"/>
  <c r="B220" i="10"/>
  <c r="B212" i="10"/>
  <c r="B204" i="10"/>
  <c r="B227" i="10"/>
  <c r="B219" i="10"/>
  <c r="B211" i="10"/>
  <c r="B203" i="10"/>
  <c r="B218" i="10"/>
  <c r="B210" i="10"/>
  <c r="B202" i="10"/>
  <c r="B225" i="10"/>
  <c r="B217" i="10"/>
  <c r="B209" i="10"/>
  <c r="B208" i="10"/>
  <c r="B201" i="10"/>
  <c r="B232" i="10"/>
  <c r="B216" i="10"/>
  <c r="B207" i="10"/>
  <c r="B200" i="10"/>
  <c r="B226" i="10"/>
  <c r="B233" i="10"/>
  <c r="B224" i="10"/>
  <c r="B231" i="10"/>
  <c r="B231" i="8"/>
  <c r="B230" i="10"/>
  <c r="H313" i="28"/>
  <c r="H305" i="28"/>
  <c r="H297" i="28"/>
  <c r="H289" i="28"/>
  <c r="H280" i="28"/>
  <c r="H272" i="28"/>
  <c r="H314" i="28"/>
  <c r="H306" i="28"/>
  <c r="H298" i="28"/>
  <c r="H290" i="28"/>
  <c r="H281" i="28"/>
  <c r="H273" i="28"/>
  <c r="H265" i="28"/>
  <c r="H318" i="28"/>
  <c r="H310" i="28"/>
  <c r="H302" i="28"/>
  <c r="H294" i="28"/>
  <c r="H286" i="28"/>
  <c r="H277" i="28"/>
  <c r="H269" i="28"/>
  <c r="H317" i="28"/>
  <c r="H309" i="28"/>
  <c r="H301" i="28"/>
  <c r="H293" i="28"/>
  <c r="H285" i="28"/>
  <c r="H276" i="28"/>
  <c r="H268" i="28"/>
  <c r="H315" i="28"/>
  <c r="H307" i="28"/>
  <c r="H299" i="28"/>
  <c r="H291" i="28"/>
  <c r="H282" i="28"/>
  <c r="H274" i="28"/>
  <c r="H266" i="28"/>
  <c r="H312" i="28"/>
  <c r="H304" i="28"/>
  <c r="H296" i="28"/>
  <c r="H288" i="28"/>
  <c r="H279" i="28"/>
  <c r="H271" i="28"/>
  <c r="H311" i="28"/>
  <c r="H303" i="28"/>
  <c r="H295" i="28"/>
  <c r="H287" i="28"/>
  <c r="H278" i="28"/>
  <c r="H270" i="28"/>
  <c r="H316" i="28"/>
  <c r="H308" i="28"/>
  <c r="H300" i="28"/>
  <c r="H292" i="28"/>
  <c r="H283" i="28"/>
  <c r="H275" i="28"/>
  <c r="H267" i="28"/>
  <c r="B212" i="9"/>
  <c r="B204" i="9"/>
  <c r="B211" i="9"/>
  <c r="B203" i="9"/>
  <c r="B216" i="9"/>
  <c r="B208" i="9"/>
  <c r="B200" i="9"/>
  <c r="B210" i="9"/>
  <c r="B209" i="9"/>
  <c r="B207" i="9"/>
  <c r="B223" i="9"/>
  <c r="B206" i="9"/>
  <c r="B213" i="9"/>
  <c r="B205" i="9"/>
  <c r="B228" i="9"/>
  <c r="B220" i="9"/>
  <c r="B231" i="7"/>
  <c r="B229" i="9"/>
  <c r="B229" i="8"/>
  <c r="B226" i="7"/>
  <c r="B232" i="9"/>
  <c r="B224" i="9"/>
  <c r="B215" i="9"/>
  <c r="B199" i="9"/>
  <c r="B230" i="7"/>
  <c r="B221" i="9"/>
  <c r="B225" i="7"/>
  <c r="B231" i="9"/>
  <c r="B214" i="9"/>
  <c r="B232" i="7"/>
  <c r="B230" i="9"/>
  <c r="B222" i="9"/>
  <c r="B230" i="8"/>
  <c r="B229" i="7"/>
  <c r="B227" i="9"/>
  <c r="B219" i="9"/>
  <c r="B202" i="9"/>
  <c r="B228" i="7"/>
  <c r="B226" i="9"/>
  <c r="B218" i="9"/>
  <c r="B201" i="9"/>
  <c r="B227" i="7"/>
  <c r="B233" i="9"/>
  <c r="B225" i="9"/>
  <c r="B217" i="9"/>
  <c r="L192" i="29"/>
  <c r="D192" i="29"/>
  <c r="I192" i="29"/>
  <c r="F192" i="29"/>
  <c r="N192" i="29" l="1"/>
  <c r="Q192" i="29"/>
  <c r="H192" i="29"/>
  <c r="K192" i="29"/>
  <c r="D101" i="23"/>
  <c r="D100" i="23"/>
  <c r="D99" i="23"/>
  <c r="D98" i="23"/>
  <c r="D97" i="23"/>
  <c r="D96" i="23"/>
  <c r="D95" i="23"/>
  <c r="D94" i="23"/>
  <c r="D93" i="23"/>
  <c r="D92" i="23"/>
  <c r="D91" i="23"/>
  <c r="D90" i="23"/>
  <c r="D89" i="23"/>
  <c r="D88" i="23"/>
  <c r="D87" i="23"/>
  <c r="D86" i="23"/>
  <c r="D85" i="23"/>
  <c r="D84" i="23"/>
  <c r="D83" i="23"/>
  <c r="D82" i="23"/>
  <c r="D81" i="23"/>
  <c r="D80" i="23"/>
  <c r="D79" i="23"/>
  <c r="D78" i="23"/>
  <c r="D77" i="23"/>
  <c r="D76" i="23"/>
  <c r="D75" i="23"/>
  <c r="D74" i="23"/>
  <c r="D73" i="23"/>
  <c r="D72" i="23"/>
  <c r="D71" i="23"/>
  <c r="D70" i="23"/>
  <c r="D69" i="23"/>
  <c r="D26" i="23"/>
  <c r="D25" i="23"/>
  <c r="D16" i="23"/>
  <c r="D13" i="23"/>
  <c r="D12" i="23"/>
  <c r="D11" i="23"/>
  <c r="D10" i="23"/>
  <c r="D9" i="23"/>
  <c r="D145" i="18"/>
  <c r="D144" i="18"/>
  <c r="D143" i="18"/>
  <c r="D142" i="18"/>
  <c r="D135" i="18"/>
  <c r="D134" i="18"/>
  <c r="D133" i="18"/>
  <c r="D132" i="18"/>
  <c r="D141" i="18"/>
  <c r="D140" i="18"/>
  <c r="D139" i="18"/>
  <c r="D138" i="18"/>
  <c r="D137" i="18"/>
  <c r="D156" i="18" l="1"/>
  <c r="D155" i="18"/>
  <c r="D154" i="18"/>
  <c r="D120" i="18"/>
  <c r="D119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44" i="18"/>
  <c r="D43" i="18"/>
  <c r="D42" i="18"/>
  <c r="D41" i="18"/>
  <c r="D40" i="18"/>
  <c r="D39" i="18"/>
  <c r="D38" i="18"/>
  <c r="D37" i="18"/>
  <c r="D26" i="18"/>
  <c r="D25" i="18"/>
  <c r="D24" i="18"/>
  <c r="D23" i="18"/>
  <c r="D22" i="18"/>
  <c r="D21" i="18"/>
  <c r="D17" i="18"/>
  <c r="D278" i="1"/>
  <c r="E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E227" i="8"/>
  <c r="E228" i="8"/>
  <c r="F227" i="8"/>
  <c r="G227" i="8" s="1"/>
  <c r="F228" i="8"/>
  <c r="G228" i="8" s="1"/>
  <c r="J309" i="28"/>
  <c r="E219" i="2"/>
  <c r="F219" i="2"/>
  <c r="G219" i="2" s="1"/>
  <c r="H258" i="28"/>
  <c r="H259" i="28"/>
  <c r="D61" i="23"/>
  <c r="D170" i="1"/>
  <c r="E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F195" i="8"/>
  <c r="G195" i="8" s="1"/>
  <c r="F196" i="8"/>
  <c r="G196" i="8" s="1"/>
  <c r="F197" i="8"/>
  <c r="G197" i="8" s="1"/>
  <c r="F198" i="8"/>
  <c r="G198" i="8" s="1"/>
  <c r="F199" i="8"/>
  <c r="G199" i="8" s="1"/>
  <c r="F200" i="8"/>
  <c r="G200" i="8" s="1"/>
  <c r="F201" i="8"/>
  <c r="G201" i="8" s="1"/>
  <c r="F202" i="8"/>
  <c r="G202" i="8" s="1"/>
  <c r="F203" i="8"/>
  <c r="G203" i="8" s="1"/>
  <c r="F204" i="8"/>
  <c r="G204" i="8" s="1"/>
  <c r="F205" i="8"/>
  <c r="G205" i="8" s="1"/>
  <c r="F206" i="8"/>
  <c r="G206" i="8" s="1"/>
  <c r="F207" i="8"/>
  <c r="G207" i="8" s="1"/>
  <c r="F208" i="8"/>
  <c r="G208" i="8" s="1"/>
  <c r="F209" i="8"/>
  <c r="G209" i="8" s="1"/>
  <c r="F210" i="8"/>
  <c r="G210" i="8" s="1"/>
  <c r="F211" i="8"/>
  <c r="G211" i="8" s="1"/>
  <c r="F212" i="8"/>
  <c r="G212" i="8" s="1"/>
  <c r="F213" i="8"/>
  <c r="G213" i="8" s="1"/>
  <c r="F214" i="8"/>
  <c r="G214" i="8" s="1"/>
  <c r="F215" i="8"/>
  <c r="G215" i="8" s="1"/>
  <c r="F216" i="8"/>
  <c r="G216" i="8" s="1"/>
  <c r="F217" i="8"/>
  <c r="G217" i="8" s="1"/>
  <c r="F218" i="8"/>
  <c r="G218" i="8" s="1"/>
  <c r="F219" i="8"/>
  <c r="G219" i="8" s="1"/>
  <c r="F220" i="8"/>
  <c r="G220" i="8" s="1"/>
  <c r="F221" i="8"/>
  <c r="G221" i="8" s="1"/>
  <c r="F222" i="8"/>
  <c r="G222" i="8" s="1"/>
  <c r="F223" i="8"/>
  <c r="G223" i="8" s="1"/>
  <c r="F224" i="8"/>
  <c r="G224" i="8" s="1"/>
  <c r="F225" i="8"/>
  <c r="G225" i="8" s="1"/>
  <c r="F226" i="8"/>
  <c r="G226" i="8" s="1"/>
  <c r="J267" i="28"/>
  <c r="J268" i="28"/>
  <c r="J269" i="28"/>
  <c r="J271" i="28"/>
  <c r="J277" i="28"/>
  <c r="J285" i="28"/>
  <c r="J287" i="28"/>
  <c r="J288" i="28"/>
  <c r="J292" i="28"/>
  <c r="J294" i="28"/>
  <c r="J296" i="28"/>
  <c r="C263" i="28"/>
  <c r="C264" i="28"/>
  <c r="D263" i="28"/>
  <c r="D264" i="28"/>
  <c r="E263" i="28"/>
  <c r="E264" i="28"/>
  <c r="H263" i="28"/>
  <c r="H264" i="28"/>
  <c r="L263" i="28"/>
  <c r="L264" i="28"/>
  <c r="M263" i="28"/>
  <c r="M264" i="28"/>
  <c r="N263" i="28"/>
  <c r="N264" i="28"/>
  <c r="O263" i="28"/>
  <c r="O264" i="28"/>
  <c r="P263" i="28"/>
  <c r="P264" i="28"/>
  <c r="Q263" i="28"/>
  <c r="Q264" i="28"/>
  <c r="D286" i="1"/>
  <c r="E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D299" i="1"/>
  <c r="E299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E223" i="7"/>
  <c r="E224" i="7"/>
  <c r="F223" i="7"/>
  <c r="G223" i="7" s="1"/>
  <c r="F224" i="7"/>
  <c r="G224" i="7" s="1"/>
  <c r="I308" i="28"/>
  <c r="E217" i="2"/>
  <c r="E218" i="2"/>
  <c r="F217" i="2"/>
  <c r="G217" i="2" s="1"/>
  <c r="F218" i="2"/>
  <c r="G218" i="2" s="1"/>
  <c r="C248" i="28"/>
  <c r="C249" i="28"/>
  <c r="C250" i="28"/>
  <c r="C251" i="28"/>
  <c r="C252" i="28"/>
  <c r="C253" i="28"/>
  <c r="C254" i="28"/>
  <c r="C255" i="28"/>
  <c r="C256" i="28"/>
  <c r="C257" i="28"/>
  <c r="C258" i="28"/>
  <c r="C259" i="28"/>
  <c r="C260" i="28"/>
  <c r="C261" i="28"/>
  <c r="C262" i="28"/>
  <c r="D248" i="28"/>
  <c r="D249" i="28"/>
  <c r="D250" i="28"/>
  <c r="D251" i="28"/>
  <c r="D252" i="28"/>
  <c r="D253" i="28"/>
  <c r="D254" i="28"/>
  <c r="D255" i="28"/>
  <c r="D256" i="28"/>
  <c r="D257" i="28"/>
  <c r="D258" i="28"/>
  <c r="D259" i="28"/>
  <c r="D260" i="28"/>
  <c r="D261" i="28"/>
  <c r="D262" i="28"/>
  <c r="E248" i="28"/>
  <c r="E249" i="28"/>
  <c r="E250" i="28"/>
  <c r="E251" i="28"/>
  <c r="E252" i="28"/>
  <c r="E253" i="28"/>
  <c r="E254" i="28"/>
  <c r="E255" i="28"/>
  <c r="E256" i="28"/>
  <c r="E257" i="28"/>
  <c r="E258" i="28"/>
  <c r="E259" i="28"/>
  <c r="E260" i="28"/>
  <c r="E261" i="28"/>
  <c r="E262" i="28"/>
  <c r="H256" i="28"/>
  <c r="H260" i="28"/>
  <c r="H261" i="28"/>
  <c r="H262" i="28"/>
  <c r="I262" i="28"/>
  <c r="K254" i="28"/>
  <c r="K257" i="28"/>
  <c r="K262" i="28"/>
  <c r="L248" i="28"/>
  <c r="L249" i="28"/>
  <c r="L250" i="28"/>
  <c r="L251" i="28"/>
  <c r="L252" i="28"/>
  <c r="L253" i="28"/>
  <c r="L254" i="28"/>
  <c r="L255" i="28"/>
  <c r="L256" i="28"/>
  <c r="L257" i="28"/>
  <c r="L258" i="28"/>
  <c r="L259" i="28"/>
  <c r="L260" i="28"/>
  <c r="L261" i="28"/>
  <c r="L262" i="28"/>
  <c r="M259" i="28"/>
  <c r="M260" i="28"/>
  <c r="M261" i="28"/>
  <c r="M262" i="28"/>
  <c r="N248" i="28"/>
  <c r="N249" i="28"/>
  <c r="N250" i="28"/>
  <c r="N251" i="28"/>
  <c r="N252" i="28"/>
  <c r="N253" i="28"/>
  <c r="N254" i="28"/>
  <c r="N255" i="28"/>
  <c r="N256" i="28"/>
  <c r="N257" i="28"/>
  <c r="N258" i="28"/>
  <c r="N259" i="28"/>
  <c r="N260" i="28"/>
  <c r="N261" i="28"/>
  <c r="N262" i="28"/>
  <c r="O248" i="28"/>
  <c r="O250" i="28"/>
  <c r="O256" i="28"/>
  <c r="O257" i="28"/>
  <c r="O258" i="28"/>
  <c r="O259" i="28"/>
  <c r="O260" i="28"/>
  <c r="O261" i="28"/>
  <c r="O262" i="28"/>
  <c r="P248" i="28"/>
  <c r="P249" i="28"/>
  <c r="P250" i="28"/>
  <c r="P251" i="28"/>
  <c r="P252" i="28"/>
  <c r="P253" i="28"/>
  <c r="P254" i="28"/>
  <c r="P255" i="28"/>
  <c r="P256" i="28"/>
  <c r="P257" i="28"/>
  <c r="P258" i="28"/>
  <c r="P259" i="28"/>
  <c r="P260" i="28"/>
  <c r="P261" i="28"/>
  <c r="P262" i="28"/>
  <c r="Q248" i="28"/>
  <c r="Q249" i="28"/>
  <c r="Q250" i="28"/>
  <c r="Q251" i="28"/>
  <c r="Q252" i="28"/>
  <c r="Q253" i="28"/>
  <c r="Q254" i="28"/>
  <c r="Q255" i="28"/>
  <c r="Q256" i="28"/>
  <c r="Q257" i="28"/>
  <c r="Q258" i="28"/>
  <c r="Q259" i="28"/>
  <c r="Q260" i="28"/>
  <c r="Q261" i="28"/>
  <c r="Q262" i="28"/>
  <c r="R248" i="28"/>
  <c r="R250" i="28"/>
  <c r="R258" i="28"/>
  <c r="R259" i="28"/>
  <c r="S248" i="28"/>
  <c r="S250" i="28"/>
  <c r="S258" i="28"/>
  <c r="S259" i="28"/>
  <c r="D270" i="1"/>
  <c r="E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D271" i="1"/>
  <c r="E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D240" i="1"/>
  <c r="E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D241" i="1"/>
  <c r="E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D223" i="1"/>
  <c r="E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D224" i="1"/>
  <c r="E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D215" i="1"/>
  <c r="E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D216" i="1"/>
  <c r="E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D217" i="1"/>
  <c r="E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D137" i="23"/>
  <c r="D207" i="1"/>
  <c r="E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D208" i="1"/>
  <c r="E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D168" i="1"/>
  <c r="E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D169" i="1"/>
  <c r="E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D87" i="1"/>
  <c r="E87" i="1"/>
  <c r="H87" i="1"/>
  <c r="I87" i="1"/>
  <c r="J87" i="1"/>
  <c r="K87" i="1"/>
  <c r="L87" i="1"/>
  <c r="M87" i="1"/>
  <c r="N87" i="1"/>
  <c r="O87" i="1"/>
  <c r="P87" i="1"/>
  <c r="Q87" i="1"/>
  <c r="R87" i="1"/>
  <c r="S87" i="1"/>
  <c r="D58" i="18"/>
  <c r="D57" i="18"/>
  <c r="D71" i="1"/>
  <c r="E71" i="1"/>
  <c r="H71" i="1"/>
  <c r="I71" i="1"/>
  <c r="J71" i="1"/>
  <c r="K71" i="1"/>
  <c r="L71" i="1"/>
  <c r="M71" i="1"/>
  <c r="N71" i="1"/>
  <c r="O71" i="1"/>
  <c r="P71" i="1"/>
  <c r="Q71" i="1"/>
  <c r="R71" i="1"/>
  <c r="S71" i="1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F192" i="7"/>
  <c r="G192" i="7" s="1"/>
  <c r="F193" i="7"/>
  <c r="G193" i="7" s="1"/>
  <c r="F194" i="7"/>
  <c r="G194" i="7" s="1"/>
  <c r="F195" i="7"/>
  <c r="G195" i="7" s="1"/>
  <c r="F196" i="7"/>
  <c r="G196" i="7" s="1"/>
  <c r="F197" i="7"/>
  <c r="G197" i="7" s="1"/>
  <c r="F198" i="7"/>
  <c r="G198" i="7" s="1"/>
  <c r="F199" i="7"/>
  <c r="G199" i="7" s="1"/>
  <c r="F200" i="7"/>
  <c r="G200" i="7" s="1"/>
  <c r="F201" i="7"/>
  <c r="G201" i="7" s="1"/>
  <c r="F202" i="7"/>
  <c r="G202" i="7" s="1"/>
  <c r="F203" i="7"/>
  <c r="G203" i="7" s="1"/>
  <c r="F204" i="7"/>
  <c r="G204" i="7" s="1"/>
  <c r="F205" i="7"/>
  <c r="G205" i="7" s="1"/>
  <c r="F206" i="7"/>
  <c r="G206" i="7" s="1"/>
  <c r="F207" i="7"/>
  <c r="G207" i="7" s="1"/>
  <c r="F208" i="7"/>
  <c r="G208" i="7" s="1"/>
  <c r="F209" i="7"/>
  <c r="G209" i="7" s="1"/>
  <c r="F210" i="7"/>
  <c r="G210" i="7" s="1"/>
  <c r="F211" i="7"/>
  <c r="G211" i="7" s="1"/>
  <c r="F212" i="7"/>
  <c r="G212" i="7" s="1"/>
  <c r="F213" i="7"/>
  <c r="G213" i="7" s="1"/>
  <c r="F214" i="7"/>
  <c r="G214" i="7" s="1"/>
  <c r="F215" i="7"/>
  <c r="G215" i="7" s="1"/>
  <c r="F216" i="7"/>
  <c r="G216" i="7" s="1"/>
  <c r="F217" i="7"/>
  <c r="G217" i="7" s="1"/>
  <c r="F218" i="7"/>
  <c r="G218" i="7" s="1"/>
  <c r="F219" i="7"/>
  <c r="G219" i="7" s="1"/>
  <c r="F220" i="7"/>
  <c r="G220" i="7" s="1"/>
  <c r="F221" i="7"/>
  <c r="G221" i="7" s="1"/>
  <c r="F222" i="7"/>
  <c r="G222" i="7" s="1"/>
  <c r="I267" i="28"/>
  <c r="I268" i="28"/>
  <c r="I269" i="28"/>
  <c r="I271" i="28"/>
  <c r="I277" i="28"/>
  <c r="I285" i="28"/>
  <c r="I287" i="28"/>
  <c r="I288" i="28"/>
  <c r="I292" i="28"/>
  <c r="I294" i="28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F191" i="2"/>
  <c r="G191" i="2" s="1"/>
  <c r="F192" i="2"/>
  <c r="G192" i="2" s="1"/>
  <c r="F193" i="2"/>
  <c r="G193" i="2" s="1"/>
  <c r="F194" i="2"/>
  <c r="G194" i="2" s="1"/>
  <c r="F195" i="2"/>
  <c r="G195" i="2" s="1"/>
  <c r="F196" i="2"/>
  <c r="G196" i="2" s="1"/>
  <c r="F197" i="2"/>
  <c r="G197" i="2" s="1"/>
  <c r="F198" i="2"/>
  <c r="G198" i="2" s="1"/>
  <c r="F199" i="2"/>
  <c r="G199" i="2" s="1"/>
  <c r="F200" i="2"/>
  <c r="G200" i="2" s="1"/>
  <c r="F201" i="2"/>
  <c r="G201" i="2" s="1"/>
  <c r="F202" i="2"/>
  <c r="G202" i="2" s="1"/>
  <c r="F203" i="2"/>
  <c r="G203" i="2" s="1"/>
  <c r="F204" i="2"/>
  <c r="G204" i="2" s="1"/>
  <c r="F205" i="2"/>
  <c r="G205" i="2" s="1"/>
  <c r="F206" i="2"/>
  <c r="G206" i="2" s="1"/>
  <c r="F207" i="2"/>
  <c r="G207" i="2" s="1"/>
  <c r="F208" i="2"/>
  <c r="G208" i="2" s="1"/>
  <c r="F209" i="2"/>
  <c r="G209" i="2" s="1"/>
  <c r="F210" i="2"/>
  <c r="G210" i="2" s="1"/>
  <c r="F211" i="2"/>
  <c r="G211" i="2" s="1"/>
  <c r="F212" i="2"/>
  <c r="G212" i="2" s="1"/>
  <c r="F213" i="2"/>
  <c r="G213" i="2" s="1"/>
  <c r="F214" i="2"/>
  <c r="G214" i="2" s="1"/>
  <c r="F215" i="2"/>
  <c r="G215" i="2" s="1"/>
  <c r="F216" i="2"/>
  <c r="G216" i="2" s="1"/>
  <c r="H246" i="28"/>
  <c r="H249" i="28"/>
  <c r="H250" i="28"/>
  <c r="H251" i="28"/>
  <c r="H252" i="28"/>
  <c r="H255" i="28"/>
  <c r="D231" i="27"/>
  <c r="D230" i="27"/>
  <c r="D229" i="27"/>
  <c r="D228" i="27"/>
  <c r="D227" i="27"/>
  <c r="D226" i="27"/>
  <c r="D225" i="27"/>
  <c r="D224" i="27"/>
  <c r="D223" i="27"/>
  <c r="D222" i="27"/>
  <c r="D221" i="27"/>
  <c r="D220" i="27"/>
  <c r="D219" i="27"/>
  <c r="D218" i="27"/>
  <c r="D217" i="27"/>
  <c r="D216" i="27"/>
  <c r="D215" i="27"/>
  <c r="D214" i="27"/>
  <c r="D213" i="27"/>
  <c r="D212" i="27"/>
  <c r="D211" i="27"/>
  <c r="D210" i="27"/>
  <c r="D209" i="27"/>
  <c r="D208" i="27"/>
  <c r="D207" i="27"/>
  <c r="D206" i="27"/>
  <c r="D205" i="27"/>
  <c r="D204" i="27"/>
  <c r="D203" i="27"/>
  <c r="D202" i="27"/>
  <c r="D201" i="27"/>
  <c r="D200" i="27"/>
  <c r="D199" i="27"/>
  <c r="D198" i="27"/>
  <c r="D197" i="27"/>
  <c r="D196" i="27"/>
  <c r="D195" i="27"/>
  <c r="D194" i="27"/>
  <c r="D193" i="27"/>
  <c r="D192" i="27"/>
  <c r="D191" i="27"/>
  <c r="D190" i="27"/>
  <c r="D189" i="27"/>
  <c r="D188" i="27"/>
  <c r="D187" i="27"/>
  <c r="D186" i="27"/>
  <c r="D185" i="27"/>
  <c r="D184" i="27"/>
  <c r="D183" i="27"/>
  <c r="D182" i="27"/>
  <c r="D181" i="27"/>
  <c r="D180" i="27"/>
  <c r="D179" i="27"/>
  <c r="D178" i="27"/>
  <c r="D177" i="27"/>
  <c r="D176" i="27"/>
  <c r="D175" i="27"/>
  <c r="D174" i="27"/>
  <c r="D173" i="27"/>
  <c r="D172" i="27"/>
  <c r="D171" i="27"/>
  <c r="D170" i="27"/>
  <c r="D169" i="27"/>
  <c r="D168" i="27"/>
  <c r="D167" i="27"/>
  <c r="D166" i="27"/>
  <c r="D165" i="27"/>
  <c r="D164" i="27"/>
  <c r="D163" i="27"/>
  <c r="D162" i="27"/>
  <c r="D161" i="27"/>
  <c r="D160" i="27"/>
  <c r="D159" i="27"/>
  <c r="D158" i="27"/>
  <c r="D157" i="27"/>
  <c r="D156" i="27"/>
  <c r="D155" i="27"/>
  <c r="D154" i="27"/>
  <c r="D153" i="27"/>
  <c r="D152" i="27"/>
  <c r="D151" i="27"/>
  <c r="D150" i="27"/>
  <c r="D149" i="27"/>
  <c r="D148" i="27"/>
  <c r="D147" i="27"/>
  <c r="D146" i="27"/>
  <c r="D145" i="27"/>
  <c r="D144" i="27"/>
  <c r="D143" i="27"/>
  <c r="D142" i="27"/>
  <c r="D141" i="27"/>
  <c r="D140" i="27"/>
  <c r="D139" i="27"/>
  <c r="D138" i="27"/>
  <c r="D137" i="27"/>
  <c r="D136" i="27"/>
  <c r="D135" i="27"/>
  <c r="D134" i="27"/>
  <c r="D133" i="27"/>
  <c r="D132" i="27"/>
  <c r="D131" i="27"/>
  <c r="D130" i="27"/>
  <c r="D129" i="27"/>
  <c r="D128" i="27"/>
  <c r="D127" i="27"/>
  <c r="D126" i="27"/>
  <c r="D125" i="27"/>
  <c r="D124" i="27"/>
  <c r="D123" i="27"/>
  <c r="D122" i="27"/>
  <c r="D121" i="27"/>
  <c r="D120" i="27"/>
  <c r="D119" i="27"/>
  <c r="D118" i="27"/>
  <c r="D117" i="27"/>
  <c r="D116" i="27"/>
  <c r="D115" i="27"/>
  <c r="D114" i="27"/>
  <c r="D113" i="27"/>
  <c r="D112" i="27"/>
  <c r="D111" i="27"/>
  <c r="D110" i="27"/>
  <c r="D109" i="27"/>
  <c r="D108" i="27"/>
  <c r="D107" i="27"/>
  <c r="D106" i="27"/>
  <c r="D105" i="27"/>
  <c r="D104" i="27"/>
  <c r="D103" i="27"/>
  <c r="D102" i="27"/>
  <c r="D101" i="27"/>
  <c r="D100" i="27"/>
  <c r="D99" i="27"/>
  <c r="D98" i="27"/>
  <c r="D97" i="27"/>
  <c r="D96" i="27"/>
  <c r="D95" i="27"/>
  <c r="D94" i="27"/>
  <c r="D93" i="27"/>
  <c r="D92" i="27"/>
  <c r="D91" i="27"/>
  <c r="D90" i="27"/>
  <c r="D89" i="27"/>
  <c r="D88" i="27"/>
  <c r="D87" i="27"/>
  <c r="D86" i="27"/>
  <c r="D85" i="27"/>
  <c r="D84" i="27"/>
  <c r="D83" i="27"/>
  <c r="D82" i="27"/>
  <c r="D81" i="27"/>
  <c r="D80" i="27"/>
  <c r="D79" i="27"/>
  <c r="D78" i="27"/>
  <c r="D77" i="27"/>
  <c r="D76" i="27"/>
  <c r="D75" i="27"/>
  <c r="D74" i="27"/>
  <c r="D73" i="27"/>
  <c r="D72" i="27"/>
  <c r="D71" i="27"/>
  <c r="D70" i="27"/>
  <c r="D69" i="27"/>
  <c r="D68" i="27"/>
  <c r="D67" i="27"/>
  <c r="D66" i="27"/>
  <c r="D65" i="27"/>
  <c r="D64" i="27"/>
  <c r="D63" i="27"/>
  <c r="D62" i="27"/>
  <c r="D61" i="27"/>
  <c r="D60" i="27"/>
  <c r="D59" i="27"/>
  <c r="D58" i="27"/>
  <c r="D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5" i="1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129" i="27"/>
  <c r="C130" i="27"/>
  <c r="C131" i="27"/>
  <c r="C132" i="27"/>
  <c r="C133" i="27"/>
  <c r="C134" i="27"/>
  <c r="C135" i="27"/>
  <c r="C136" i="27"/>
  <c r="C137" i="27"/>
  <c r="C138" i="27"/>
  <c r="C139" i="27"/>
  <c r="C140" i="27"/>
  <c r="C141" i="27"/>
  <c r="C142" i="27"/>
  <c r="C143" i="27"/>
  <c r="C144" i="27"/>
  <c r="C145" i="27"/>
  <c r="C146" i="27"/>
  <c r="C147" i="27"/>
  <c r="C148" i="27"/>
  <c r="C149" i="27"/>
  <c r="C150" i="27"/>
  <c r="C151" i="27"/>
  <c r="C152" i="27"/>
  <c r="C153" i="27"/>
  <c r="C154" i="27"/>
  <c r="C155" i="27"/>
  <c r="C156" i="27"/>
  <c r="C157" i="27"/>
  <c r="C158" i="27"/>
  <c r="C159" i="27"/>
  <c r="C160" i="27"/>
  <c r="C161" i="27"/>
  <c r="C162" i="27"/>
  <c r="C163" i="27"/>
  <c r="C164" i="27"/>
  <c r="C165" i="27"/>
  <c r="C166" i="27"/>
  <c r="C167" i="27"/>
  <c r="C168" i="27"/>
  <c r="C169" i="27"/>
  <c r="C170" i="27"/>
  <c r="C171" i="27"/>
  <c r="C172" i="27"/>
  <c r="C173" i="27"/>
  <c r="C174" i="27"/>
  <c r="C175" i="27"/>
  <c r="C176" i="27"/>
  <c r="C177" i="27"/>
  <c r="C178" i="27"/>
  <c r="C179" i="27"/>
  <c r="C180" i="27"/>
  <c r="C181" i="27"/>
  <c r="C182" i="27"/>
  <c r="C183" i="27"/>
  <c r="C184" i="27"/>
  <c r="C185" i="27"/>
  <c r="C186" i="27"/>
  <c r="C187" i="27"/>
  <c r="C188" i="27"/>
  <c r="C189" i="27"/>
  <c r="C190" i="27"/>
  <c r="C191" i="27"/>
  <c r="C192" i="27"/>
  <c r="C193" i="27"/>
  <c r="C194" i="27"/>
  <c r="C195" i="27"/>
  <c r="C196" i="27"/>
  <c r="C197" i="27"/>
  <c r="C198" i="27"/>
  <c r="C199" i="27"/>
  <c r="C200" i="27"/>
  <c r="C201" i="27"/>
  <c r="C202" i="27"/>
  <c r="C203" i="27"/>
  <c r="C204" i="27"/>
  <c r="C205" i="27"/>
  <c r="C206" i="27"/>
  <c r="C207" i="27"/>
  <c r="C208" i="27"/>
  <c r="C209" i="27"/>
  <c r="C210" i="27"/>
  <c r="C211" i="27"/>
  <c r="C212" i="27"/>
  <c r="C213" i="27"/>
  <c r="C214" i="27"/>
  <c r="C215" i="27"/>
  <c r="C216" i="27"/>
  <c r="C217" i="27"/>
  <c r="C218" i="27"/>
  <c r="C219" i="27"/>
  <c r="C220" i="27"/>
  <c r="C221" i="27"/>
  <c r="C222" i="27"/>
  <c r="C223" i="27"/>
  <c r="C224" i="27"/>
  <c r="C225" i="27"/>
  <c r="C226" i="27"/>
  <c r="C227" i="27"/>
  <c r="C228" i="27"/>
  <c r="C229" i="27"/>
  <c r="C230" i="27"/>
  <c r="C231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E104" i="27"/>
  <c r="E105" i="27"/>
  <c r="E106" i="27"/>
  <c r="E107" i="27"/>
  <c r="E108" i="27"/>
  <c r="E109" i="27"/>
  <c r="E110" i="27"/>
  <c r="E111" i="27"/>
  <c r="E112" i="27"/>
  <c r="E113" i="27"/>
  <c r="E114" i="27"/>
  <c r="E115" i="27"/>
  <c r="E116" i="27"/>
  <c r="E117" i="27"/>
  <c r="E118" i="27"/>
  <c r="E119" i="27"/>
  <c r="E120" i="27"/>
  <c r="E121" i="27"/>
  <c r="E122" i="27"/>
  <c r="E123" i="27"/>
  <c r="E124" i="27"/>
  <c r="E125" i="27"/>
  <c r="E126" i="27"/>
  <c r="E127" i="27"/>
  <c r="E128" i="27"/>
  <c r="E129" i="27"/>
  <c r="E130" i="27"/>
  <c r="E131" i="27"/>
  <c r="E132" i="27"/>
  <c r="E133" i="27"/>
  <c r="E134" i="27"/>
  <c r="E135" i="27"/>
  <c r="E136" i="27"/>
  <c r="E137" i="27"/>
  <c r="E138" i="27"/>
  <c r="E139" i="27"/>
  <c r="E140" i="27"/>
  <c r="E141" i="27"/>
  <c r="E142" i="27"/>
  <c r="E143" i="27"/>
  <c r="E144" i="27"/>
  <c r="E145" i="27"/>
  <c r="E146" i="27"/>
  <c r="E147" i="27"/>
  <c r="E148" i="27"/>
  <c r="E149" i="27"/>
  <c r="E150" i="27"/>
  <c r="E151" i="27"/>
  <c r="E152" i="27"/>
  <c r="E153" i="27"/>
  <c r="E154" i="27"/>
  <c r="E155" i="27"/>
  <c r="E156" i="27"/>
  <c r="E157" i="27"/>
  <c r="E158" i="27"/>
  <c r="E159" i="27"/>
  <c r="E160" i="27"/>
  <c r="E161" i="27"/>
  <c r="E162" i="27"/>
  <c r="E163" i="27"/>
  <c r="E164" i="27"/>
  <c r="E165" i="27"/>
  <c r="E166" i="27"/>
  <c r="E167" i="27"/>
  <c r="E168" i="27"/>
  <c r="E169" i="27"/>
  <c r="E170" i="27"/>
  <c r="E171" i="27"/>
  <c r="E172" i="27"/>
  <c r="E173" i="27"/>
  <c r="E174" i="27"/>
  <c r="E175" i="27"/>
  <c r="E176" i="27"/>
  <c r="E177" i="27"/>
  <c r="E178" i="27"/>
  <c r="E179" i="27"/>
  <c r="E180" i="27"/>
  <c r="E181" i="27"/>
  <c r="E182" i="27"/>
  <c r="E183" i="27"/>
  <c r="E184" i="27"/>
  <c r="E185" i="27"/>
  <c r="E186" i="27"/>
  <c r="E187" i="27"/>
  <c r="E188" i="27"/>
  <c r="E189" i="27"/>
  <c r="E190" i="27"/>
  <c r="E191" i="27"/>
  <c r="E192" i="27"/>
  <c r="E193" i="27"/>
  <c r="E194" i="27"/>
  <c r="E195" i="27"/>
  <c r="E196" i="27"/>
  <c r="E197" i="27"/>
  <c r="E198" i="27"/>
  <c r="E199" i="27"/>
  <c r="E200" i="27"/>
  <c r="E201" i="27"/>
  <c r="E202" i="27"/>
  <c r="E203" i="27"/>
  <c r="E204" i="27"/>
  <c r="E205" i="27"/>
  <c r="E206" i="27"/>
  <c r="E207" i="27"/>
  <c r="E208" i="27"/>
  <c r="E209" i="27"/>
  <c r="E210" i="27"/>
  <c r="E211" i="27"/>
  <c r="E212" i="27"/>
  <c r="E213" i="27"/>
  <c r="E214" i="27"/>
  <c r="E215" i="27"/>
  <c r="E216" i="27"/>
  <c r="E217" i="27"/>
  <c r="E218" i="27"/>
  <c r="E219" i="27"/>
  <c r="E220" i="27"/>
  <c r="E221" i="27"/>
  <c r="E222" i="27"/>
  <c r="E223" i="27"/>
  <c r="E224" i="27"/>
  <c r="E225" i="27"/>
  <c r="E226" i="27"/>
  <c r="E227" i="27"/>
  <c r="E228" i="27"/>
  <c r="E229" i="27"/>
  <c r="E230" i="27"/>
  <c r="E231" i="27"/>
  <c r="P318" i="28"/>
  <c r="C247" i="28"/>
  <c r="D247" i="28"/>
  <c r="E247" i="28"/>
  <c r="L247" i="28"/>
  <c r="N247" i="28"/>
  <c r="P247" i="28"/>
  <c r="Q247" i="28"/>
  <c r="C246" i="28"/>
  <c r="D246" i="28"/>
  <c r="E246" i="28"/>
  <c r="D293" i="1"/>
  <c r="E293" i="1"/>
  <c r="H293" i="1"/>
  <c r="I293" i="1"/>
  <c r="J293" i="1"/>
  <c r="K293" i="1"/>
  <c r="L293" i="1"/>
  <c r="M293" i="1"/>
  <c r="N293" i="1"/>
  <c r="O293" i="1"/>
  <c r="P293" i="1"/>
  <c r="Q293" i="1"/>
  <c r="R293" i="1"/>
  <c r="S293" i="1"/>
  <c r="AD146" i="32"/>
  <c r="X146" i="32"/>
  <c r="L132" i="32"/>
  <c r="AG132" i="32"/>
  <c r="D132" i="32"/>
  <c r="AJ42" i="32"/>
  <c r="U42" i="32"/>
  <c r="I42" i="32"/>
  <c r="R146" i="32"/>
  <c r="F132" i="32"/>
  <c r="X42" i="32"/>
  <c r="D146" i="32"/>
  <c r="U146" i="32"/>
  <c r="R42" i="32"/>
  <c r="AD132" i="32"/>
  <c r="AJ146" i="32"/>
  <c r="AG42" i="32"/>
  <c r="O146" i="32"/>
  <c r="O132" i="32"/>
  <c r="O42" i="32"/>
  <c r="L146" i="32"/>
  <c r="U132" i="32"/>
  <c r="AD42" i="32"/>
  <c r="AA132" i="32"/>
  <c r="F146" i="32"/>
  <c r="AJ132" i="32"/>
  <c r="AA42" i="32"/>
  <c r="D42" i="32"/>
  <c r="F42" i="32"/>
  <c r="X132" i="32"/>
  <c r="R132" i="32"/>
  <c r="L42" i="32"/>
  <c r="I146" i="32"/>
  <c r="AA146" i="32"/>
  <c r="I132" i="32"/>
  <c r="AG146" i="32"/>
  <c r="AC132" i="32" l="1"/>
  <c r="Z132" i="32"/>
  <c r="W132" i="32"/>
  <c r="T132" i="32"/>
  <c r="Q132" i="32"/>
  <c r="AL132" i="32"/>
  <c r="N132" i="32"/>
  <c r="AI132" i="32"/>
  <c r="K132" i="32"/>
  <c r="AF132" i="32"/>
  <c r="H132" i="32"/>
  <c r="C268" i="15"/>
  <c r="C263" i="11"/>
  <c r="C270" i="17"/>
  <c r="C264" i="10"/>
  <c r="C261" i="8"/>
  <c r="C265" i="9"/>
  <c r="C263" i="7"/>
  <c r="D263" i="11"/>
  <c r="D270" i="17"/>
  <c r="D264" i="10"/>
  <c r="D265" i="9"/>
  <c r="D263" i="7"/>
  <c r="D261" i="8"/>
  <c r="D268" i="15"/>
  <c r="D256" i="8"/>
  <c r="D258" i="7"/>
  <c r="C256" i="8"/>
  <c r="C258" i="7"/>
  <c r="J291" i="28"/>
  <c r="J264" i="28"/>
  <c r="J302" i="28"/>
  <c r="J310" i="28"/>
  <c r="J320" i="28"/>
  <c r="J265" i="28"/>
  <c r="I293" i="28"/>
  <c r="I263" i="28"/>
  <c r="I261" i="28"/>
  <c r="I291" i="28"/>
  <c r="I264" i="28"/>
  <c r="J293" i="28"/>
  <c r="J275" i="28"/>
  <c r="J281" i="28"/>
  <c r="J266" i="28"/>
  <c r="J272" i="28"/>
  <c r="J300" i="28"/>
  <c r="J274" i="28"/>
  <c r="J280" i="28"/>
  <c r="J299" i="28"/>
  <c r="J305" i="28"/>
  <c r="J273" i="28"/>
  <c r="J279" i="28"/>
  <c r="J297" i="28"/>
  <c r="J303" i="28"/>
  <c r="J270" i="28"/>
  <c r="J276" i="28"/>
  <c r="J306" i="28"/>
  <c r="J312" i="28"/>
  <c r="J298" i="28"/>
  <c r="J304" i="28"/>
  <c r="J308" i="28"/>
  <c r="J295" i="28"/>
  <c r="J301" i="28"/>
  <c r="J283" i="28"/>
  <c r="J290" i="28"/>
  <c r="I273" i="28"/>
  <c r="I279" i="28"/>
  <c r="I300" i="28"/>
  <c r="I306" i="28"/>
  <c r="I298" i="28"/>
  <c r="I304" i="28"/>
  <c r="I299" i="28"/>
  <c r="I305" i="28"/>
  <c r="I260" i="28"/>
  <c r="I265" i="28"/>
  <c r="I297" i="28"/>
  <c r="I303" i="28"/>
  <c r="I270" i="28"/>
  <c r="I276" i="28"/>
  <c r="I296" i="28"/>
  <c r="I302" i="28"/>
  <c r="I295" i="28"/>
  <c r="I301" i="28"/>
  <c r="I283" i="28"/>
  <c r="I290" i="28"/>
  <c r="I275" i="28"/>
  <c r="I281" i="28"/>
  <c r="I266" i="28"/>
  <c r="I272" i="28"/>
  <c r="I274" i="28"/>
  <c r="I280" i="28"/>
  <c r="Z42" i="32"/>
  <c r="AC146" i="32"/>
  <c r="AC42" i="32"/>
  <c r="W42" i="32"/>
  <c r="Z146" i="32"/>
  <c r="H146" i="32"/>
  <c r="T42" i="32"/>
  <c r="W146" i="32"/>
  <c r="AF146" i="32"/>
  <c r="Q42" i="32"/>
  <c r="T146" i="32"/>
  <c r="AL42" i="32"/>
  <c r="N42" i="32"/>
  <c r="Q146" i="32"/>
  <c r="AI42" i="32"/>
  <c r="K42" i="32"/>
  <c r="AL146" i="32"/>
  <c r="N146" i="32"/>
  <c r="AF42" i="32"/>
  <c r="H42" i="32"/>
  <c r="AI146" i="32"/>
  <c r="K146" i="32"/>
  <c r="J254" i="28"/>
  <c r="I259" i="28"/>
  <c r="I256" i="28"/>
  <c r="I258" i="28"/>
  <c r="J263" i="28"/>
  <c r="J257" i="28"/>
  <c r="J262" i="28"/>
  <c r="J259" i="28"/>
  <c r="J258" i="28"/>
  <c r="H253" i="28"/>
  <c r="H248" i="28"/>
  <c r="H247" i="28"/>
  <c r="H257" i="28"/>
  <c r="H254" i="28"/>
  <c r="I254" i="28"/>
  <c r="I255" i="28"/>
  <c r="I250" i="28"/>
  <c r="I257" i="28"/>
  <c r="C239" i="28" l="1"/>
  <c r="C240" i="28"/>
  <c r="C241" i="28"/>
  <c r="C242" i="28"/>
  <c r="C243" i="28"/>
  <c r="C244" i="28"/>
  <c r="C245" i="28"/>
  <c r="D239" i="28"/>
  <c r="D240" i="28"/>
  <c r="D241" i="28"/>
  <c r="D242" i="28"/>
  <c r="D243" i="28"/>
  <c r="D244" i="28"/>
  <c r="D245" i="28"/>
  <c r="E239" i="28"/>
  <c r="E240" i="28"/>
  <c r="E241" i="28"/>
  <c r="E242" i="28"/>
  <c r="E243" i="28"/>
  <c r="E244" i="28"/>
  <c r="E245" i="28"/>
  <c r="H244" i="28"/>
  <c r="H245" i="28"/>
  <c r="D273" i="1"/>
  <c r="E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D115" i="18"/>
  <c r="D107" i="18"/>
  <c r="D106" i="18"/>
  <c r="D105" i="18"/>
  <c r="D104" i="18"/>
  <c r="D82" i="1"/>
  <c r="E82" i="1"/>
  <c r="H82" i="1"/>
  <c r="I82" i="1"/>
  <c r="J82" i="1"/>
  <c r="K82" i="1"/>
  <c r="L82" i="1"/>
  <c r="M82" i="1"/>
  <c r="N82" i="1"/>
  <c r="O82" i="1"/>
  <c r="P82" i="1"/>
  <c r="Q82" i="1"/>
  <c r="R82" i="1"/>
  <c r="S82" i="1"/>
  <c r="D83" i="1"/>
  <c r="E83" i="1"/>
  <c r="H83" i="1"/>
  <c r="I83" i="1"/>
  <c r="J83" i="1"/>
  <c r="K83" i="1"/>
  <c r="L83" i="1"/>
  <c r="M83" i="1"/>
  <c r="N83" i="1"/>
  <c r="O83" i="1"/>
  <c r="P83" i="1"/>
  <c r="Q83" i="1"/>
  <c r="R83" i="1"/>
  <c r="S83" i="1"/>
  <c r="D84" i="1"/>
  <c r="E84" i="1"/>
  <c r="H84" i="1"/>
  <c r="I84" i="1"/>
  <c r="J84" i="1"/>
  <c r="K84" i="1"/>
  <c r="L84" i="1"/>
  <c r="M84" i="1"/>
  <c r="N84" i="1"/>
  <c r="O84" i="1"/>
  <c r="P84" i="1"/>
  <c r="Q84" i="1"/>
  <c r="R84" i="1"/>
  <c r="S84" i="1"/>
  <c r="D85" i="1"/>
  <c r="E85" i="1"/>
  <c r="H85" i="1"/>
  <c r="I85" i="1"/>
  <c r="J85" i="1"/>
  <c r="K85" i="1"/>
  <c r="L85" i="1"/>
  <c r="M85" i="1"/>
  <c r="N85" i="1"/>
  <c r="O85" i="1"/>
  <c r="P85" i="1"/>
  <c r="Q85" i="1"/>
  <c r="R85" i="1"/>
  <c r="S85" i="1"/>
  <c r="D86" i="1"/>
  <c r="E86" i="1"/>
  <c r="H86" i="1"/>
  <c r="I86" i="1"/>
  <c r="J86" i="1"/>
  <c r="K86" i="1"/>
  <c r="L86" i="1"/>
  <c r="M86" i="1"/>
  <c r="N86" i="1"/>
  <c r="O86" i="1"/>
  <c r="P86" i="1"/>
  <c r="Q86" i="1"/>
  <c r="R86" i="1"/>
  <c r="S86" i="1"/>
  <c r="D56" i="18"/>
  <c r="D69" i="1"/>
  <c r="E69" i="1"/>
  <c r="H69" i="1"/>
  <c r="I69" i="1"/>
  <c r="J69" i="1"/>
  <c r="K69" i="1"/>
  <c r="L69" i="1"/>
  <c r="M69" i="1"/>
  <c r="N69" i="1"/>
  <c r="O69" i="1"/>
  <c r="P69" i="1"/>
  <c r="Q69" i="1"/>
  <c r="R69" i="1"/>
  <c r="S69" i="1"/>
  <c r="E218" i="17"/>
  <c r="F218" i="17"/>
  <c r="G218" i="17" s="1"/>
  <c r="S268" i="28"/>
  <c r="C234" i="28"/>
  <c r="C235" i="28"/>
  <c r="C236" i="28"/>
  <c r="C237" i="28"/>
  <c r="C238" i="28"/>
  <c r="D234" i="28"/>
  <c r="D235" i="28"/>
  <c r="D236" i="28"/>
  <c r="D237" i="28"/>
  <c r="D238" i="28"/>
  <c r="E234" i="28"/>
  <c r="E235" i="28"/>
  <c r="E236" i="28"/>
  <c r="E237" i="28"/>
  <c r="E238" i="28"/>
  <c r="H238" i="28"/>
  <c r="I238" i="28"/>
  <c r="D274" i="1"/>
  <c r="E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D268" i="1"/>
  <c r="E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D267" i="1"/>
  <c r="E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D245" i="1"/>
  <c r="E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D239" i="1"/>
  <c r="E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C221" i="17" l="1"/>
  <c r="D221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F18" i="17"/>
  <c r="G18" i="17" s="1"/>
  <c r="F19" i="17"/>
  <c r="G19" i="17" s="1"/>
  <c r="F20" i="17"/>
  <c r="G20" i="17" s="1"/>
  <c r="F21" i="17"/>
  <c r="G21" i="17" s="1"/>
  <c r="F22" i="17"/>
  <c r="G22" i="17" s="1"/>
  <c r="F23" i="17"/>
  <c r="G23" i="17" s="1"/>
  <c r="F24" i="17"/>
  <c r="G24" i="17" s="1"/>
  <c r="F25" i="17"/>
  <c r="G25" i="17" s="1"/>
  <c r="F26" i="17"/>
  <c r="G26" i="17" s="1"/>
  <c r="F27" i="17"/>
  <c r="G27" i="17" s="1"/>
  <c r="F28" i="17"/>
  <c r="G28" i="17" s="1"/>
  <c r="F29" i="17"/>
  <c r="G29" i="17" s="1"/>
  <c r="F30" i="17"/>
  <c r="G30" i="17" s="1"/>
  <c r="F31" i="17"/>
  <c r="G31" i="17" s="1"/>
  <c r="F32" i="17"/>
  <c r="G32" i="17" s="1"/>
  <c r="F33" i="17"/>
  <c r="G33" i="17" s="1"/>
  <c r="F34" i="17"/>
  <c r="G34" i="17" s="1"/>
  <c r="F35" i="17"/>
  <c r="G35" i="17" s="1"/>
  <c r="F36" i="17"/>
  <c r="G36" i="17" s="1"/>
  <c r="F37" i="17"/>
  <c r="G37" i="17" s="1"/>
  <c r="F38" i="17"/>
  <c r="G38" i="17" s="1"/>
  <c r="F39" i="17"/>
  <c r="G39" i="17" s="1"/>
  <c r="F40" i="17"/>
  <c r="G40" i="17" s="1"/>
  <c r="F41" i="17"/>
  <c r="G41" i="17" s="1"/>
  <c r="F42" i="17"/>
  <c r="G42" i="17" s="1"/>
  <c r="F43" i="17"/>
  <c r="G43" i="17" s="1"/>
  <c r="F44" i="17"/>
  <c r="G44" i="17" s="1"/>
  <c r="F45" i="17"/>
  <c r="G45" i="17" s="1"/>
  <c r="F46" i="17"/>
  <c r="G46" i="17" s="1"/>
  <c r="F47" i="17"/>
  <c r="G47" i="17" s="1"/>
  <c r="F48" i="17"/>
  <c r="G48" i="17" s="1"/>
  <c r="F49" i="17"/>
  <c r="G49" i="17" s="1"/>
  <c r="F50" i="17"/>
  <c r="G50" i="17" s="1"/>
  <c r="F51" i="17"/>
  <c r="G51" i="17" s="1"/>
  <c r="F52" i="17"/>
  <c r="G52" i="17" s="1"/>
  <c r="F53" i="17"/>
  <c r="G53" i="17" s="1"/>
  <c r="F54" i="17"/>
  <c r="G54" i="17" s="1"/>
  <c r="F55" i="17"/>
  <c r="G55" i="17" s="1"/>
  <c r="F56" i="17"/>
  <c r="G56" i="17" s="1"/>
  <c r="F57" i="17"/>
  <c r="G57" i="17" s="1"/>
  <c r="F58" i="17"/>
  <c r="G58" i="17" s="1"/>
  <c r="F59" i="17"/>
  <c r="G59" i="17" s="1"/>
  <c r="F60" i="17"/>
  <c r="G60" i="17" s="1"/>
  <c r="F61" i="17"/>
  <c r="G61" i="17" s="1"/>
  <c r="F62" i="17"/>
  <c r="G62" i="17" s="1"/>
  <c r="F63" i="17"/>
  <c r="G63" i="17" s="1"/>
  <c r="F64" i="17"/>
  <c r="G64" i="17" s="1"/>
  <c r="F65" i="17"/>
  <c r="G65" i="17" s="1"/>
  <c r="F66" i="17"/>
  <c r="G66" i="17" s="1"/>
  <c r="F67" i="17"/>
  <c r="G67" i="17" s="1"/>
  <c r="F68" i="17"/>
  <c r="G68" i="17" s="1"/>
  <c r="F69" i="17"/>
  <c r="G69" i="17" s="1"/>
  <c r="F70" i="17"/>
  <c r="G70" i="17" s="1"/>
  <c r="F71" i="17"/>
  <c r="G71" i="17" s="1"/>
  <c r="F72" i="17"/>
  <c r="G72" i="17" s="1"/>
  <c r="F73" i="17"/>
  <c r="G73" i="17" s="1"/>
  <c r="F74" i="17"/>
  <c r="G74" i="17" s="1"/>
  <c r="F75" i="17"/>
  <c r="G75" i="17" s="1"/>
  <c r="F76" i="17"/>
  <c r="G76" i="17" s="1"/>
  <c r="F77" i="17"/>
  <c r="G77" i="17" s="1"/>
  <c r="F78" i="17"/>
  <c r="G78" i="17" s="1"/>
  <c r="F79" i="17"/>
  <c r="G79" i="17" s="1"/>
  <c r="F80" i="17"/>
  <c r="G80" i="17" s="1"/>
  <c r="F81" i="17"/>
  <c r="G81" i="17" s="1"/>
  <c r="F82" i="17"/>
  <c r="G82" i="17" s="1"/>
  <c r="F83" i="17"/>
  <c r="G83" i="17" s="1"/>
  <c r="F84" i="17"/>
  <c r="G84" i="17" s="1"/>
  <c r="F85" i="17"/>
  <c r="G85" i="17" s="1"/>
  <c r="F86" i="17"/>
  <c r="G86" i="17" s="1"/>
  <c r="F87" i="17"/>
  <c r="G87" i="17" s="1"/>
  <c r="F88" i="17"/>
  <c r="G88" i="17" s="1"/>
  <c r="F89" i="17"/>
  <c r="G89" i="17" s="1"/>
  <c r="F90" i="17"/>
  <c r="G90" i="17" s="1"/>
  <c r="F91" i="17"/>
  <c r="G91" i="17" s="1"/>
  <c r="F92" i="17"/>
  <c r="G92" i="17" s="1"/>
  <c r="F93" i="17"/>
  <c r="G93" i="17" s="1"/>
  <c r="F94" i="17"/>
  <c r="G94" i="17" s="1"/>
  <c r="F95" i="17"/>
  <c r="G95" i="17" s="1"/>
  <c r="F96" i="17"/>
  <c r="G96" i="17" s="1"/>
  <c r="F97" i="17"/>
  <c r="G97" i="17" s="1"/>
  <c r="F98" i="17"/>
  <c r="G98" i="17" s="1"/>
  <c r="F99" i="17"/>
  <c r="G99" i="17" s="1"/>
  <c r="F100" i="17"/>
  <c r="G100" i="17" s="1"/>
  <c r="F101" i="17"/>
  <c r="G101" i="17" s="1"/>
  <c r="F102" i="17"/>
  <c r="G102" i="17" s="1"/>
  <c r="F103" i="17"/>
  <c r="G103" i="17" s="1"/>
  <c r="F104" i="17"/>
  <c r="G104" i="17" s="1"/>
  <c r="F105" i="17"/>
  <c r="G105" i="17" s="1"/>
  <c r="F106" i="17"/>
  <c r="G106" i="17" s="1"/>
  <c r="F107" i="17"/>
  <c r="G107" i="17" s="1"/>
  <c r="F108" i="17"/>
  <c r="G108" i="17" s="1"/>
  <c r="F109" i="17"/>
  <c r="G109" i="17" s="1"/>
  <c r="F110" i="17"/>
  <c r="G110" i="17" s="1"/>
  <c r="F111" i="17"/>
  <c r="G111" i="17" s="1"/>
  <c r="F112" i="17"/>
  <c r="G112" i="17" s="1"/>
  <c r="F113" i="17"/>
  <c r="G113" i="17" s="1"/>
  <c r="F114" i="17"/>
  <c r="G114" i="17" s="1"/>
  <c r="F115" i="17"/>
  <c r="G115" i="17" s="1"/>
  <c r="F116" i="17"/>
  <c r="G116" i="17" s="1"/>
  <c r="F117" i="17"/>
  <c r="G117" i="17" s="1"/>
  <c r="F118" i="17"/>
  <c r="G118" i="17" s="1"/>
  <c r="F119" i="17"/>
  <c r="G119" i="17" s="1"/>
  <c r="F120" i="17"/>
  <c r="G120" i="17" s="1"/>
  <c r="F121" i="17"/>
  <c r="G121" i="17" s="1"/>
  <c r="F122" i="17"/>
  <c r="G122" i="17" s="1"/>
  <c r="F123" i="17"/>
  <c r="G123" i="17" s="1"/>
  <c r="F124" i="17"/>
  <c r="G124" i="17" s="1"/>
  <c r="F125" i="17"/>
  <c r="G125" i="17" s="1"/>
  <c r="F126" i="17"/>
  <c r="G126" i="17" s="1"/>
  <c r="F127" i="17"/>
  <c r="G127" i="17" s="1"/>
  <c r="F128" i="17"/>
  <c r="G128" i="17" s="1"/>
  <c r="F129" i="17"/>
  <c r="G129" i="17" s="1"/>
  <c r="F130" i="17"/>
  <c r="G130" i="17" s="1"/>
  <c r="F131" i="17"/>
  <c r="G131" i="17" s="1"/>
  <c r="F132" i="17"/>
  <c r="G132" i="17" s="1"/>
  <c r="F133" i="17"/>
  <c r="G133" i="17" s="1"/>
  <c r="F134" i="17"/>
  <c r="G134" i="17" s="1"/>
  <c r="F135" i="17"/>
  <c r="G135" i="17" s="1"/>
  <c r="F136" i="17"/>
  <c r="G136" i="17" s="1"/>
  <c r="F137" i="17"/>
  <c r="G137" i="17" s="1"/>
  <c r="F138" i="17"/>
  <c r="G138" i="17" s="1"/>
  <c r="F139" i="17"/>
  <c r="G139" i="17" s="1"/>
  <c r="F140" i="17"/>
  <c r="G140" i="17" s="1"/>
  <c r="F141" i="17"/>
  <c r="G141" i="17" s="1"/>
  <c r="F142" i="17"/>
  <c r="G142" i="17" s="1"/>
  <c r="F143" i="17"/>
  <c r="G143" i="17" s="1"/>
  <c r="F144" i="17"/>
  <c r="G144" i="17" s="1"/>
  <c r="F145" i="17"/>
  <c r="G145" i="17" s="1"/>
  <c r="F146" i="17"/>
  <c r="G146" i="17" s="1"/>
  <c r="F147" i="17"/>
  <c r="G147" i="17" s="1"/>
  <c r="F148" i="17"/>
  <c r="G148" i="17" s="1"/>
  <c r="F149" i="17"/>
  <c r="G149" i="17" s="1"/>
  <c r="F150" i="17"/>
  <c r="G150" i="17" s="1"/>
  <c r="F151" i="17"/>
  <c r="G151" i="17" s="1"/>
  <c r="F152" i="17"/>
  <c r="G152" i="17" s="1"/>
  <c r="F153" i="17"/>
  <c r="G153" i="17" s="1"/>
  <c r="F154" i="17"/>
  <c r="G154" i="17" s="1"/>
  <c r="F155" i="17"/>
  <c r="G155" i="17" s="1"/>
  <c r="F156" i="17"/>
  <c r="G156" i="17" s="1"/>
  <c r="F157" i="17"/>
  <c r="G157" i="17" s="1"/>
  <c r="F158" i="17"/>
  <c r="G158" i="17" s="1"/>
  <c r="F159" i="17"/>
  <c r="G159" i="17" s="1"/>
  <c r="F160" i="17"/>
  <c r="G160" i="17" s="1"/>
  <c r="F161" i="17"/>
  <c r="G161" i="17" s="1"/>
  <c r="F162" i="17"/>
  <c r="G162" i="17" s="1"/>
  <c r="F163" i="17"/>
  <c r="G163" i="17" s="1"/>
  <c r="F164" i="17"/>
  <c r="G164" i="17" s="1"/>
  <c r="F165" i="17"/>
  <c r="G165" i="17" s="1"/>
  <c r="F166" i="17"/>
  <c r="G166" i="17" s="1"/>
  <c r="F167" i="17"/>
  <c r="G167" i="17" s="1"/>
  <c r="F168" i="17"/>
  <c r="G168" i="17" s="1"/>
  <c r="F169" i="17"/>
  <c r="G169" i="17" s="1"/>
  <c r="F170" i="17"/>
  <c r="G170" i="17" s="1"/>
  <c r="F171" i="17"/>
  <c r="G171" i="17" s="1"/>
  <c r="F172" i="17"/>
  <c r="G172" i="17" s="1"/>
  <c r="F173" i="17"/>
  <c r="G173" i="17" s="1"/>
  <c r="F174" i="17"/>
  <c r="G174" i="17" s="1"/>
  <c r="F175" i="17"/>
  <c r="G175" i="17" s="1"/>
  <c r="F176" i="17"/>
  <c r="G176" i="17" s="1"/>
  <c r="F177" i="17"/>
  <c r="G177" i="17" s="1"/>
  <c r="F178" i="17"/>
  <c r="G178" i="17" s="1"/>
  <c r="F179" i="17"/>
  <c r="G179" i="17" s="1"/>
  <c r="F180" i="17"/>
  <c r="G180" i="17" s="1"/>
  <c r="F181" i="17"/>
  <c r="G181" i="17" s="1"/>
  <c r="F182" i="17"/>
  <c r="G182" i="17" s="1"/>
  <c r="F183" i="17"/>
  <c r="G183" i="17" s="1"/>
  <c r="F184" i="17"/>
  <c r="G184" i="17" s="1"/>
  <c r="F185" i="17"/>
  <c r="G185" i="17" s="1"/>
  <c r="F186" i="17"/>
  <c r="G186" i="17" s="1"/>
  <c r="F187" i="17"/>
  <c r="G187" i="17" s="1"/>
  <c r="F188" i="17"/>
  <c r="G188" i="17" s="1"/>
  <c r="F189" i="17"/>
  <c r="G189" i="17" s="1"/>
  <c r="F190" i="17"/>
  <c r="G190" i="17" s="1"/>
  <c r="F191" i="17"/>
  <c r="G191" i="17" s="1"/>
  <c r="F192" i="17"/>
  <c r="G192" i="17" s="1"/>
  <c r="F193" i="17"/>
  <c r="G193" i="17" s="1"/>
  <c r="F194" i="17"/>
  <c r="G194" i="17" s="1"/>
  <c r="F195" i="17"/>
  <c r="G195" i="17" s="1"/>
  <c r="F196" i="17"/>
  <c r="G196" i="17" s="1"/>
  <c r="F197" i="17"/>
  <c r="G197" i="17" s="1"/>
  <c r="F198" i="17"/>
  <c r="G198" i="17" s="1"/>
  <c r="F199" i="17"/>
  <c r="G199" i="17" s="1"/>
  <c r="F200" i="17"/>
  <c r="G200" i="17" s="1"/>
  <c r="F201" i="17"/>
  <c r="G201" i="17" s="1"/>
  <c r="F202" i="17"/>
  <c r="G202" i="17" s="1"/>
  <c r="F203" i="17"/>
  <c r="G203" i="17" s="1"/>
  <c r="F204" i="17"/>
  <c r="G204" i="17" s="1"/>
  <c r="F205" i="17"/>
  <c r="G205" i="17" s="1"/>
  <c r="F206" i="17"/>
  <c r="G206" i="17" s="1"/>
  <c r="F207" i="17"/>
  <c r="G207" i="17" s="1"/>
  <c r="F208" i="17"/>
  <c r="G208" i="17" s="1"/>
  <c r="F209" i="17"/>
  <c r="G209" i="17" s="1"/>
  <c r="F210" i="17"/>
  <c r="G210" i="17" s="1"/>
  <c r="F211" i="17"/>
  <c r="G211" i="17" s="1"/>
  <c r="F212" i="17"/>
  <c r="G212" i="17" s="1"/>
  <c r="F213" i="17"/>
  <c r="G213" i="17" s="1"/>
  <c r="F214" i="17"/>
  <c r="G214" i="17" s="1"/>
  <c r="F215" i="17"/>
  <c r="G215" i="17" s="1"/>
  <c r="F216" i="17"/>
  <c r="G216" i="17" s="1"/>
  <c r="F217" i="17"/>
  <c r="G217" i="17" s="1"/>
  <c r="S32" i="28"/>
  <c r="S36" i="28"/>
  <c r="S37" i="28"/>
  <c r="S41" i="28"/>
  <c r="S45" i="28"/>
  <c r="S47" i="28"/>
  <c r="S48" i="28"/>
  <c r="S49" i="28"/>
  <c r="S50" i="28"/>
  <c r="S155" i="28"/>
  <c r="S176" i="28"/>
  <c r="S177" i="28"/>
  <c r="S247" i="28"/>
  <c r="S253" i="28"/>
  <c r="S254" i="28"/>
  <c r="S255" i="28"/>
  <c r="S256" i="28"/>
  <c r="S257" i="28"/>
  <c r="S260" i="28"/>
  <c r="S261" i="28"/>
  <c r="S262" i="28"/>
  <c r="S263" i="28"/>
  <c r="S264" i="28"/>
  <c r="S265" i="28"/>
  <c r="S266" i="28"/>
  <c r="S267" i="28"/>
  <c r="D17" i="23"/>
  <c r="S251" i="28" l="1"/>
  <c r="S252" i="28"/>
  <c r="S249" i="28"/>
  <c r="S42" i="28"/>
  <c r="S245" i="28"/>
  <c r="S246" i="28"/>
  <c r="S239" i="28"/>
  <c r="S240" i="28"/>
  <c r="S242" i="28"/>
  <c r="S241" i="28"/>
  <c r="S238" i="28"/>
  <c r="S237" i="28"/>
  <c r="S243" i="28"/>
  <c r="S244" i="28"/>
  <c r="S236" i="28"/>
  <c r="S235" i="28"/>
  <c r="S234" i="28"/>
  <c r="C229" i="28" l="1"/>
  <c r="C230" i="28"/>
  <c r="C231" i="28"/>
  <c r="C232" i="28"/>
  <c r="C233" i="28"/>
  <c r="D229" i="28"/>
  <c r="D230" i="28"/>
  <c r="D231" i="28"/>
  <c r="D232" i="28"/>
  <c r="D233" i="28"/>
  <c r="E229" i="28"/>
  <c r="E230" i="28"/>
  <c r="E231" i="28"/>
  <c r="E232" i="28"/>
  <c r="E233" i="28"/>
  <c r="S229" i="28"/>
  <c r="S230" i="28"/>
  <c r="S231" i="28"/>
  <c r="S232" i="28"/>
  <c r="S233" i="28"/>
  <c r="D119" i="1"/>
  <c r="E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D120" i="1"/>
  <c r="E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D121" i="1"/>
  <c r="E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D122" i="1"/>
  <c r="E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D123" i="1"/>
  <c r="E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E209" i="16"/>
  <c r="E210" i="16"/>
  <c r="E211" i="16"/>
  <c r="E212" i="16"/>
  <c r="E213" i="16"/>
  <c r="F209" i="16"/>
  <c r="G209" i="16" s="1"/>
  <c r="F210" i="16"/>
  <c r="G210" i="16" s="1"/>
  <c r="F211" i="16"/>
  <c r="G211" i="16" s="1"/>
  <c r="F212" i="16"/>
  <c r="G212" i="16" s="1"/>
  <c r="F213" i="16"/>
  <c r="G213" i="16" s="1"/>
  <c r="R261" i="28"/>
  <c r="R262" i="28"/>
  <c r="R263" i="28"/>
  <c r="R264" i="28"/>
  <c r="R265" i="28"/>
  <c r="C225" i="28"/>
  <c r="C226" i="28"/>
  <c r="C227" i="28"/>
  <c r="C228" i="28"/>
  <c r="D225" i="28"/>
  <c r="D226" i="28"/>
  <c r="D227" i="28"/>
  <c r="D228" i="28"/>
  <c r="E225" i="28"/>
  <c r="E226" i="28"/>
  <c r="E227" i="28"/>
  <c r="E228" i="28"/>
  <c r="S225" i="28"/>
  <c r="S226" i="28"/>
  <c r="S227" i="28"/>
  <c r="S228" i="28"/>
  <c r="D52" i="23"/>
  <c r="D51" i="23"/>
  <c r="D50" i="23"/>
  <c r="D171" i="1"/>
  <c r="E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D172" i="1"/>
  <c r="E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D173" i="1"/>
  <c r="E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D174" i="1"/>
  <c r="E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E205" i="16"/>
  <c r="E206" i="16"/>
  <c r="E207" i="16"/>
  <c r="E208" i="16"/>
  <c r="F205" i="16"/>
  <c r="G205" i="16" s="1"/>
  <c r="F206" i="16"/>
  <c r="G206" i="16" s="1"/>
  <c r="F207" i="16"/>
  <c r="G207" i="16" s="1"/>
  <c r="F208" i="16"/>
  <c r="G208" i="16" s="1"/>
  <c r="R255" i="28"/>
  <c r="R256" i="28"/>
  <c r="R257" i="28"/>
  <c r="R260" i="28"/>
  <c r="Q121" i="16"/>
  <c r="Q120" i="16"/>
  <c r="Q119" i="16"/>
  <c r="I26" i="32"/>
  <c r="AG27" i="32"/>
  <c r="F26" i="32"/>
  <c r="AD27" i="32"/>
  <c r="AJ26" i="32"/>
  <c r="AA26" i="32"/>
  <c r="U20" i="32"/>
  <c r="F27" i="32"/>
  <c r="AA20" i="32"/>
  <c r="X20" i="32"/>
  <c r="U27" i="32"/>
  <c r="AD26" i="32"/>
  <c r="X27" i="32"/>
  <c r="AG20" i="32"/>
  <c r="L26" i="32"/>
  <c r="I27" i="32"/>
  <c r="I20" i="32"/>
  <c r="D27" i="32"/>
  <c r="AJ20" i="32"/>
  <c r="O27" i="32"/>
  <c r="AA27" i="32"/>
  <c r="AD20" i="32"/>
  <c r="D20" i="32"/>
  <c r="R27" i="32"/>
  <c r="L27" i="32"/>
  <c r="U26" i="32"/>
  <c r="R26" i="32"/>
  <c r="O20" i="32"/>
  <c r="AJ27" i="32"/>
  <c r="AG26" i="32"/>
  <c r="F20" i="32"/>
  <c r="X26" i="32"/>
  <c r="L20" i="32"/>
  <c r="D26" i="32"/>
  <c r="O26" i="32"/>
  <c r="R20" i="32"/>
  <c r="AI20" i="32" l="1"/>
  <c r="AF20" i="32"/>
  <c r="AC20" i="32"/>
  <c r="Z20" i="32"/>
  <c r="W20" i="32"/>
  <c r="T20" i="32"/>
  <c r="Q20" i="32"/>
  <c r="N20" i="32"/>
  <c r="K20" i="32"/>
  <c r="H20" i="32"/>
  <c r="AL20" i="32"/>
  <c r="AL26" i="32"/>
  <c r="N26" i="32"/>
  <c r="Q27" i="32"/>
  <c r="AI26" i="32"/>
  <c r="K26" i="32"/>
  <c r="AL27" i="32"/>
  <c r="AF26" i="32"/>
  <c r="H26" i="32"/>
  <c r="K27" i="32"/>
  <c r="AC26" i="32"/>
  <c r="W27" i="32"/>
  <c r="T27" i="32"/>
  <c r="AI27" i="32"/>
  <c r="AF27" i="32"/>
  <c r="H27" i="32"/>
  <c r="Z26" i="32"/>
  <c r="Q26" i="32"/>
  <c r="N27" i="32"/>
  <c r="AC27" i="32"/>
  <c r="W26" i="32"/>
  <c r="Z27" i="32"/>
  <c r="T26" i="32"/>
  <c r="D134" i="23"/>
  <c r="D67" i="23" l="1"/>
  <c r="D68" i="23"/>
  <c r="C195" i="28"/>
  <c r="D195" i="28"/>
  <c r="E195" i="28"/>
  <c r="S195" i="28"/>
  <c r="D280" i="1"/>
  <c r="E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C193" i="28"/>
  <c r="D193" i="28"/>
  <c r="E193" i="28"/>
  <c r="S193" i="28"/>
  <c r="D277" i="1"/>
  <c r="E277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D63" i="18"/>
  <c r="C44" i="28"/>
  <c r="D44" i="28"/>
  <c r="E44" i="28"/>
  <c r="H44" i="28"/>
  <c r="P44" i="28"/>
  <c r="S44" i="28"/>
  <c r="D54" i="1"/>
  <c r="E54" i="1"/>
  <c r="H54" i="1"/>
  <c r="I54" i="1"/>
  <c r="J54" i="1"/>
  <c r="K54" i="1"/>
  <c r="L54" i="1"/>
  <c r="M54" i="1"/>
  <c r="N54" i="1"/>
  <c r="O54" i="1"/>
  <c r="P54" i="1"/>
  <c r="Q54" i="1"/>
  <c r="R54" i="1"/>
  <c r="S54" i="1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F18" i="16"/>
  <c r="G18" i="16" s="1"/>
  <c r="F19" i="16"/>
  <c r="G19" i="16" s="1"/>
  <c r="F20" i="16"/>
  <c r="G20" i="16" s="1"/>
  <c r="F21" i="16"/>
  <c r="G21" i="16" s="1"/>
  <c r="F22" i="16"/>
  <c r="G22" i="16" s="1"/>
  <c r="F23" i="16"/>
  <c r="G23" i="16" s="1"/>
  <c r="F24" i="16"/>
  <c r="G24" i="16" s="1"/>
  <c r="F25" i="16"/>
  <c r="G25" i="16" s="1"/>
  <c r="F26" i="16"/>
  <c r="G26" i="16" s="1"/>
  <c r="F27" i="16"/>
  <c r="G27" i="16" s="1"/>
  <c r="F28" i="16"/>
  <c r="G28" i="16" s="1"/>
  <c r="F29" i="16"/>
  <c r="G29" i="16" s="1"/>
  <c r="F30" i="16"/>
  <c r="G30" i="16" s="1"/>
  <c r="F31" i="16"/>
  <c r="G31" i="16" s="1"/>
  <c r="F32" i="16"/>
  <c r="G32" i="16" s="1"/>
  <c r="F33" i="16"/>
  <c r="G33" i="16" s="1"/>
  <c r="F34" i="16"/>
  <c r="G34" i="16" s="1"/>
  <c r="F35" i="16"/>
  <c r="G35" i="16" s="1"/>
  <c r="F36" i="16"/>
  <c r="G36" i="16" s="1"/>
  <c r="F37" i="16"/>
  <c r="G37" i="16" s="1"/>
  <c r="F38" i="16"/>
  <c r="G38" i="16" s="1"/>
  <c r="F39" i="16"/>
  <c r="G39" i="16" s="1"/>
  <c r="F40" i="16"/>
  <c r="G40" i="16" s="1"/>
  <c r="F41" i="16"/>
  <c r="G41" i="16" s="1"/>
  <c r="F42" i="16"/>
  <c r="G42" i="16" s="1"/>
  <c r="F43" i="16"/>
  <c r="G43" i="16" s="1"/>
  <c r="F44" i="16"/>
  <c r="G44" i="16" s="1"/>
  <c r="F45" i="16"/>
  <c r="G45" i="16" s="1"/>
  <c r="F46" i="16"/>
  <c r="G46" i="16" s="1"/>
  <c r="F47" i="16"/>
  <c r="G47" i="16" s="1"/>
  <c r="F48" i="16"/>
  <c r="G48" i="16" s="1"/>
  <c r="F49" i="16"/>
  <c r="G49" i="16" s="1"/>
  <c r="F50" i="16"/>
  <c r="G50" i="16" s="1"/>
  <c r="F51" i="16"/>
  <c r="G51" i="16" s="1"/>
  <c r="F52" i="16"/>
  <c r="G52" i="16" s="1"/>
  <c r="F53" i="16"/>
  <c r="G53" i="16" s="1"/>
  <c r="F54" i="16"/>
  <c r="G54" i="16" s="1"/>
  <c r="F55" i="16"/>
  <c r="G55" i="16" s="1"/>
  <c r="F56" i="16"/>
  <c r="G56" i="16" s="1"/>
  <c r="F57" i="16"/>
  <c r="G57" i="16" s="1"/>
  <c r="F58" i="16"/>
  <c r="G58" i="16" s="1"/>
  <c r="F59" i="16"/>
  <c r="G59" i="16" s="1"/>
  <c r="F60" i="16"/>
  <c r="G60" i="16" s="1"/>
  <c r="F61" i="16"/>
  <c r="G61" i="16" s="1"/>
  <c r="F62" i="16"/>
  <c r="G62" i="16" s="1"/>
  <c r="F63" i="16"/>
  <c r="G63" i="16" s="1"/>
  <c r="F64" i="16"/>
  <c r="G64" i="16" s="1"/>
  <c r="F65" i="16"/>
  <c r="G65" i="16" s="1"/>
  <c r="F66" i="16"/>
  <c r="G66" i="16" s="1"/>
  <c r="F67" i="16"/>
  <c r="G67" i="16" s="1"/>
  <c r="F68" i="16"/>
  <c r="G68" i="16" s="1"/>
  <c r="F69" i="16"/>
  <c r="G69" i="16" s="1"/>
  <c r="F70" i="16"/>
  <c r="G70" i="16" s="1"/>
  <c r="F71" i="16"/>
  <c r="G71" i="16" s="1"/>
  <c r="F72" i="16"/>
  <c r="G72" i="16" s="1"/>
  <c r="F73" i="16"/>
  <c r="G73" i="16" s="1"/>
  <c r="F74" i="16"/>
  <c r="G74" i="16" s="1"/>
  <c r="F75" i="16"/>
  <c r="G75" i="16" s="1"/>
  <c r="F76" i="16"/>
  <c r="G76" i="16" s="1"/>
  <c r="F77" i="16"/>
  <c r="G77" i="16" s="1"/>
  <c r="F78" i="16"/>
  <c r="G78" i="16" s="1"/>
  <c r="F79" i="16"/>
  <c r="G79" i="16" s="1"/>
  <c r="F80" i="16"/>
  <c r="G80" i="16" s="1"/>
  <c r="F81" i="16"/>
  <c r="G81" i="16" s="1"/>
  <c r="F82" i="16"/>
  <c r="G82" i="16" s="1"/>
  <c r="F83" i="16"/>
  <c r="G83" i="16" s="1"/>
  <c r="F84" i="16"/>
  <c r="G84" i="16" s="1"/>
  <c r="F85" i="16"/>
  <c r="G85" i="16" s="1"/>
  <c r="F86" i="16"/>
  <c r="G86" i="16" s="1"/>
  <c r="F87" i="16"/>
  <c r="G87" i="16" s="1"/>
  <c r="F88" i="16"/>
  <c r="G88" i="16" s="1"/>
  <c r="F89" i="16"/>
  <c r="G89" i="16" s="1"/>
  <c r="F90" i="16"/>
  <c r="G90" i="16" s="1"/>
  <c r="F91" i="16"/>
  <c r="G91" i="16" s="1"/>
  <c r="F92" i="16"/>
  <c r="G92" i="16" s="1"/>
  <c r="F93" i="16"/>
  <c r="G93" i="16" s="1"/>
  <c r="F94" i="16"/>
  <c r="G94" i="16" s="1"/>
  <c r="F95" i="16"/>
  <c r="G95" i="16" s="1"/>
  <c r="F96" i="16"/>
  <c r="G96" i="16" s="1"/>
  <c r="F97" i="16"/>
  <c r="G97" i="16" s="1"/>
  <c r="F98" i="16"/>
  <c r="G98" i="16" s="1"/>
  <c r="F99" i="16"/>
  <c r="G99" i="16" s="1"/>
  <c r="F100" i="16"/>
  <c r="G100" i="16" s="1"/>
  <c r="F101" i="16"/>
  <c r="G101" i="16" s="1"/>
  <c r="F102" i="16"/>
  <c r="G102" i="16" s="1"/>
  <c r="F103" i="16"/>
  <c r="G103" i="16" s="1"/>
  <c r="F104" i="16"/>
  <c r="G104" i="16" s="1"/>
  <c r="F105" i="16"/>
  <c r="G105" i="16" s="1"/>
  <c r="F106" i="16"/>
  <c r="G106" i="16" s="1"/>
  <c r="F107" i="16"/>
  <c r="G107" i="16" s="1"/>
  <c r="F108" i="16"/>
  <c r="G108" i="16" s="1"/>
  <c r="F109" i="16"/>
  <c r="G109" i="16" s="1"/>
  <c r="F110" i="16"/>
  <c r="G110" i="16" s="1"/>
  <c r="F111" i="16"/>
  <c r="G111" i="16" s="1"/>
  <c r="F112" i="16"/>
  <c r="G112" i="16" s="1"/>
  <c r="F113" i="16"/>
  <c r="G113" i="16" s="1"/>
  <c r="F114" i="16"/>
  <c r="G114" i="16" s="1"/>
  <c r="F115" i="16"/>
  <c r="G115" i="16" s="1"/>
  <c r="F116" i="16"/>
  <c r="G116" i="16" s="1"/>
  <c r="F117" i="16"/>
  <c r="G117" i="16" s="1"/>
  <c r="F118" i="16"/>
  <c r="G118" i="16" s="1"/>
  <c r="F119" i="16"/>
  <c r="G119" i="16" s="1"/>
  <c r="F120" i="16"/>
  <c r="G120" i="16" s="1"/>
  <c r="F121" i="16"/>
  <c r="G121" i="16" s="1"/>
  <c r="F122" i="16"/>
  <c r="G122" i="16" s="1"/>
  <c r="F123" i="16"/>
  <c r="G123" i="16" s="1"/>
  <c r="F124" i="16"/>
  <c r="G124" i="16" s="1"/>
  <c r="F125" i="16"/>
  <c r="G125" i="16" s="1"/>
  <c r="F126" i="16"/>
  <c r="G126" i="16" s="1"/>
  <c r="F127" i="16"/>
  <c r="G127" i="16" s="1"/>
  <c r="F128" i="16"/>
  <c r="G128" i="16" s="1"/>
  <c r="F129" i="16"/>
  <c r="G129" i="16" s="1"/>
  <c r="F130" i="16"/>
  <c r="G130" i="16" s="1"/>
  <c r="F131" i="16"/>
  <c r="G131" i="16" s="1"/>
  <c r="F132" i="16"/>
  <c r="G132" i="16" s="1"/>
  <c r="F133" i="16"/>
  <c r="G133" i="16" s="1"/>
  <c r="F134" i="16"/>
  <c r="G134" i="16" s="1"/>
  <c r="F135" i="16"/>
  <c r="G135" i="16" s="1"/>
  <c r="F136" i="16"/>
  <c r="G136" i="16" s="1"/>
  <c r="F137" i="16"/>
  <c r="G137" i="16" s="1"/>
  <c r="F138" i="16"/>
  <c r="G138" i="16" s="1"/>
  <c r="F139" i="16"/>
  <c r="G139" i="16" s="1"/>
  <c r="F140" i="16"/>
  <c r="G140" i="16" s="1"/>
  <c r="F141" i="16"/>
  <c r="G141" i="16" s="1"/>
  <c r="F142" i="16"/>
  <c r="G142" i="16" s="1"/>
  <c r="F143" i="16"/>
  <c r="G143" i="16" s="1"/>
  <c r="F144" i="16"/>
  <c r="G144" i="16" s="1"/>
  <c r="F145" i="16"/>
  <c r="G145" i="16" s="1"/>
  <c r="F146" i="16"/>
  <c r="G146" i="16" s="1"/>
  <c r="F147" i="16"/>
  <c r="G147" i="16" s="1"/>
  <c r="F148" i="16"/>
  <c r="G148" i="16" s="1"/>
  <c r="F149" i="16"/>
  <c r="G149" i="16" s="1"/>
  <c r="F150" i="16"/>
  <c r="G150" i="16" s="1"/>
  <c r="F151" i="16"/>
  <c r="G151" i="16" s="1"/>
  <c r="F152" i="16"/>
  <c r="G152" i="16" s="1"/>
  <c r="F153" i="16"/>
  <c r="G153" i="16" s="1"/>
  <c r="F154" i="16"/>
  <c r="G154" i="16" s="1"/>
  <c r="F155" i="16"/>
  <c r="G155" i="16" s="1"/>
  <c r="F156" i="16"/>
  <c r="G156" i="16" s="1"/>
  <c r="F157" i="16"/>
  <c r="G157" i="16" s="1"/>
  <c r="F158" i="16"/>
  <c r="G158" i="16" s="1"/>
  <c r="F159" i="16"/>
  <c r="G159" i="16" s="1"/>
  <c r="F160" i="16"/>
  <c r="G160" i="16" s="1"/>
  <c r="F161" i="16"/>
  <c r="G161" i="16" s="1"/>
  <c r="F162" i="16"/>
  <c r="G162" i="16" s="1"/>
  <c r="F163" i="16"/>
  <c r="G163" i="16" s="1"/>
  <c r="F164" i="16"/>
  <c r="G164" i="16" s="1"/>
  <c r="F165" i="16"/>
  <c r="G165" i="16" s="1"/>
  <c r="F166" i="16"/>
  <c r="G166" i="16" s="1"/>
  <c r="F167" i="16"/>
  <c r="G167" i="16" s="1"/>
  <c r="F168" i="16"/>
  <c r="G168" i="16" s="1"/>
  <c r="F169" i="16"/>
  <c r="G169" i="16" s="1"/>
  <c r="F170" i="16"/>
  <c r="G170" i="16" s="1"/>
  <c r="F171" i="16"/>
  <c r="G171" i="16" s="1"/>
  <c r="F172" i="16"/>
  <c r="G172" i="16" s="1"/>
  <c r="F173" i="16"/>
  <c r="G173" i="16" s="1"/>
  <c r="F174" i="16"/>
  <c r="G174" i="16" s="1"/>
  <c r="F175" i="16"/>
  <c r="G175" i="16" s="1"/>
  <c r="F176" i="16"/>
  <c r="G176" i="16" s="1"/>
  <c r="F177" i="16"/>
  <c r="G177" i="16" s="1"/>
  <c r="F178" i="16"/>
  <c r="G178" i="16" s="1"/>
  <c r="F179" i="16"/>
  <c r="G179" i="16" s="1"/>
  <c r="F180" i="16"/>
  <c r="G180" i="16" s="1"/>
  <c r="F181" i="16"/>
  <c r="G181" i="16" s="1"/>
  <c r="F182" i="16"/>
  <c r="G182" i="16" s="1"/>
  <c r="F183" i="16"/>
  <c r="G183" i="16" s="1"/>
  <c r="F184" i="16"/>
  <c r="G184" i="16" s="1"/>
  <c r="F185" i="16"/>
  <c r="G185" i="16" s="1"/>
  <c r="F186" i="16"/>
  <c r="G186" i="16" s="1"/>
  <c r="F187" i="16"/>
  <c r="G187" i="16" s="1"/>
  <c r="F188" i="16"/>
  <c r="G188" i="16" s="1"/>
  <c r="F189" i="16"/>
  <c r="G189" i="16" s="1"/>
  <c r="F190" i="16"/>
  <c r="G190" i="16" s="1"/>
  <c r="F191" i="16"/>
  <c r="G191" i="16" s="1"/>
  <c r="F192" i="16"/>
  <c r="G192" i="16" s="1"/>
  <c r="F193" i="16"/>
  <c r="G193" i="16" s="1"/>
  <c r="F194" i="16"/>
  <c r="G194" i="16" s="1"/>
  <c r="F195" i="16"/>
  <c r="G195" i="16" s="1"/>
  <c r="F196" i="16"/>
  <c r="G196" i="16" s="1"/>
  <c r="F197" i="16"/>
  <c r="G197" i="16" s="1"/>
  <c r="F198" i="16"/>
  <c r="G198" i="16" s="1"/>
  <c r="F199" i="16"/>
  <c r="G199" i="16" s="1"/>
  <c r="F200" i="16"/>
  <c r="G200" i="16" s="1"/>
  <c r="F201" i="16"/>
  <c r="G201" i="16" s="1"/>
  <c r="F202" i="16"/>
  <c r="G202" i="16" s="1"/>
  <c r="F203" i="16"/>
  <c r="G203" i="16" s="1"/>
  <c r="F204" i="16"/>
  <c r="G204" i="16" s="1"/>
  <c r="R36" i="28"/>
  <c r="R37" i="28"/>
  <c r="R45" i="28"/>
  <c r="R48" i="28"/>
  <c r="R49" i="28"/>
  <c r="R50" i="28"/>
  <c r="R155" i="28"/>
  <c r="R176" i="28"/>
  <c r="R177" i="28"/>
  <c r="R247" i="28"/>
  <c r="R249" i="28"/>
  <c r="R251" i="28"/>
  <c r="R252" i="28"/>
  <c r="R253" i="28"/>
  <c r="R254" i="28"/>
  <c r="E194" i="8"/>
  <c r="F194" i="8"/>
  <c r="G194" i="8" s="1"/>
  <c r="J261" i="28"/>
  <c r="E198" i="9"/>
  <c r="F198" i="9"/>
  <c r="G198" i="9" s="1"/>
  <c r="K265" i="28"/>
  <c r="E198" i="10"/>
  <c r="F198" i="10"/>
  <c r="G198" i="10" s="1"/>
  <c r="E199" i="11"/>
  <c r="F199" i="11"/>
  <c r="G199" i="11" s="1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F18" i="15"/>
  <c r="G18" i="15" s="1"/>
  <c r="F19" i="15"/>
  <c r="G19" i="15" s="1"/>
  <c r="F20" i="15"/>
  <c r="G20" i="15" s="1"/>
  <c r="F21" i="15"/>
  <c r="G21" i="15" s="1"/>
  <c r="F22" i="15"/>
  <c r="G22" i="15" s="1"/>
  <c r="F23" i="15"/>
  <c r="G23" i="15" s="1"/>
  <c r="F24" i="15"/>
  <c r="G24" i="15" s="1"/>
  <c r="F25" i="15"/>
  <c r="G25" i="15" s="1"/>
  <c r="F26" i="15"/>
  <c r="G26" i="15" s="1"/>
  <c r="F27" i="15"/>
  <c r="G27" i="15" s="1"/>
  <c r="F28" i="15"/>
  <c r="G28" i="15" s="1"/>
  <c r="F29" i="15"/>
  <c r="G29" i="15" s="1"/>
  <c r="F30" i="15"/>
  <c r="G30" i="15" s="1"/>
  <c r="F31" i="15"/>
  <c r="G31" i="15" s="1"/>
  <c r="F32" i="15"/>
  <c r="G32" i="15" s="1"/>
  <c r="F33" i="15"/>
  <c r="G33" i="15" s="1"/>
  <c r="F34" i="15"/>
  <c r="G34" i="15" s="1"/>
  <c r="F35" i="15"/>
  <c r="G35" i="15" s="1"/>
  <c r="F36" i="15"/>
  <c r="G36" i="15" s="1"/>
  <c r="F37" i="15"/>
  <c r="G37" i="15" s="1"/>
  <c r="F38" i="15"/>
  <c r="G38" i="15" s="1"/>
  <c r="F39" i="15"/>
  <c r="G39" i="15" s="1"/>
  <c r="F40" i="15"/>
  <c r="G40" i="15" s="1"/>
  <c r="F41" i="15"/>
  <c r="G41" i="15" s="1"/>
  <c r="F42" i="15"/>
  <c r="G42" i="15" s="1"/>
  <c r="F43" i="15"/>
  <c r="G43" i="15" s="1"/>
  <c r="F44" i="15"/>
  <c r="G44" i="15" s="1"/>
  <c r="F45" i="15"/>
  <c r="G45" i="15" s="1"/>
  <c r="F46" i="15"/>
  <c r="G46" i="15" s="1"/>
  <c r="F47" i="15"/>
  <c r="G47" i="15" s="1"/>
  <c r="F48" i="15"/>
  <c r="G48" i="15" s="1"/>
  <c r="F49" i="15"/>
  <c r="G49" i="15" s="1"/>
  <c r="F50" i="15"/>
  <c r="G50" i="15" s="1"/>
  <c r="F51" i="15"/>
  <c r="G51" i="15" s="1"/>
  <c r="F52" i="15"/>
  <c r="G52" i="15" s="1"/>
  <c r="F53" i="15"/>
  <c r="G53" i="15" s="1"/>
  <c r="F54" i="15"/>
  <c r="G54" i="15" s="1"/>
  <c r="F55" i="15"/>
  <c r="G55" i="15" s="1"/>
  <c r="F56" i="15"/>
  <c r="G56" i="15" s="1"/>
  <c r="F57" i="15"/>
  <c r="G57" i="15" s="1"/>
  <c r="F58" i="15"/>
  <c r="G58" i="15" s="1"/>
  <c r="F59" i="15"/>
  <c r="G59" i="15" s="1"/>
  <c r="F60" i="15"/>
  <c r="G60" i="15" s="1"/>
  <c r="F61" i="15"/>
  <c r="G61" i="15" s="1"/>
  <c r="F62" i="15"/>
  <c r="G62" i="15" s="1"/>
  <c r="F63" i="15"/>
  <c r="G63" i="15" s="1"/>
  <c r="F64" i="15"/>
  <c r="G64" i="15" s="1"/>
  <c r="F65" i="15"/>
  <c r="G65" i="15" s="1"/>
  <c r="F66" i="15"/>
  <c r="G66" i="15" s="1"/>
  <c r="F67" i="15"/>
  <c r="G67" i="15" s="1"/>
  <c r="F68" i="15"/>
  <c r="G68" i="15" s="1"/>
  <c r="F69" i="15"/>
  <c r="G69" i="15" s="1"/>
  <c r="F70" i="15"/>
  <c r="G70" i="15" s="1"/>
  <c r="F71" i="15"/>
  <c r="G71" i="15" s="1"/>
  <c r="F72" i="15"/>
  <c r="G72" i="15" s="1"/>
  <c r="F73" i="15"/>
  <c r="G73" i="15" s="1"/>
  <c r="F74" i="15"/>
  <c r="G74" i="15" s="1"/>
  <c r="F75" i="15"/>
  <c r="G75" i="15" s="1"/>
  <c r="F76" i="15"/>
  <c r="G76" i="15" s="1"/>
  <c r="F77" i="15"/>
  <c r="G77" i="15" s="1"/>
  <c r="F78" i="15"/>
  <c r="G78" i="15" s="1"/>
  <c r="F79" i="15"/>
  <c r="G79" i="15" s="1"/>
  <c r="F80" i="15"/>
  <c r="G80" i="15" s="1"/>
  <c r="F81" i="15"/>
  <c r="G81" i="15" s="1"/>
  <c r="F82" i="15"/>
  <c r="G82" i="15" s="1"/>
  <c r="F83" i="15"/>
  <c r="G83" i="15" s="1"/>
  <c r="F84" i="15"/>
  <c r="G84" i="15" s="1"/>
  <c r="F85" i="15"/>
  <c r="G85" i="15" s="1"/>
  <c r="F86" i="15"/>
  <c r="G86" i="15" s="1"/>
  <c r="F87" i="15"/>
  <c r="G87" i="15" s="1"/>
  <c r="F88" i="15"/>
  <c r="G88" i="15" s="1"/>
  <c r="F89" i="15"/>
  <c r="G89" i="15" s="1"/>
  <c r="F90" i="15"/>
  <c r="G90" i="15" s="1"/>
  <c r="F91" i="15"/>
  <c r="G91" i="15" s="1"/>
  <c r="F92" i="15"/>
  <c r="G92" i="15" s="1"/>
  <c r="F93" i="15"/>
  <c r="G93" i="15" s="1"/>
  <c r="F94" i="15"/>
  <c r="G94" i="15" s="1"/>
  <c r="F95" i="15"/>
  <c r="G95" i="15" s="1"/>
  <c r="F96" i="15"/>
  <c r="G96" i="15" s="1"/>
  <c r="F97" i="15"/>
  <c r="G97" i="15" s="1"/>
  <c r="F98" i="15"/>
  <c r="G98" i="15" s="1"/>
  <c r="F99" i="15"/>
  <c r="G99" i="15" s="1"/>
  <c r="F100" i="15"/>
  <c r="G100" i="15" s="1"/>
  <c r="F101" i="15"/>
  <c r="G101" i="15" s="1"/>
  <c r="F102" i="15"/>
  <c r="G102" i="15" s="1"/>
  <c r="F103" i="15"/>
  <c r="G103" i="15" s="1"/>
  <c r="F104" i="15"/>
  <c r="G104" i="15" s="1"/>
  <c r="F105" i="15"/>
  <c r="G105" i="15" s="1"/>
  <c r="F106" i="15"/>
  <c r="G106" i="15" s="1"/>
  <c r="F107" i="15"/>
  <c r="G107" i="15" s="1"/>
  <c r="F108" i="15"/>
  <c r="G108" i="15" s="1"/>
  <c r="F109" i="15"/>
  <c r="G109" i="15" s="1"/>
  <c r="F110" i="15"/>
  <c r="G110" i="15" s="1"/>
  <c r="F111" i="15"/>
  <c r="G111" i="15" s="1"/>
  <c r="F112" i="15"/>
  <c r="G112" i="15" s="1"/>
  <c r="F113" i="15"/>
  <c r="G113" i="15" s="1"/>
  <c r="F114" i="15"/>
  <c r="G114" i="15" s="1"/>
  <c r="F115" i="15"/>
  <c r="G115" i="15" s="1"/>
  <c r="F116" i="15"/>
  <c r="G116" i="15" s="1"/>
  <c r="F117" i="15"/>
  <c r="G117" i="15" s="1"/>
  <c r="F118" i="15"/>
  <c r="G118" i="15" s="1"/>
  <c r="F119" i="15"/>
  <c r="G119" i="15" s="1"/>
  <c r="F120" i="15"/>
  <c r="G120" i="15" s="1"/>
  <c r="F121" i="15"/>
  <c r="G121" i="15" s="1"/>
  <c r="F122" i="15"/>
  <c r="G122" i="15" s="1"/>
  <c r="F123" i="15"/>
  <c r="G123" i="15" s="1"/>
  <c r="F124" i="15"/>
  <c r="G124" i="15" s="1"/>
  <c r="F125" i="15"/>
  <c r="G125" i="15" s="1"/>
  <c r="F126" i="15"/>
  <c r="G126" i="15" s="1"/>
  <c r="F127" i="15"/>
  <c r="G127" i="15" s="1"/>
  <c r="F128" i="15"/>
  <c r="G128" i="15" s="1"/>
  <c r="F129" i="15"/>
  <c r="G129" i="15" s="1"/>
  <c r="F130" i="15"/>
  <c r="G130" i="15" s="1"/>
  <c r="F131" i="15"/>
  <c r="G131" i="15" s="1"/>
  <c r="F132" i="15"/>
  <c r="G132" i="15" s="1"/>
  <c r="F133" i="15"/>
  <c r="G133" i="15" s="1"/>
  <c r="F134" i="15"/>
  <c r="G134" i="15" s="1"/>
  <c r="F135" i="15"/>
  <c r="G135" i="15" s="1"/>
  <c r="F136" i="15"/>
  <c r="G136" i="15" s="1"/>
  <c r="F137" i="15"/>
  <c r="G137" i="15" s="1"/>
  <c r="F138" i="15"/>
  <c r="G138" i="15" s="1"/>
  <c r="F139" i="15"/>
  <c r="G139" i="15" s="1"/>
  <c r="F140" i="15"/>
  <c r="G140" i="15" s="1"/>
  <c r="F141" i="15"/>
  <c r="G141" i="15" s="1"/>
  <c r="F142" i="15"/>
  <c r="G142" i="15" s="1"/>
  <c r="F143" i="15"/>
  <c r="G143" i="15" s="1"/>
  <c r="F144" i="15"/>
  <c r="G144" i="15" s="1"/>
  <c r="F145" i="15"/>
  <c r="G145" i="15" s="1"/>
  <c r="F146" i="15"/>
  <c r="G146" i="15" s="1"/>
  <c r="F147" i="15"/>
  <c r="G147" i="15" s="1"/>
  <c r="F148" i="15"/>
  <c r="G148" i="15" s="1"/>
  <c r="F149" i="15"/>
  <c r="G149" i="15" s="1"/>
  <c r="F150" i="15"/>
  <c r="G150" i="15" s="1"/>
  <c r="F151" i="15"/>
  <c r="G151" i="15" s="1"/>
  <c r="F152" i="15"/>
  <c r="G152" i="15" s="1"/>
  <c r="F153" i="15"/>
  <c r="G153" i="15" s="1"/>
  <c r="F154" i="15"/>
  <c r="G154" i="15" s="1"/>
  <c r="F155" i="15"/>
  <c r="G155" i="15" s="1"/>
  <c r="F156" i="15"/>
  <c r="G156" i="15" s="1"/>
  <c r="F157" i="15"/>
  <c r="G157" i="15" s="1"/>
  <c r="F158" i="15"/>
  <c r="G158" i="15" s="1"/>
  <c r="F159" i="15"/>
  <c r="G159" i="15" s="1"/>
  <c r="F160" i="15"/>
  <c r="G160" i="15" s="1"/>
  <c r="F161" i="15"/>
  <c r="G161" i="15" s="1"/>
  <c r="F162" i="15"/>
  <c r="G162" i="15" s="1"/>
  <c r="F163" i="15"/>
  <c r="G163" i="15" s="1"/>
  <c r="F164" i="15"/>
  <c r="G164" i="15" s="1"/>
  <c r="F165" i="15"/>
  <c r="G165" i="15" s="1"/>
  <c r="F166" i="15"/>
  <c r="G166" i="15" s="1"/>
  <c r="F167" i="15"/>
  <c r="G167" i="15" s="1"/>
  <c r="F168" i="15"/>
  <c r="G168" i="15" s="1"/>
  <c r="F169" i="15"/>
  <c r="G169" i="15" s="1"/>
  <c r="F170" i="15"/>
  <c r="G170" i="15" s="1"/>
  <c r="F171" i="15"/>
  <c r="G171" i="15" s="1"/>
  <c r="F172" i="15"/>
  <c r="G172" i="15" s="1"/>
  <c r="F173" i="15"/>
  <c r="G173" i="15" s="1"/>
  <c r="F174" i="15"/>
  <c r="G174" i="15" s="1"/>
  <c r="F175" i="15"/>
  <c r="G175" i="15" s="1"/>
  <c r="F176" i="15"/>
  <c r="G176" i="15" s="1"/>
  <c r="F177" i="15"/>
  <c r="G177" i="15" s="1"/>
  <c r="F178" i="15"/>
  <c r="G178" i="15" s="1"/>
  <c r="F179" i="15"/>
  <c r="G179" i="15" s="1"/>
  <c r="F180" i="15"/>
  <c r="G180" i="15" s="1"/>
  <c r="F181" i="15"/>
  <c r="G181" i="15" s="1"/>
  <c r="F182" i="15"/>
  <c r="G182" i="15" s="1"/>
  <c r="F183" i="15"/>
  <c r="G183" i="15" s="1"/>
  <c r="F184" i="15"/>
  <c r="G184" i="15" s="1"/>
  <c r="F185" i="15"/>
  <c r="G185" i="15" s="1"/>
  <c r="F186" i="15"/>
  <c r="G186" i="15" s="1"/>
  <c r="F187" i="15"/>
  <c r="G187" i="15" s="1"/>
  <c r="F188" i="15"/>
  <c r="G188" i="15" s="1"/>
  <c r="F189" i="15"/>
  <c r="G189" i="15" s="1"/>
  <c r="F190" i="15"/>
  <c r="G190" i="15" s="1"/>
  <c r="F191" i="15"/>
  <c r="G191" i="15" s="1"/>
  <c r="F192" i="15"/>
  <c r="G192" i="15" s="1"/>
  <c r="F193" i="15"/>
  <c r="G193" i="15" s="1"/>
  <c r="F194" i="15"/>
  <c r="G194" i="15" s="1"/>
  <c r="F195" i="15"/>
  <c r="G195" i="15" s="1"/>
  <c r="F196" i="15"/>
  <c r="G196" i="15" s="1"/>
  <c r="F197" i="15"/>
  <c r="G197" i="15" s="1"/>
  <c r="F198" i="15"/>
  <c r="G198" i="15" s="1"/>
  <c r="F199" i="15"/>
  <c r="G199" i="15" s="1"/>
  <c r="F200" i="15"/>
  <c r="G200" i="15" s="1"/>
  <c r="F201" i="15"/>
  <c r="G201" i="15" s="1"/>
  <c r="F202" i="15"/>
  <c r="G202" i="15" s="1"/>
  <c r="C109" i="28"/>
  <c r="D109" i="28"/>
  <c r="E109" i="28"/>
  <c r="S109" i="28"/>
  <c r="D148" i="1"/>
  <c r="E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169" i="14"/>
  <c r="E170" i="14"/>
  <c r="E171" i="14"/>
  <c r="E172" i="14"/>
  <c r="E173" i="14"/>
  <c r="E174" i="14"/>
  <c r="E175" i="14"/>
  <c r="E176" i="14"/>
  <c r="E177" i="14"/>
  <c r="E178" i="14"/>
  <c r="E179" i="14"/>
  <c r="E180" i="14"/>
  <c r="E181" i="14"/>
  <c r="E182" i="14"/>
  <c r="E183" i="14"/>
  <c r="E184" i="14"/>
  <c r="E185" i="14"/>
  <c r="E186" i="14"/>
  <c r="E187" i="14"/>
  <c r="E188" i="14"/>
  <c r="E189" i="14"/>
  <c r="E190" i="14"/>
  <c r="E191" i="14"/>
  <c r="E192" i="14"/>
  <c r="E193" i="14"/>
  <c r="E194" i="14"/>
  <c r="E195" i="14"/>
  <c r="E196" i="14"/>
  <c r="E197" i="14"/>
  <c r="E198" i="14"/>
  <c r="E199" i="14"/>
  <c r="E200" i="14"/>
  <c r="E201" i="14"/>
  <c r="F18" i="14"/>
  <c r="G18" i="14" s="1"/>
  <c r="F19" i="14"/>
  <c r="G19" i="14" s="1"/>
  <c r="F20" i="14"/>
  <c r="G20" i="14" s="1"/>
  <c r="F21" i="14"/>
  <c r="G21" i="14" s="1"/>
  <c r="F22" i="14"/>
  <c r="G22" i="14" s="1"/>
  <c r="F23" i="14"/>
  <c r="G23" i="14" s="1"/>
  <c r="F24" i="14"/>
  <c r="G24" i="14" s="1"/>
  <c r="F25" i="14"/>
  <c r="G25" i="14" s="1"/>
  <c r="F26" i="14"/>
  <c r="G26" i="14" s="1"/>
  <c r="F27" i="14"/>
  <c r="G27" i="14" s="1"/>
  <c r="F28" i="14"/>
  <c r="G28" i="14" s="1"/>
  <c r="F29" i="14"/>
  <c r="G29" i="14" s="1"/>
  <c r="F30" i="14"/>
  <c r="G30" i="14" s="1"/>
  <c r="F31" i="14"/>
  <c r="G31" i="14" s="1"/>
  <c r="F32" i="14"/>
  <c r="G32" i="14" s="1"/>
  <c r="F33" i="14"/>
  <c r="G33" i="14" s="1"/>
  <c r="F34" i="14"/>
  <c r="G34" i="14" s="1"/>
  <c r="F35" i="14"/>
  <c r="G35" i="14" s="1"/>
  <c r="F36" i="14"/>
  <c r="G36" i="14" s="1"/>
  <c r="F37" i="14"/>
  <c r="G37" i="14" s="1"/>
  <c r="F38" i="14"/>
  <c r="G38" i="14" s="1"/>
  <c r="F39" i="14"/>
  <c r="G39" i="14" s="1"/>
  <c r="F40" i="14"/>
  <c r="G40" i="14" s="1"/>
  <c r="F41" i="14"/>
  <c r="G41" i="14" s="1"/>
  <c r="F42" i="14"/>
  <c r="G42" i="14" s="1"/>
  <c r="F43" i="14"/>
  <c r="G43" i="14" s="1"/>
  <c r="F44" i="14"/>
  <c r="G44" i="14" s="1"/>
  <c r="F45" i="14"/>
  <c r="G45" i="14" s="1"/>
  <c r="F46" i="14"/>
  <c r="G46" i="14" s="1"/>
  <c r="F47" i="14"/>
  <c r="G47" i="14" s="1"/>
  <c r="F48" i="14"/>
  <c r="G48" i="14" s="1"/>
  <c r="F49" i="14"/>
  <c r="G49" i="14" s="1"/>
  <c r="F50" i="14"/>
  <c r="G50" i="14" s="1"/>
  <c r="F51" i="14"/>
  <c r="G51" i="14" s="1"/>
  <c r="F52" i="14"/>
  <c r="G52" i="14" s="1"/>
  <c r="F53" i="14"/>
  <c r="G53" i="14" s="1"/>
  <c r="F54" i="14"/>
  <c r="G54" i="14" s="1"/>
  <c r="F55" i="14"/>
  <c r="G55" i="14" s="1"/>
  <c r="F56" i="14"/>
  <c r="G56" i="14" s="1"/>
  <c r="F57" i="14"/>
  <c r="G57" i="14" s="1"/>
  <c r="F58" i="14"/>
  <c r="G58" i="14" s="1"/>
  <c r="F59" i="14"/>
  <c r="G59" i="14" s="1"/>
  <c r="F60" i="14"/>
  <c r="G60" i="14" s="1"/>
  <c r="F61" i="14"/>
  <c r="G61" i="14" s="1"/>
  <c r="F62" i="14"/>
  <c r="G62" i="14" s="1"/>
  <c r="F63" i="14"/>
  <c r="G63" i="14" s="1"/>
  <c r="F64" i="14"/>
  <c r="G64" i="14" s="1"/>
  <c r="F65" i="14"/>
  <c r="G65" i="14" s="1"/>
  <c r="F66" i="14"/>
  <c r="G66" i="14" s="1"/>
  <c r="F67" i="14"/>
  <c r="G67" i="14" s="1"/>
  <c r="F68" i="14"/>
  <c r="G68" i="14" s="1"/>
  <c r="F69" i="14"/>
  <c r="G69" i="14" s="1"/>
  <c r="F70" i="14"/>
  <c r="G70" i="14" s="1"/>
  <c r="F71" i="14"/>
  <c r="G71" i="14" s="1"/>
  <c r="F72" i="14"/>
  <c r="G72" i="14" s="1"/>
  <c r="F73" i="14"/>
  <c r="G73" i="14" s="1"/>
  <c r="F74" i="14"/>
  <c r="G74" i="14" s="1"/>
  <c r="F75" i="14"/>
  <c r="G75" i="14" s="1"/>
  <c r="F76" i="14"/>
  <c r="G76" i="14" s="1"/>
  <c r="F77" i="14"/>
  <c r="G77" i="14" s="1"/>
  <c r="F78" i="14"/>
  <c r="G78" i="14" s="1"/>
  <c r="F79" i="14"/>
  <c r="G79" i="14" s="1"/>
  <c r="F80" i="14"/>
  <c r="G80" i="14" s="1"/>
  <c r="F81" i="14"/>
  <c r="G81" i="14" s="1"/>
  <c r="F82" i="14"/>
  <c r="G82" i="14" s="1"/>
  <c r="F83" i="14"/>
  <c r="G83" i="14" s="1"/>
  <c r="F84" i="14"/>
  <c r="G84" i="14" s="1"/>
  <c r="F85" i="14"/>
  <c r="G85" i="14" s="1"/>
  <c r="F86" i="14"/>
  <c r="G86" i="14" s="1"/>
  <c r="F87" i="14"/>
  <c r="G87" i="14" s="1"/>
  <c r="F88" i="14"/>
  <c r="G88" i="14" s="1"/>
  <c r="F89" i="14"/>
  <c r="G89" i="14" s="1"/>
  <c r="F90" i="14"/>
  <c r="G90" i="14" s="1"/>
  <c r="F91" i="14"/>
  <c r="G91" i="14" s="1"/>
  <c r="F92" i="14"/>
  <c r="G92" i="14" s="1"/>
  <c r="F93" i="14"/>
  <c r="G93" i="14" s="1"/>
  <c r="F94" i="14"/>
  <c r="G94" i="14" s="1"/>
  <c r="F95" i="14"/>
  <c r="G95" i="14" s="1"/>
  <c r="F96" i="14"/>
  <c r="G96" i="14" s="1"/>
  <c r="F97" i="14"/>
  <c r="G97" i="14" s="1"/>
  <c r="F98" i="14"/>
  <c r="G98" i="14" s="1"/>
  <c r="F99" i="14"/>
  <c r="G99" i="14" s="1"/>
  <c r="F100" i="14"/>
  <c r="G100" i="14" s="1"/>
  <c r="F101" i="14"/>
  <c r="G101" i="14" s="1"/>
  <c r="F102" i="14"/>
  <c r="G102" i="14" s="1"/>
  <c r="F103" i="14"/>
  <c r="G103" i="14" s="1"/>
  <c r="F104" i="14"/>
  <c r="G104" i="14" s="1"/>
  <c r="F105" i="14"/>
  <c r="G105" i="14" s="1"/>
  <c r="F106" i="14"/>
  <c r="G106" i="14" s="1"/>
  <c r="F107" i="14"/>
  <c r="G107" i="14" s="1"/>
  <c r="F108" i="14"/>
  <c r="G108" i="14" s="1"/>
  <c r="F109" i="14"/>
  <c r="G109" i="14" s="1"/>
  <c r="F110" i="14"/>
  <c r="G110" i="14" s="1"/>
  <c r="F111" i="14"/>
  <c r="G111" i="14" s="1"/>
  <c r="F112" i="14"/>
  <c r="G112" i="14" s="1"/>
  <c r="F113" i="14"/>
  <c r="G113" i="14" s="1"/>
  <c r="F114" i="14"/>
  <c r="G114" i="14" s="1"/>
  <c r="F115" i="14"/>
  <c r="G115" i="14" s="1"/>
  <c r="F116" i="14"/>
  <c r="G116" i="14" s="1"/>
  <c r="F117" i="14"/>
  <c r="G117" i="14" s="1"/>
  <c r="F118" i="14"/>
  <c r="G118" i="14" s="1"/>
  <c r="F119" i="14"/>
  <c r="G119" i="14" s="1"/>
  <c r="F120" i="14"/>
  <c r="G120" i="14" s="1"/>
  <c r="F121" i="14"/>
  <c r="G121" i="14" s="1"/>
  <c r="F122" i="14"/>
  <c r="G122" i="14" s="1"/>
  <c r="F123" i="14"/>
  <c r="G123" i="14" s="1"/>
  <c r="F124" i="14"/>
  <c r="G124" i="14" s="1"/>
  <c r="F125" i="14"/>
  <c r="G125" i="14" s="1"/>
  <c r="F126" i="14"/>
  <c r="G126" i="14" s="1"/>
  <c r="F127" i="14"/>
  <c r="G127" i="14" s="1"/>
  <c r="F128" i="14"/>
  <c r="G128" i="14" s="1"/>
  <c r="F129" i="14"/>
  <c r="G129" i="14" s="1"/>
  <c r="F130" i="14"/>
  <c r="G130" i="14" s="1"/>
  <c r="F131" i="14"/>
  <c r="G131" i="14" s="1"/>
  <c r="F132" i="14"/>
  <c r="G132" i="14" s="1"/>
  <c r="F133" i="14"/>
  <c r="G133" i="14" s="1"/>
  <c r="F134" i="14"/>
  <c r="G134" i="14" s="1"/>
  <c r="F135" i="14"/>
  <c r="G135" i="14" s="1"/>
  <c r="F136" i="14"/>
  <c r="G136" i="14" s="1"/>
  <c r="F137" i="14"/>
  <c r="G137" i="14" s="1"/>
  <c r="F138" i="14"/>
  <c r="G138" i="14" s="1"/>
  <c r="F139" i="14"/>
  <c r="G139" i="14" s="1"/>
  <c r="F140" i="14"/>
  <c r="G140" i="14" s="1"/>
  <c r="F141" i="14"/>
  <c r="G141" i="14" s="1"/>
  <c r="F142" i="14"/>
  <c r="G142" i="14" s="1"/>
  <c r="F143" i="14"/>
  <c r="G143" i="14" s="1"/>
  <c r="F144" i="14"/>
  <c r="G144" i="14" s="1"/>
  <c r="F145" i="14"/>
  <c r="G145" i="14" s="1"/>
  <c r="F146" i="14"/>
  <c r="G146" i="14" s="1"/>
  <c r="F147" i="14"/>
  <c r="G147" i="14" s="1"/>
  <c r="F148" i="14"/>
  <c r="G148" i="14" s="1"/>
  <c r="F149" i="14"/>
  <c r="G149" i="14" s="1"/>
  <c r="F150" i="14"/>
  <c r="G150" i="14" s="1"/>
  <c r="F151" i="14"/>
  <c r="G151" i="14" s="1"/>
  <c r="F152" i="14"/>
  <c r="G152" i="14" s="1"/>
  <c r="F153" i="14"/>
  <c r="G153" i="14" s="1"/>
  <c r="F154" i="14"/>
  <c r="G154" i="14" s="1"/>
  <c r="F155" i="14"/>
  <c r="G155" i="14" s="1"/>
  <c r="F156" i="14"/>
  <c r="G156" i="14" s="1"/>
  <c r="F157" i="14"/>
  <c r="G157" i="14" s="1"/>
  <c r="F158" i="14"/>
  <c r="G158" i="14" s="1"/>
  <c r="F159" i="14"/>
  <c r="G159" i="14" s="1"/>
  <c r="F160" i="14"/>
  <c r="G160" i="14" s="1"/>
  <c r="F161" i="14"/>
  <c r="G161" i="14" s="1"/>
  <c r="F162" i="14"/>
  <c r="G162" i="14" s="1"/>
  <c r="F163" i="14"/>
  <c r="G163" i="14" s="1"/>
  <c r="F164" i="14"/>
  <c r="G164" i="14" s="1"/>
  <c r="F165" i="14"/>
  <c r="G165" i="14" s="1"/>
  <c r="F166" i="14"/>
  <c r="G166" i="14" s="1"/>
  <c r="F167" i="14"/>
  <c r="G167" i="14" s="1"/>
  <c r="F168" i="14"/>
  <c r="G168" i="14" s="1"/>
  <c r="F169" i="14"/>
  <c r="G169" i="14" s="1"/>
  <c r="F170" i="14"/>
  <c r="G170" i="14" s="1"/>
  <c r="F171" i="14"/>
  <c r="G171" i="14" s="1"/>
  <c r="F172" i="14"/>
  <c r="G172" i="14" s="1"/>
  <c r="F173" i="14"/>
  <c r="G173" i="14" s="1"/>
  <c r="F174" i="14"/>
  <c r="G174" i="14" s="1"/>
  <c r="F175" i="14"/>
  <c r="G175" i="14" s="1"/>
  <c r="F176" i="14"/>
  <c r="G176" i="14" s="1"/>
  <c r="F177" i="14"/>
  <c r="G177" i="14" s="1"/>
  <c r="F178" i="14"/>
  <c r="G178" i="14" s="1"/>
  <c r="F179" i="14"/>
  <c r="G179" i="14" s="1"/>
  <c r="F180" i="14"/>
  <c r="G180" i="14" s="1"/>
  <c r="F181" i="14"/>
  <c r="G181" i="14" s="1"/>
  <c r="F182" i="14"/>
  <c r="G182" i="14" s="1"/>
  <c r="F183" i="14"/>
  <c r="G183" i="14" s="1"/>
  <c r="F184" i="14"/>
  <c r="G184" i="14" s="1"/>
  <c r="F185" i="14"/>
  <c r="G185" i="14" s="1"/>
  <c r="F186" i="14"/>
  <c r="G186" i="14" s="1"/>
  <c r="F187" i="14"/>
  <c r="G187" i="14" s="1"/>
  <c r="F188" i="14"/>
  <c r="G188" i="14" s="1"/>
  <c r="F189" i="14"/>
  <c r="G189" i="14" s="1"/>
  <c r="F190" i="14"/>
  <c r="G190" i="14" s="1"/>
  <c r="F191" i="14"/>
  <c r="G191" i="14" s="1"/>
  <c r="F192" i="14"/>
  <c r="G192" i="14" s="1"/>
  <c r="F193" i="14"/>
  <c r="G193" i="14" s="1"/>
  <c r="F194" i="14"/>
  <c r="G194" i="14" s="1"/>
  <c r="F195" i="14"/>
  <c r="G195" i="14" s="1"/>
  <c r="F196" i="14"/>
  <c r="G196" i="14" s="1"/>
  <c r="F197" i="14"/>
  <c r="G197" i="14" s="1"/>
  <c r="F198" i="14"/>
  <c r="G198" i="14" s="1"/>
  <c r="F199" i="14"/>
  <c r="G199" i="14" s="1"/>
  <c r="F200" i="14"/>
  <c r="G200" i="14" s="1"/>
  <c r="F201" i="14"/>
  <c r="G201" i="14" s="1"/>
  <c r="P207" i="28"/>
  <c r="P246" i="28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F18" i="13"/>
  <c r="G18" i="13" s="1"/>
  <c r="F19" i="13"/>
  <c r="G19" i="13" s="1"/>
  <c r="F20" i="13"/>
  <c r="G20" i="13" s="1"/>
  <c r="F21" i="13"/>
  <c r="G21" i="13" s="1"/>
  <c r="F22" i="13"/>
  <c r="G22" i="13" s="1"/>
  <c r="F23" i="13"/>
  <c r="G23" i="13" s="1"/>
  <c r="F24" i="13"/>
  <c r="G24" i="13" s="1"/>
  <c r="F25" i="13"/>
  <c r="G25" i="13" s="1"/>
  <c r="F26" i="13"/>
  <c r="G26" i="13" s="1"/>
  <c r="F27" i="13"/>
  <c r="G27" i="13" s="1"/>
  <c r="F28" i="13"/>
  <c r="G28" i="13" s="1"/>
  <c r="F29" i="13"/>
  <c r="G29" i="13" s="1"/>
  <c r="F30" i="13"/>
  <c r="G30" i="13" s="1"/>
  <c r="F31" i="13"/>
  <c r="G31" i="13" s="1"/>
  <c r="F32" i="13"/>
  <c r="G32" i="13" s="1"/>
  <c r="F33" i="13"/>
  <c r="G33" i="13" s="1"/>
  <c r="F34" i="13"/>
  <c r="G34" i="13" s="1"/>
  <c r="F35" i="13"/>
  <c r="G35" i="13" s="1"/>
  <c r="F36" i="13"/>
  <c r="G36" i="13" s="1"/>
  <c r="F37" i="13"/>
  <c r="G37" i="13" s="1"/>
  <c r="F38" i="13"/>
  <c r="G38" i="13" s="1"/>
  <c r="F39" i="13"/>
  <c r="G39" i="13" s="1"/>
  <c r="F40" i="13"/>
  <c r="G40" i="13" s="1"/>
  <c r="F41" i="13"/>
  <c r="G41" i="13" s="1"/>
  <c r="F42" i="13"/>
  <c r="G42" i="13" s="1"/>
  <c r="F43" i="13"/>
  <c r="G43" i="13" s="1"/>
  <c r="F44" i="13"/>
  <c r="G44" i="13" s="1"/>
  <c r="F45" i="13"/>
  <c r="G45" i="13" s="1"/>
  <c r="F46" i="13"/>
  <c r="G46" i="13" s="1"/>
  <c r="F47" i="13"/>
  <c r="G47" i="13" s="1"/>
  <c r="F48" i="13"/>
  <c r="G48" i="13" s="1"/>
  <c r="F49" i="13"/>
  <c r="G49" i="13" s="1"/>
  <c r="F50" i="13"/>
  <c r="G50" i="13" s="1"/>
  <c r="F51" i="13"/>
  <c r="G51" i="13" s="1"/>
  <c r="F52" i="13"/>
  <c r="G52" i="13" s="1"/>
  <c r="F53" i="13"/>
  <c r="G53" i="13" s="1"/>
  <c r="F54" i="13"/>
  <c r="G54" i="13" s="1"/>
  <c r="F55" i="13"/>
  <c r="G55" i="13" s="1"/>
  <c r="F56" i="13"/>
  <c r="G56" i="13" s="1"/>
  <c r="F57" i="13"/>
  <c r="G57" i="13" s="1"/>
  <c r="F58" i="13"/>
  <c r="G58" i="13" s="1"/>
  <c r="F59" i="13"/>
  <c r="G59" i="13" s="1"/>
  <c r="F60" i="13"/>
  <c r="G60" i="13" s="1"/>
  <c r="F61" i="13"/>
  <c r="G61" i="13" s="1"/>
  <c r="F62" i="13"/>
  <c r="G62" i="13" s="1"/>
  <c r="F63" i="13"/>
  <c r="G63" i="13" s="1"/>
  <c r="F64" i="13"/>
  <c r="G64" i="13" s="1"/>
  <c r="F65" i="13"/>
  <c r="G65" i="13" s="1"/>
  <c r="F66" i="13"/>
  <c r="G66" i="13" s="1"/>
  <c r="F67" i="13"/>
  <c r="G67" i="13" s="1"/>
  <c r="F68" i="13"/>
  <c r="G68" i="13" s="1"/>
  <c r="F69" i="13"/>
  <c r="G69" i="13" s="1"/>
  <c r="F70" i="13"/>
  <c r="G70" i="13" s="1"/>
  <c r="F71" i="13"/>
  <c r="G71" i="13" s="1"/>
  <c r="F72" i="13"/>
  <c r="G72" i="13" s="1"/>
  <c r="F73" i="13"/>
  <c r="G73" i="13" s="1"/>
  <c r="F74" i="13"/>
  <c r="G74" i="13" s="1"/>
  <c r="F75" i="13"/>
  <c r="G75" i="13" s="1"/>
  <c r="F76" i="13"/>
  <c r="G76" i="13" s="1"/>
  <c r="F77" i="13"/>
  <c r="G77" i="13" s="1"/>
  <c r="F78" i="13"/>
  <c r="G78" i="13" s="1"/>
  <c r="F79" i="13"/>
  <c r="G79" i="13" s="1"/>
  <c r="F80" i="13"/>
  <c r="G80" i="13" s="1"/>
  <c r="F81" i="13"/>
  <c r="G81" i="13" s="1"/>
  <c r="F82" i="13"/>
  <c r="G82" i="13" s="1"/>
  <c r="F83" i="13"/>
  <c r="G83" i="13" s="1"/>
  <c r="F84" i="13"/>
  <c r="G84" i="13" s="1"/>
  <c r="F85" i="13"/>
  <c r="G85" i="13" s="1"/>
  <c r="F86" i="13"/>
  <c r="G86" i="13" s="1"/>
  <c r="F87" i="13"/>
  <c r="G87" i="13" s="1"/>
  <c r="F88" i="13"/>
  <c r="G88" i="13" s="1"/>
  <c r="F89" i="13"/>
  <c r="G89" i="13" s="1"/>
  <c r="F90" i="13"/>
  <c r="G90" i="13" s="1"/>
  <c r="F91" i="13"/>
  <c r="G91" i="13" s="1"/>
  <c r="F92" i="13"/>
  <c r="G92" i="13" s="1"/>
  <c r="F93" i="13"/>
  <c r="G93" i="13" s="1"/>
  <c r="F94" i="13"/>
  <c r="G94" i="13" s="1"/>
  <c r="F95" i="13"/>
  <c r="G95" i="13" s="1"/>
  <c r="F96" i="13"/>
  <c r="G96" i="13" s="1"/>
  <c r="F97" i="13"/>
  <c r="G97" i="13" s="1"/>
  <c r="F98" i="13"/>
  <c r="G98" i="13" s="1"/>
  <c r="F99" i="13"/>
  <c r="G99" i="13" s="1"/>
  <c r="F100" i="13"/>
  <c r="G100" i="13" s="1"/>
  <c r="F101" i="13"/>
  <c r="G101" i="13" s="1"/>
  <c r="F102" i="13"/>
  <c r="G102" i="13" s="1"/>
  <c r="F103" i="13"/>
  <c r="G103" i="13" s="1"/>
  <c r="F104" i="13"/>
  <c r="G104" i="13" s="1"/>
  <c r="F105" i="13"/>
  <c r="G105" i="13" s="1"/>
  <c r="F106" i="13"/>
  <c r="G106" i="13" s="1"/>
  <c r="F107" i="13"/>
  <c r="G107" i="13" s="1"/>
  <c r="F108" i="13"/>
  <c r="G108" i="13" s="1"/>
  <c r="F109" i="13"/>
  <c r="G109" i="13" s="1"/>
  <c r="F110" i="13"/>
  <c r="G110" i="13" s="1"/>
  <c r="F111" i="13"/>
  <c r="G111" i="13" s="1"/>
  <c r="F112" i="13"/>
  <c r="G112" i="13" s="1"/>
  <c r="F113" i="13"/>
  <c r="G113" i="13" s="1"/>
  <c r="F114" i="13"/>
  <c r="G114" i="13" s="1"/>
  <c r="F115" i="13"/>
  <c r="G115" i="13" s="1"/>
  <c r="F116" i="13"/>
  <c r="G116" i="13" s="1"/>
  <c r="F117" i="13"/>
  <c r="G117" i="13" s="1"/>
  <c r="F118" i="13"/>
  <c r="G118" i="13" s="1"/>
  <c r="F119" i="13"/>
  <c r="G119" i="13" s="1"/>
  <c r="F120" i="13"/>
  <c r="G120" i="13" s="1"/>
  <c r="F121" i="13"/>
  <c r="G121" i="13" s="1"/>
  <c r="F122" i="13"/>
  <c r="G122" i="13" s="1"/>
  <c r="F123" i="13"/>
  <c r="G123" i="13" s="1"/>
  <c r="F124" i="13"/>
  <c r="G124" i="13" s="1"/>
  <c r="F125" i="13"/>
  <c r="G125" i="13" s="1"/>
  <c r="F126" i="13"/>
  <c r="G126" i="13" s="1"/>
  <c r="F127" i="13"/>
  <c r="G127" i="13" s="1"/>
  <c r="F128" i="13"/>
  <c r="G128" i="13" s="1"/>
  <c r="F129" i="13"/>
  <c r="G129" i="13" s="1"/>
  <c r="F130" i="13"/>
  <c r="G130" i="13" s="1"/>
  <c r="F131" i="13"/>
  <c r="G131" i="13" s="1"/>
  <c r="F132" i="13"/>
  <c r="G132" i="13" s="1"/>
  <c r="F133" i="13"/>
  <c r="G133" i="13" s="1"/>
  <c r="F134" i="13"/>
  <c r="G134" i="13" s="1"/>
  <c r="F135" i="13"/>
  <c r="G135" i="13" s="1"/>
  <c r="F136" i="13"/>
  <c r="G136" i="13" s="1"/>
  <c r="F137" i="13"/>
  <c r="G137" i="13" s="1"/>
  <c r="F138" i="13"/>
  <c r="G138" i="13" s="1"/>
  <c r="F139" i="13"/>
  <c r="G139" i="13" s="1"/>
  <c r="F140" i="13"/>
  <c r="G140" i="13" s="1"/>
  <c r="F141" i="13"/>
  <c r="G141" i="13" s="1"/>
  <c r="F142" i="13"/>
  <c r="G142" i="13" s="1"/>
  <c r="F143" i="13"/>
  <c r="G143" i="13" s="1"/>
  <c r="F144" i="13"/>
  <c r="G144" i="13" s="1"/>
  <c r="F145" i="13"/>
  <c r="G145" i="13" s="1"/>
  <c r="F146" i="13"/>
  <c r="G146" i="13" s="1"/>
  <c r="F147" i="13"/>
  <c r="G147" i="13" s="1"/>
  <c r="F148" i="13"/>
  <c r="G148" i="13" s="1"/>
  <c r="F149" i="13"/>
  <c r="G149" i="13" s="1"/>
  <c r="F150" i="13"/>
  <c r="G150" i="13" s="1"/>
  <c r="F151" i="13"/>
  <c r="G151" i="13" s="1"/>
  <c r="F152" i="13"/>
  <c r="G152" i="13" s="1"/>
  <c r="F153" i="13"/>
  <c r="G153" i="13" s="1"/>
  <c r="F154" i="13"/>
  <c r="G154" i="13" s="1"/>
  <c r="F155" i="13"/>
  <c r="G155" i="13" s="1"/>
  <c r="F156" i="13"/>
  <c r="G156" i="13" s="1"/>
  <c r="F157" i="13"/>
  <c r="G157" i="13" s="1"/>
  <c r="F158" i="13"/>
  <c r="G158" i="13" s="1"/>
  <c r="F159" i="13"/>
  <c r="G159" i="13" s="1"/>
  <c r="F160" i="13"/>
  <c r="G160" i="13" s="1"/>
  <c r="F161" i="13"/>
  <c r="G161" i="13" s="1"/>
  <c r="F162" i="13"/>
  <c r="G162" i="13" s="1"/>
  <c r="F163" i="13"/>
  <c r="G163" i="13" s="1"/>
  <c r="F164" i="13"/>
  <c r="G164" i="13" s="1"/>
  <c r="F165" i="13"/>
  <c r="G165" i="13" s="1"/>
  <c r="F166" i="13"/>
  <c r="G166" i="13" s="1"/>
  <c r="F167" i="13"/>
  <c r="G167" i="13" s="1"/>
  <c r="F168" i="13"/>
  <c r="G168" i="13" s="1"/>
  <c r="F169" i="13"/>
  <c r="G169" i="13" s="1"/>
  <c r="F170" i="13"/>
  <c r="G170" i="13" s="1"/>
  <c r="F171" i="13"/>
  <c r="G171" i="13" s="1"/>
  <c r="F172" i="13"/>
  <c r="G172" i="13" s="1"/>
  <c r="F173" i="13"/>
  <c r="G173" i="13" s="1"/>
  <c r="F174" i="13"/>
  <c r="G174" i="13" s="1"/>
  <c r="F175" i="13"/>
  <c r="G175" i="13" s="1"/>
  <c r="F176" i="13"/>
  <c r="G176" i="13" s="1"/>
  <c r="F177" i="13"/>
  <c r="G177" i="13" s="1"/>
  <c r="F178" i="13"/>
  <c r="G178" i="13" s="1"/>
  <c r="F179" i="13"/>
  <c r="G179" i="13" s="1"/>
  <c r="F180" i="13"/>
  <c r="G180" i="13" s="1"/>
  <c r="F181" i="13"/>
  <c r="G181" i="13" s="1"/>
  <c r="F182" i="13"/>
  <c r="G182" i="13" s="1"/>
  <c r="F183" i="13"/>
  <c r="G183" i="13" s="1"/>
  <c r="F184" i="13"/>
  <c r="G184" i="13" s="1"/>
  <c r="F185" i="13"/>
  <c r="G185" i="13" s="1"/>
  <c r="F186" i="13"/>
  <c r="G186" i="13" s="1"/>
  <c r="F187" i="13"/>
  <c r="G187" i="13" s="1"/>
  <c r="F188" i="13"/>
  <c r="G188" i="13" s="1"/>
  <c r="F189" i="13"/>
  <c r="G189" i="13" s="1"/>
  <c r="F190" i="13"/>
  <c r="G190" i="13" s="1"/>
  <c r="F191" i="13"/>
  <c r="G191" i="13" s="1"/>
  <c r="F192" i="13"/>
  <c r="G192" i="13" s="1"/>
  <c r="F193" i="13"/>
  <c r="G193" i="13" s="1"/>
  <c r="F194" i="13"/>
  <c r="G194" i="13" s="1"/>
  <c r="F195" i="13"/>
  <c r="G195" i="13" s="1"/>
  <c r="F196" i="13"/>
  <c r="G196" i="13" s="1"/>
  <c r="F197" i="13"/>
  <c r="G197" i="13" s="1"/>
  <c r="F198" i="13"/>
  <c r="G198" i="13" s="1"/>
  <c r="F199" i="13"/>
  <c r="G199" i="13" s="1"/>
  <c r="F200" i="13"/>
  <c r="G200" i="13" s="1"/>
  <c r="O47" i="28"/>
  <c r="O48" i="28"/>
  <c r="O49" i="28"/>
  <c r="O50" i="28"/>
  <c r="O155" i="28"/>
  <c r="O176" i="28"/>
  <c r="O177" i="28"/>
  <c r="O249" i="28"/>
  <c r="O252" i="28"/>
  <c r="O253" i="28"/>
  <c r="C223" i="28"/>
  <c r="C224" i="28"/>
  <c r="D223" i="28"/>
  <c r="D224" i="28"/>
  <c r="E223" i="28"/>
  <c r="E224" i="28"/>
  <c r="S223" i="28"/>
  <c r="S224" i="28"/>
  <c r="D243" i="1"/>
  <c r="D217" i="14" s="1"/>
  <c r="E243" i="1"/>
  <c r="C217" i="14" s="1"/>
  <c r="H243" i="1"/>
  <c r="I243" i="1"/>
  <c r="J243" i="1"/>
  <c r="K243" i="1"/>
  <c r="L243" i="1"/>
  <c r="M243" i="1"/>
  <c r="N243" i="1"/>
  <c r="O243" i="1"/>
  <c r="P243" i="1"/>
  <c r="Q243" i="1"/>
  <c r="R243" i="1"/>
  <c r="S243" i="1"/>
  <c r="D244" i="1"/>
  <c r="E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E199" i="12"/>
  <c r="E200" i="12"/>
  <c r="F199" i="12"/>
  <c r="G199" i="12" s="1"/>
  <c r="F200" i="12"/>
  <c r="G200" i="12" s="1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F18" i="12"/>
  <c r="G18" i="12" s="1"/>
  <c r="F19" i="12"/>
  <c r="G19" i="12" s="1"/>
  <c r="F20" i="12"/>
  <c r="G20" i="12" s="1"/>
  <c r="F21" i="12"/>
  <c r="G21" i="12" s="1"/>
  <c r="F22" i="12"/>
  <c r="G22" i="12" s="1"/>
  <c r="F23" i="12"/>
  <c r="G23" i="12" s="1"/>
  <c r="F24" i="12"/>
  <c r="G24" i="12" s="1"/>
  <c r="F25" i="12"/>
  <c r="G25" i="12" s="1"/>
  <c r="F26" i="12"/>
  <c r="G26" i="12" s="1"/>
  <c r="F27" i="12"/>
  <c r="G27" i="12" s="1"/>
  <c r="F28" i="12"/>
  <c r="G28" i="12" s="1"/>
  <c r="F29" i="12"/>
  <c r="G29" i="12" s="1"/>
  <c r="F30" i="12"/>
  <c r="G30" i="12" s="1"/>
  <c r="F31" i="12"/>
  <c r="F32" i="12"/>
  <c r="G32" i="12" s="1"/>
  <c r="F33" i="12"/>
  <c r="G33" i="12" s="1"/>
  <c r="F34" i="12"/>
  <c r="G34" i="12" s="1"/>
  <c r="F35" i="12"/>
  <c r="G35" i="12" s="1"/>
  <c r="F36" i="12"/>
  <c r="G36" i="12" s="1"/>
  <c r="F37" i="12"/>
  <c r="G37" i="12" s="1"/>
  <c r="F38" i="12"/>
  <c r="G38" i="12" s="1"/>
  <c r="F39" i="12"/>
  <c r="G39" i="12" s="1"/>
  <c r="F40" i="12"/>
  <c r="G40" i="12" s="1"/>
  <c r="F41" i="12"/>
  <c r="G41" i="12" s="1"/>
  <c r="F42" i="12"/>
  <c r="G42" i="12" s="1"/>
  <c r="F43" i="12"/>
  <c r="G43" i="12" s="1"/>
  <c r="F44" i="12"/>
  <c r="G44" i="12" s="1"/>
  <c r="F45" i="12"/>
  <c r="G45" i="12" s="1"/>
  <c r="F46" i="12"/>
  <c r="G46" i="12" s="1"/>
  <c r="F47" i="12"/>
  <c r="G47" i="12" s="1"/>
  <c r="F48" i="12"/>
  <c r="G48" i="12" s="1"/>
  <c r="F49" i="12"/>
  <c r="G49" i="12" s="1"/>
  <c r="F50" i="12"/>
  <c r="G50" i="12" s="1"/>
  <c r="F51" i="12"/>
  <c r="G51" i="12" s="1"/>
  <c r="F52" i="12"/>
  <c r="G52" i="12" s="1"/>
  <c r="F53" i="12"/>
  <c r="G53" i="12" s="1"/>
  <c r="F54" i="12"/>
  <c r="G54" i="12" s="1"/>
  <c r="F55" i="12"/>
  <c r="G55" i="12" s="1"/>
  <c r="F56" i="12"/>
  <c r="F57" i="12"/>
  <c r="G57" i="12" s="1"/>
  <c r="F58" i="12"/>
  <c r="G58" i="12" s="1"/>
  <c r="F59" i="12"/>
  <c r="G59" i="12" s="1"/>
  <c r="F60" i="12"/>
  <c r="G60" i="12" s="1"/>
  <c r="F61" i="12"/>
  <c r="G61" i="12" s="1"/>
  <c r="F62" i="12"/>
  <c r="G62" i="12" s="1"/>
  <c r="F63" i="12"/>
  <c r="G63" i="12" s="1"/>
  <c r="F64" i="12"/>
  <c r="G64" i="12" s="1"/>
  <c r="F65" i="12"/>
  <c r="G65" i="12" s="1"/>
  <c r="F66" i="12"/>
  <c r="G66" i="12" s="1"/>
  <c r="F67" i="12"/>
  <c r="G67" i="12" s="1"/>
  <c r="F68" i="12"/>
  <c r="G68" i="12" s="1"/>
  <c r="F69" i="12"/>
  <c r="G69" i="12" s="1"/>
  <c r="F70" i="12"/>
  <c r="G70" i="12" s="1"/>
  <c r="F71" i="12"/>
  <c r="G71" i="12" s="1"/>
  <c r="F72" i="12"/>
  <c r="G72" i="12" s="1"/>
  <c r="F73" i="12"/>
  <c r="G73" i="12" s="1"/>
  <c r="F74" i="12"/>
  <c r="G74" i="12" s="1"/>
  <c r="F75" i="12"/>
  <c r="G75" i="12" s="1"/>
  <c r="F76" i="12"/>
  <c r="G76" i="12" s="1"/>
  <c r="F77" i="12"/>
  <c r="G77" i="12" s="1"/>
  <c r="F78" i="12"/>
  <c r="G78" i="12" s="1"/>
  <c r="F79" i="12"/>
  <c r="G79" i="12" s="1"/>
  <c r="F80" i="12"/>
  <c r="G80" i="12" s="1"/>
  <c r="F81" i="12"/>
  <c r="G81" i="12" s="1"/>
  <c r="F82" i="12"/>
  <c r="G82" i="12" s="1"/>
  <c r="F83" i="12"/>
  <c r="G83" i="12" s="1"/>
  <c r="F84" i="12"/>
  <c r="G84" i="12" s="1"/>
  <c r="F85" i="12"/>
  <c r="G85" i="12" s="1"/>
  <c r="F86" i="12"/>
  <c r="G86" i="12" s="1"/>
  <c r="F87" i="12"/>
  <c r="G87" i="12" s="1"/>
  <c r="F88" i="12"/>
  <c r="G88" i="12" s="1"/>
  <c r="F89" i="12"/>
  <c r="G89" i="12" s="1"/>
  <c r="F90" i="12"/>
  <c r="G90" i="12" s="1"/>
  <c r="F91" i="12"/>
  <c r="G91" i="12" s="1"/>
  <c r="F92" i="12"/>
  <c r="G92" i="12" s="1"/>
  <c r="F93" i="12"/>
  <c r="G93" i="12" s="1"/>
  <c r="F94" i="12"/>
  <c r="G94" i="12" s="1"/>
  <c r="F95" i="12"/>
  <c r="G95" i="12" s="1"/>
  <c r="F96" i="12"/>
  <c r="G96" i="12" s="1"/>
  <c r="F97" i="12"/>
  <c r="G97" i="12" s="1"/>
  <c r="F98" i="12"/>
  <c r="G98" i="12" s="1"/>
  <c r="F99" i="12"/>
  <c r="G99" i="12" s="1"/>
  <c r="F100" i="12"/>
  <c r="G100" i="12" s="1"/>
  <c r="F101" i="12"/>
  <c r="G101" i="12" s="1"/>
  <c r="F102" i="12"/>
  <c r="G102" i="12" s="1"/>
  <c r="F103" i="12"/>
  <c r="G103" i="12" s="1"/>
  <c r="F104" i="12"/>
  <c r="G104" i="12" s="1"/>
  <c r="F105" i="12"/>
  <c r="G105" i="12" s="1"/>
  <c r="F106" i="12"/>
  <c r="G106" i="12" s="1"/>
  <c r="F107" i="12"/>
  <c r="G107" i="12" s="1"/>
  <c r="F108" i="12"/>
  <c r="G108" i="12" s="1"/>
  <c r="F109" i="12"/>
  <c r="G109" i="12" s="1"/>
  <c r="F110" i="12"/>
  <c r="G110" i="12" s="1"/>
  <c r="F111" i="12"/>
  <c r="G111" i="12" s="1"/>
  <c r="F112" i="12"/>
  <c r="G112" i="12" s="1"/>
  <c r="F113" i="12"/>
  <c r="G113" i="12" s="1"/>
  <c r="F114" i="12"/>
  <c r="G114" i="12" s="1"/>
  <c r="F115" i="12"/>
  <c r="G115" i="12" s="1"/>
  <c r="F116" i="12"/>
  <c r="G116" i="12" s="1"/>
  <c r="F117" i="12"/>
  <c r="G117" i="12" s="1"/>
  <c r="F118" i="12"/>
  <c r="G118" i="12" s="1"/>
  <c r="F119" i="12"/>
  <c r="G119" i="12" s="1"/>
  <c r="F120" i="12"/>
  <c r="G120" i="12" s="1"/>
  <c r="F121" i="12"/>
  <c r="G121" i="12" s="1"/>
  <c r="F122" i="12"/>
  <c r="G122" i="12" s="1"/>
  <c r="F123" i="12"/>
  <c r="G123" i="12" s="1"/>
  <c r="F124" i="12"/>
  <c r="G124" i="12" s="1"/>
  <c r="F125" i="12"/>
  <c r="G125" i="12" s="1"/>
  <c r="F126" i="12"/>
  <c r="G126" i="12" s="1"/>
  <c r="F127" i="12"/>
  <c r="G127" i="12" s="1"/>
  <c r="F128" i="12"/>
  <c r="G128" i="12" s="1"/>
  <c r="F129" i="12"/>
  <c r="G129" i="12" s="1"/>
  <c r="F130" i="12"/>
  <c r="G130" i="12" s="1"/>
  <c r="F131" i="12"/>
  <c r="G131" i="12" s="1"/>
  <c r="F132" i="12"/>
  <c r="G132" i="12" s="1"/>
  <c r="F133" i="12"/>
  <c r="G133" i="12" s="1"/>
  <c r="F134" i="12"/>
  <c r="G134" i="12" s="1"/>
  <c r="F135" i="12"/>
  <c r="G135" i="12" s="1"/>
  <c r="F136" i="12"/>
  <c r="G136" i="12" s="1"/>
  <c r="F137" i="12"/>
  <c r="G137" i="12" s="1"/>
  <c r="F138" i="12"/>
  <c r="G138" i="12" s="1"/>
  <c r="F139" i="12"/>
  <c r="G139" i="12" s="1"/>
  <c r="F140" i="12"/>
  <c r="G140" i="12" s="1"/>
  <c r="F141" i="12"/>
  <c r="G141" i="12" s="1"/>
  <c r="F142" i="12"/>
  <c r="G142" i="12" s="1"/>
  <c r="F143" i="12"/>
  <c r="G143" i="12" s="1"/>
  <c r="F144" i="12"/>
  <c r="G144" i="12" s="1"/>
  <c r="F145" i="12"/>
  <c r="G145" i="12" s="1"/>
  <c r="F146" i="12"/>
  <c r="G146" i="12" s="1"/>
  <c r="F147" i="12"/>
  <c r="G147" i="12" s="1"/>
  <c r="F148" i="12"/>
  <c r="G148" i="12" s="1"/>
  <c r="F149" i="12"/>
  <c r="G149" i="12" s="1"/>
  <c r="F150" i="12"/>
  <c r="G150" i="12" s="1"/>
  <c r="F151" i="12"/>
  <c r="G151" i="12" s="1"/>
  <c r="F152" i="12"/>
  <c r="G152" i="12" s="1"/>
  <c r="F153" i="12"/>
  <c r="G153" i="12" s="1"/>
  <c r="F154" i="12"/>
  <c r="G154" i="12" s="1"/>
  <c r="F155" i="12"/>
  <c r="G155" i="12" s="1"/>
  <c r="F156" i="12"/>
  <c r="G156" i="12" s="1"/>
  <c r="F157" i="12"/>
  <c r="G157" i="12" s="1"/>
  <c r="F158" i="12"/>
  <c r="G158" i="12" s="1"/>
  <c r="F159" i="12"/>
  <c r="G159" i="12" s="1"/>
  <c r="F160" i="12"/>
  <c r="G160" i="12" s="1"/>
  <c r="F161" i="12"/>
  <c r="G161" i="12" s="1"/>
  <c r="F162" i="12"/>
  <c r="G162" i="12" s="1"/>
  <c r="F163" i="12"/>
  <c r="G163" i="12" s="1"/>
  <c r="F164" i="12"/>
  <c r="G164" i="12" s="1"/>
  <c r="F165" i="12"/>
  <c r="G165" i="12" s="1"/>
  <c r="F166" i="12"/>
  <c r="G166" i="12" s="1"/>
  <c r="F167" i="12"/>
  <c r="G167" i="12" s="1"/>
  <c r="F168" i="12"/>
  <c r="G168" i="12" s="1"/>
  <c r="F169" i="12"/>
  <c r="G169" i="12" s="1"/>
  <c r="F170" i="12"/>
  <c r="G170" i="12" s="1"/>
  <c r="F171" i="12"/>
  <c r="G171" i="12" s="1"/>
  <c r="F172" i="12"/>
  <c r="G172" i="12" s="1"/>
  <c r="F173" i="12"/>
  <c r="G173" i="12" s="1"/>
  <c r="F174" i="12"/>
  <c r="G174" i="12" s="1"/>
  <c r="F175" i="12"/>
  <c r="G175" i="12" s="1"/>
  <c r="F176" i="12"/>
  <c r="G176" i="12" s="1"/>
  <c r="F177" i="12"/>
  <c r="G177" i="12" s="1"/>
  <c r="F178" i="12"/>
  <c r="G178" i="12" s="1"/>
  <c r="F179" i="12"/>
  <c r="G179" i="12" s="1"/>
  <c r="F180" i="12"/>
  <c r="G180" i="12" s="1"/>
  <c r="F181" i="12"/>
  <c r="G181" i="12" s="1"/>
  <c r="F182" i="12"/>
  <c r="G182" i="12" s="1"/>
  <c r="F183" i="12"/>
  <c r="G183" i="12" s="1"/>
  <c r="F184" i="12"/>
  <c r="G184" i="12" s="1"/>
  <c r="F185" i="12"/>
  <c r="G185" i="12" s="1"/>
  <c r="F186" i="12"/>
  <c r="G186" i="12" s="1"/>
  <c r="F187" i="12"/>
  <c r="G187" i="12" s="1"/>
  <c r="F188" i="12"/>
  <c r="G188" i="12" s="1"/>
  <c r="F189" i="12"/>
  <c r="G189" i="12" s="1"/>
  <c r="F190" i="12"/>
  <c r="G190" i="12" s="1"/>
  <c r="F191" i="12"/>
  <c r="G191" i="12" s="1"/>
  <c r="F192" i="12"/>
  <c r="G192" i="12" s="1"/>
  <c r="F193" i="12"/>
  <c r="G193" i="12" s="1"/>
  <c r="F194" i="12"/>
  <c r="G194" i="12" s="1"/>
  <c r="F195" i="12"/>
  <c r="G195" i="12" s="1"/>
  <c r="F196" i="12"/>
  <c r="G196" i="12" s="1"/>
  <c r="F197" i="12"/>
  <c r="G197" i="12" s="1"/>
  <c r="F198" i="12"/>
  <c r="G198" i="12" s="1"/>
  <c r="G31" i="12"/>
  <c r="G56" i="12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F18" i="11"/>
  <c r="G18" i="11" s="1"/>
  <c r="F19" i="11"/>
  <c r="G19" i="11" s="1"/>
  <c r="F20" i="11"/>
  <c r="G20" i="11" s="1"/>
  <c r="F21" i="11"/>
  <c r="G21" i="11" s="1"/>
  <c r="F22" i="11"/>
  <c r="G22" i="11" s="1"/>
  <c r="F23" i="11"/>
  <c r="G23" i="11" s="1"/>
  <c r="F24" i="11"/>
  <c r="G24" i="11" s="1"/>
  <c r="F25" i="11"/>
  <c r="G25" i="11" s="1"/>
  <c r="F26" i="11"/>
  <c r="G26" i="11" s="1"/>
  <c r="F27" i="11"/>
  <c r="G27" i="11" s="1"/>
  <c r="F28" i="11"/>
  <c r="G28" i="11" s="1"/>
  <c r="F29" i="11"/>
  <c r="G29" i="11" s="1"/>
  <c r="F30" i="11"/>
  <c r="G30" i="11" s="1"/>
  <c r="F31" i="11"/>
  <c r="G31" i="11" s="1"/>
  <c r="F32" i="11"/>
  <c r="G32" i="11" s="1"/>
  <c r="F33" i="11"/>
  <c r="G33" i="11" s="1"/>
  <c r="F34" i="11"/>
  <c r="G34" i="11" s="1"/>
  <c r="F35" i="11"/>
  <c r="G35" i="11" s="1"/>
  <c r="F36" i="11"/>
  <c r="G36" i="11" s="1"/>
  <c r="F37" i="11"/>
  <c r="G37" i="11" s="1"/>
  <c r="F38" i="11"/>
  <c r="G38" i="11" s="1"/>
  <c r="F39" i="11"/>
  <c r="F40" i="11"/>
  <c r="G40" i="11" s="1"/>
  <c r="F41" i="11"/>
  <c r="G41" i="11" s="1"/>
  <c r="F42" i="11"/>
  <c r="G42" i="11" s="1"/>
  <c r="F43" i="11"/>
  <c r="G43" i="11" s="1"/>
  <c r="F44" i="11"/>
  <c r="G44" i="11" s="1"/>
  <c r="F45" i="11"/>
  <c r="G45" i="11" s="1"/>
  <c r="F46" i="11"/>
  <c r="G46" i="11" s="1"/>
  <c r="F47" i="11"/>
  <c r="G47" i="11" s="1"/>
  <c r="F48" i="11"/>
  <c r="G48" i="11" s="1"/>
  <c r="F49" i="11"/>
  <c r="G49" i="11" s="1"/>
  <c r="F50" i="11"/>
  <c r="G50" i="11" s="1"/>
  <c r="F51" i="11"/>
  <c r="G51" i="11" s="1"/>
  <c r="F52" i="11"/>
  <c r="G52" i="11" s="1"/>
  <c r="F53" i="11"/>
  <c r="G53" i="11" s="1"/>
  <c r="F54" i="11"/>
  <c r="G54" i="11" s="1"/>
  <c r="F55" i="11"/>
  <c r="G55" i="11" s="1"/>
  <c r="F56" i="11"/>
  <c r="G56" i="11" s="1"/>
  <c r="F57" i="11"/>
  <c r="G57" i="11" s="1"/>
  <c r="F58" i="11"/>
  <c r="G58" i="11" s="1"/>
  <c r="F59" i="11"/>
  <c r="G59" i="11" s="1"/>
  <c r="F60" i="11"/>
  <c r="G60" i="11" s="1"/>
  <c r="F61" i="11"/>
  <c r="G61" i="11" s="1"/>
  <c r="F62" i="11"/>
  <c r="G62" i="11" s="1"/>
  <c r="F63" i="11"/>
  <c r="G63" i="11" s="1"/>
  <c r="F64" i="11"/>
  <c r="G64" i="11" s="1"/>
  <c r="F65" i="11"/>
  <c r="G65" i="11" s="1"/>
  <c r="F66" i="11"/>
  <c r="G66" i="11" s="1"/>
  <c r="F67" i="11"/>
  <c r="G67" i="11" s="1"/>
  <c r="F68" i="11"/>
  <c r="G68" i="11" s="1"/>
  <c r="F69" i="11"/>
  <c r="G69" i="11" s="1"/>
  <c r="F70" i="11"/>
  <c r="G70" i="11" s="1"/>
  <c r="F71" i="11"/>
  <c r="G71" i="11" s="1"/>
  <c r="F72" i="11"/>
  <c r="G72" i="11" s="1"/>
  <c r="F73" i="11"/>
  <c r="G73" i="11" s="1"/>
  <c r="F74" i="11"/>
  <c r="G74" i="11" s="1"/>
  <c r="F75" i="11"/>
  <c r="G75" i="11" s="1"/>
  <c r="F76" i="11"/>
  <c r="G76" i="11" s="1"/>
  <c r="F77" i="11"/>
  <c r="G77" i="11" s="1"/>
  <c r="F78" i="11"/>
  <c r="G78" i="11" s="1"/>
  <c r="F79" i="11"/>
  <c r="G79" i="11" s="1"/>
  <c r="F80" i="11"/>
  <c r="G80" i="11" s="1"/>
  <c r="F81" i="11"/>
  <c r="G81" i="11" s="1"/>
  <c r="F82" i="11"/>
  <c r="G82" i="11" s="1"/>
  <c r="F83" i="11"/>
  <c r="G83" i="11" s="1"/>
  <c r="F84" i="11"/>
  <c r="G84" i="11" s="1"/>
  <c r="F85" i="11"/>
  <c r="G85" i="11" s="1"/>
  <c r="F86" i="11"/>
  <c r="G86" i="11" s="1"/>
  <c r="F87" i="11"/>
  <c r="G87" i="11" s="1"/>
  <c r="F88" i="11"/>
  <c r="G88" i="11" s="1"/>
  <c r="F89" i="11"/>
  <c r="G89" i="11" s="1"/>
  <c r="F90" i="11"/>
  <c r="G90" i="11" s="1"/>
  <c r="F91" i="11"/>
  <c r="G91" i="11" s="1"/>
  <c r="F92" i="11"/>
  <c r="G92" i="11" s="1"/>
  <c r="F93" i="11"/>
  <c r="G93" i="11" s="1"/>
  <c r="F94" i="11"/>
  <c r="G94" i="11" s="1"/>
  <c r="F95" i="11"/>
  <c r="G95" i="11" s="1"/>
  <c r="F96" i="11"/>
  <c r="G96" i="11" s="1"/>
  <c r="F97" i="11"/>
  <c r="G97" i="11" s="1"/>
  <c r="F98" i="11"/>
  <c r="G98" i="11" s="1"/>
  <c r="F99" i="11"/>
  <c r="G99" i="11" s="1"/>
  <c r="F100" i="11"/>
  <c r="G100" i="11" s="1"/>
  <c r="F101" i="11"/>
  <c r="G101" i="11" s="1"/>
  <c r="F102" i="11"/>
  <c r="G102" i="11" s="1"/>
  <c r="F103" i="11"/>
  <c r="G103" i="11" s="1"/>
  <c r="F104" i="11"/>
  <c r="G104" i="11" s="1"/>
  <c r="F105" i="11"/>
  <c r="G105" i="11" s="1"/>
  <c r="F106" i="11"/>
  <c r="G106" i="11" s="1"/>
  <c r="F107" i="11"/>
  <c r="G107" i="11" s="1"/>
  <c r="F108" i="11"/>
  <c r="G108" i="11" s="1"/>
  <c r="F109" i="11"/>
  <c r="G109" i="11" s="1"/>
  <c r="F110" i="11"/>
  <c r="G110" i="11" s="1"/>
  <c r="F111" i="11"/>
  <c r="G111" i="11" s="1"/>
  <c r="F112" i="11"/>
  <c r="G112" i="11" s="1"/>
  <c r="F113" i="11"/>
  <c r="G113" i="11" s="1"/>
  <c r="F114" i="11"/>
  <c r="G114" i="11" s="1"/>
  <c r="F115" i="11"/>
  <c r="G115" i="11" s="1"/>
  <c r="F116" i="11"/>
  <c r="G116" i="11" s="1"/>
  <c r="F117" i="11"/>
  <c r="G117" i="11" s="1"/>
  <c r="F118" i="11"/>
  <c r="G118" i="11" s="1"/>
  <c r="F119" i="11"/>
  <c r="G119" i="11" s="1"/>
  <c r="F120" i="11"/>
  <c r="G120" i="11" s="1"/>
  <c r="F121" i="11"/>
  <c r="G121" i="11" s="1"/>
  <c r="F122" i="11"/>
  <c r="G122" i="11" s="1"/>
  <c r="F123" i="11"/>
  <c r="G123" i="11" s="1"/>
  <c r="F124" i="11"/>
  <c r="G124" i="11" s="1"/>
  <c r="F125" i="11"/>
  <c r="G125" i="11" s="1"/>
  <c r="F126" i="11"/>
  <c r="G126" i="11" s="1"/>
  <c r="F127" i="11"/>
  <c r="G127" i="11" s="1"/>
  <c r="F128" i="11"/>
  <c r="G128" i="11" s="1"/>
  <c r="F129" i="11"/>
  <c r="G129" i="11" s="1"/>
  <c r="F130" i="11"/>
  <c r="G130" i="11" s="1"/>
  <c r="F131" i="11"/>
  <c r="G131" i="11" s="1"/>
  <c r="F132" i="11"/>
  <c r="G132" i="11" s="1"/>
  <c r="F133" i="11"/>
  <c r="G133" i="11" s="1"/>
  <c r="F134" i="11"/>
  <c r="G134" i="11" s="1"/>
  <c r="F135" i="11"/>
  <c r="G135" i="11" s="1"/>
  <c r="F136" i="11"/>
  <c r="G136" i="11" s="1"/>
  <c r="F137" i="11"/>
  <c r="G137" i="11" s="1"/>
  <c r="F138" i="11"/>
  <c r="G138" i="11" s="1"/>
  <c r="F139" i="11"/>
  <c r="G139" i="11" s="1"/>
  <c r="F140" i="11"/>
  <c r="G140" i="11" s="1"/>
  <c r="F141" i="11"/>
  <c r="G141" i="11" s="1"/>
  <c r="F142" i="11"/>
  <c r="G142" i="11" s="1"/>
  <c r="F143" i="11"/>
  <c r="G143" i="11" s="1"/>
  <c r="F144" i="11"/>
  <c r="G144" i="11" s="1"/>
  <c r="F145" i="11"/>
  <c r="G145" i="11" s="1"/>
  <c r="F146" i="11"/>
  <c r="G146" i="11" s="1"/>
  <c r="F147" i="11"/>
  <c r="G147" i="11" s="1"/>
  <c r="F148" i="11"/>
  <c r="G148" i="11" s="1"/>
  <c r="F149" i="11"/>
  <c r="G149" i="11" s="1"/>
  <c r="F150" i="11"/>
  <c r="G150" i="11" s="1"/>
  <c r="F151" i="11"/>
  <c r="G151" i="11" s="1"/>
  <c r="F152" i="11"/>
  <c r="G152" i="11" s="1"/>
  <c r="F153" i="11"/>
  <c r="G153" i="11" s="1"/>
  <c r="F154" i="11"/>
  <c r="G154" i="11" s="1"/>
  <c r="F155" i="11"/>
  <c r="G155" i="11" s="1"/>
  <c r="F156" i="11"/>
  <c r="G156" i="11" s="1"/>
  <c r="F157" i="11"/>
  <c r="G157" i="11" s="1"/>
  <c r="F158" i="11"/>
  <c r="G158" i="11" s="1"/>
  <c r="F159" i="11"/>
  <c r="G159" i="11" s="1"/>
  <c r="F160" i="11"/>
  <c r="G160" i="11" s="1"/>
  <c r="F161" i="11"/>
  <c r="G161" i="11" s="1"/>
  <c r="F162" i="11"/>
  <c r="G162" i="11" s="1"/>
  <c r="F163" i="11"/>
  <c r="G163" i="11" s="1"/>
  <c r="F164" i="11"/>
  <c r="G164" i="11" s="1"/>
  <c r="F165" i="11"/>
  <c r="G165" i="11" s="1"/>
  <c r="F166" i="11"/>
  <c r="G166" i="11" s="1"/>
  <c r="F167" i="11"/>
  <c r="G167" i="11" s="1"/>
  <c r="F168" i="11"/>
  <c r="G168" i="11" s="1"/>
  <c r="F169" i="11"/>
  <c r="G169" i="11" s="1"/>
  <c r="F170" i="11"/>
  <c r="G170" i="11" s="1"/>
  <c r="F171" i="11"/>
  <c r="G171" i="11" s="1"/>
  <c r="F172" i="11"/>
  <c r="G172" i="11" s="1"/>
  <c r="F173" i="11"/>
  <c r="G173" i="11" s="1"/>
  <c r="F174" i="11"/>
  <c r="G174" i="11" s="1"/>
  <c r="F175" i="11"/>
  <c r="G175" i="11" s="1"/>
  <c r="F176" i="11"/>
  <c r="G176" i="11" s="1"/>
  <c r="F177" i="11"/>
  <c r="G177" i="11" s="1"/>
  <c r="F178" i="11"/>
  <c r="G178" i="11" s="1"/>
  <c r="F179" i="11"/>
  <c r="G179" i="11" s="1"/>
  <c r="F180" i="11"/>
  <c r="G180" i="11" s="1"/>
  <c r="F181" i="11"/>
  <c r="G181" i="11" s="1"/>
  <c r="F182" i="11"/>
  <c r="G182" i="11" s="1"/>
  <c r="F183" i="11"/>
  <c r="G183" i="11" s="1"/>
  <c r="F184" i="11"/>
  <c r="G184" i="11" s="1"/>
  <c r="F185" i="11"/>
  <c r="G185" i="11" s="1"/>
  <c r="F186" i="11"/>
  <c r="G186" i="11" s="1"/>
  <c r="F187" i="11"/>
  <c r="G187" i="11" s="1"/>
  <c r="F188" i="11"/>
  <c r="G188" i="11" s="1"/>
  <c r="F189" i="11"/>
  <c r="G189" i="11" s="1"/>
  <c r="F190" i="11"/>
  <c r="G190" i="11" s="1"/>
  <c r="F191" i="11"/>
  <c r="G191" i="11" s="1"/>
  <c r="F192" i="11"/>
  <c r="G192" i="11" s="1"/>
  <c r="F193" i="11"/>
  <c r="G193" i="11" s="1"/>
  <c r="F194" i="11"/>
  <c r="G194" i="11" s="1"/>
  <c r="F195" i="11"/>
  <c r="G195" i="11" s="1"/>
  <c r="F196" i="11"/>
  <c r="G196" i="11" s="1"/>
  <c r="F197" i="11"/>
  <c r="G197" i="11" s="1"/>
  <c r="F198" i="11"/>
  <c r="G198" i="11" s="1"/>
  <c r="G39" i="11"/>
  <c r="M249" i="28"/>
  <c r="M250" i="28"/>
  <c r="M253" i="28"/>
  <c r="C221" i="28"/>
  <c r="C222" i="28"/>
  <c r="D221" i="28"/>
  <c r="D222" i="28"/>
  <c r="E221" i="28"/>
  <c r="E222" i="28"/>
  <c r="S221" i="28"/>
  <c r="S222" i="28"/>
  <c r="D292" i="1"/>
  <c r="E292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D183" i="1"/>
  <c r="E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F18" i="10"/>
  <c r="G18" i="10" s="1"/>
  <c r="F19" i="10"/>
  <c r="G19" i="10" s="1"/>
  <c r="F20" i="10"/>
  <c r="G20" i="10" s="1"/>
  <c r="F21" i="10"/>
  <c r="G21" i="10" s="1"/>
  <c r="F22" i="10"/>
  <c r="G22" i="10" s="1"/>
  <c r="F23" i="10"/>
  <c r="G23" i="10" s="1"/>
  <c r="F24" i="10"/>
  <c r="G24" i="10" s="1"/>
  <c r="F25" i="10"/>
  <c r="G25" i="10" s="1"/>
  <c r="F26" i="10"/>
  <c r="G26" i="10" s="1"/>
  <c r="F27" i="10"/>
  <c r="G27" i="10" s="1"/>
  <c r="F28" i="10"/>
  <c r="G28" i="10" s="1"/>
  <c r="F29" i="10"/>
  <c r="G29" i="10" s="1"/>
  <c r="F30" i="10"/>
  <c r="G30" i="10" s="1"/>
  <c r="F31" i="10"/>
  <c r="G31" i="10" s="1"/>
  <c r="F32" i="10"/>
  <c r="G32" i="10" s="1"/>
  <c r="F33" i="10"/>
  <c r="G33" i="10" s="1"/>
  <c r="F34" i="10"/>
  <c r="G34" i="10" s="1"/>
  <c r="F35" i="10"/>
  <c r="G35" i="10" s="1"/>
  <c r="F36" i="10"/>
  <c r="G36" i="10" s="1"/>
  <c r="F37" i="10"/>
  <c r="G37" i="10" s="1"/>
  <c r="F38" i="10"/>
  <c r="G38" i="10" s="1"/>
  <c r="F39" i="10"/>
  <c r="G39" i="10" s="1"/>
  <c r="F40" i="10"/>
  <c r="G40" i="10" s="1"/>
  <c r="F41" i="10"/>
  <c r="G41" i="10" s="1"/>
  <c r="F42" i="10"/>
  <c r="G42" i="10" s="1"/>
  <c r="F43" i="10"/>
  <c r="G43" i="10" s="1"/>
  <c r="F44" i="10"/>
  <c r="G44" i="10" s="1"/>
  <c r="F45" i="10"/>
  <c r="G45" i="10" s="1"/>
  <c r="F46" i="10"/>
  <c r="G46" i="10" s="1"/>
  <c r="F47" i="10"/>
  <c r="G47" i="10" s="1"/>
  <c r="F48" i="10"/>
  <c r="G48" i="10" s="1"/>
  <c r="F49" i="10"/>
  <c r="G49" i="10" s="1"/>
  <c r="F50" i="10"/>
  <c r="G50" i="10" s="1"/>
  <c r="F51" i="10"/>
  <c r="G51" i="10" s="1"/>
  <c r="F52" i="10"/>
  <c r="G52" i="10" s="1"/>
  <c r="F53" i="10"/>
  <c r="G53" i="10" s="1"/>
  <c r="F54" i="10"/>
  <c r="G54" i="10" s="1"/>
  <c r="F55" i="10"/>
  <c r="G55" i="10" s="1"/>
  <c r="F56" i="10"/>
  <c r="G56" i="10" s="1"/>
  <c r="F57" i="10"/>
  <c r="G57" i="10" s="1"/>
  <c r="F58" i="10"/>
  <c r="G58" i="10" s="1"/>
  <c r="F59" i="10"/>
  <c r="G59" i="10" s="1"/>
  <c r="F60" i="10"/>
  <c r="G60" i="10" s="1"/>
  <c r="F61" i="10"/>
  <c r="G61" i="10" s="1"/>
  <c r="F62" i="10"/>
  <c r="G62" i="10" s="1"/>
  <c r="F63" i="10"/>
  <c r="G63" i="10" s="1"/>
  <c r="F64" i="10"/>
  <c r="G64" i="10" s="1"/>
  <c r="F65" i="10"/>
  <c r="G65" i="10" s="1"/>
  <c r="F66" i="10"/>
  <c r="G66" i="10" s="1"/>
  <c r="F67" i="10"/>
  <c r="G67" i="10" s="1"/>
  <c r="F68" i="10"/>
  <c r="G68" i="10" s="1"/>
  <c r="F69" i="10"/>
  <c r="G69" i="10" s="1"/>
  <c r="F70" i="10"/>
  <c r="G70" i="10" s="1"/>
  <c r="F71" i="10"/>
  <c r="G71" i="10" s="1"/>
  <c r="F72" i="10"/>
  <c r="G72" i="10" s="1"/>
  <c r="F73" i="10"/>
  <c r="G73" i="10" s="1"/>
  <c r="F74" i="10"/>
  <c r="G74" i="10" s="1"/>
  <c r="F75" i="10"/>
  <c r="G75" i="10" s="1"/>
  <c r="F76" i="10"/>
  <c r="G76" i="10" s="1"/>
  <c r="F77" i="10"/>
  <c r="G77" i="10" s="1"/>
  <c r="F78" i="10"/>
  <c r="G78" i="10" s="1"/>
  <c r="F79" i="10"/>
  <c r="G79" i="10" s="1"/>
  <c r="F80" i="10"/>
  <c r="G80" i="10" s="1"/>
  <c r="F81" i="10"/>
  <c r="G81" i="10" s="1"/>
  <c r="F82" i="10"/>
  <c r="G82" i="10" s="1"/>
  <c r="F83" i="10"/>
  <c r="G83" i="10" s="1"/>
  <c r="F84" i="10"/>
  <c r="G84" i="10" s="1"/>
  <c r="F85" i="10"/>
  <c r="G85" i="10" s="1"/>
  <c r="F86" i="10"/>
  <c r="G86" i="10" s="1"/>
  <c r="F87" i="10"/>
  <c r="G87" i="10" s="1"/>
  <c r="F88" i="10"/>
  <c r="G88" i="10" s="1"/>
  <c r="F89" i="10"/>
  <c r="G89" i="10" s="1"/>
  <c r="F90" i="10"/>
  <c r="G90" i="10" s="1"/>
  <c r="F91" i="10"/>
  <c r="G91" i="10" s="1"/>
  <c r="F92" i="10"/>
  <c r="G92" i="10" s="1"/>
  <c r="F93" i="10"/>
  <c r="G93" i="10" s="1"/>
  <c r="F94" i="10"/>
  <c r="G94" i="10" s="1"/>
  <c r="F95" i="10"/>
  <c r="G95" i="10" s="1"/>
  <c r="F96" i="10"/>
  <c r="G96" i="10" s="1"/>
  <c r="F97" i="10"/>
  <c r="G97" i="10" s="1"/>
  <c r="F98" i="10"/>
  <c r="G98" i="10" s="1"/>
  <c r="F99" i="10"/>
  <c r="G99" i="10" s="1"/>
  <c r="F100" i="10"/>
  <c r="G100" i="10" s="1"/>
  <c r="F101" i="10"/>
  <c r="G101" i="10" s="1"/>
  <c r="F102" i="10"/>
  <c r="G102" i="10" s="1"/>
  <c r="F103" i="10"/>
  <c r="G103" i="10" s="1"/>
  <c r="F104" i="10"/>
  <c r="G104" i="10" s="1"/>
  <c r="F105" i="10"/>
  <c r="G105" i="10" s="1"/>
  <c r="F106" i="10"/>
  <c r="G106" i="10" s="1"/>
  <c r="F107" i="10"/>
  <c r="G107" i="10" s="1"/>
  <c r="F108" i="10"/>
  <c r="G108" i="10" s="1"/>
  <c r="F109" i="10"/>
  <c r="G109" i="10" s="1"/>
  <c r="F110" i="10"/>
  <c r="G110" i="10" s="1"/>
  <c r="F111" i="10"/>
  <c r="G111" i="10" s="1"/>
  <c r="F112" i="10"/>
  <c r="G112" i="10" s="1"/>
  <c r="F113" i="10"/>
  <c r="G113" i="10" s="1"/>
  <c r="F114" i="10"/>
  <c r="G114" i="10" s="1"/>
  <c r="F115" i="10"/>
  <c r="G115" i="10" s="1"/>
  <c r="F116" i="10"/>
  <c r="G116" i="10" s="1"/>
  <c r="F117" i="10"/>
  <c r="G117" i="10" s="1"/>
  <c r="F118" i="10"/>
  <c r="G118" i="10" s="1"/>
  <c r="F119" i="10"/>
  <c r="G119" i="10" s="1"/>
  <c r="F120" i="10"/>
  <c r="G120" i="10" s="1"/>
  <c r="F121" i="10"/>
  <c r="G121" i="10" s="1"/>
  <c r="F122" i="10"/>
  <c r="G122" i="10" s="1"/>
  <c r="F123" i="10"/>
  <c r="G123" i="10" s="1"/>
  <c r="F124" i="10"/>
  <c r="G124" i="10" s="1"/>
  <c r="F125" i="10"/>
  <c r="G125" i="10" s="1"/>
  <c r="F126" i="10"/>
  <c r="G126" i="10" s="1"/>
  <c r="F127" i="10"/>
  <c r="G127" i="10" s="1"/>
  <c r="F128" i="10"/>
  <c r="G128" i="10" s="1"/>
  <c r="F129" i="10"/>
  <c r="G129" i="10" s="1"/>
  <c r="F130" i="10"/>
  <c r="G130" i="10" s="1"/>
  <c r="F131" i="10"/>
  <c r="G131" i="10" s="1"/>
  <c r="F132" i="10"/>
  <c r="G132" i="10" s="1"/>
  <c r="F133" i="10"/>
  <c r="G133" i="10" s="1"/>
  <c r="F134" i="10"/>
  <c r="G134" i="10" s="1"/>
  <c r="F135" i="10"/>
  <c r="G135" i="10" s="1"/>
  <c r="F136" i="10"/>
  <c r="G136" i="10" s="1"/>
  <c r="F137" i="10"/>
  <c r="G137" i="10" s="1"/>
  <c r="F138" i="10"/>
  <c r="G138" i="10" s="1"/>
  <c r="F139" i="10"/>
  <c r="G139" i="10" s="1"/>
  <c r="F140" i="10"/>
  <c r="G140" i="10" s="1"/>
  <c r="F141" i="10"/>
  <c r="G141" i="10" s="1"/>
  <c r="F142" i="10"/>
  <c r="G142" i="10" s="1"/>
  <c r="F143" i="10"/>
  <c r="G143" i="10" s="1"/>
  <c r="F144" i="10"/>
  <c r="G144" i="10" s="1"/>
  <c r="F145" i="10"/>
  <c r="G145" i="10" s="1"/>
  <c r="F146" i="10"/>
  <c r="G146" i="10" s="1"/>
  <c r="F147" i="10"/>
  <c r="G147" i="10" s="1"/>
  <c r="F148" i="10"/>
  <c r="G148" i="10" s="1"/>
  <c r="F149" i="10"/>
  <c r="G149" i="10" s="1"/>
  <c r="F150" i="10"/>
  <c r="G150" i="10" s="1"/>
  <c r="F151" i="10"/>
  <c r="G151" i="10" s="1"/>
  <c r="F152" i="10"/>
  <c r="G152" i="10" s="1"/>
  <c r="F153" i="10"/>
  <c r="G153" i="10" s="1"/>
  <c r="F154" i="10"/>
  <c r="G154" i="10" s="1"/>
  <c r="F155" i="10"/>
  <c r="G155" i="10" s="1"/>
  <c r="F156" i="10"/>
  <c r="G156" i="10" s="1"/>
  <c r="F157" i="10"/>
  <c r="G157" i="10" s="1"/>
  <c r="F158" i="10"/>
  <c r="G158" i="10" s="1"/>
  <c r="F159" i="10"/>
  <c r="G159" i="10" s="1"/>
  <c r="F160" i="10"/>
  <c r="G160" i="10" s="1"/>
  <c r="F161" i="10"/>
  <c r="G161" i="10" s="1"/>
  <c r="F162" i="10"/>
  <c r="G162" i="10" s="1"/>
  <c r="F163" i="10"/>
  <c r="G163" i="10" s="1"/>
  <c r="F164" i="10"/>
  <c r="G164" i="10" s="1"/>
  <c r="F165" i="10"/>
  <c r="G165" i="10" s="1"/>
  <c r="F166" i="10"/>
  <c r="G166" i="10" s="1"/>
  <c r="F167" i="10"/>
  <c r="G167" i="10" s="1"/>
  <c r="F168" i="10"/>
  <c r="G168" i="10" s="1"/>
  <c r="F169" i="10"/>
  <c r="G169" i="10" s="1"/>
  <c r="F170" i="10"/>
  <c r="G170" i="10" s="1"/>
  <c r="F171" i="10"/>
  <c r="G171" i="10" s="1"/>
  <c r="F172" i="10"/>
  <c r="G172" i="10" s="1"/>
  <c r="F173" i="10"/>
  <c r="G173" i="10" s="1"/>
  <c r="F174" i="10"/>
  <c r="G174" i="10" s="1"/>
  <c r="F175" i="10"/>
  <c r="G175" i="10" s="1"/>
  <c r="F176" i="10"/>
  <c r="G176" i="10" s="1"/>
  <c r="F177" i="10"/>
  <c r="G177" i="10" s="1"/>
  <c r="F178" i="10"/>
  <c r="G178" i="10" s="1"/>
  <c r="F179" i="10"/>
  <c r="G179" i="10" s="1"/>
  <c r="F180" i="10"/>
  <c r="G180" i="10" s="1"/>
  <c r="F181" i="10"/>
  <c r="G181" i="10" s="1"/>
  <c r="F182" i="10"/>
  <c r="G182" i="10" s="1"/>
  <c r="F183" i="10"/>
  <c r="G183" i="10" s="1"/>
  <c r="F184" i="10"/>
  <c r="G184" i="10" s="1"/>
  <c r="F185" i="10"/>
  <c r="G185" i="10" s="1"/>
  <c r="F186" i="10"/>
  <c r="G186" i="10" s="1"/>
  <c r="F187" i="10"/>
  <c r="G187" i="10" s="1"/>
  <c r="F188" i="10"/>
  <c r="G188" i="10" s="1"/>
  <c r="F189" i="10"/>
  <c r="G189" i="10" s="1"/>
  <c r="F190" i="10"/>
  <c r="G190" i="10" s="1"/>
  <c r="F191" i="10"/>
  <c r="G191" i="10" s="1"/>
  <c r="F192" i="10"/>
  <c r="G192" i="10" s="1"/>
  <c r="F193" i="10"/>
  <c r="G193" i="10" s="1"/>
  <c r="F194" i="10"/>
  <c r="G194" i="10" s="1"/>
  <c r="F195" i="10"/>
  <c r="G195" i="10" s="1"/>
  <c r="F196" i="10"/>
  <c r="G196" i="10" s="1"/>
  <c r="F197" i="10"/>
  <c r="G197" i="10" s="1"/>
  <c r="L44" i="28"/>
  <c r="L317" i="28"/>
  <c r="E197" i="9"/>
  <c r="F197" i="9"/>
  <c r="G197" i="9" s="1"/>
  <c r="E193" i="8"/>
  <c r="F193" i="8"/>
  <c r="G193" i="8" s="1"/>
  <c r="E191" i="7"/>
  <c r="F191" i="7"/>
  <c r="G191" i="7" s="1"/>
  <c r="I253" i="28"/>
  <c r="E190" i="2"/>
  <c r="F190" i="2"/>
  <c r="G190" i="2" s="1"/>
  <c r="C220" i="28"/>
  <c r="D220" i="28"/>
  <c r="E220" i="28"/>
  <c r="S220" i="28"/>
  <c r="D127" i="1"/>
  <c r="E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E196" i="9"/>
  <c r="F196" i="9"/>
  <c r="G196" i="9" s="1"/>
  <c r="E192" i="8"/>
  <c r="F192" i="8"/>
  <c r="G192" i="8" s="1"/>
  <c r="J250" i="28"/>
  <c r="E190" i="7"/>
  <c r="F190" i="7"/>
  <c r="G190" i="7" s="1"/>
  <c r="E189" i="2"/>
  <c r="F189" i="2"/>
  <c r="G189" i="2" s="1"/>
  <c r="H109" i="28"/>
  <c r="H193" i="28"/>
  <c r="H219" i="28"/>
  <c r="H220" i="28"/>
  <c r="H215" i="28"/>
  <c r="H226" i="28"/>
  <c r="H237" i="28"/>
  <c r="C144" i="28"/>
  <c r="D144" i="28"/>
  <c r="E144" i="28"/>
  <c r="P144" i="28"/>
  <c r="S144" i="28"/>
  <c r="D199" i="1"/>
  <c r="E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I314" i="28"/>
  <c r="I315" i="28"/>
  <c r="I316" i="28"/>
  <c r="I317" i="28"/>
  <c r="I245" i="28"/>
  <c r="E189" i="7"/>
  <c r="F189" i="7"/>
  <c r="G189" i="7" s="1"/>
  <c r="E188" i="2"/>
  <c r="F188" i="2"/>
  <c r="G188" i="2" s="1"/>
  <c r="D64" i="18"/>
  <c r="D62" i="18"/>
  <c r="C219" i="28"/>
  <c r="D219" i="28"/>
  <c r="E219" i="28"/>
  <c r="S219" i="28"/>
  <c r="D269" i="1"/>
  <c r="E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C181" i="28"/>
  <c r="C182" i="28"/>
  <c r="C183" i="28"/>
  <c r="C184" i="28"/>
  <c r="C185" i="28"/>
  <c r="C186" i="28"/>
  <c r="C187" i="28"/>
  <c r="C188" i="28"/>
  <c r="C189" i="28"/>
  <c r="C190" i="28"/>
  <c r="C191" i="28"/>
  <c r="C192" i="28"/>
  <c r="C194" i="28"/>
  <c r="C196" i="28"/>
  <c r="C197" i="28"/>
  <c r="C198" i="28"/>
  <c r="C199" i="28"/>
  <c r="C200" i="28"/>
  <c r="C201" i="28"/>
  <c r="C202" i="28"/>
  <c r="C203" i="28"/>
  <c r="C204" i="28"/>
  <c r="C205" i="28"/>
  <c r="C206" i="28"/>
  <c r="C207" i="28"/>
  <c r="C208" i="28"/>
  <c r="C209" i="28"/>
  <c r="C210" i="28"/>
  <c r="C211" i="28"/>
  <c r="C212" i="28"/>
  <c r="C213" i="28"/>
  <c r="C214" i="28"/>
  <c r="C215" i="28"/>
  <c r="C216" i="28"/>
  <c r="C217" i="28"/>
  <c r="C218" i="28"/>
  <c r="D181" i="28"/>
  <c r="D182" i="28"/>
  <c r="D183" i="28"/>
  <c r="D184" i="28"/>
  <c r="D185" i="28"/>
  <c r="D186" i="28"/>
  <c r="D187" i="28"/>
  <c r="D188" i="28"/>
  <c r="D189" i="28"/>
  <c r="D190" i="28"/>
  <c r="D191" i="28"/>
  <c r="D192" i="28"/>
  <c r="D194" i="28"/>
  <c r="D196" i="28"/>
  <c r="D197" i="28"/>
  <c r="D198" i="28"/>
  <c r="D199" i="28"/>
  <c r="D200" i="28"/>
  <c r="D201" i="28"/>
  <c r="D202" i="28"/>
  <c r="D203" i="28"/>
  <c r="D204" i="28"/>
  <c r="D205" i="28"/>
  <c r="D206" i="28"/>
  <c r="D207" i="28"/>
  <c r="D208" i="28"/>
  <c r="D209" i="28"/>
  <c r="D210" i="28"/>
  <c r="D211" i="28"/>
  <c r="D212" i="28"/>
  <c r="D213" i="28"/>
  <c r="D214" i="28"/>
  <c r="D215" i="28"/>
  <c r="D216" i="28"/>
  <c r="D217" i="28"/>
  <c r="D218" i="28"/>
  <c r="E181" i="28"/>
  <c r="E182" i="28"/>
  <c r="E183" i="28"/>
  <c r="E184" i="28"/>
  <c r="E185" i="28"/>
  <c r="E186" i="28"/>
  <c r="E187" i="28"/>
  <c r="E188" i="28"/>
  <c r="E189" i="28"/>
  <c r="E190" i="28"/>
  <c r="E191" i="28"/>
  <c r="E192" i="28"/>
  <c r="E194" i="28"/>
  <c r="E196" i="28"/>
  <c r="E197" i="28"/>
  <c r="E198" i="28"/>
  <c r="E199" i="28"/>
  <c r="E200" i="28"/>
  <c r="E201" i="28"/>
  <c r="E202" i="28"/>
  <c r="E203" i="28"/>
  <c r="E204" i="28"/>
  <c r="E205" i="28"/>
  <c r="E206" i="28"/>
  <c r="E207" i="28"/>
  <c r="E208" i="28"/>
  <c r="E209" i="28"/>
  <c r="E210" i="28"/>
  <c r="E211" i="28"/>
  <c r="E212" i="28"/>
  <c r="E213" i="28"/>
  <c r="E214" i="28"/>
  <c r="E215" i="28"/>
  <c r="E216" i="28"/>
  <c r="E217" i="28"/>
  <c r="E218" i="28"/>
  <c r="N210" i="28"/>
  <c r="Q207" i="28"/>
  <c r="Q209" i="28"/>
  <c r="S181" i="28"/>
  <c r="S182" i="28"/>
  <c r="S183" i="28"/>
  <c r="S184" i="28"/>
  <c r="S185" i="28"/>
  <c r="S186" i="28"/>
  <c r="S187" i="28"/>
  <c r="S188" i="28"/>
  <c r="S189" i="28"/>
  <c r="S190" i="28"/>
  <c r="S191" i="28"/>
  <c r="S192" i="28"/>
  <c r="S194" i="28"/>
  <c r="S196" i="28"/>
  <c r="S197" i="28"/>
  <c r="S198" i="28"/>
  <c r="S199" i="28"/>
  <c r="S200" i="28"/>
  <c r="S201" i="28"/>
  <c r="S202" i="28"/>
  <c r="S203" i="28"/>
  <c r="S204" i="28"/>
  <c r="S205" i="28"/>
  <c r="S206" i="28"/>
  <c r="S207" i="28"/>
  <c r="S208" i="28"/>
  <c r="S209" i="28"/>
  <c r="S210" i="28"/>
  <c r="S211" i="28"/>
  <c r="S212" i="28"/>
  <c r="S213" i="28"/>
  <c r="S214" i="28"/>
  <c r="S215" i="28"/>
  <c r="S216" i="28"/>
  <c r="S217" i="28"/>
  <c r="S218" i="28"/>
  <c r="D309" i="1"/>
  <c r="E309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D311" i="1"/>
  <c r="D270" i="14" s="1"/>
  <c r="E311" i="1"/>
  <c r="C270" i="14" s="1"/>
  <c r="H311" i="1"/>
  <c r="I311" i="1"/>
  <c r="J311" i="1"/>
  <c r="K311" i="1"/>
  <c r="L311" i="1"/>
  <c r="M311" i="1"/>
  <c r="N311" i="1"/>
  <c r="O311" i="1"/>
  <c r="P311" i="1"/>
  <c r="Q311" i="1"/>
  <c r="R311" i="1"/>
  <c r="S311" i="1"/>
  <c r="D312" i="1"/>
  <c r="E312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D313" i="1"/>
  <c r="E313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D272" i="1"/>
  <c r="E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D275" i="1"/>
  <c r="E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D276" i="1"/>
  <c r="E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D279" i="1"/>
  <c r="E279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D281" i="1"/>
  <c r="E281" i="1"/>
  <c r="H281" i="1"/>
  <c r="I281" i="1"/>
  <c r="J281" i="1"/>
  <c r="K281" i="1"/>
  <c r="L281" i="1"/>
  <c r="M281" i="1"/>
  <c r="N281" i="1"/>
  <c r="O281" i="1"/>
  <c r="P281" i="1"/>
  <c r="Q281" i="1"/>
  <c r="R281" i="1"/>
  <c r="S281" i="1"/>
  <c r="D282" i="1"/>
  <c r="E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D285" i="1"/>
  <c r="E285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D287" i="1"/>
  <c r="E287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D289" i="1"/>
  <c r="E289" i="1"/>
  <c r="H289" i="1"/>
  <c r="I289" i="1"/>
  <c r="J289" i="1"/>
  <c r="K289" i="1"/>
  <c r="L289" i="1"/>
  <c r="M289" i="1"/>
  <c r="N289" i="1"/>
  <c r="O289" i="1"/>
  <c r="P289" i="1"/>
  <c r="Q289" i="1"/>
  <c r="R289" i="1"/>
  <c r="S289" i="1"/>
  <c r="D290" i="1"/>
  <c r="E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D291" i="1"/>
  <c r="E291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D261" i="1"/>
  <c r="E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D262" i="1"/>
  <c r="E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D263" i="1"/>
  <c r="E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D264" i="1"/>
  <c r="E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D265" i="1"/>
  <c r="E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D266" i="1"/>
  <c r="D228" i="16" s="1"/>
  <c r="E266" i="1"/>
  <c r="C228" i="16" s="1"/>
  <c r="H266" i="1"/>
  <c r="I266" i="1"/>
  <c r="J266" i="1"/>
  <c r="K266" i="1"/>
  <c r="L266" i="1"/>
  <c r="M266" i="1"/>
  <c r="N266" i="1"/>
  <c r="O266" i="1"/>
  <c r="P266" i="1"/>
  <c r="Q266" i="1"/>
  <c r="R266" i="1"/>
  <c r="S266" i="1"/>
  <c r="D211" i="1"/>
  <c r="E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D212" i="1"/>
  <c r="E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D213" i="1"/>
  <c r="E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D214" i="1"/>
  <c r="E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D163" i="1"/>
  <c r="E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D166" i="1"/>
  <c r="E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D167" i="1"/>
  <c r="E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D96" i="1"/>
  <c r="E96" i="1"/>
  <c r="H96" i="1"/>
  <c r="I96" i="1"/>
  <c r="J96" i="1"/>
  <c r="K96" i="1"/>
  <c r="L96" i="1"/>
  <c r="M96" i="1"/>
  <c r="N96" i="1"/>
  <c r="O96" i="1"/>
  <c r="P96" i="1"/>
  <c r="Q96" i="1"/>
  <c r="R96" i="1"/>
  <c r="S96" i="1"/>
  <c r="D100" i="1"/>
  <c r="E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D68" i="1"/>
  <c r="E68" i="1"/>
  <c r="H68" i="1"/>
  <c r="I68" i="1"/>
  <c r="J68" i="1"/>
  <c r="K68" i="1"/>
  <c r="L68" i="1"/>
  <c r="M68" i="1"/>
  <c r="N68" i="1"/>
  <c r="O68" i="1"/>
  <c r="P68" i="1"/>
  <c r="Q68" i="1"/>
  <c r="R68" i="1"/>
  <c r="S68" i="1"/>
  <c r="D55" i="1"/>
  <c r="E55" i="1"/>
  <c r="H55" i="1"/>
  <c r="I55" i="1"/>
  <c r="J55" i="1"/>
  <c r="K55" i="1"/>
  <c r="L55" i="1"/>
  <c r="M55" i="1"/>
  <c r="N55" i="1"/>
  <c r="O55" i="1"/>
  <c r="P55" i="1"/>
  <c r="Q55" i="1"/>
  <c r="R55" i="1"/>
  <c r="S55" i="1"/>
  <c r="D27" i="18"/>
  <c r="D27" i="1"/>
  <c r="E27" i="1"/>
  <c r="H27" i="1"/>
  <c r="I27" i="1"/>
  <c r="J27" i="1"/>
  <c r="K27" i="1"/>
  <c r="L27" i="1"/>
  <c r="M27" i="1"/>
  <c r="N27" i="1"/>
  <c r="O27" i="1"/>
  <c r="P27" i="1"/>
  <c r="Q27" i="1"/>
  <c r="R27" i="1"/>
  <c r="S27" i="1"/>
  <c r="D28" i="1"/>
  <c r="E28" i="1"/>
  <c r="H28" i="1"/>
  <c r="I28" i="1"/>
  <c r="J28" i="1"/>
  <c r="K28" i="1"/>
  <c r="L28" i="1"/>
  <c r="M28" i="1"/>
  <c r="N28" i="1"/>
  <c r="O28" i="1"/>
  <c r="P28" i="1"/>
  <c r="Q28" i="1"/>
  <c r="R28" i="1"/>
  <c r="S28" i="1"/>
  <c r="D29" i="1"/>
  <c r="E29" i="1"/>
  <c r="H29" i="1"/>
  <c r="I29" i="1"/>
  <c r="J29" i="1"/>
  <c r="K29" i="1"/>
  <c r="L29" i="1"/>
  <c r="M29" i="1"/>
  <c r="N29" i="1"/>
  <c r="O29" i="1"/>
  <c r="P29" i="1"/>
  <c r="Q29" i="1"/>
  <c r="R29" i="1"/>
  <c r="S29" i="1"/>
  <c r="D24" i="1"/>
  <c r="E24" i="1"/>
  <c r="H24" i="1"/>
  <c r="I24" i="1"/>
  <c r="J24" i="1"/>
  <c r="K24" i="1"/>
  <c r="L24" i="1"/>
  <c r="M24" i="1"/>
  <c r="N24" i="1"/>
  <c r="O24" i="1"/>
  <c r="P24" i="1"/>
  <c r="Q24" i="1"/>
  <c r="R24" i="1"/>
  <c r="S24" i="1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F162" i="9"/>
  <c r="G162" i="9" s="1"/>
  <c r="F163" i="9"/>
  <c r="G163" i="9" s="1"/>
  <c r="F164" i="9"/>
  <c r="G164" i="9" s="1"/>
  <c r="F165" i="9"/>
  <c r="G165" i="9" s="1"/>
  <c r="F166" i="9"/>
  <c r="G166" i="9" s="1"/>
  <c r="F167" i="9"/>
  <c r="G167" i="9" s="1"/>
  <c r="F168" i="9"/>
  <c r="G168" i="9" s="1"/>
  <c r="F169" i="9"/>
  <c r="G169" i="9" s="1"/>
  <c r="F170" i="9"/>
  <c r="G170" i="9" s="1"/>
  <c r="F171" i="9"/>
  <c r="G171" i="9" s="1"/>
  <c r="F172" i="9"/>
  <c r="G172" i="9" s="1"/>
  <c r="F173" i="9"/>
  <c r="G173" i="9" s="1"/>
  <c r="F174" i="9"/>
  <c r="G174" i="9" s="1"/>
  <c r="F175" i="9"/>
  <c r="G175" i="9" s="1"/>
  <c r="F176" i="9"/>
  <c r="G176" i="9" s="1"/>
  <c r="F177" i="9"/>
  <c r="G177" i="9" s="1"/>
  <c r="F178" i="9"/>
  <c r="G178" i="9" s="1"/>
  <c r="F179" i="9"/>
  <c r="G179" i="9" s="1"/>
  <c r="F180" i="9"/>
  <c r="G180" i="9" s="1"/>
  <c r="F181" i="9"/>
  <c r="G181" i="9" s="1"/>
  <c r="F182" i="9"/>
  <c r="G182" i="9" s="1"/>
  <c r="F183" i="9"/>
  <c r="G183" i="9" s="1"/>
  <c r="F184" i="9"/>
  <c r="G184" i="9" s="1"/>
  <c r="F185" i="9"/>
  <c r="G185" i="9" s="1"/>
  <c r="F186" i="9"/>
  <c r="G186" i="9" s="1"/>
  <c r="F187" i="9"/>
  <c r="G187" i="9" s="1"/>
  <c r="F188" i="9"/>
  <c r="G188" i="9" s="1"/>
  <c r="F189" i="9"/>
  <c r="G189" i="9" s="1"/>
  <c r="F190" i="9"/>
  <c r="G190" i="9" s="1"/>
  <c r="F191" i="9"/>
  <c r="G191" i="9" s="1"/>
  <c r="F192" i="9"/>
  <c r="G192" i="9" s="1"/>
  <c r="F193" i="9"/>
  <c r="G193" i="9" s="1"/>
  <c r="F194" i="9"/>
  <c r="G194" i="9" s="1"/>
  <c r="F195" i="9"/>
  <c r="G195" i="9" s="1"/>
  <c r="K250" i="2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F159" i="8"/>
  <c r="G159" i="8" s="1"/>
  <c r="F160" i="8"/>
  <c r="G160" i="8" s="1"/>
  <c r="F161" i="8"/>
  <c r="G161" i="8" s="1"/>
  <c r="F162" i="8"/>
  <c r="G162" i="8" s="1"/>
  <c r="F163" i="8"/>
  <c r="G163" i="8" s="1"/>
  <c r="F164" i="8"/>
  <c r="G164" i="8" s="1"/>
  <c r="F165" i="8"/>
  <c r="G165" i="8" s="1"/>
  <c r="F166" i="8"/>
  <c r="G166" i="8" s="1"/>
  <c r="F167" i="8"/>
  <c r="G167" i="8" s="1"/>
  <c r="F168" i="8"/>
  <c r="G168" i="8" s="1"/>
  <c r="F169" i="8"/>
  <c r="G169" i="8" s="1"/>
  <c r="F170" i="8"/>
  <c r="G170" i="8" s="1"/>
  <c r="F171" i="8"/>
  <c r="G171" i="8" s="1"/>
  <c r="F172" i="8"/>
  <c r="G172" i="8" s="1"/>
  <c r="F173" i="8"/>
  <c r="G173" i="8" s="1"/>
  <c r="F174" i="8"/>
  <c r="G174" i="8" s="1"/>
  <c r="F175" i="8"/>
  <c r="G175" i="8" s="1"/>
  <c r="F176" i="8"/>
  <c r="G176" i="8" s="1"/>
  <c r="F177" i="8"/>
  <c r="G177" i="8" s="1"/>
  <c r="F178" i="8"/>
  <c r="G178" i="8" s="1"/>
  <c r="F179" i="8"/>
  <c r="G179" i="8" s="1"/>
  <c r="F180" i="8"/>
  <c r="G180" i="8" s="1"/>
  <c r="F181" i="8"/>
  <c r="G181" i="8" s="1"/>
  <c r="F182" i="8"/>
  <c r="G182" i="8" s="1"/>
  <c r="F183" i="8"/>
  <c r="G183" i="8" s="1"/>
  <c r="F184" i="8"/>
  <c r="G184" i="8" s="1"/>
  <c r="F185" i="8"/>
  <c r="G185" i="8" s="1"/>
  <c r="F186" i="8"/>
  <c r="G186" i="8" s="1"/>
  <c r="F187" i="8"/>
  <c r="G187" i="8" s="1"/>
  <c r="F188" i="8"/>
  <c r="G188" i="8" s="1"/>
  <c r="F189" i="8"/>
  <c r="G189" i="8" s="1"/>
  <c r="F190" i="8"/>
  <c r="G190" i="8" s="1"/>
  <c r="F191" i="8"/>
  <c r="G191" i="8" s="1"/>
  <c r="J245" i="28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F156" i="7"/>
  <c r="G156" i="7" s="1"/>
  <c r="F157" i="7"/>
  <c r="G157" i="7" s="1"/>
  <c r="F158" i="7"/>
  <c r="G158" i="7" s="1"/>
  <c r="F159" i="7"/>
  <c r="G159" i="7" s="1"/>
  <c r="F160" i="7"/>
  <c r="G160" i="7" s="1"/>
  <c r="F161" i="7"/>
  <c r="G161" i="7" s="1"/>
  <c r="F162" i="7"/>
  <c r="G162" i="7" s="1"/>
  <c r="F163" i="7"/>
  <c r="G163" i="7" s="1"/>
  <c r="F164" i="7"/>
  <c r="G164" i="7" s="1"/>
  <c r="F165" i="7"/>
  <c r="G165" i="7" s="1"/>
  <c r="F166" i="7"/>
  <c r="G166" i="7" s="1"/>
  <c r="F167" i="7"/>
  <c r="G167" i="7" s="1"/>
  <c r="F168" i="7"/>
  <c r="G168" i="7" s="1"/>
  <c r="F169" i="7"/>
  <c r="G169" i="7" s="1"/>
  <c r="F170" i="7"/>
  <c r="G170" i="7" s="1"/>
  <c r="F171" i="7"/>
  <c r="G171" i="7" s="1"/>
  <c r="F172" i="7"/>
  <c r="G172" i="7" s="1"/>
  <c r="F173" i="7"/>
  <c r="G173" i="7" s="1"/>
  <c r="F174" i="7"/>
  <c r="G174" i="7" s="1"/>
  <c r="F175" i="7"/>
  <c r="G175" i="7" s="1"/>
  <c r="F176" i="7"/>
  <c r="G176" i="7" s="1"/>
  <c r="F177" i="7"/>
  <c r="G177" i="7" s="1"/>
  <c r="F178" i="7"/>
  <c r="G178" i="7" s="1"/>
  <c r="F179" i="7"/>
  <c r="G179" i="7" s="1"/>
  <c r="F180" i="7"/>
  <c r="G180" i="7" s="1"/>
  <c r="F181" i="7"/>
  <c r="G181" i="7" s="1"/>
  <c r="F182" i="7"/>
  <c r="G182" i="7" s="1"/>
  <c r="F183" i="7"/>
  <c r="G183" i="7" s="1"/>
  <c r="F184" i="7"/>
  <c r="G184" i="7" s="1"/>
  <c r="F185" i="7"/>
  <c r="G185" i="7" s="1"/>
  <c r="F186" i="7"/>
  <c r="G186" i="7" s="1"/>
  <c r="F187" i="7"/>
  <c r="G187" i="7" s="1"/>
  <c r="F188" i="7"/>
  <c r="G188" i="7" s="1"/>
  <c r="I208" i="28"/>
  <c r="E15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F154" i="2"/>
  <c r="G154" i="2" s="1"/>
  <c r="F155" i="2"/>
  <c r="G155" i="2" s="1"/>
  <c r="F156" i="2"/>
  <c r="G156" i="2" s="1"/>
  <c r="F157" i="2"/>
  <c r="G157" i="2" s="1"/>
  <c r="F158" i="2"/>
  <c r="G158" i="2" s="1"/>
  <c r="F159" i="2"/>
  <c r="G159" i="2" s="1"/>
  <c r="F160" i="2"/>
  <c r="G160" i="2" s="1"/>
  <c r="F161" i="2"/>
  <c r="G161" i="2" s="1"/>
  <c r="F162" i="2"/>
  <c r="G162" i="2" s="1"/>
  <c r="F163" i="2"/>
  <c r="G163" i="2" s="1"/>
  <c r="F164" i="2"/>
  <c r="G164" i="2" s="1"/>
  <c r="F165" i="2"/>
  <c r="G165" i="2" s="1"/>
  <c r="F166" i="2"/>
  <c r="G166" i="2" s="1"/>
  <c r="F167" i="2"/>
  <c r="G167" i="2" s="1"/>
  <c r="F168" i="2"/>
  <c r="G168" i="2" s="1"/>
  <c r="F169" i="2"/>
  <c r="G169" i="2" s="1"/>
  <c r="F170" i="2"/>
  <c r="G170" i="2" s="1"/>
  <c r="F171" i="2"/>
  <c r="G171" i="2" s="1"/>
  <c r="F172" i="2"/>
  <c r="G172" i="2" s="1"/>
  <c r="F173" i="2"/>
  <c r="G173" i="2" s="1"/>
  <c r="F174" i="2"/>
  <c r="G174" i="2" s="1"/>
  <c r="F175" i="2"/>
  <c r="G175" i="2" s="1"/>
  <c r="F176" i="2"/>
  <c r="G176" i="2" s="1"/>
  <c r="F177" i="2"/>
  <c r="G177" i="2" s="1"/>
  <c r="F178" i="2"/>
  <c r="G178" i="2" s="1"/>
  <c r="F179" i="2"/>
  <c r="G179" i="2" s="1"/>
  <c r="F180" i="2"/>
  <c r="G180" i="2" s="1"/>
  <c r="F181" i="2"/>
  <c r="G181" i="2" s="1"/>
  <c r="F182" i="2"/>
  <c r="G182" i="2" s="1"/>
  <c r="F183" i="2"/>
  <c r="G183" i="2" s="1"/>
  <c r="F184" i="2"/>
  <c r="G184" i="2" s="1"/>
  <c r="F185" i="2"/>
  <c r="G185" i="2" s="1"/>
  <c r="F186" i="2"/>
  <c r="G186" i="2" s="1"/>
  <c r="F187" i="2"/>
  <c r="G187" i="2" s="1"/>
  <c r="H185" i="28"/>
  <c r="H214" i="28"/>
  <c r="E23" i="2"/>
  <c r="E161" i="9"/>
  <c r="E159" i="9"/>
  <c r="F159" i="9"/>
  <c r="G159" i="9" s="1"/>
  <c r="E160" i="9"/>
  <c r="F160" i="9"/>
  <c r="G160" i="9" s="1"/>
  <c r="F161" i="9"/>
  <c r="G161" i="9" s="1"/>
  <c r="D132" i="1"/>
  <c r="E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H307" i="1"/>
  <c r="H308" i="1"/>
  <c r="E157" i="8"/>
  <c r="E158" i="8"/>
  <c r="X149" i="32"/>
  <c r="R35" i="23"/>
  <c r="R69" i="18"/>
  <c r="D20" i="25"/>
  <c r="AD134" i="32"/>
  <c r="F69" i="18"/>
  <c r="L149" i="32"/>
  <c r="X35" i="23"/>
  <c r="I151" i="32"/>
  <c r="I35" i="23"/>
  <c r="U144" i="32"/>
  <c r="X134" i="32"/>
  <c r="AD149" i="32"/>
  <c r="U151" i="32"/>
  <c r="I33" i="23"/>
  <c r="AG35" i="23"/>
  <c r="AA35" i="23"/>
  <c r="O149" i="32"/>
  <c r="AA151" i="32"/>
  <c r="D144" i="32"/>
  <c r="AG149" i="32"/>
  <c r="AA69" i="18"/>
  <c r="X69" i="18"/>
  <c r="AG151" i="32"/>
  <c r="F35" i="23"/>
  <c r="U35" i="23"/>
  <c r="X144" i="32"/>
  <c r="U33" i="23"/>
  <c r="F134" i="32"/>
  <c r="AD151" i="32"/>
  <c r="AD144" i="32"/>
  <c r="L134" i="32"/>
  <c r="U69" i="18"/>
  <c r="AA149" i="32"/>
  <c r="AA33" i="23"/>
  <c r="AA150" i="32"/>
  <c r="U150" i="32"/>
  <c r="R134" i="32"/>
  <c r="O151" i="32"/>
  <c r="O35" i="23"/>
  <c r="R150" i="32"/>
  <c r="I134" i="32"/>
  <c r="AG150" i="32"/>
  <c r="R149" i="32"/>
  <c r="O134" i="32"/>
  <c r="L144" i="32"/>
  <c r="AD69" i="18"/>
  <c r="AJ134" i="32"/>
  <c r="R151" i="32"/>
  <c r="AM33" i="23"/>
  <c r="I69" i="18"/>
  <c r="O33" i="23"/>
  <c r="O150" i="32"/>
  <c r="O144" i="32"/>
  <c r="L69" i="18"/>
  <c r="R33" i="23"/>
  <c r="AM69" i="18"/>
  <c r="AJ69" i="18"/>
  <c r="D149" i="32"/>
  <c r="AD33" i="23"/>
  <c r="AG144" i="32"/>
  <c r="F150" i="32"/>
  <c r="AJ144" i="32"/>
  <c r="AJ35" i="23"/>
  <c r="U134" i="32"/>
  <c r="AJ149" i="32"/>
  <c r="O69" i="18"/>
  <c r="X151" i="32"/>
  <c r="L35" i="23"/>
  <c r="AA134" i="32"/>
  <c r="AD150" i="32"/>
  <c r="I150" i="32"/>
  <c r="U149" i="32"/>
  <c r="AA144" i="32"/>
  <c r="AG69" i="18"/>
  <c r="D134" i="32"/>
  <c r="AJ151" i="32"/>
  <c r="X150" i="32"/>
  <c r="L150" i="32"/>
  <c r="AJ150" i="32"/>
  <c r="AJ33" i="23"/>
  <c r="L151" i="32"/>
  <c r="F33" i="23"/>
  <c r="F149" i="32"/>
  <c r="F144" i="32"/>
  <c r="X33" i="23"/>
  <c r="D150" i="32"/>
  <c r="L33" i="23"/>
  <c r="D151" i="32"/>
  <c r="AG33" i="23"/>
  <c r="I149" i="32"/>
  <c r="AD35" i="23"/>
  <c r="F151" i="32"/>
  <c r="R144" i="32"/>
  <c r="AM35" i="23"/>
  <c r="AG134" i="32"/>
  <c r="I144" i="32"/>
  <c r="C233" i="16" l="1"/>
  <c r="D233" i="16"/>
  <c r="R42" i="28"/>
  <c r="R44" i="28"/>
  <c r="R47" i="28"/>
  <c r="C224" i="15"/>
  <c r="D224" i="15"/>
  <c r="D221" i="13"/>
  <c r="D225" i="17"/>
  <c r="D223" i="16"/>
  <c r="C229" i="15"/>
  <c r="C229" i="16"/>
  <c r="D229" i="15"/>
  <c r="D229" i="16"/>
  <c r="C225" i="16"/>
  <c r="C227" i="14"/>
  <c r="C227" i="17"/>
  <c r="C225" i="15"/>
  <c r="D225" i="16"/>
  <c r="D227" i="14"/>
  <c r="D227" i="17"/>
  <c r="D225" i="15"/>
  <c r="C228" i="17"/>
  <c r="C221" i="13"/>
  <c r="C225" i="17"/>
  <c r="C223" i="16"/>
  <c r="D228" i="17"/>
  <c r="AC35" i="23"/>
  <c r="Z35" i="23"/>
  <c r="W35" i="23"/>
  <c r="AO33" i="23"/>
  <c r="Q33" i="23"/>
  <c r="T134" i="32"/>
  <c r="AL33" i="23"/>
  <c r="Q134" i="32"/>
  <c r="T35" i="23"/>
  <c r="N33" i="23"/>
  <c r="AO35" i="23"/>
  <c r="Q35" i="23"/>
  <c r="AI33" i="23"/>
  <c r="K33" i="23"/>
  <c r="AL134" i="32"/>
  <c r="N134" i="32"/>
  <c r="AL35" i="23"/>
  <c r="AF33" i="23"/>
  <c r="AI134" i="32"/>
  <c r="K134" i="32"/>
  <c r="N35" i="23"/>
  <c r="H33" i="23"/>
  <c r="AI35" i="23"/>
  <c r="K35" i="23"/>
  <c r="AC33" i="23"/>
  <c r="AF134" i="32"/>
  <c r="H134" i="32"/>
  <c r="AF35" i="23"/>
  <c r="H35" i="23"/>
  <c r="Z33" i="23"/>
  <c r="AC134" i="32"/>
  <c r="Z134" i="32"/>
  <c r="W33" i="23"/>
  <c r="T33" i="23"/>
  <c r="W134" i="32"/>
  <c r="D238" i="9"/>
  <c r="D239" i="16"/>
  <c r="C257" i="10"/>
  <c r="C258" i="9"/>
  <c r="C225" i="13"/>
  <c r="C250" i="2"/>
  <c r="D258" i="9"/>
  <c r="D257" i="10"/>
  <c r="D225" i="13"/>
  <c r="D250" i="2"/>
  <c r="C231" i="10"/>
  <c r="C228" i="13"/>
  <c r="D231" i="10"/>
  <c r="D228" i="13"/>
  <c r="C254" i="7"/>
  <c r="C252" i="8"/>
  <c r="D252" i="8"/>
  <c r="D254" i="7"/>
  <c r="C239" i="16"/>
  <c r="C238" i="9"/>
  <c r="C247" i="15"/>
  <c r="C253" i="8"/>
  <c r="C255" i="7"/>
  <c r="D255" i="7"/>
  <c r="D253" i="8"/>
  <c r="D247" i="15"/>
  <c r="O251" i="28"/>
  <c r="O247" i="28"/>
  <c r="O254" i="28"/>
  <c r="O255" i="28"/>
  <c r="C222" i="2"/>
  <c r="D222" i="2"/>
  <c r="C222" i="13"/>
  <c r="D222" i="13"/>
  <c r="C244" i="12"/>
  <c r="D244" i="12"/>
  <c r="C226" i="12"/>
  <c r="C222" i="11"/>
  <c r="C222" i="12"/>
  <c r="D226" i="12"/>
  <c r="D222" i="12"/>
  <c r="D222" i="11"/>
  <c r="C223" i="2"/>
  <c r="D223" i="2"/>
  <c r="C225" i="10"/>
  <c r="C223" i="12"/>
  <c r="C224" i="2"/>
  <c r="D224" i="2"/>
  <c r="D225" i="10"/>
  <c r="D223" i="12"/>
  <c r="M256" i="28"/>
  <c r="M258" i="28"/>
  <c r="M252" i="28"/>
  <c r="M254" i="28"/>
  <c r="M248" i="28"/>
  <c r="M247" i="28"/>
  <c r="M255" i="28"/>
  <c r="M257" i="28"/>
  <c r="M251" i="28"/>
  <c r="K249" i="28"/>
  <c r="I248" i="28"/>
  <c r="K248" i="28"/>
  <c r="K253" i="28"/>
  <c r="K256" i="28"/>
  <c r="K261" i="28"/>
  <c r="K247" i="28"/>
  <c r="K252" i="28"/>
  <c r="K258" i="28"/>
  <c r="K263" i="28"/>
  <c r="K259" i="28"/>
  <c r="K264" i="28"/>
  <c r="K255" i="28"/>
  <c r="K260" i="28"/>
  <c r="K251" i="28"/>
  <c r="J255" i="28"/>
  <c r="J260" i="28"/>
  <c r="J248" i="28"/>
  <c r="J253" i="28"/>
  <c r="J251" i="28"/>
  <c r="J256" i="28"/>
  <c r="J246" i="28"/>
  <c r="J247" i="28"/>
  <c r="J252" i="28"/>
  <c r="J244" i="28"/>
  <c r="J249" i="28"/>
  <c r="I247" i="28"/>
  <c r="I252" i="28"/>
  <c r="I246" i="28"/>
  <c r="I251" i="28"/>
  <c r="I244" i="28"/>
  <c r="I249" i="28"/>
  <c r="AC69" i="18"/>
  <c r="Z69" i="18"/>
  <c r="W69" i="18"/>
  <c r="T69" i="18"/>
  <c r="AF69" i="18"/>
  <c r="AO69" i="18"/>
  <c r="Q69" i="18"/>
  <c r="H69" i="18"/>
  <c r="AL69" i="18"/>
  <c r="N69" i="18"/>
  <c r="AI69" i="18"/>
  <c r="K69" i="18"/>
  <c r="C234" i="17"/>
  <c r="C231" i="15"/>
  <c r="C227" i="11"/>
  <c r="C224" i="9"/>
  <c r="C219" i="17"/>
  <c r="C215" i="14"/>
  <c r="C216" i="15"/>
  <c r="C212" i="13"/>
  <c r="C216" i="16"/>
  <c r="C229" i="9"/>
  <c r="C233" i="17"/>
  <c r="C226" i="10"/>
  <c r="C226" i="11"/>
  <c r="C261" i="15"/>
  <c r="C205" i="15"/>
  <c r="D234" i="17"/>
  <c r="D231" i="15"/>
  <c r="D227" i="11"/>
  <c r="D224" i="9"/>
  <c r="D227" i="9"/>
  <c r="D227" i="7"/>
  <c r="D219" i="17"/>
  <c r="D215" i="14"/>
  <c r="D216" i="15"/>
  <c r="D212" i="13"/>
  <c r="D216" i="16"/>
  <c r="D229" i="9"/>
  <c r="D226" i="10"/>
  <c r="D226" i="11"/>
  <c r="D261" i="15"/>
  <c r="D205" i="15"/>
  <c r="D214" i="14"/>
  <c r="D215" i="15"/>
  <c r="D213" i="12"/>
  <c r="D239" i="15"/>
  <c r="C217" i="15"/>
  <c r="C213" i="13"/>
  <c r="C213" i="15"/>
  <c r="C230" i="9"/>
  <c r="C232" i="15"/>
  <c r="C235" i="17"/>
  <c r="C225" i="7"/>
  <c r="C229" i="12"/>
  <c r="C225" i="9"/>
  <c r="C230" i="14"/>
  <c r="C228" i="10"/>
  <c r="C226" i="17"/>
  <c r="C223" i="15"/>
  <c r="D231" i="16"/>
  <c r="D230" i="17"/>
  <c r="D223" i="11"/>
  <c r="D220" i="9"/>
  <c r="D217" i="15"/>
  <c r="D213" i="15"/>
  <c r="D213" i="13"/>
  <c r="D230" i="9"/>
  <c r="D235" i="17"/>
  <c r="D230" i="14"/>
  <c r="D229" i="12"/>
  <c r="D232" i="15"/>
  <c r="D228" i="10"/>
  <c r="D225" i="9"/>
  <c r="D225" i="7"/>
  <c r="D223" i="15"/>
  <c r="C219" i="14"/>
  <c r="C224" i="16"/>
  <c r="C233" i="15"/>
  <c r="C231" i="14"/>
  <c r="C226" i="7"/>
  <c r="C226" i="9"/>
  <c r="C229" i="11"/>
  <c r="C229" i="10"/>
  <c r="C226" i="15"/>
  <c r="D219" i="14"/>
  <c r="D224" i="16"/>
  <c r="C232" i="9"/>
  <c r="D233" i="15"/>
  <c r="D231" i="14"/>
  <c r="D226" i="7"/>
  <c r="D229" i="11"/>
  <c r="D226" i="9"/>
  <c r="D229" i="10"/>
  <c r="D226" i="15"/>
  <c r="D232" i="9"/>
  <c r="C231" i="17"/>
  <c r="C226" i="14"/>
  <c r="C232" i="16"/>
  <c r="C224" i="10"/>
  <c r="C228" i="15"/>
  <c r="C224" i="11"/>
  <c r="D264" i="17"/>
  <c r="C215" i="15"/>
  <c r="C213" i="12"/>
  <c r="C214" i="14"/>
  <c r="C239" i="15"/>
  <c r="C227" i="9"/>
  <c r="C227" i="7"/>
  <c r="C230" i="17"/>
  <c r="C231" i="16"/>
  <c r="C223" i="11"/>
  <c r="C220" i="9"/>
  <c r="C264" i="17"/>
  <c r="D231" i="17"/>
  <c r="D228" i="15"/>
  <c r="D232" i="16"/>
  <c r="D226" i="14"/>
  <c r="D224" i="10"/>
  <c r="D224" i="11"/>
  <c r="D233" i="17"/>
  <c r="D226" i="17"/>
  <c r="O214" i="28"/>
  <c r="T149" i="32"/>
  <c r="AF149" i="32"/>
  <c r="H149" i="32"/>
  <c r="W144" i="32"/>
  <c r="AL150" i="32"/>
  <c r="N150" i="32"/>
  <c r="W151" i="32"/>
  <c r="AC149" i="32"/>
  <c r="T144" i="32"/>
  <c r="AI150" i="32"/>
  <c r="K150" i="32"/>
  <c r="T151" i="32"/>
  <c r="AF150" i="32"/>
  <c r="H150" i="32"/>
  <c r="Q151" i="32"/>
  <c r="W149" i="32"/>
  <c r="AL144" i="32"/>
  <c r="N144" i="32"/>
  <c r="AC150" i="32"/>
  <c r="AL151" i="32"/>
  <c r="N151" i="32"/>
  <c r="AI144" i="32"/>
  <c r="K144" i="32"/>
  <c r="Z150" i="32"/>
  <c r="AI151" i="32"/>
  <c r="K151" i="32"/>
  <c r="Q144" i="32"/>
  <c r="Q149" i="32"/>
  <c r="AF144" i="32"/>
  <c r="H144" i="32"/>
  <c r="W150" i="32"/>
  <c r="AF151" i="32"/>
  <c r="H151" i="32"/>
  <c r="Z149" i="32"/>
  <c r="AL149" i="32"/>
  <c r="N149" i="32"/>
  <c r="AC144" i="32"/>
  <c r="T150" i="32"/>
  <c r="AC151" i="32"/>
  <c r="AI149" i="32"/>
  <c r="K149" i="32"/>
  <c r="Z144" i="32"/>
  <c r="Q150" i="32"/>
  <c r="Z151" i="32"/>
  <c r="R204" i="28"/>
  <c r="N44" i="28"/>
  <c r="Q44" i="28"/>
  <c r="Q244" i="28"/>
  <c r="Q181" i="28"/>
  <c r="Q193" i="28"/>
  <c r="O44" i="28"/>
  <c r="N318" i="28"/>
  <c r="I44" i="28"/>
  <c r="O318" i="28"/>
  <c r="O192" i="28"/>
  <c r="O198" i="28"/>
  <c r="O241" i="28"/>
  <c r="O194" i="28"/>
  <c r="O206" i="28"/>
  <c r="N207" i="28"/>
  <c r="N213" i="28"/>
  <c r="N183" i="28"/>
  <c r="M318" i="28"/>
  <c r="M44" i="28"/>
  <c r="M189" i="28"/>
  <c r="L318" i="28"/>
  <c r="L193" i="28"/>
  <c r="I318" i="28"/>
  <c r="I210" i="28"/>
  <c r="I202" i="28"/>
  <c r="I239" i="28"/>
  <c r="D223" i="8"/>
  <c r="D224" i="8"/>
  <c r="I216" i="28"/>
  <c r="D224" i="7"/>
  <c r="I193" i="28"/>
  <c r="I205" i="28"/>
  <c r="I196" i="28"/>
  <c r="I192" i="28"/>
  <c r="I181" i="28"/>
  <c r="O246" i="28"/>
  <c r="N246" i="28"/>
  <c r="N190" i="28"/>
  <c r="N181" i="28"/>
  <c r="Q245" i="28"/>
  <c r="Q187" i="28"/>
  <c r="O203" i="28"/>
  <c r="N199" i="28"/>
  <c r="N186" i="28"/>
  <c r="M195" i="28"/>
  <c r="M220" i="28"/>
  <c r="K246" i="28"/>
  <c r="J240" i="28"/>
  <c r="I237" i="28"/>
  <c r="I243" i="28"/>
  <c r="R245" i="28"/>
  <c r="R246" i="28"/>
  <c r="Q238" i="28"/>
  <c r="Q201" i="28"/>
  <c r="Q215" i="28"/>
  <c r="Q202" i="28"/>
  <c r="Q223" i="28"/>
  <c r="O195" i="28"/>
  <c r="O187" i="28"/>
  <c r="N197" i="28"/>
  <c r="N188" i="28"/>
  <c r="N217" i="28"/>
  <c r="N194" i="28"/>
  <c r="M246" i="28"/>
  <c r="M186" i="28"/>
  <c r="L242" i="28"/>
  <c r="I183" i="28"/>
  <c r="I241" i="28"/>
  <c r="I231" i="28"/>
  <c r="I209" i="28"/>
  <c r="I186" i="28"/>
  <c r="H230" i="28"/>
  <c r="Q230" i="28"/>
  <c r="Q246" i="28"/>
  <c r="Q198" i="28"/>
  <c r="P199" i="28"/>
  <c r="O109" i="28"/>
  <c r="O184" i="28"/>
  <c r="M213" i="28"/>
  <c r="M205" i="28"/>
  <c r="M197" i="28"/>
  <c r="L183" i="28"/>
  <c r="L195" i="28"/>
  <c r="L230" i="28"/>
  <c r="L246" i="28"/>
  <c r="J227" i="28"/>
  <c r="J243" i="28"/>
  <c r="H227" i="28"/>
  <c r="H242" i="28"/>
  <c r="H243" i="28"/>
  <c r="H241" i="28"/>
  <c r="H231" i="28"/>
  <c r="R237" i="28"/>
  <c r="R244" i="28"/>
  <c r="R236" i="28"/>
  <c r="R243" i="28"/>
  <c r="R230" i="28"/>
  <c r="R231" i="28"/>
  <c r="R238" i="28"/>
  <c r="R235" i="28"/>
  <c r="R242" i="28"/>
  <c r="R234" i="28"/>
  <c r="R241" i="28"/>
  <c r="R233" i="28"/>
  <c r="R240" i="28"/>
  <c r="R232" i="28"/>
  <c r="R239" i="28"/>
  <c r="Q239" i="28"/>
  <c r="Q194" i="28"/>
  <c r="Q243" i="28"/>
  <c r="Q216" i="28"/>
  <c r="Q200" i="28"/>
  <c r="P197" i="28"/>
  <c r="P238" i="28"/>
  <c r="O222" i="28"/>
  <c r="O244" i="28"/>
  <c r="O238" i="28"/>
  <c r="O230" i="28"/>
  <c r="O242" i="28"/>
  <c r="O196" i="28"/>
  <c r="O188" i="28"/>
  <c r="O229" i="28"/>
  <c r="N205" i="28"/>
  <c r="N238" i="28"/>
  <c r="N208" i="28"/>
  <c r="N200" i="28"/>
  <c r="N109" i="28"/>
  <c r="M109" i="28"/>
  <c r="M230" i="28"/>
  <c r="M229" i="28"/>
  <c r="M243" i="28"/>
  <c r="L244" i="28"/>
  <c r="L229" i="28"/>
  <c r="L243" i="28"/>
  <c r="L209" i="28"/>
  <c r="L182" i="28"/>
  <c r="L109" i="28"/>
  <c r="K230" i="28"/>
  <c r="K229" i="28"/>
  <c r="K243" i="28"/>
  <c r="K244" i="28"/>
  <c r="J241" i="28"/>
  <c r="J226" i="28"/>
  <c r="I240" i="28"/>
  <c r="I230" i="28"/>
  <c r="I203" i="28"/>
  <c r="I227" i="28"/>
  <c r="I219" i="28"/>
  <c r="I182" i="28"/>
  <c r="I109" i="28"/>
  <c r="I195" i="28"/>
  <c r="I242" i="28"/>
  <c r="I201" i="28"/>
  <c r="H235" i="28"/>
  <c r="Q196" i="28"/>
  <c r="Q186" i="28"/>
  <c r="Q184" i="28"/>
  <c r="Q208" i="28"/>
  <c r="Q217" i="28"/>
  <c r="Q204" i="28"/>
  <c r="Q109" i="28"/>
  <c r="Q234" i="28"/>
  <c r="Q242" i="28"/>
  <c r="Q233" i="28"/>
  <c r="Q241" i="28"/>
  <c r="Q232" i="28"/>
  <c r="Q240" i="28"/>
  <c r="P233" i="28"/>
  <c r="P241" i="28"/>
  <c r="P232" i="28"/>
  <c r="P240" i="28"/>
  <c r="P231" i="28"/>
  <c r="P239" i="28"/>
  <c r="P195" i="28"/>
  <c r="P185" i="28"/>
  <c r="P200" i="28"/>
  <c r="P237" i="28"/>
  <c r="P245" i="28"/>
  <c r="P236" i="28"/>
  <c r="P244" i="28"/>
  <c r="P198" i="28"/>
  <c r="P187" i="28"/>
  <c r="P235" i="28"/>
  <c r="P243" i="28"/>
  <c r="P234" i="28"/>
  <c r="P242" i="28"/>
  <c r="O212" i="28"/>
  <c r="O237" i="28"/>
  <c r="O245" i="28"/>
  <c r="O235" i="28"/>
  <c r="O243" i="28"/>
  <c r="O213" i="28"/>
  <c r="O205" i="28"/>
  <c r="O197" i="28"/>
  <c r="O186" i="28"/>
  <c r="O182" i="28"/>
  <c r="O144" i="28"/>
  <c r="O231" i="28"/>
  <c r="O239" i="28"/>
  <c r="O232" i="28"/>
  <c r="O240" i="28"/>
  <c r="O199" i="28"/>
  <c r="N236" i="28"/>
  <c r="N244" i="28"/>
  <c r="N235" i="28"/>
  <c r="N243" i="28"/>
  <c r="N234" i="28"/>
  <c r="N242" i="28"/>
  <c r="N196" i="28"/>
  <c r="N191" i="28"/>
  <c r="N209" i="28"/>
  <c r="N232" i="28"/>
  <c r="N240" i="28"/>
  <c r="N233" i="28"/>
  <c r="N241" i="28"/>
  <c r="N201" i="28"/>
  <c r="N231" i="28"/>
  <c r="N239" i="28"/>
  <c r="N195" i="28"/>
  <c r="N237" i="28"/>
  <c r="N245" i="28"/>
  <c r="N182" i="28"/>
  <c r="N144" i="28"/>
  <c r="M231" i="28"/>
  <c r="M239" i="28"/>
  <c r="M232" i="28"/>
  <c r="M240" i="28"/>
  <c r="M185" i="28"/>
  <c r="M237" i="28"/>
  <c r="M245" i="28"/>
  <c r="M236" i="28"/>
  <c r="M244" i="28"/>
  <c r="M234" i="28"/>
  <c r="M242" i="28"/>
  <c r="M233" i="28"/>
  <c r="M241" i="28"/>
  <c r="L232" i="28"/>
  <c r="L240" i="28"/>
  <c r="L231" i="28"/>
  <c r="L239" i="28"/>
  <c r="L233" i="28"/>
  <c r="L241" i="28"/>
  <c r="L237" i="28"/>
  <c r="L245" i="28"/>
  <c r="K234" i="28"/>
  <c r="K242" i="28"/>
  <c r="K233" i="28"/>
  <c r="K241" i="28"/>
  <c r="K237" i="28"/>
  <c r="K245" i="28"/>
  <c r="K232" i="28"/>
  <c r="K240" i="28"/>
  <c r="K231" i="28"/>
  <c r="K239" i="28"/>
  <c r="J228" i="28"/>
  <c r="J236" i="28"/>
  <c r="J229" i="28"/>
  <c r="J237" i="28"/>
  <c r="J231" i="28"/>
  <c r="J239" i="28"/>
  <c r="J223" i="28"/>
  <c r="J230" i="28"/>
  <c r="J238" i="28"/>
  <c r="J234" i="28"/>
  <c r="J242" i="28"/>
  <c r="I185" i="28"/>
  <c r="I200" i="28"/>
  <c r="I215" i="28"/>
  <c r="I228" i="28"/>
  <c r="I236" i="28"/>
  <c r="I197" i="28"/>
  <c r="H232" i="28"/>
  <c r="H240" i="28"/>
  <c r="H229" i="28"/>
  <c r="H239" i="28"/>
  <c r="H228" i="28"/>
  <c r="H236" i="28"/>
  <c r="R212" i="28"/>
  <c r="Q214" i="28"/>
  <c r="P214" i="28"/>
  <c r="P196" i="28"/>
  <c r="P189" i="28"/>
  <c r="O218" i="28"/>
  <c r="O210" i="28"/>
  <c r="N214" i="28"/>
  <c r="N216" i="28"/>
  <c r="N230" i="28"/>
  <c r="N203" i="28"/>
  <c r="N192" i="28"/>
  <c r="N184" i="28"/>
  <c r="N202" i="28"/>
  <c r="N215" i="28"/>
  <c r="N229" i="28"/>
  <c r="M228" i="28"/>
  <c r="M238" i="28"/>
  <c r="M144" i="28"/>
  <c r="M225" i="28"/>
  <c r="M235" i="28"/>
  <c r="M184" i="28"/>
  <c r="L217" i="28"/>
  <c r="L234" i="28"/>
  <c r="L228" i="28"/>
  <c r="L238" i="28"/>
  <c r="L191" i="28"/>
  <c r="L226" i="28"/>
  <c r="L236" i="28"/>
  <c r="L225" i="28"/>
  <c r="L235" i="28"/>
  <c r="K228" i="28"/>
  <c r="K238" i="28"/>
  <c r="K225" i="28"/>
  <c r="K235" i="28"/>
  <c r="K226" i="28"/>
  <c r="K236" i="28"/>
  <c r="J222" i="28"/>
  <c r="J232" i="28"/>
  <c r="J220" i="28"/>
  <c r="J233" i="28"/>
  <c r="J225" i="28"/>
  <c r="J235" i="28"/>
  <c r="I212" i="28"/>
  <c r="I226" i="28"/>
  <c r="I223" i="28"/>
  <c r="I233" i="28"/>
  <c r="I220" i="28"/>
  <c r="I234" i="28"/>
  <c r="I221" i="28"/>
  <c r="I190" i="28"/>
  <c r="I225" i="28"/>
  <c r="I235" i="28"/>
  <c r="I222" i="28"/>
  <c r="I232" i="28"/>
  <c r="I211" i="28"/>
  <c r="I229" i="28"/>
  <c r="H224" i="28"/>
  <c r="H234" i="28"/>
  <c r="H195" i="28"/>
  <c r="H223" i="28"/>
  <c r="H233" i="28"/>
  <c r="R220" i="28"/>
  <c r="R225" i="28"/>
  <c r="R224" i="28"/>
  <c r="R229" i="28"/>
  <c r="R223" i="28"/>
  <c r="R228" i="28"/>
  <c r="R222" i="28"/>
  <c r="R227" i="28"/>
  <c r="R221" i="28"/>
  <c r="R226" i="28"/>
  <c r="Q190" i="28"/>
  <c r="Q226" i="28"/>
  <c r="Q236" i="28"/>
  <c r="Q225" i="28"/>
  <c r="Q235" i="28"/>
  <c r="Q182" i="28"/>
  <c r="Q199" i="28"/>
  <c r="Q197" i="28"/>
  <c r="Q221" i="28"/>
  <c r="Q231" i="28"/>
  <c r="Q213" i="28"/>
  <c r="Q205" i="28"/>
  <c r="Q192" i="28"/>
  <c r="Q144" i="28"/>
  <c r="Q212" i="28"/>
  <c r="Q191" i="28"/>
  <c r="Q189" i="28"/>
  <c r="Q222" i="28"/>
  <c r="Q227" i="28"/>
  <c r="Q237" i="28"/>
  <c r="Q219" i="28"/>
  <c r="Q229" i="28"/>
  <c r="Q211" i="28"/>
  <c r="P216" i="28"/>
  <c r="P230" i="28"/>
  <c r="P208" i="28"/>
  <c r="P190" i="28"/>
  <c r="P181" i="28"/>
  <c r="P215" i="28"/>
  <c r="P229" i="28"/>
  <c r="P188" i="28"/>
  <c r="P206" i="28"/>
  <c r="P213" i="28"/>
  <c r="P205" i="28"/>
  <c r="P186" i="28"/>
  <c r="P109" i="28"/>
  <c r="O226" i="28"/>
  <c r="O236" i="28"/>
  <c r="O220" i="28"/>
  <c r="O234" i="28"/>
  <c r="O189" i="28"/>
  <c r="O219" i="28"/>
  <c r="O233" i="28"/>
  <c r="O211" i="28"/>
  <c r="O185" i="28"/>
  <c r="R192" i="28"/>
  <c r="R144" i="28"/>
  <c r="R109" i="28"/>
  <c r="R188" i="28"/>
  <c r="R181" i="28"/>
  <c r="R197" i="28"/>
  <c r="R219" i="28"/>
  <c r="R211" i="28"/>
  <c r="R202" i="28"/>
  <c r="R195" i="28"/>
  <c r="R206" i="28"/>
  <c r="R201" i="28"/>
  <c r="R183" i="28"/>
  <c r="R209" i="28"/>
  <c r="R185" i="28"/>
  <c r="R214" i="28"/>
  <c r="R198" i="28"/>
  <c r="Q206" i="28"/>
  <c r="Q188" i="28"/>
  <c r="Q224" i="28"/>
  <c r="Q228" i="28"/>
  <c r="Q220" i="28"/>
  <c r="Q195" i="28"/>
  <c r="Q218" i="28"/>
  <c r="Q210" i="28"/>
  <c r="Q203" i="28"/>
  <c r="Q185" i="28"/>
  <c r="Q183" i="28"/>
  <c r="P221" i="28"/>
  <c r="P225" i="28"/>
  <c r="P193" i="28"/>
  <c r="P218" i="28"/>
  <c r="P223" i="28"/>
  <c r="P227" i="28"/>
  <c r="P210" i="28"/>
  <c r="P219" i="28"/>
  <c r="P211" i="28"/>
  <c r="P202" i="28"/>
  <c r="P183" i="28"/>
  <c r="P222" i="28"/>
  <c r="P226" i="28"/>
  <c r="P220" i="28"/>
  <c r="P204" i="28"/>
  <c r="P194" i="28"/>
  <c r="P203" i="28"/>
  <c r="P182" i="28"/>
  <c r="P224" i="28"/>
  <c r="P228" i="28"/>
  <c r="P212" i="28"/>
  <c r="P192" i="28"/>
  <c r="P217" i="28"/>
  <c r="P209" i="28"/>
  <c r="P201" i="28"/>
  <c r="P191" i="28"/>
  <c r="P184" i="28"/>
  <c r="O202" i="28"/>
  <c r="O183" i="28"/>
  <c r="O221" i="28"/>
  <c r="O225" i="28"/>
  <c r="O217" i="28"/>
  <c r="O209" i="28"/>
  <c r="O201" i="28"/>
  <c r="O191" i="28"/>
  <c r="O224" i="28"/>
  <c r="O228" i="28"/>
  <c r="O216" i="28"/>
  <c r="O208" i="28"/>
  <c r="O200" i="28"/>
  <c r="O190" i="28"/>
  <c r="O181" i="28"/>
  <c r="O204" i="28"/>
  <c r="O223" i="28"/>
  <c r="O227" i="28"/>
  <c r="O215" i="28"/>
  <c r="O207" i="28"/>
  <c r="O193" i="28"/>
  <c r="N224" i="28"/>
  <c r="N228" i="28"/>
  <c r="N222" i="28"/>
  <c r="N226" i="28"/>
  <c r="N206" i="28"/>
  <c r="N198" i="28"/>
  <c r="N187" i="28"/>
  <c r="N221" i="28"/>
  <c r="N225" i="28"/>
  <c r="N220" i="28"/>
  <c r="N212" i="28"/>
  <c r="N204" i="28"/>
  <c r="N189" i="28"/>
  <c r="N223" i="28"/>
  <c r="N227" i="28"/>
  <c r="N193" i="28"/>
  <c r="N211" i="28"/>
  <c r="N185" i="28"/>
  <c r="N218" i="28"/>
  <c r="N219" i="28"/>
  <c r="M209" i="28"/>
  <c r="M183" i="28"/>
  <c r="M193" i="28"/>
  <c r="M217" i="28"/>
  <c r="M191" i="28"/>
  <c r="M201" i="28"/>
  <c r="M224" i="28"/>
  <c r="M227" i="28"/>
  <c r="M221" i="28"/>
  <c r="M226" i="28"/>
  <c r="L198" i="28"/>
  <c r="L224" i="28"/>
  <c r="L227" i="28"/>
  <c r="L144" i="28"/>
  <c r="L213" i="28"/>
  <c r="L186" i="28"/>
  <c r="K224" i="28"/>
  <c r="K227" i="28"/>
  <c r="J221" i="28"/>
  <c r="J224" i="28"/>
  <c r="I188" i="28"/>
  <c r="I198" i="28"/>
  <c r="I187" i="28"/>
  <c r="I206" i="28"/>
  <c r="I213" i="28"/>
  <c r="I204" i="28"/>
  <c r="I194" i="28"/>
  <c r="I217" i="28"/>
  <c r="I224" i="28"/>
  <c r="I189" i="28"/>
  <c r="H218" i="28"/>
  <c r="H221" i="28"/>
  <c r="H225" i="28"/>
  <c r="H212" i="28"/>
  <c r="H222" i="28"/>
  <c r="R186" i="28"/>
  <c r="R213" i="28"/>
  <c r="R205" i="28"/>
  <c r="R218" i="28"/>
  <c r="R210" i="28"/>
  <c r="R203" i="28"/>
  <c r="R190" i="28"/>
  <c r="R187" i="28"/>
  <c r="D175" i="16"/>
  <c r="D181" i="16"/>
  <c r="R182" i="28"/>
  <c r="R200" i="28"/>
  <c r="R217" i="28"/>
  <c r="R194" i="28"/>
  <c r="R189" i="28"/>
  <c r="R193" i="28"/>
  <c r="R216" i="28"/>
  <c r="R208" i="28"/>
  <c r="R215" i="28"/>
  <c r="R207" i="28"/>
  <c r="R199" i="28"/>
  <c r="R191" i="28"/>
  <c r="R184" i="28"/>
  <c r="R196" i="28"/>
  <c r="D173" i="15"/>
  <c r="D176" i="16"/>
  <c r="I214" i="28"/>
  <c r="I191" i="28"/>
  <c r="K220" i="28"/>
  <c r="L208" i="28"/>
  <c r="L223" i="28"/>
  <c r="L214" i="28"/>
  <c r="L206" i="28"/>
  <c r="M200" i="28"/>
  <c r="M181" i="28"/>
  <c r="M216" i="28"/>
  <c r="M212" i="28"/>
  <c r="M208" i="28"/>
  <c r="M204" i="28"/>
  <c r="M196" i="28"/>
  <c r="M190" i="28"/>
  <c r="I207" i="28"/>
  <c r="I199" i="28"/>
  <c r="I218" i="28"/>
  <c r="J216" i="28"/>
  <c r="J219" i="28"/>
  <c r="J215" i="28"/>
  <c r="J218" i="28"/>
  <c r="K221" i="28"/>
  <c r="K222" i="28"/>
  <c r="K223" i="28"/>
  <c r="L201" i="28"/>
  <c r="L190" i="28"/>
  <c r="L200" i="28"/>
  <c r="L215" i="28"/>
  <c r="L211" i="28"/>
  <c r="L199" i="28"/>
  <c r="M219" i="28"/>
  <c r="M215" i="28"/>
  <c r="M211" i="28"/>
  <c r="M207" i="28"/>
  <c r="M203" i="28"/>
  <c r="M199" i="28"/>
  <c r="M194" i="28"/>
  <c r="M182" i="28"/>
  <c r="M222" i="28"/>
  <c r="M218" i="28"/>
  <c r="M214" i="28"/>
  <c r="M210" i="28"/>
  <c r="M206" i="28"/>
  <c r="M202" i="28"/>
  <c r="M198" i="28"/>
  <c r="M192" i="28"/>
  <c r="M188" i="28"/>
  <c r="M187" i="28"/>
  <c r="M223" i="28"/>
  <c r="L205" i="28"/>
  <c r="L181" i="28"/>
  <c r="L187" i="28"/>
  <c r="L218" i="28"/>
  <c r="L210" i="28"/>
  <c r="L202" i="28"/>
  <c r="L192" i="28"/>
  <c r="K207" i="28"/>
  <c r="K216" i="28"/>
  <c r="J217" i="28"/>
  <c r="I144" i="28"/>
  <c r="I184" i="28"/>
  <c r="H144" i="28"/>
  <c r="H217" i="28"/>
  <c r="L196" i="28"/>
  <c r="L212" i="28"/>
  <c r="L188" i="28"/>
  <c r="L220" i="28"/>
  <c r="L197" i="28"/>
  <c r="L219" i="28"/>
  <c r="L203" i="28"/>
  <c r="L194" i="28"/>
  <c r="L184" i="28"/>
  <c r="L204" i="28"/>
  <c r="L216" i="28"/>
  <c r="L207" i="28"/>
  <c r="L185" i="28"/>
  <c r="L222" i="28"/>
  <c r="L189" i="28"/>
  <c r="L221" i="28"/>
  <c r="J207" i="28"/>
  <c r="H211" i="28"/>
  <c r="K214" i="28"/>
  <c r="J214" i="28"/>
  <c r="J210" i="28"/>
  <c r="J206" i="28"/>
  <c r="J211" i="28"/>
  <c r="J208" i="28"/>
  <c r="J213" i="28"/>
  <c r="H216" i="28"/>
  <c r="H197" i="28"/>
  <c r="H205" i="28"/>
  <c r="H187" i="28"/>
  <c r="H196" i="28"/>
  <c r="H186" i="28"/>
  <c r="H213" i="28"/>
  <c r="H202" i="28"/>
  <c r="H192" i="28"/>
  <c r="H207" i="28"/>
  <c r="H199" i="28"/>
  <c r="H189" i="28"/>
  <c r="H206" i="28"/>
  <c r="H198" i="28"/>
  <c r="H188" i="28"/>
  <c r="H194" i="28"/>
  <c r="H203" i="28"/>
  <c r="H204" i="28"/>
  <c r="H184" i="28"/>
  <c r="H209" i="28"/>
  <c r="H201" i="28"/>
  <c r="H191" i="28"/>
  <c r="H183" i="28"/>
  <c r="H210" i="28"/>
  <c r="H208" i="28"/>
  <c r="H200" i="28"/>
  <c r="H190" i="28"/>
  <c r="H182" i="28"/>
  <c r="H181" i="28"/>
  <c r="K206" i="28"/>
  <c r="K211" i="28"/>
  <c r="K218" i="28"/>
  <c r="K210" i="28"/>
  <c r="K219" i="28"/>
  <c r="K217" i="28"/>
  <c r="D108" i="23"/>
  <c r="D107" i="23"/>
  <c r="D54" i="18"/>
  <c r="D53" i="18"/>
  <c r="D52" i="18"/>
  <c r="D51" i="18"/>
  <c r="D70" i="18"/>
  <c r="K314" i="28"/>
  <c r="K315" i="28"/>
  <c r="K316" i="28"/>
  <c r="K44" i="28" l="1"/>
  <c r="K318" i="28"/>
  <c r="K317" i="28"/>
  <c r="K191" i="28"/>
  <c r="K189" i="28"/>
  <c r="K203" i="28"/>
  <c r="K193" i="28"/>
  <c r="K195" i="28"/>
  <c r="K204" i="28"/>
  <c r="K188" i="28"/>
  <c r="K209" i="28"/>
  <c r="K198" i="28"/>
  <c r="K215" i="28"/>
  <c r="K187" i="28"/>
  <c r="K200" i="28"/>
  <c r="K208" i="28"/>
  <c r="K190" i="28"/>
  <c r="K205" i="28"/>
  <c r="K212" i="28"/>
  <c r="K199" i="28"/>
  <c r="K213" i="28"/>
  <c r="K109" i="28"/>
  <c r="K192" i="28"/>
  <c r="K201" i="28"/>
  <c r="K197" i="28"/>
  <c r="K196" i="28"/>
  <c r="K202" i="28"/>
  <c r="K194" i="28"/>
  <c r="K182" i="28"/>
  <c r="K186" i="28"/>
  <c r="K184" i="28"/>
  <c r="K144" i="28"/>
  <c r="K185" i="28"/>
  <c r="K183" i="28"/>
  <c r="K181" i="28"/>
  <c r="D191" i="1"/>
  <c r="E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D25" i="1"/>
  <c r="E25" i="1"/>
  <c r="H25" i="1"/>
  <c r="I25" i="1"/>
  <c r="J25" i="1"/>
  <c r="K25" i="1"/>
  <c r="L25" i="1"/>
  <c r="M25" i="1"/>
  <c r="N25" i="1"/>
  <c r="O25" i="1"/>
  <c r="P25" i="1"/>
  <c r="Q25" i="1"/>
  <c r="R25" i="1"/>
  <c r="S25" i="1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F18" i="9"/>
  <c r="G18" i="9" s="1"/>
  <c r="F19" i="9"/>
  <c r="G19" i="9" s="1"/>
  <c r="F20" i="9"/>
  <c r="G20" i="9" s="1"/>
  <c r="F21" i="9"/>
  <c r="G21" i="9" s="1"/>
  <c r="F22" i="9"/>
  <c r="G22" i="9" s="1"/>
  <c r="F23" i="9"/>
  <c r="G23" i="9" s="1"/>
  <c r="F24" i="9"/>
  <c r="G24" i="9" s="1"/>
  <c r="F25" i="9"/>
  <c r="G25" i="9" s="1"/>
  <c r="F26" i="9"/>
  <c r="G26" i="9" s="1"/>
  <c r="F27" i="9"/>
  <c r="G27" i="9" s="1"/>
  <c r="F28" i="9"/>
  <c r="G28" i="9" s="1"/>
  <c r="F29" i="9"/>
  <c r="G29" i="9" s="1"/>
  <c r="F30" i="9"/>
  <c r="G30" i="9" s="1"/>
  <c r="F31" i="9"/>
  <c r="G31" i="9" s="1"/>
  <c r="F32" i="9"/>
  <c r="G32" i="9" s="1"/>
  <c r="F33" i="9"/>
  <c r="G33" i="9" s="1"/>
  <c r="F34" i="9"/>
  <c r="G34" i="9" s="1"/>
  <c r="F35" i="9"/>
  <c r="G35" i="9" s="1"/>
  <c r="F36" i="9"/>
  <c r="G36" i="9" s="1"/>
  <c r="F37" i="9"/>
  <c r="G37" i="9" s="1"/>
  <c r="F38" i="9"/>
  <c r="G38" i="9" s="1"/>
  <c r="F39" i="9"/>
  <c r="G39" i="9" s="1"/>
  <c r="F40" i="9"/>
  <c r="G40" i="9" s="1"/>
  <c r="F41" i="9"/>
  <c r="G41" i="9" s="1"/>
  <c r="F42" i="9"/>
  <c r="G42" i="9" s="1"/>
  <c r="F43" i="9"/>
  <c r="G43" i="9" s="1"/>
  <c r="F44" i="9"/>
  <c r="G44" i="9" s="1"/>
  <c r="F45" i="9"/>
  <c r="G45" i="9" s="1"/>
  <c r="F46" i="9"/>
  <c r="G46" i="9" s="1"/>
  <c r="F47" i="9"/>
  <c r="G47" i="9" s="1"/>
  <c r="F48" i="9"/>
  <c r="G48" i="9" s="1"/>
  <c r="F49" i="9"/>
  <c r="G49" i="9" s="1"/>
  <c r="F50" i="9"/>
  <c r="G50" i="9" s="1"/>
  <c r="F51" i="9"/>
  <c r="G51" i="9" s="1"/>
  <c r="F52" i="9"/>
  <c r="G52" i="9" s="1"/>
  <c r="F53" i="9"/>
  <c r="G53" i="9" s="1"/>
  <c r="F54" i="9"/>
  <c r="G54" i="9" s="1"/>
  <c r="F55" i="9"/>
  <c r="G55" i="9" s="1"/>
  <c r="F56" i="9"/>
  <c r="G56" i="9" s="1"/>
  <c r="F57" i="9"/>
  <c r="G57" i="9" s="1"/>
  <c r="F58" i="9"/>
  <c r="G58" i="9" s="1"/>
  <c r="F59" i="9"/>
  <c r="G59" i="9" s="1"/>
  <c r="F60" i="9"/>
  <c r="G60" i="9" s="1"/>
  <c r="F61" i="9"/>
  <c r="G61" i="9" s="1"/>
  <c r="F62" i="9"/>
  <c r="G62" i="9" s="1"/>
  <c r="F63" i="9"/>
  <c r="G63" i="9" s="1"/>
  <c r="F64" i="9"/>
  <c r="G64" i="9" s="1"/>
  <c r="F65" i="9"/>
  <c r="G65" i="9" s="1"/>
  <c r="F66" i="9"/>
  <c r="G66" i="9" s="1"/>
  <c r="F67" i="9"/>
  <c r="G67" i="9" s="1"/>
  <c r="F68" i="9"/>
  <c r="G68" i="9" s="1"/>
  <c r="F69" i="9"/>
  <c r="G69" i="9" s="1"/>
  <c r="F70" i="9"/>
  <c r="G70" i="9" s="1"/>
  <c r="F71" i="9"/>
  <c r="G71" i="9" s="1"/>
  <c r="F72" i="9"/>
  <c r="G72" i="9" s="1"/>
  <c r="F73" i="9"/>
  <c r="G73" i="9" s="1"/>
  <c r="F74" i="9"/>
  <c r="G74" i="9" s="1"/>
  <c r="F75" i="9"/>
  <c r="G75" i="9" s="1"/>
  <c r="F76" i="9"/>
  <c r="G76" i="9" s="1"/>
  <c r="F77" i="9"/>
  <c r="G77" i="9" s="1"/>
  <c r="F78" i="9"/>
  <c r="G78" i="9" s="1"/>
  <c r="F79" i="9"/>
  <c r="G79" i="9" s="1"/>
  <c r="F80" i="9"/>
  <c r="G80" i="9" s="1"/>
  <c r="F81" i="9"/>
  <c r="G81" i="9" s="1"/>
  <c r="F82" i="9"/>
  <c r="G82" i="9" s="1"/>
  <c r="F83" i="9"/>
  <c r="G83" i="9" s="1"/>
  <c r="F84" i="9"/>
  <c r="G84" i="9" s="1"/>
  <c r="F85" i="9"/>
  <c r="G85" i="9" s="1"/>
  <c r="F86" i="9"/>
  <c r="G86" i="9" s="1"/>
  <c r="F87" i="9"/>
  <c r="G87" i="9" s="1"/>
  <c r="F88" i="9"/>
  <c r="G88" i="9" s="1"/>
  <c r="F89" i="9"/>
  <c r="G89" i="9" s="1"/>
  <c r="F90" i="9"/>
  <c r="G90" i="9" s="1"/>
  <c r="F91" i="9"/>
  <c r="G91" i="9" s="1"/>
  <c r="F92" i="9"/>
  <c r="G92" i="9" s="1"/>
  <c r="F93" i="9"/>
  <c r="G93" i="9" s="1"/>
  <c r="F94" i="9"/>
  <c r="G94" i="9" s="1"/>
  <c r="F95" i="9"/>
  <c r="G95" i="9" s="1"/>
  <c r="F96" i="9"/>
  <c r="G96" i="9" s="1"/>
  <c r="F97" i="9"/>
  <c r="G97" i="9" s="1"/>
  <c r="F98" i="9"/>
  <c r="G98" i="9" s="1"/>
  <c r="F99" i="9"/>
  <c r="G99" i="9" s="1"/>
  <c r="F100" i="9"/>
  <c r="G100" i="9" s="1"/>
  <c r="F101" i="9"/>
  <c r="G101" i="9" s="1"/>
  <c r="F102" i="9"/>
  <c r="G102" i="9" s="1"/>
  <c r="F103" i="9"/>
  <c r="G103" i="9" s="1"/>
  <c r="F104" i="9"/>
  <c r="G104" i="9" s="1"/>
  <c r="F105" i="9"/>
  <c r="G105" i="9" s="1"/>
  <c r="F106" i="9"/>
  <c r="G106" i="9" s="1"/>
  <c r="F107" i="9"/>
  <c r="G107" i="9" s="1"/>
  <c r="F108" i="9"/>
  <c r="G108" i="9" s="1"/>
  <c r="F109" i="9"/>
  <c r="G109" i="9" s="1"/>
  <c r="F110" i="9"/>
  <c r="G110" i="9" s="1"/>
  <c r="F111" i="9"/>
  <c r="G111" i="9" s="1"/>
  <c r="F112" i="9"/>
  <c r="G112" i="9" s="1"/>
  <c r="F113" i="9"/>
  <c r="G113" i="9" s="1"/>
  <c r="F114" i="9"/>
  <c r="G114" i="9" s="1"/>
  <c r="F115" i="9"/>
  <c r="G115" i="9" s="1"/>
  <c r="F116" i="9"/>
  <c r="G116" i="9" s="1"/>
  <c r="F117" i="9"/>
  <c r="G117" i="9" s="1"/>
  <c r="F118" i="9"/>
  <c r="G118" i="9" s="1"/>
  <c r="F119" i="9"/>
  <c r="G119" i="9" s="1"/>
  <c r="F120" i="9"/>
  <c r="G120" i="9" s="1"/>
  <c r="F121" i="9"/>
  <c r="G121" i="9" s="1"/>
  <c r="F122" i="9"/>
  <c r="G122" i="9" s="1"/>
  <c r="F123" i="9"/>
  <c r="G123" i="9" s="1"/>
  <c r="F124" i="9"/>
  <c r="G124" i="9" s="1"/>
  <c r="F125" i="9"/>
  <c r="G125" i="9" s="1"/>
  <c r="F126" i="9"/>
  <c r="G126" i="9" s="1"/>
  <c r="F127" i="9"/>
  <c r="G127" i="9" s="1"/>
  <c r="F128" i="9"/>
  <c r="G128" i="9" s="1"/>
  <c r="F129" i="9"/>
  <c r="G129" i="9" s="1"/>
  <c r="F130" i="9"/>
  <c r="G130" i="9" s="1"/>
  <c r="F131" i="9"/>
  <c r="G131" i="9" s="1"/>
  <c r="F132" i="9"/>
  <c r="G132" i="9" s="1"/>
  <c r="F133" i="9"/>
  <c r="G133" i="9" s="1"/>
  <c r="F134" i="9"/>
  <c r="G134" i="9" s="1"/>
  <c r="F135" i="9"/>
  <c r="G135" i="9" s="1"/>
  <c r="F136" i="9"/>
  <c r="G136" i="9" s="1"/>
  <c r="F137" i="9"/>
  <c r="G137" i="9" s="1"/>
  <c r="F138" i="9"/>
  <c r="G138" i="9" s="1"/>
  <c r="F139" i="9"/>
  <c r="G139" i="9" s="1"/>
  <c r="F140" i="9"/>
  <c r="G140" i="9" s="1"/>
  <c r="F141" i="9"/>
  <c r="G141" i="9" s="1"/>
  <c r="F142" i="9"/>
  <c r="G142" i="9" s="1"/>
  <c r="F143" i="9"/>
  <c r="G143" i="9" s="1"/>
  <c r="F144" i="9"/>
  <c r="G144" i="9" s="1"/>
  <c r="F145" i="9"/>
  <c r="G145" i="9" s="1"/>
  <c r="F146" i="9"/>
  <c r="G146" i="9" s="1"/>
  <c r="F147" i="9"/>
  <c r="G147" i="9" s="1"/>
  <c r="F148" i="9"/>
  <c r="G148" i="9" s="1"/>
  <c r="F149" i="9"/>
  <c r="G149" i="9" s="1"/>
  <c r="F150" i="9"/>
  <c r="G150" i="9" s="1"/>
  <c r="F151" i="9"/>
  <c r="G151" i="9" s="1"/>
  <c r="F152" i="9"/>
  <c r="G152" i="9" s="1"/>
  <c r="F153" i="9"/>
  <c r="G153" i="9" s="1"/>
  <c r="F154" i="9"/>
  <c r="G154" i="9" s="1"/>
  <c r="F155" i="9"/>
  <c r="G155" i="9" s="1"/>
  <c r="F156" i="9"/>
  <c r="G156" i="9" s="1"/>
  <c r="F157" i="9"/>
  <c r="G157" i="9" s="1"/>
  <c r="F158" i="9"/>
  <c r="G158" i="9" s="1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F18" i="8"/>
  <c r="G18" i="8" s="1"/>
  <c r="F19" i="8"/>
  <c r="G19" i="8" s="1"/>
  <c r="F20" i="8"/>
  <c r="G20" i="8" s="1"/>
  <c r="F21" i="8"/>
  <c r="G21" i="8" s="1"/>
  <c r="F22" i="8"/>
  <c r="G22" i="8" s="1"/>
  <c r="F23" i="8"/>
  <c r="G23" i="8" s="1"/>
  <c r="F24" i="8"/>
  <c r="G24" i="8" s="1"/>
  <c r="F25" i="8"/>
  <c r="G25" i="8" s="1"/>
  <c r="F26" i="8"/>
  <c r="G26" i="8" s="1"/>
  <c r="F27" i="8"/>
  <c r="G27" i="8" s="1"/>
  <c r="F28" i="8"/>
  <c r="G28" i="8" s="1"/>
  <c r="F29" i="8"/>
  <c r="G29" i="8" s="1"/>
  <c r="F30" i="8"/>
  <c r="G30" i="8" s="1"/>
  <c r="F31" i="8"/>
  <c r="G31" i="8" s="1"/>
  <c r="F32" i="8"/>
  <c r="G32" i="8" s="1"/>
  <c r="F33" i="8"/>
  <c r="G33" i="8" s="1"/>
  <c r="F34" i="8"/>
  <c r="G34" i="8" s="1"/>
  <c r="F35" i="8"/>
  <c r="G35" i="8" s="1"/>
  <c r="F36" i="8"/>
  <c r="G36" i="8" s="1"/>
  <c r="F37" i="8"/>
  <c r="G37" i="8" s="1"/>
  <c r="F38" i="8"/>
  <c r="G38" i="8" s="1"/>
  <c r="F39" i="8"/>
  <c r="G39" i="8" s="1"/>
  <c r="F40" i="8"/>
  <c r="G40" i="8" s="1"/>
  <c r="F41" i="8"/>
  <c r="G41" i="8" s="1"/>
  <c r="F42" i="8"/>
  <c r="G42" i="8" s="1"/>
  <c r="F43" i="8"/>
  <c r="G43" i="8" s="1"/>
  <c r="F44" i="8"/>
  <c r="G44" i="8" s="1"/>
  <c r="F45" i="8"/>
  <c r="G45" i="8" s="1"/>
  <c r="F46" i="8"/>
  <c r="G46" i="8" s="1"/>
  <c r="F47" i="8"/>
  <c r="G47" i="8" s="1"/>
  <c r="F48" i="8"/>
  <c r="G48" i="8" s="1"/>
  <c r="F49" i="8"/>
  <c r="G49" i="8" s="1"/>
  <c r="F50" i="8"/>
  <c r="G50" i="8" s="1"/>
  <c r="F51" i="8"/>
  <c r="G51" i="8" s="1"/>
  <c r="F52" i="8"/>
  <c r="G52" i="8" s="1"/>
  <c r="F53" i="8"/>
  <c r="G53" i="8" s="1"/>
  <c r="F54" i="8"/>
  <c r="G54" i="8" s="1"/>
  <c r="F55" i="8"/>
  <c r="G55" i="8" s="1"/>
  <c r="F56" i="8"/>
  <c r="G56" i="8" s="1"/>
  <c r="F57" i="8"/>
  <c r="G57" i="8" s="1"/>
  <c r="F58" i="8"/>
  <c r="G58" i="8" s="1"/>
  <c r="F59" i="8"/>
  <c r="G59" i="8" s="1"/>
  <c r="F60" i="8"/>
  <c r="G60" i="8" s="1"/>
  <c r="F61" i="8"/>
  <c r="G61" i="8" s="1"/>
  <c r="F62" i="8"/>
  <c r="G62" i="8" s="1"/>
  <c r="F63" i="8"/>
  <c r="G63" i="8" s="1"/>
  <c r="F64" i="8"/>
  <c r="G64" i="8" s="1"/>
  <c r="F65" i="8"/>
  <c r="G65" i="8" s="1"/>
  <c r="F66" i="8"/>
  <c r="G66" i="8" s="1"/>
  <c r="F67" i="8"/>
  <c r="G67" i="8" s="1"/>
  <c r="F68" i="8"/>
  <c r="G68" i="8" s="1"/>
  <c r="F69" i="8"/>
  <c r="G69" i="8" s="1"/>
  <c r="F70" i="8"/>
  <c r="G70" i="8" s="1"/>
  <c r="F71" i="8"/>
  <c r="G71" i="8" s="1"/>
  <c r="F72" i="8"/>
  <c r="G72" i="8" s="1"/>
  <c r="F73" i="8"/>
  <c r="G73" i="8" s="1"/>
  <c r="F74" i="8"/>
  <c r="G74" i="8" s="1"/>
  <c r="F75" i="8"/>
  <c r="G75" i="8" s="1"/>
  <c r="F76" i="8"/>
  <c r="G76" i="8" s="1"/>
  <c r="F77" i="8"/>
  <c r="G77" i="8" s="1"/>
  <c r="F78" i="8"/>
  <c r="G78" i="8" s="1"/>
  <c r="F79" i="8"/>
  <c r="G79" i="8" s="1"/>
  <c r="F80" i="8"/>
  <c r="G80" i="8" s="1"/>
  <c r="F81" i="8"/>
  <c r="G81" i="8" s="1"/>
  <c r="F82" i="8"/>
  <c r="G82" i="8" s="1"/>
  <c r="F83" i="8"/>
  <c r="G83" i="8" s="1"/>
  <c r="F84" i="8"/>
  <c r="G84" i="8" s="1"/>
  <c r="F85" i="8"/>
  <c r="G85" i="8" s="1"/>
  <c r="F86" i="8"/>
  <c r="G86" i="8" s="1"/>
  <c r="F87" i="8"/>
  <c r="G87" i="8" s="1"/>
  <c r="F88" i="8"/>
  <c r="G88" i="8" s="1"/>
  <c r="F89" i="8"/>
  <c r="G89" i="8" s="1"/>
  <c r="F90" i="8"/>
  <c r="G90" i="8" s="1"/>
  <c r="F91" i="8"/>
  <c r="G91" i="8" s="1"/>
  <c r="F92" i="8"/>
  <c r="G92" i="8" s="1"/>
  <c r="F93" i="8"/>
  <c r="G93" i="8" s="1"/>
  <c r="F94" i="8"/>
  <c r="G94" i="8" s="1"/>
  <c r="F95" i="8"/>
  <c r="G95" i="8" s="1"/>
  <c r="F96" i="8"/>
  <c r="G96" i="8" s="1"/>
  <c r="F97" i="8"/>
  <c r="G97" i="8" s="1"/>
  <c r="F98" i="8"/>
  <c r="G98" i="8" s="1"/>
  <c r="F99" i="8"/>
  <c r="G99" i="8" s="1"/>
  <c r="F100" i="8"/>
  <c r="G100" i="8" s="1"/>
  <c r="F101" i="8"/>
  <c r="G101" i="8" s="1"/>
  <c r="F102" i="8"/>
  <c r="G102" i="8" s="1"/>
  <c r="F103" i="8"/>
  <c r="G103" i="8" s="1"/>
  <c r="F104" i="8"/>
  <c r="G104" i="8" s="1"/>
  <c r="F105" i="8"/>
  <c r="G105" i="8" s="1"/>
  <c r="F106" i="8"/>
  <c r="G106" i="8" s="1"/>
  <c r="F107" i="8"/>
  <c r="G107" i="8" s="1"/>
  <c r="F108" i="8"/>
  <c r="G108" i="8" s="1"/>
  <c r="F109" i="8"/>
  <c r="G109" i="8" s="1"/>
  <c r="F110" i="8"/>
  <c r="G110" i="8" s="1"/>
  <c r="F111" i="8"/>
  <c r="G111" i="8" s="1"/>
  <c r="F112" i="8"/>
  <c r="G112" i="8" s="1"/>
  <c r="F113" i="8"/>
  <c r="G113" i="8" s="1"/>
  <c r="F114" i="8"/>
  <c r="G114" i="8" s="1"/>
  <c r="F115" i="8"/>
  <c r="G115" i="8" s="1"/>
  <c r="F116" i="8"/>
  <c r="G116" i="8" s="1"/>
  <c r="F117" i="8"/>
  <c r="G117" i="8" s="1"/>
  <c r="F118" i="8"/>
  <c r="G118" i="8" s="1"/>
  <c r="F119" i="8"/>
  <c r="G119" i="8" s="1"/>
  <c r="F120" i="8"/>
  <c r="G120" i="8" s="1"/>
  <c r="F121" i="8"/>
  <c r="G121" i="8" s="1"/>
  <c r="F122" i="8"/>
  <c r="G122" i="8" s="1"/>
  <c r="F123" i="8"/>
  <c r="G123" i="8" s="1"/>
  <c r="F124" i="8"/>
  <c r="G124" i="8" s="1"/>
  <c r="F125" i="8"/>
  <c r="G125" i="8" s="1"/>
  <c r="F126" i="8"/>
  <c r="G126" i="8" s="1"/>
  <c r="F127" i="8"/>
  <c r="G127" i="8" s="1"/>
  <c r="F128" i="8"/>
  <c r="G128" i="8" s="1"/>
  <c r="F129" i="8"/>
  <c r="G129" i="8" s="1"/>
  <c r="F130" i="8"/>
  <c r="G130" i="8" s="1"/>
  <c r="F131" i="8"/>
  <c r="G131" i="8" s="1"/>
  <c r="F132" i="8"/>
  <c r="G132" i="8" s="1"/>
  <c r="F133" i="8"/>
  <c r="G133" i="8" s="1"/>
  <c r="F134" i="8"/>
  <c r="G134" i="8" s="1"/>
  <c r="F135" i="8"/>
  <c r="G135" i="8" s="1"/>
  <c r="F136" i="8"/>
  <c r="G136" i="8" s="1"/>
  <c r="F137" i="8"/>
  <c r="G137" i="8" s="1"/>
  <c r="F138" i="8"/>
  <c r="G138" i="8" s="1"/>
  <c r="F139" i="8"/>
  <c r="G139" i="8" s="1"/>
  <c r="F140" i="8"/>
  <c r="G140" i="8" s="1"/>
  <c r="F141" i="8"/>
  <c r="G141" i="8" s="1"/>
  <c r="F142" i="8"/>
  <c r="G142" i="8" s="1"/>
  <c r="F143" i="8"/>
  <c r="G143" i="8" s="1"/>
  <c r="F144" i="8"/>
  <c r="G144" i="8" s="1"/>
  <c r="F145" i="8"/>
  <c r="G145" i="8" s="1"/>
  <c r="F146" i="8"/>
  <c r="G146" i="8" s="1"/>
  <c r="F147" i="8"/>
  <c r="G147" i="8" s="1"/>
  <c r="F148" i="8"/>
  <c r="G148" i="8" s="1"/>
  <c r="F149" i="8"/>
  <c r="G149" i="8" s="1"/>
  <c r="F150" i="8"/>
  <c r="G150" i="8" s="1"/>
  <c r="F151" i="8"/>
  <c r="G151" i="8" s="1"/>
  <c r="F152" i="8"/>
  <c r="G152" i="8" s="1"/>
  <c r="F153" i="8"/>
  <c r="G153" i="8" s="1"/>
  <c r="F154" i="8"/>
  <c r="G154" i="8" s="1"/>
  <c r="F155" i="8"/>
  <c r="G155" i="8" s="1"/>
  <c r="F156" i="8"/>
  <c r="G156" i="8" s="1"/>
  <c r="F157" i="8"/>
  <c r="G157" i="8" s="1"/>
  <c r="F158" i="8"/>
  <c r="G158" i="8" s="1"/>
  <c r="J44" i="28"/>
  <c r="J314" i="28"/>
  <c r="J315" i="28"/>
  <c r="J316" i="28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F18" i="7"/>
  <c r="G18" i="7" s="1"/>
  <c r="F19" i="7"/>
  <c r="G19" i="7" s="1"/>
  <c r="F20" i="7"/>
  <c r="G20" i="7" s="1"/>
  <c r="F21" i="7"/>
  <c r="G21" i="7" s="1"/>
  <c r="F22" i="7"/>
  <c r="G22" i="7" s="1"/>
  <c r="F23" i="7"/>
  <c r="G23" i="7" s="1"/>
  <c r="F24" i="7"/>
  <c r="G24" i="7" s="1"/>
  <c r="F25" i="7"/>
  <c r="G25" i="7" s="1"/>
  <c r="F26" i="7"/>
  <c r="G26" i="7" s="1"/>
  <c r="F27" i="7"/>
  <c r="G27" i="7" s="1"/>
  <c r="F28" i="7"/>
  <c r="G28" i="7" s="1"/>
  <c r="F29" i="7"/>
  <c r="G29" i="7" s="1"/>
  <c r="F30" i="7"/>
  <c r="G30" i="7" s="1"/>
  <c r="F31" i="7"/>
  <c r="G31" i="7" s="1"/>
  <c r="F32" i="7"/>
  <c r="G32" i="7" s="1"/>
  <c r="F33" i="7"/>
  <c r="G33" i="7" s="1"/>
  <c r="F34" i="7"/>
  <c r="G34" i="7" s="1"/>
  <c r="F35" i="7"/>
  <c r="G35" i="7" s="1"/>
  <c r="F36" i="7"/>
  <c r="G36" i="7" s="1"/>
  <c r="F37" i="7"/>
  <c r="G37" i="7" s="1"/>
  <c r="F38" i="7"/>
  <c r="G38" i="7" s="1"/>
  <c r="F39" i="7"/>
  <c r="G39" i="7" s="1"/>
  <c r="F40" i="7"/>
  <c r="G40" i="7" s="1"/>
  <c r="F41" i="7"/>
  <c r="G41" i="7" s="1"/>
  <c r="F42" i="7"/>
  <c r="G42" i="7" s="1"/>
  <c r="F43" i="7"/>
  <c r="G43" i="7" s="1"/>
  <c r="F44" i="7"/>
  <c r="G44" i="7" s="1"/>
  <c r="F45" i="7"/>
  <c r="G45" i="7" s="1"/>
  <c r="F46" i="7"/>
  <c r="G46" i="7" s="1"/>
  <c r="F47" i="7"/>
  <c r="G47" i="7" s="1"/>
  <c r="F48" i="7"/>
  <c r="G48" i="7" s="1"/>
  <c r="F49" i="7"/>
  <c r="G49" i="7" s="1"/>
  <c r="F50" i="7"/>
  <c r="G50" i="7" s="1"/>
  <c r="F51" i="7"/>
  <c r="G51" i="7" s="1"/>
  <c r="F52" i="7"/>
  <c r="G52" i="7" s="1"/>
  <c r="F53" i="7"/>
  <c r="G53" i="7" s="1"/>
  <c r="F54" i="7"/>
  <c r="G54" i="7" s="1"/>
  <c r="F55" i="7"/>
  <c r="G55" i="7" s="1"/>
  <c r="F56" i="7"/>
  <c r="G56" i="7" s="1"/>
  <c r="F57" i="7"/>
  <c r="G57" i="7" s="1"/>
  <c r="F58" i="7"/>
  <c r="G58" i="7" s="1"/>
  <c r="F59" i="7"/>
  <c r="G59" i="7" s="1"/>
  <c r="F60" i="7"/>
  <c r="G60" i="7" s="1"/>
  <c r="F61" i="7"/>
  <c r="G61" i="7" s="1"/>
  <c r="F62" i="7"/>
  <c r="G62" i="7" s="1"/>
  <c r="F63" i="7"/>
  <c r="G63" i="7" s="1"/>
  <c r="F64" i="7"/>
  <c r="G64" i="7" s="1"/>
  <c r="F65" i="7"/>
  <c r="G65" i="7" s="1"/>
  <c r="F66" i="7"/>
  <c r="G66" i="7" s="1"/>
  <c r="F67" i="7"/>
  <c r="G67" i="7" s="1"/>
  <c r="F68" i="7"/>
  <c r="G68" i="7" s="1"/>
  <c r="F69" i="7"/>
  <c r="G69" i="7" s="1"/>
  <c r="F70" i="7"/>
  <c r="G70" i="7" s="1"/>
  <c r="F71" i="7"/>
  <c r="G71" i="7" s="1"/>
  <c r="F72" i="7"/>
  <c r="G72" i="7" s="1"/>
  <c r="F73" i="7"/>
  <c r="G73" i="7" s="1"/>
  <c r="F74" i="7"/>
  <c r="G74" i="7" s="1"/>
  <c r="F75" i="7"/>
  <c r="G75" i="7" s="1"/>
  <c r="F76" i="7"/>
  <c r="G76" i="7" s="1"/>
  <c r="F77" i="7"/>
  <c r="G77" i="7" s="1"/>
  <c r="F78" i="7"/>
  <c r="G78" i="7" s="1"/>
  <c r="F79" i="7"/>
  <c r="G79" i="7" s="1"/>
  <c r="F80" i="7"/>
  <c r="G80" i="7" s="1"/>
  <c r="F81" i="7"/>
  <c r="G81" i="7" s="1"/>
  <c r="F82" i="7"/>
  <c r="G82" i="7" s="1"/>
  <c r="F83" i="7"/>
  <c r="G83" i="7" s="1"/>
  <c r="F84" i="7"/>
  <c r="G84" i="7" s="1"/>
  <c r="F85" i="7"/>
  <c r="G85" i="7" s="1"/>
  <c r="F86" i="7"/>
  <c r="G86" i="7" s="1"/>
  <c r="F87" i="7"/>
  <c r="G87" i="7" s="1"/>
  <c r="F88" i="7"/>
  <c r="G88" i="7" s="1"/>
  <c r="F89" i="7"/>
  <c r="G89" i="7" s="1"/>
  <c r="F90" i="7"/>
  <c r="G90" i="7" s="1"/>
  <c r="F91" i="7"/>
  <c r="G91" i="7" s="1"/>
  <c r="F92" i="7"/>
  <c r="G92" i="7" s="1"/>
  <c r="F93" i="7"/>
  <c r="G93" i="7" s="1"/>
  <c r="F94" i="7"/>
  <c r="G94" i="7" s="1"/>
  <c r="F95" i="7"/>
  <c r="G95" i="7" s="1"/>
  <c r="F96" i="7"/>
  <c r="G96" i="7" s="1"/>
  <c r="F97" i="7"/>
  <c r="G97" i="7" s="1"/>
  <c r="F98" i="7"/>
  <c r="G98" i="7" s="1"/>
  <c r="F99" i="7"/>
  <c r="G99" i="7" s="1"/>
  <c r="F100" i="7"/>
  <c r="G100" i="7" s="1"/>
  <c r="F101" i="7"/>
  <c r="G101" i="7" s="1"/>
  <c r="F102" i="7"/>
  <c r="G102" i="7" s="1"/>
  <c r="F103" i="7"/>
  <c r="G103" i="7" s="1"/>
  <c r="F104" i="7"/>
  <c r="G104" i="7" s="1"/>
  <c r="F105" i="7"/>
  <c r="G105" i="7" s="1"/>
  <c r="F106" i="7"/>
  <c r="G106" i="7" s="1"/>
  <c r="F107" i="7"/>
  <c r="G107" i="7" s="1"/>
  <c r="F108" i="7"/>
  <c r="G108" i="7" s="1"/>
  <c r="F109" i="7"/>
  <c r="G109" i="7" s="1"/>
  <c r="F110" i="7"/>
  <c r="G110" i="7" s="1"/>
  <c r="F111" i="7"/>
  <c r="G111" i="7" s="1"/>
  <c r="F112" i="7"/>
  <c r="G112" i="7" s="1"/>
  <c r="F113" i="7"/>
  <c r="G113" i="7" s="1"/>
  <c r="F114" i="7"/>
  <c r="G114" i="7" s="1"/>
  <c r="F115" i="7"/>
  <c r="G115" i="7" s="1"/>
  <c r="F116" i="7"/>
  <c r="G116" i="7" s="1"/>
  <c r="F117" i="7"/>
  <c r="G117" i="7" s="1"/>
  <c r="F118" i="7"/>
  <c r="G118" i="7" s="1"/>
  <c r="F119" i="7"/>
  <c r="G119" i="7" s="1"/>
  <c r="F120" i="7"/>
  <c r="G120" i="7" s="1"/>
  <c r="F121" i="7"/>
  <c r="G121" i="7" s="1"/>
  <c r="F122" i="7"/>
  <c r="G122" i="7" s="1"/>
  <c r="F123" i="7"/>
  <c r="G123" i="7" s="1"/>
  <c r="F124" i="7"/>
  <c r="G124" i="7" s="1"/>
  <c r="F125" i="7"/>
  <c r="G125" i="7" s="1"/>
  <c r="F126" i="7"/>
  <c r="G126" i="7" s="1"/>
  <c r="F127" i="7"/>
  <c r="G127" i="7" s="1"/>
  <c r="F128" i="7"/>
  <c r="G128" i="7" s="1"/>
  <c r="F129" i="7"/>
  <c r="G129" i="7" s="1"/>
  <c r="F130" i="7"/>
  <c r="G130" i="7" s="1"/>
  <c r="F131" i="7"/>
  <c r="G131" i="7" s="1"/>
  <c r="F132" i="7"/>
  <c r="G132" i="7" s="1"/>
  <c r="F133" i="7"/>
  <c r="G133" i="7" s="1"/>
  <c r="F134" i="7"/>
  <c r="G134" i="7" s="1"/>
  <c r="F135" i="7"/>
  <c r="G135" i="7" s="1"/>
  <c r="F136" i="7"/>
  <c r="G136" i="7" s="1"/>
  <c r="F137" i="7"/>
  <c r="G137" i="7" s="1"/>
  <c r="F138" i="7"/>
  <c r="G138" i="7" s="1"/>
  <c r="F139" i="7"/>
  <c r="G139" i="7" s="1"/>
  <c r="F140" i="7"/>
  <c r="G140" i="7" s="1"/>
  <c r="F141" i="7"/>
  <c r="G141" i="7" s="1"/>
  <c r="F142" i="7"/>
  <c r="G142" i="7" s="1"/>
  <c r="F143" i="7"/>
  <c r="G143" i="7" s="1"/>
  <c r="F144" i="7"/>
  <c r="G144" i="7" s="1"/>
  <c r="F145" i="7"/>
  <c r="G145" i="7" s="1"/>
  <c r="F146" i="7"/>
  <c r="G146" i="7" s="1"/>
  <c r="F147" i="7"/>
  <c r="G147" i="7" s="1"/>
  <c r="F148" i="7"/>
  <c r="G148" i="7" s="1"/>
  <c r="F149" i="7"/>
  <c r="G149" i="7" s="1"/>
  <c r="F150" i="7"/>
  <c r="G150" i="7" s="1"/>
  <c r="F151" i="7"/>
  <c r="G151" i="7" s="1"/>
  <c r="F152" i="7"/>
  <c r="G152" i="7" s="1"/>
  <c r="F153" i="7"/>
  <c r="G153" i="7" s="1"/>
  <c r="F154" i="7"/>
  <c r="G154" i="7" s="1"/>
  <c r="F155" i="7"/>
  <c r="G155" i="7" s="1"/>
  <c r="E18" i="2"/>
  <c r="E19" i="2"/>
  <c r="E20" i="2"/>
  <c r="E21" i="2"/>
  <c r="E22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F18" i="2"/>
  <c r="G18" i="2" s="1"/>
  <c r="F19" i="2"/>
  <c r="G19" i="2" s="1"/>
  <c r="F20" i="2"/>
  <c r="G20" i="2" s="1"/>
  <c r="F21" i="2"/>
  <c r="G21" i="2" s="1"/>
  <c r="F22" i="2"/>
  <c r="G22" i="2" s="1"/>
  <c r="F23" i="2"/>
  <c r="G23" i="2" s="1"/>
  <c r="F24" i="2"/>
  <c r="G24" i="2" s="1"/>
  <c r="F25" i="2"/>
  <c r="G25" i="2" s="1"/>
  <c r="F26" i="2"/>
  <c r="G26" i="2" s="1"/>
  <c r="F27" i="2"/>
  <c r="G27" i="2" s="1"/>
  <c r="F28" i="2"/>
  <c r="G28" i="2" s="1"/>
  <c r="F29" i="2"/>
  <c r="G29" i="2" s="1"/>
  <c r="F30" i="2"/>
  <c r="G30" i="2" s="1"/>
  <c r="F31" i="2"/>
  <c r="G31" i="2" s="1"/>
  <c r="F32" i="2"/>
  <c r="G32" i="2" s="1"/>
  <c r="F33" i="2"/>
  <c r="G33" i="2" s="1"/>
  <c r="F34" i="2"/>
  <c r="G34" i="2" s="1"/>
  <c r="F35" i="2"/>
  <c r="G35" i="2" s="1"/>
  <c r="F36" i="2"/>
  <c r="G36" i="2" s="1"/>
  <c r="F37" i="2"/>
  <c r="G37" i="2" s="1"/>
  <c r="F38" i="2"/>
  <c r="G38" i="2" s="1"/>
  <c r="F39" i="2"/>
  <c r="G39" i="2" s="1"/>
  <c r="F40" i="2"/>
  <c r="G40" i="2" s="1"/>
  <c r="F41" i="2"/>
  <c r="G41" i="2" s="1"/>
  <c r="F42" i="2"/>
  <c r="G42" i="2" s="1"/>
  <c r="F43" i="2"/>
  <c r="G43" i="2" s="1"/>
  <c r="F44" i="2"/>
  <c r="G44" i="2" s="1"/>
  <c r="F45" i="2"/>
  <c r="G45" i="2" s="1"/>
  <c r="F46" i="2"/>
  <c r="G46" i="2" s="1"/>
  <c r="F47" i="2"/>
  <c r="G47" i="2" s="1"/>
  <c r="F48" i="2"/>
  <c r="G48" i="2" s="1"/>
  <c r="F49" i="2"/>
  <c r="G49" i="2" s="1"/>
  <c r="F50" i="2"/>
  <c r="G50" i="2" s="1"/>
  <c r="F51" i="2"/>
  <c r="G51" i="2" s="1"/>
  <c r="F52" i="2"/>
  <c r="G52" i="2" s="1"/>
  <c r="F53" i="2"/>
  <c r="G53" i="2" s="1"/>
  <c r="F54" i="2"/>
  <c r="G54" i="2" s="1"/>
  <c r="F55" i="2"/>
  <c r="G55" i="2" s="1"/>
  <c r="F56" i="2"/>
  <c r="G56" i="2" s="1"/>
  <c r="F57" i="2"/>
  <c r="G57" i="2" s="1"/>
  <c r="F58" i="2"/>
  <c r="G58" i="2" s="1"/>
  <c r="F59" i="2"/>
  <c r="G59" i="2" s="1"/>
  <c r="F60" i="2"/>
  <c r="G60" i="2" s="1"/>
  <c r="F61" i="2"/>
  <c r="G61" i="2" s="1"/>
  <c r="F62" i="2"/>
  <c r="G62" i="2" s="1"/>
  <c r="F63" i="2"/>
  <c r="G63" i="2" s="1"/>
  <c r="F64" i="2"/>
  <c r="G64" i="2" s="1"/>
  <c r="F65" i="2"/>
  <c r="G65" i="2" s="1"/>
  <c r="F66" i="2"/>
  <c r="G66" i="2" s="1"/>
  <c r="F67" i="2"/>
  <c r="G67" i="2" s="1"/>
  <c r="F68" i="2"/>
  <c r="G68" i="2" s="1"/>
  <c r="F69" i="2"/>
  <c r="G69" i="2" s="1"/>
  <c r="F70" i="2"/>
  <c r="G70" i="2" s="1"/>
  <c r="F71" i="2"/>
  <c r="G71" i="2" s="1"/>
  <c r="F72" i="2"/>
  <c r="G72" i="2" s="1"/>
  <c r="F73" i="2"/>
  <c r="G73" i="2" s="1"/>
  <c r="F74" i="2"/>
  <c r="G74" i="2" s="1"/>
  <c r="F75" i="2"/>
  <c r="G75" i="2" s="1"/>
  <c r="F76" i="2"/>
  <c r="G76" i="2" s="1"/>
  <c r="F77" i="2"/>
  <c r="G77" i="2" s="1"/>
  <c r="F78" i="2"/>
  <c r="G78" i="2" s="1"/>
  <c r="F79" i="2"/>
  <c r="G79" i="2" s="1"/>
  <c r="F80" i="2"/>
  <c r="G80" i="2" s="1"/>
  <c r="F81" i="2"/>
  <c r="G81" i="2" s="1"/>
  <c r="F82" i="2"/>
  <c r="G82" i="2" s="1"/>
  <c r="F83" i="2"/>
  <c r="G83" i="2" s="1"/>
  <c r="F84" i="2"/>
  <c r="G84" i="2" s="1"/>
  <c r="F85" i="2"/>
  <c r="G85" i="2" s="1"/>
  <c r="F86" i="2"/>
  <c r="G86" i="2" s="1"/>
  <c r="F87" i="2"/>
  <c r="G87" i="2" s="1"/>
  <c r="F88" i="2"/>
  <c r="G88" i="2" s="1"/>
  <c r="F89" i="2"/>
  <c r="G89" i="2" s="1"/>
  <c r="F90" i="2"/>
  <c r="G90" i="2" s="1"/>
  <c r="F91" i="2"/>
  <c r="G91" i="2" s="1"/>
  <c r="F92" i="2"/>
  <c r="G92" i="2" s="1"/>
  <c r="F93" i="2"/>
  <c r="G93" i="2" s="1"/>
  <c r="F94" i="2"/>
  <c r="G94" i="2" s="1"/>
  <c r="F95" i="2"/>
  <c r="G95" i="2" s="1"/>
  <c r="F96" i="2"/>
  <c r="G96" i="2" s="1"/>
  <c r="F97" i="2"/>
  <c r="G97" i="2" s="1"/>
  <c r="F98" i="2"/>
  <c r="G98" i="2" s="1"/>
  <c r="F99" i="2"/>
  <c r="G99" i="2" s="1"/>
  <c r="F100" i="2"/>
  <c r="G100" i="2" s="1"/>
  <c r="F101" i="2"/>
  <c r="G101" i="2" s="1"/>
  <c r="F102" i="2"/>
  <c r="G102" i="2" s="1"/>
  <c r="F103" i="2"/>
  <c r="G103" i="2" s="1"/>
  <c r="F104" i="2"/>
  <c r="G104" i="2" s="1"/>
  <c r="F105" i="2"/>
  <c r="G105" i="2" s="1"/>
  <c r="F106" i="2"/>
  <c r="G106" i="2" s="1"/>
  <c r="F107" i="2"/>
  <c r="G107" i="2" s="1"/>
  <c r="F108" i="2"/>
  <c r="G108" i="2" s="1"/>
  <c r="F109" i="2"/>
  <c r="G109" i="2" s="1"/>
  <c r="F110" i="2"/>
  <c r="G110" i="2" s="1"/>
  <c r="F111" i="2"/>
  <c r="G111" i="2" s="1"/>
  <c r="F112" i="2"/>
  <c r="G112" i="2" s="1"/>
  <c r="F113" i="2"/>
  <c r="G113" i="2" s="1"/>
  <c r="F114" i="2"/>
  <c r="G114" i="2" s="1"/>
  <c r="F115" i="2"/>
  <c r="G115" i="2" s="1"/>
  <c r="F116" i="2"/>
  <c r="G116" i="2" s="1"/>
  <c r="F117" i="2"/>
  <c r="G117" i="2" s="1"/>
  <c r="F118" i="2"/>
  <c r="G118" i="2" s="1"/>
  <c r="F119" i="2"/>
  <c r="G119" i="2" s="1"/>
  <c r="F120" i="2"/>
  <c r="G120" i="2" s="1"/>
  <c r="F121" i="2"/>
  <c r="G121" i="2" s="1"/>
  <c r="F122" i="2"/>
  <c r="G122" i="2" s="1"/>
  <c r="F123" i="2"/>
  <c r="G123" i="2" s="1"/>
  <c r="F124" i="2"/>
  <c r="G124" i="2" s="1"/>
  <c r="F125" i="2"/>
  <c r="G125" i="2" s="1"/>
  <c r="F126" i="2"/>
  <c r="G126" i="2" s="1"/>
  <c r="F127" i="2"/>
  <c r="G127" i="2" s="1"/>
  <c r="F128" i="2"/>
  <c r="G128" i="2" s="1"/>
  <c r="F129" i="2"/>
  <c r="G129" i="2" s="1"/>
  <c r="F130" i="2"/>
  <c r="G130" i="2" s="1"/>
  <c r="F131" i="2"/>
  <c r="G131" i="2" s="1"/>
  <c r="F132" i="2"/>
  <c r="G132" i="2" s="1"/>
  <c r="F133" i="2"/>
  <c r="G133" i="2" s="1"/>
  <c r="F134" i="2"/>
  <c r="G134" i="2" s="1"/>
  <c r="F135" i="2"/>
  <c r="G135" i="2" s="1"/>
  <c r="F136" i="2"/>
  <c r="G136" i="2" s="1"/>
  <c r="F137" i="2"/>
  <c r="G137" i="2" s="1"/>
  <c r="F138" i="2"/>
  <c r="G138" i="2" s="1"/>
  <c r="F139" i="2"/>
  <c r="G139" i="2" s="1"/>
  <c r="F140" i="2"/>
  <c r="G140" i="2" s="1"/>
  <c r="F141" i="2"/>
  <c r="G141" i="2" s="1"/>
  <c r="F142" i="2"/>
  <c r="G142" i="2" s="1"/>
  <c r="F143" i="2"/>
  <c r="G143" i="2" s="1"/>
  <c r="F144" i="2"/>
  <c r="G144" i="2" s="1"/>
  <c r="F145" i="2"/>
  <c r="G145" i="2" s="1"/>
  <c r="F146" i="2"/>
  <c r="G146" i="2" s="1"/>
  <c r="F147" i="2"/>
  <c r="G147" i="2" s="1"/>
  <c r="F148" i="2"/>
  <c r="G148" i="2" s="1"/>
  <c r="F149" i="2"/>
  <c r="G149" i="2" s="1"/>
  <c r="F150" i="2"/>
  <c r="G150" i="2" s="1"/>
  <c r="F151" i="2"/>
  <c r="G151" i="2" s="1"/>
  <c r="F152" i="2"/>
  <c r="G152" i="2" s="1"/>
  <c r="F153" i="2"/>
  <c r="G153" i="2" s="1"/>
  <c r="AA23" i="32"/>
  <c r="X23" i="32"/>
  <c r="F87" i="32"/>
  <c r="D23" i="32"/>
  <c r="I87" i="32"/>
  <c r="F23" i="32"/>
  <c r="U23" i="32"/>
  <c r="O87" i="32"/>
  <c r="R23" i="32"/>
  <c r="R87" i="32"/>
  <c r="AD23" i="32"/>
  <c r="I23" i="32"/>
  <c r="O23" i="32"/>
  <c r="AD87" i="32"/>
  <c r="AJ87" i="32"/>
  <c r="L87" i="32"/>
  <c r="AG23" i="32"/>
  <c r="D87" i="32"/>
  <c r="L23" i="32"/>
  <c r="AA87" i="32"/>
  <c r="X87" i="32"/>
  <c r="AJ23" i="32"/>
  <c r="U87" i="32"/>
  <c r="AG87" i="32"/>
  <c r="AL23" i="32" l="1"/>
  <c r="N23" i="32"/>
  <c r="AI23" i="32"/>
  <c r="K23" i="32"/>
  <c r="H23" i="32"/>
  <c r="AF23" i="32"/>
  <c r="AC23" i="32"/>
  <c r="Z23" i="32"/>
  <c r="W23" i="32"/>
  <c r="Q23" i="32"/>
  <c r="T23" i="32"/>
  <c r="Q87" i="32"/>
  <c r="AL87" i="32"/>
  <c r="N87" i="32"/>
  <c r="AI87" i="32"/>
  <c r="K87" i="32"/>
  <c r="AF87" i="32"/>
  <c r="H87" i="32"/>
  <c r="AC87" i="32"/>
  <c r="Z87" i="32"/>
  <c r="W87" i="32"/>
  <c r="T87" i="32"/>
  <c r="J193" i="28"/>
  <c r="J318" i="28"/>
  <c r="J317" i="28"/>
  <c r="J212" i="28"/>
  <c r="J202" i="28"/>
  <c r="J199" i="28"/>
  <c r="J205" i="28"/>
  <c r="J203" i="28"/>
  <c r="J196" i="28"/>
  <c r="J204" i="28"/>
  <c r="J198" i="28"/>
  <c r="J209" i="28"/>
  <c r="J185" i="28"/>
  <c r="J192" i="28"/>
  <c r="J201" i="28"/>
  <c r="J188" i="28"/>
  <c r="J195" i="28"/>
  <c r="J186" i="28"/>
  <c r="J200" i="28"/>
  <c r="J109" i="28"/>
  <c r="J190" i="28"/>
  <c r="J197" i="28"/>
  <c r="J182" i="28"/>
  <c r="J189" i="28"/>
  <c r="J187" i="28"/>
  <c r="J194" i="28"/>
  <c r="J184" i="28"/>
  <c r="J191" i="28"/>
  <c r="J181" i="28"/>
  <c r="J183" i="28"/>
  <c r="J144" i="28"/>
  <c r="D25" i="10"/>
  <c r="D315" i="1"/>
  <c r="E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D48" i="18"/>
  <c r="D65" i="1"/>
  <c r="E65" i="1"/>
  <c r="H65" i="1"/>
  <c r="I65" i="1"/>
  <c r="J65" i="1"/>
  <c r="K65" i="1"/>
  <c r="L65" i="1"/>
  <c r="M65" i="1"/>
  <c r="N65" i="1"/>
  <c r="O65" i="1"/>
  <c r="P65" i="1"/>
  <c r="Q65" i="1"/>
  <c r="R65" i="1"/>
  <c r="S65" i="1"/>
  <c r="D307" i="1"/>
  <c r="E307" i="1"/>
  <c r="I307" i="1"/>
  <c r="J307" i="1"/>
  <c r="K307" i="1"/>
  <c r="L307" i="1"/>
  <c r="M307" i="1"/>
  <c r="N307" i="1"/>
  <c r="O307" i="1"/>
  <c r="P307" i="1"/>
  <c r="Q307" i="1"/>
  <c r="R307" i="1"/>
  <c r="S307" i="1"/>
  <c r="D314" i="1"/>
  <c r="E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D44" i="1"/>
  <c r="E44" i="1"/>
  <c r="H44" i="1"/>
  <c r="I44" i="1"/>
  <c r="J44" i="1"/>
  <c r="K44" i="1"/>
  <c r="L44" i="1"/>
  <c r="M44" i="1"/>
  <c r="N44" i="1"/>
  <c r="O44" i="1"/>
  <c r="P44" i="1"/>
  <c r="Q44" i="1"/>
  <c r="R44" i="1"/>
  <c r="S44" i="1"/>
  <c r="D256" i="10" l="1"/>
  <c r="D259" i="10"/>
  <c r="D260" i="9"/>
  <c r="D255" i="8"/>
  <c r="D257" i="7"/>
  <c r="C255" i="10"/>
  <c r="C256" i="7"/>
  <c r="C259" i="9"/>
  <c r="C258" i="10"/>
  <c r="C254" i="8"/>
  <c r="D255" i="10"/>
  <c r="D254" i="8"/>
  <c r="D258" i="10"/>
  <c r="D259" i="9"/>
  <c r="D256" i="7"/>
  <c r="C256" i="10"/>
  <c r="C259" i="10"/>
  <c r="C260" i="9"/>
  <c r="C255" i="8"/>
  <c r="C257" i="7"/>
  <c r="C256" i="9"/>
  <c r="C257" i="9"/>
  <c r="D257" i="9"/>
  <c r="D256" i="9"/>
  <c r="C273" i="12"/>
  <c r="C274" i="10"/>
  <c r="C271" i="8"/>
  <c r="C275" i="9"/>
  <c r="C273" i="11"/>
  <c r="C280" i="14"/>
  <c r="C265" i="2"/>
  <c r="C273" i="13"/>
  <c r="C281" i="17"/>
  <c r="C278" i="16"/>
  <c r="C278" i="15"/>
  <c r="D271" i="8"/>
  <c r="D275" i="9"/>
  <c r="D273" i="11"/>
  <c r="D273" i="12"/>
  <c r="D274" i="10"/>
  <c r="D265" i="2"/>
  <c r="D278" i="16"/>
  <c r="D281" i="17"/>
  <c r="D278" i="15"/>
  <c r="D273" i="13"/>
  <c r="D280" i="14"/>
  <c r="C245" i="8"/>
  <c r="D245" i="8"/>
  <c r="C243" i="2"/>
  <c r="C247" i="7"/>
  <c r="D247" i="7"/>
  <c r="D243" i="2"/>
  <c r="C221" i="11"/>
  <c r="C221" i="12"/>
  <c r="C223" i="10"/>
  <c r="D221" i="11"/>
  <c r="D221" i="12"/>
  <c r="D223" i="10"/>
  <c r="C215" i="10"/>
  <c r="D215" i="10"/>
  <c r="C262" i="15"/>
  <c r="D262" i="15"/>
  <c r="D225" i="8"/>
  <c r="D227" i="8"/>
  <c r="E15" i="17" l="1"/>
  <c r="E15" i="16"/>
  <c r="E15" i="15"/>
  <c r="E15" i="14"/>
  <c r="E15" i="13"/>
  <c r="E15" i="12"/>
  <c r="E15" i="11"/>
  <c r="E15" i="10"/>
  <c r="E15" i="9"/>
  <c r="E15" i="8"/>
  <c r="E15" i="7"/>
  <c r="B18" i="17"/>
  <c r="B19" i="17"/>
  <c r="B20" i="17"/>
  <c r="B21" i="17"/>
  <c r="B24" i="17"/>
  <c r="B31" i="17"/>
  <c r="B33" i="17"/>
  <c r="B34" i="17"/>
  <c r="B37" i="17"/>
  <c r="B39" i="17"/>
  <c r="B41" i="17"/>
  <c r="B42" i="17"/>
  <c r="B45" i="17"/>
  <c r="B53" i="17"/>
  <c r="B54" i="17"/>
  <c r="B56" i="17"/>
  <c r="B63" i="17"/>
  <c r="B66" i="17"/>
  <c r="B102" i="17"/>
  <c r="B112" i="17"/>
  <c r="B113" i="17"/>
  <c r="B114" i="17"/>
  <c r="B121" i="17"/>
  <c r="B146" i="17"/>
  <c r="B148" i="17"/>
  <c r="B161" i="7"/>
  <c r="B177" i="17"/>
  <c r="D48" i="23"/>
  <c r="D47" i="23"/>
  <c r="D246" i="1"/>
  <c r="E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D248" i="1"/>
  <c r="E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D249" i="1"/>
  <c r="D219" i="16" s="1"/>
  <c r="E249" i="1"/>
  <c r="C219" i="16" s="1"/>
  <c r="H249" i="1"/>
  <c r="I249" i="1"/>
  <c r="J249" i="1"/>
  <c r="K249" i="1"/>
  <c r="L249" i="1"/>
  <c r="M249" i="1"/>
  <c r="N249" i="1"/>
  <c r="O249" i="1"/>
  <c r="P249" i="1"/>
  <c r="Q249" i="1"/>
  <c r="R249" i="1"/>
  <c r="S249" i="1"/>
  <c r="D250" i="1"/>
  <c r="E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D154" i="1"/>
  <c r="E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D156" i="1"/>
  <c r="E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D139" i="1"/>
  <c r="E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D140" i="1"/>
  <c r="E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D304" i="1"/>
  <c r="D261" i="17" s="1"/>
  <c r="E304" i="1"/>
  <c r="C261" i="17" s="1"/>
  <c r="H304" i="1"/>
  <c r="I304" i="1"/>
  <c r="J304" i="1"/>
  <c r="K304" i="1"/>
  <c r="L304" i="1"/>
  <c r="M304" i="1"/>
  <c r="N304" i="1"/>
  <c r="O304" i="1"/>
  <c r="P304" i="1"/>
  <c r="Q304" i="1"/>
  <c r="R304" i="1"/>
  <c r="S304" i="1"/>
  <c r="D305" i="1"/>
  <c r="E305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D306" i="1"/>
  <c r="E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D161" i="1"/>
  <c r="E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D162" i="1"/>
  <c r="E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J18" i="28"/>
  <c r="J19" i="28"/>
  <c r="J20" i="28"/>
  <c r="J21" i="28"/>
  <c r="J23" i="28"/>
  <c r="J26" i="28"/>
  <c r="J27" i="28"/>
  <c r="J28" i="28"/>
  <c r="J29" i="28"/>
  <c r="J30" i="28"/>
  <c r="J31" i="28"/>
  <c r="J35" i="28"/>
  <c r="J38" i="28"/>
  <c r="J39" i="28"/>
  <c r="J54" i="28"/>
  <c r="J55" i="28"/>
  <c r="J56" i="28"/>
  <c r="J57" i="28"/>
  <c r="J58" i="28"/>
  <c r="J59" i="28"/>
  <c r="J62" i="28"/>
  <c r="J64" i="28"/>
  <c r="J65" i="28"/>
  <c r="J66" i="28"/>
  <c r="J70" i="28"/>
  <c r="J71" i="28"/>
  <c r="J72" i="28"/>
  <c r="J73" i="28"/>
  <c r="J74" i="28"/>
  <c r="J75" i="28"/>
  <c r="J78" i="28"/>
  <c r="J80" i="28"/>
  <c r="J81" i="28"/>
  <c r="J82" i="28"/>
  <c r="J86" i="28"/>
  <c r="J87" i="28"/>
  <c r="J88" i="28"/>
  <c r="J89" i="28"/>
  <c r="J90" i="28"/>
  <c r="J91" i="28"/>
  <c r="J94" i="28"/>
  <c r="J95" i="28"/>
  <c r="J96" i="28"/>
  <c r="J97" i="28"/>
  <c r="J106" i="28"/>
  <c r="J103" i="28"/>
  <c r="J104" i="28"/>
  <c r="J112" i="28"/>
  <c r="J113" i="28"/>
  <c r="J120" i="28"/>
  <c r="J121" i="28"/>
  <c r="J122" i="28"/>
  <c r="J134" i="28"/>
  <c r="J129" i="28"/>
  <c r="J130" i="28"/>
  <c r="J137" i="28"/>
  <c r="J138" i="28"/>
  <c r="J141" i="28"/>
  <c r="J142" i="28"/>
  <c r="J159" i="28"/>
  <c r="J149" i="28"/>
  <c r="J150" i="28"/>
  <c r="J151" i="28"/>
  <c r="J156" i="28"/>
  <c r="J158" i="28"/>
  <c r="J173" i="28"/>
  <c r="J175" i="28"/>
  <c r="J163" i="28"/>
  <c r="J164" i="28"/>
  <c r="J168" i="28"/>
  <c r="J169" i="28"/>
  <c r="J170" i="28"/>
  <c r="J179" i="28"/>
  <c r="J180" i="28"/>
  <c r="I22" i="28"/>
  <c r="I23" i="28"/>
  <c r="I24" i="28"/>
  <c r="I25" i="28"/>
  <c r="I30" i="28"/>
  <c r="I31" i="28"/>
  <c r="I33" i="28"/>
  <c r="I34" i="28"/>
  <c r="I46" i="28"/>
  <c r="I53" i="28"/>
  <c r="I54" i="28"/>
  <c r="I55" i="28"/>
  <c r="I57" i="28"/>
  <c r="I60" i="28"/>
  <c r="I61" i="28"/>
  <c r="I62" i="28"/>
  <c r="I63" i="28"/>
  <c r="I65" i="28"/>
  <c r="I67" i="28"/>
  <c r="I68" i="28"/>
  <c r="I69" i="28"/>
  <c r="I70" i="28"/>
  <c r="I71" i="28"/>
  <c r="I73" i="28"/>
  <c r="I76" i="28"/>
  <c r="I77" i="28"/>
  <c r="I78" i="28"/>
  <c r="I79" i="28"/>
  <c r="I81" i="28"/>
  <c r="I83" i="28"/>
  <c r="I84" i="28"/>
  <c r="I85" i="28"/>
  <c r="I86" i="28"/>
  <c r="I87" i="28"/>
  <c r="I89" i="28"/>
  <c r="I91" i="28"/>
  <c r="I92" i="28"/>
  <c r="I93" i="28"/>
  <c r="I99" i="28"/>
  <c r="I100" i="28"/>
  <c r="I102" i="28"/>
  <c r="I113" i="28"/>
  <c r="I110" i="28"/>
  <c r="I111" i="28"/>
  <c r="I118" i="28"/>
  <c r="I122" i="28"/>
  <c r="I123" i="28"/>
  <c r="I125" i="28"/>
  <c r="I134" i="28"/>
  <c r="I135" i="28"/>
  <c r="I130" i="28"/>
  <c r="I131" i="28"/>
  <c r="I142" i="28"/>
  <c r="I143" i="28"/>
  <c r="I138" i="28"/>
  <c r="I139" i="28"/>
  <c r="I154" i="28"/>
  <c r="I158" i="28"/>
  <c r="I147" i="28"/>
  <c r="I148" i="28"/>
  <c r="I150" i="28"/>
  <c r="I172" i="28"/>
  <c r="I173" i="28"/>
  <c r="I161" i="28"/>
  <c r="I162" i="28"/>
  <c r="I167" i="28"/>
  <c r="I168" i="28"/>
  <c r="I175" i="28"/>
  <c r="I178" i="28"/>
  <c r="H18" i="28"/>
  <c r="H19" i="28"/>
  <c r="H20" i="28"/>
  <c r="H21" i="28"/>
  <c r="H22" i="28"/>
  <c r="H23" i="28"/>
  <c r="H24" i="28"/>
  <c r="H25" i="28"/>
  <c r="H27" i="28"/>
  <c r="H28" i="28"/>
  <c r="H29" i="28"/>
  <c r="H30" i="28"/>
  <c r="H31" i="28"/>
  <c r="H35" i="28"/>
  <c r="H38" i="28"/>
  <c r="H43" i="28"/>
  <c r="H46" i="28"/>
  <c r="H53" i="28"/>
  <c r="H54" i="28"/>
  <c r="H55" i="28"/>
  <c r="H56" i="28"/>
  <c r="H57" i="28"/>
  <c r="H58" i="28"/>
  <c r="H59" i="28"/>
  <c r="H61" i="28"/>
  <c r="H62" i="28"/>
  <c r="H63" i="28"/>
  <c r="H64" i="28"/>
  <c r="H65" i="28"/>
  <c r="H66" i="28"/>
  <c r="H67" i="28"/>
  <c r="H68" i="28"/>
  <c r="H69" i="28"/>
  <c r="H70" i="28"/>
  <c r="H71" i="28"/>
  <c r="H72" i="28"/>
  <c r="H73" i="28"/>
  <c r="H74" i="28"/>
  <c r="H75" i="28"/>
  <c r="H76" i="28"/>
  <c r="H77" i="28"/>
  <c r="H78" i="28"/>
  <c r="H79" i="28"/>
  <c r="H80" i="28"/>
  <c r="H81" i="28"/>
  <c r="H82" i="28"/>
  <c r="H83" i="28"/>
  <c r="H84" i="28"/>
  <c r="H85" i="28"/>
  <c r="H86" i="28"/>
  <c r="H87" i="28"/>
  <c r="H88" i="28"/>
  <c r="H89" i="28"/>
  <c r="H92" i="28"/>
  <c r="H93" i="28"/>
  <c r="H98" i="28"/>
  <c r="H99" i="28"/>
  <c r="H100" i="28"/>
  <c r="H106" i="28"/>
  <c r="H107" i="28"/>
  <c r="H102" i="28"/>
  <c r="H103" i="28"/>
  <c r="H104" i="28"/>
  <c r="H114" i="28"/>
  <c r="H113" i="28"/>
  <c r="H115" i="28"/>
  <c r="H129" i="28"/>
  <c r="H125" i="28"/>
  <c r="H126" i="28"/>
  <c r="H127" i="28"/>
  <c r="H135" i="28"/>
  <c r="H138" i="28"/>
  <c r="H146" i="28"/>
  <c r="H147" i="28"/>
  <c r="H148" i="28"/>
  <c r="H161" i="28"/>
  <c r="H162" i="28"/>
  <c r="H163" i="28"/>
  <c r="H152" i="28"/>
  <c r="H167" i="28"/>
  <c r="H173" i="28"/>
  <c r="H175" i="28"/>
  <c r="H178" i="28"/>
  <c r="H170" i="28"/>
  <c r="H171" i="28"/>
  <c r="H172" i="28"/>
  <c r="H174" i="28"/>
  <c r="H180" i="28"/>
  <c r="D106" i="23"/>
  <c r="D49" i="1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3" i="28"/>
  <c r="C34" i="28"/>
  <c r="C35" i="28"/>
  <c r="C38" i="28"/>
  <c r="C39" i="28"/>
  <c r="C40" i="28"/>
  <c r="C43" i="28"/>
  <c r="C46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85" i="28"/>
  <c r="C86" i="28"/>
  <c r="C87" i="28"/>
  <c r="C88" i="28"/>
  <c r="C89" i="28"/>
  <c r="C90" i="28"/>
  <c r="C91" i="28"/>
  <c r="C92" i="28"/>
  <c r="C93" i="28"/>
  <c r="C94" i="28"/>
  <c r="C95" i="28"/>
  <c r="C96" i="28"/>
  <c r="C97" i="28"/>
  <c r="C98" i="28"/>
  <c r="C99" i="28"/>
  <c r="C100" i="28"/>
  <c r="C101" i="28"/>
  <c r="C102" i="28"/>
  <c r="C103" i="28"/>
  <c r="C104" i="28"/>
  <c r="C105" i="28"/>
  <c r="C106" i="28"/>
  <c r="C107" i="28"/>
  <c r="C108" i="28"/>
  <c r="C110" i="28"/>
  <c r="C111" i="28"/>
  <c r="C112" i="28"/>
  <c r="C113" i="28"/>
  <c r="C114" i="28"/>
  <c r="C115" i="28"/>
  <c r="C116" i="28"/>
  <c r="C117" i="28"/>
  <c r="C118" i="28"/>
  <c r="C119" i="28"/>
  <c r="C120" i="28"/>
  <c r="C121" i="28"/>
  <c r="C122" i="28"/>
  <c r="C123" i="28"/>
  <c r="C124" i="28"/>
  <c r="C125" i="28"/>
  <c r="C126" i="28"/>
  <c r="C127" i="28"/>
  <c r="C128" i="28"/>
  <c r="C129" i="28"/>
  <c r="C130" i="28"/>
  <c r="C131" i="28"/>
  <c r="C132" i="28"/>
  <c r="C133" i="28"/>
  <c r="C134" i="28"/>
  <c r="C135" i="28"/>
  <c r="C136" i="28"/>
  <c r="C137" i="28"/>
  <c r="C138" i="28"/>
  <c r="C139" i="28"/>
  <c r="C140" i="28"/>
  <c r="C141" i="28"/>
  <c r="C142" i="28"/>
  <c r="C143" i="28"/>
  <c r="C145" i="28"/>
  <c r="C146" i="28"/>
  <c r="C147" i="28"/>
  <c r="C148" i="28"/>
  <c r="C149" i="28"/>
  <c r="C150" i="28"/>
  <c r="C151" i="28"/>
  <c r="C152" i="28"/>
  <c r="C153" i="28"/>
  <c r="C154" i="28"/>
  <c r="C156" i="28"/>
  <c r="C158" i="28"/>
  <c r="C159" i="28"/>
  <c r="C160" i="28"/>
  <c r="C161" i="28"/>
  <c r="C162" i="28"/>
  <c r="C163" i="28"/>
  <c r="C164" i="28"/>
  <c r="C165" i="28"/>
  <c r="C166" i="28"/>
  <c r="C167" i="28"/>
  <c r="C168" i="28"/>
  <c r="C169" i="28"/>
  <c r="C170" i="28"/>
  <c r="C171" i="28"/>
  <c r="C172" i="28"/>
  <c r="C173" i="28"/>
  <c r="C174" i="28"/>
  <c r="C175" i="28"/>
  <c r="C178" i="28"/>
  <c r="C179" i="28"/>
  <c r="C180" i="28"/>
  <c r="D18" i="28"/>
  <c r="D19" i="28"/>
  <c r="D20" i="28"/>
  <c r="D21" i="28"/>
  <c r="D22" i="28"/>
  <c r="D23" i="28"/>
  <c r="D24" i="28"/>
  <c r="D25" i="28"/>
  <c r="D26" i="28"/>
  <c r="D27" i="28"/>
  <c r="D28" i="28"/>
  <c r="D29" i="28"/>
  <c r="D30" i="28"/>
  <c r="D31" i="28"/>
  <c r="D33" i="28"/>
  <c r="D34" i="28"/>
  <c r="D35" i="28"/>
  <c r="D38" i="28"/>
  <c r="D39" i="28"/>
  <c r="D40" i="28"/>
  <c r="D43" i="28"/>
  <c r="D46" i="28"/>
  <c r="D53" i="28"/>
  <c r="D54" i="28"/>
  <c r="D55" i="28"/>
  <c r="D56" i="28"/>
  <c r="D57" i="28"/>
  <c r="D58" i="28"/>
  <c r="D59" i="28"/>
  <c r="D60" i="28"/>
  <c r="D61" i="28"/>
  <c r="D62" i="28"/>
  <c r="D63" i="28"/>
  <c r="D64" i="28"/>
  <c r="D65" i="28"/>
  <c r="D66" i="28"/>
  <c r="D67" i="28"/>
  <c r="D68" i="28"/>
  <c r="D69" i="28"/>
  <c r="D70" i="28"/>
  <c r="D71" i="28"/>
  <c r="D72" i="28"/>
  <c r="D73" i="28"/>
  <c r="D74" i="28"/>
  <c r="D75" i="28"/>
  <c r="D76" i="28"/>
  <c r="D77" i="28"/>
  <c r="D78" i="28"/>
  <c r="D79" i="28"/>
  <c r="D80" i="28"/>
  <c r="D81" i="28"/>
  <c r="D82" i="28"/>
  <c r="D83" i="28"/>
  <c r="D84" i="28"/>
  <c r="D85" i="28"/>
  <c r="D86" i="28"/>
  <c r="D87" i="28"/>
  <c r="D88" i="28"/>
  <c r="D89" i="28"/>
  <c r="D90" i="28"/>
  <c r="D91" i="28"/>
  <c r="D92" i="28"/>
  <c r="D93" i="28"/>
  <c r="D94" i="28"/>
  <c r="D95" i="28"/>
  <c r="D96" i="28"/>
  <c r="D97" i="28"/>
  <c r="D98" i="28"/>
  <c r="D99" i="28"/>
  <c r="D100" i="28"/>
  <c r="D101" i="28"/>
  <c r="D102" i="28"/>
  <c r="D103" i="28"/>
  <c r="D104" i="28"/>
  <c r="D105" i="28"/>
  <c r="D106" i="28"/>
  <c r="D107" i="28"/>
  <c r="D108" i="28"/>
  <c r="D110" i="28"/>
  <c r="D111" i="28"/>
  <c r="D112" i="28"/>
  <c r="D113" i="28"/>
  <c r="D114" i="28"/>
  <c r="D115" i="28"/>
  <c r="D116" i="28"/>
  <c r="D117" i="28"/>
  <c r="D118" i="28"/>
  <c r="D119" i="28"/>
  <c r="D120" i="28"/>
  <c r="D121" i="28"/>
  <c r="D122" i="28"/>
  <c r="D123" i="28"/>
  <c r="D124" i="28"/>
  <c r="D125" i="28"/>
  <c r="D126" i="28"/>
  <c r="D127" i="28"/>
  <c r="D128" i="28"/>
  <c r="D129" i="28"/>
  <c r="D130" i="28"/>
  <c r="D131" i="28"/>
  <c r="D132" i="28"/>
  <c r="D133" i="28"/>
  <c r="D134" i="28"/>
  <c r="D135" i="28"/>
  <c r="D136" i="28"/>
  <c r="D137" i="28"/>
  <c r="D138" i="28"/>
  <c r="D139" i="28"/>
  <c r="D140" i="28"/>
  <c r="D141" i="28"/>
  <c r="D142" i="28"/>
  <c r="D143" i="28"/>
  <c r="D145" i="28"/>
  <c r="D146" i="28"/>
  <c r="D147" i="28"/>
  <c r="D148" i="28"/>
  <c r="D149" i="28"/>
  <c r="D150" i="28"/>
  <c r="D151" i="28"/>
  <c r="D152" i="28"/>
  <c r="D153" i="28"/>
  <c r="D154" i="28"/>
  <c r="D156" i="28"/>
  <c r="D158" i="28"/>
  <c r="D159" i="28"/>
  <c r="D160" i="28"/>
  <c r="D161" i="28"/>
  <c r="D162" i="28"/>
  <c r="D163" i="28"/>
  <c r="D164" i="28"/>
  <c r="D165" i="28"/>
  <c r="D166" i="28"/>
  <c r="D167" i="28"/>
  <c r="D168" i="28"/>
  <c r="D169" i="28"/>
  <c r="D170" i="28"/>
  <c r="D171" i="28"/>
  <c r="D172" i="28"/>
  <c r="D173" i="28"/>
  <c r="D174" i="28"/>
  <c r="D175" i="28"/>
  <c r="D178" i="28"/>
  <c r="D179" i="28"/>
  <c r="D180" i="28"/>
  <c r="E18" i="28"/>
  <c r="E19" i="28"/>
  <c r="E20" i="28"/>
  <c r="E21" i="28"/>
  <c r="E22" i="28"/>
  <c r="E23" i="28"/>
  <c r="E24" i="28"/>
  <c r="E25" i="28"/>
  <c r="E26" i="28"/>
  <c r="E27" i="28"/>
  <c r="E28" i="28"/>
  <c r="E29" i="28"/>
  <c r="E30" i="28"/>
  <c r="E31" i="28"/>
  <c r="E33" i="28"/>
  <c r="E34" i="28"/>
  <c r="E35" i="28"/>
  <c r="E38" i="28"/>
  <c r="E39" i="28"/>
  <c r="E40" i="28"/>
  <c r="E43" i="28"/>
  <c r="E46" i="28"/>
  <c r="E53" i="28"/>
  <c r="E54" i="28"/>
  <c r="E55" i="28"/>
  <c r="E56" i="28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71" i="28"/>
  <c r="E72" i="28"/>
  <c r="E73" i="28"/>
  <c r="E74" i="28"/>
  <c r="E75" i="28"/>
  <c r="E76" i="28"/>
  <c r="E77" i="28"/>
  <c r="E78" i="28"/>
  <c r="E79" i="28"/>
  <c r="E80" i="28"/>
  <c r="E81" i="28"/>
  <c r="E82" i="28"/>
  <c r="E83" i="28"/>
  <c r="E84" i="28"/>
  <c r="E85" i="28"/>
  <c r="E86" i="28"/>
  <c r="E87" i="28"/>
  <c r="E88" i="28"/>
  <c r="E89" i="28"/>
  <c r="E90" i="28"/>
  <c r="E91" i="28"/>
  <c r="E92" i="28"/>
  <c r="E93" i="28"/>
  <c r="E94" i="28"/>
  <c r="E95" i="28"/>
  <c r="E96" i="28"/>
  <c r="E97" i="28"/>
  <c r="E98" i="28"/>
  <c r="E99" i="28"/>
  <c r="E100" i="28"/>
  <c r="E101" i="28"/>
  <c r="E102" i="28"/>
  <c r="E103" i="28"/>
  <c r="E104" i="28"/>
  <c r="E105" i="28"/>
  <c r="E106" i="28"/>
  <c r="E107" i="28"/>
  <c r="E108" i="28"/>
  <c r="E110" i="28"/>
  <c r="E111" i="28"/>
  <c r="E112" i="28"/>
  <c r="E113" i="28"/>
  <c r="E114" i="28"/>
  <c r="E115" i="28"/>
  <c r="E116" i="28"/>
  <c r="E117" i="28"/>
  <c r="E118" i="28"/>
  <c r="E119" i="28"/>
  <c r="E120" i="28"/>
  <c r="E121" i="28"/>
  <c r="E122" i="28"/>
  <c r="E123" i="28"/>
  <c r="E124" i="28"/>
  <c r="E125" i="28"/>
  <c r="E126" i="28"/>
  <c r="E127" i="28"/>
  <c r="E128" i="28"/>
  <c r="E129" i="28"/>
  <c r="E130" i="28"/>
  <c r="E131" i="28"/>
  <c r="E132" i="28"/>
  <c r="E133" i="28"/>
  <c r="E134" i="28"/>
  <c r="E135" i="28"/>
  <c r="E136" i="28"/>
  <c r="E137" i="28"/>
  <c r="E138" i="28"/>
  <c r="E139" i="28"/>
  <c r="E140" i="28"/>
  <c r="E141" i="28"/>
  <c r="E142" i="28"/>
  <c r="E143" i="28"/>
  <c r="E145" i="28"/>
  <c r="E146" i="28"/>
  <c r="E147" i="28"/>
  <c r="E148" i="28"/>
  <c r="E149" i="28"/>
  <c r="E150" i="28"/>
  <c r="E151" i="28"/>
  <c r="E152" i="28"/>
  <c r="E153" i="28"/>
  <c r="E154" i="28"/>
  <c r="E156" i="28"/>
  <c r="E158" i="28"/>
  <c r="E159" i="28"/>
  <c r="E160" i="28"/>
  <c r="E161" i="28"/>
  <c r="E162" i="28"/>
  <c r="E163" i="28"/>
  <c r="E164" i="28"/>
  <c r="E165" i="28"/>
  <c r="E166" i="28"/>
  <c r="E167" i="28"/>
  <c r="E168" i="28"/>
  <c r="E169" i="28"/>
  <c r="E170" i="28"/>
  <c r="E171" i="28"/>
  <c r="E172" i="28"/>
  <c r="E173" i="28"/>
  <c r="E174" i="28"/>
  <c r="E175" i="28"/>
  <c r="E178" i="28"/>
  <c r="E179" i="28"/>
  <c r="E180" i="28"/>
  <c r="H26" i="28"/>
  <c r="H33" i="28"/>
  <c r="H34" i="28"/>
  <c r="H39" i="28"/>
  <c r="H40" i="28"/>
  <c r="H60" i="28"/>
  <c r="H90" i="28"/>
  <c r="H91" i="28"/>
  <c r="H101" i="28"/>
  <c r="H105" i="28"/>
  <c r="H120" i="28"/>
  <c r="H149" i="28"/>
  <c r="H150" i="28"/>
  <c r="H151" i="28"/>
  <c r="H160" i="28"/>
  <c r="I18" i="28"/>
  <c r="I19" i="28"/>
  <c r="I20" i="28"/>
  <c r="I21" i="28"/>
  <c r="I26" i="28"/>
  <c r="I27" i="28"/>
  <c r="I28" i="28"/>
  <c r="I29" i="28"/>
  <c r="I35" i="28"/>
  <c r="I38" i="28"/>
  <c r="I39" i="28"/>
  <c r="I40" i="28"/>
  <c r="I43" i="28"/>
  <c r="I56" i="28"/>
  <c r="I58" i="28"/>
  <c r="I59" i="28"/>
  <c r="I64" i="28"/>
  <c r="I66" i="28"/>
  <c r="I72" i="28"/>
  <c r="I74" i="28"/>
  <c r="I75" i="28"/>
  <c r="I80" i="28"/>
  <c r="I82" i="28"/>
  <c r="I88" i="28"/>
  <c r="I90" i="28"/>
  <c r="I96" i="28"/>
  <c r="I97" i="28"/>
  <c r="I98" i="28"/>
  <c r="I101" i="28"/>
  <c r="I103" i="28"/>
  <c r="I104" i="28"/>
  <c r="I105" i="28"/>
  <c r="I106" i="28"/>
  <c r="I112" i="28"/>
  <c r="I119" i="28"/>
  <c r="I120" i="28"/>
  <c r="I121" i="28"/>
  <c r="I126" i="28"/>
  <c r="I127" i="28"/>
  <c r="I140" i="28"/>
  <c r="I149" i="28"/>
  <c r="I151" i="28"/>
  <c r="I152" i="28"/>
  <c r="I153" i="28"/>
  <c r="I163" i="28"/>
  <c r="I164" i="28"/>
  <c r="I165" i="28"/>
  <c r="I166" i="28"/>
  <c r="I169" i="28"/>
  <c r="I171" i="28"/>
  <c r="I179" i="28"/>
  <c r="I180" i="28"/>
  <c r="J22" i="28"/>
  <c r="J24" i="28"/>
  <c r="J25" i="28"/>
  <c r="J33" i="28"/>
  <c r="J34" i="28"/>
  <c r="J40" i="28"/>
  <c r="J43" i="28"/>
  <c r="J46" i="28"/>
  <c r="J53" i="28"/>
  <c r="J60" i="28"/>
  <c r="J61" i="28"/>
  <c r="J63" i="28"/>
  <c r="J67" i="28"/>
  <c r="J68" i="28"/>
  <c r="J69" i="28"/>
  <c r="J76" i="28"/>
  <c r="J77" i="28"/>
  <c r="J79" i="28"/>
  <c r="J83" i="28"/>
  <c r="J84" i="28"/>
  <c r="J85" i="28"/>
  <c r="J93" i="28"/>
  <c r="J98" i="28"/>
  <c r="J99" i="28"/>
  <c r="J100" i="28"/>
  <c r="J101" i="28"/>
  <c r="J102" i="28"/>
  <c r="J105" i="28"/>
  <c r="J108" i="28"/>
  <c r="J114" i="28"/>
  <c r="J115" i="28"/>
  <c r="J116" i="28"/>
  <c r="J123" i="28"/>
  <c r="J124" i="28"/>
  <c r="J125" i="28"/>
  <c r="J126" i="28"/>
  <c r="J131" i="28"/>
  <c r="J132" i="28"/>
  <c r="J139" i="28"/>
  <c r="J140" i="28"/>
  <c r="J147" i="28"/>
  <c r="J152" i="28"/>
  <c r="J154" i="28"/>
  <c r="J160" i="28"/>
  <c r="J165" i="28"/>
  <c r="J166" i="28"/>
  <c r="J167" i="28"/>
  <c r="J172" i="28"/>
  <c r="J174" i="28"/>
  <c r="J178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3" i="28"/>
  <c r="K34" i="28"/>
  <c r="K35" i="28"/>
  <c r="K38" i="28"/>
  <c r="K39" i="28"/>
  <c r="K40" i="28"/>
  <c r="K43" i="28"/>
  <c r="K46" i="28"/>
  <c r="K53" i="28"/>
  <c r="K54" i="28"/>
  <c r="K55" i="28"/>
  <c r="K56" i="28"/>
  <c r="K57" i="28"/>
  <c r="K58" i="28"/>
  <c r="K59" i="28"/>
  <c r="K60" i="28"/>
  <c r="K61" i="28"/>
  <c r="K62" i="28"/>
  <c r="K63" i="28"/>
  <c r="K64" i="28"/>
  <c r="K65" i="28"/>
  <c r="K66" i="28"/>
  <c r="K67" i="28"/>
  <c r="K68" i="28"/>
  <c r="K69" i="28"/>
  <c r="K70" i="28"/>
  <c r="K71" i="28"/>
  <c r="K72" i="28"/>
  <c r="K73" i="28"/>
  <c r="K74" i="28"/>
  <c r="K75" i="28"/>
  <c r="K76" i="28"/>
  <c r="K77" i="28"/>
  <c r="K78" i="28"/>
  <c r="K79" i="28"/>
  <c r="K80" i="28"/>
  <c r="K81" i="28"/>
  <c r="K82" i="28"/>
  <c r="K83" i="28"/>
  <c r="K85" i="28"/>
  <c r="K86" i="28"/>
  <c r="K87" i="28"/>
  <c r="K88" i="28"/>
  <c r="K89" i="28"/>
  <c r="K90" i="28"/>
  <c r="K91" i="28"/>
  <c r="K92" i="28"/>
  <c r="K93" i="28"/>
  <c r="K94" i="28"/>
  <c r="K95" i="28"/>
  <c r="K96" i="28"/>
  <c r="K97" i="28"/>
  <c r="K98" i="28"/>
  <c r="K99" i="28"/>
  <c r="K100" i="28"/>
  <c r="K101" i="28"/>
  <c r="K102" i="28"/>
  <c r="K103" i="28"/>
  <c r="K104" i="28"/>
  <c r="K105" i="28"/>
  <c r="K106" i="28"/>
  <c r="K107" i="28"/>
  <c r="K108" i="28"/>
  <c r="K110" i="28"/>
  <c r="K111" i="28"/>
  <c r="K112" i="28"/>
  <c r="K113" i="28"/>
  <c r="K114" i="28"/>
  <c r="K115" i="28"/>
  <c r="K116" i="28"/>
  <c r="K117" i="28"/>
  <c r="K118" i="28"/>
  <c r="K119" i="28"/>
  <c r="K120" i="28"/>
  <c r="K121" i="28"/>
  <c r="K122" i="28"/>
  <c r="K123" i="28"/>
  <c r="K124" i="28"/>
  <c r="K125" i="28"/>
  <c r="K126" i="28"/>
  <c r="K127" i="28"/>
  <c r="K128" i="28"/>
  <c r="K129" i="28"/>
  <c r="K130" i="28"/>
  <c r="K131" i="28"/>
  <c r="K132" i="28"/>
  <c r="K133" i="28"/>
  <c r="K134" i="28"/>
  <c r="K135" i="28"/>
  <c r="K136" i="28"/>
  <c r="K137" i="28"/>
  <c r="K138" i="28"/>
  <c r="K139" i="28"/>
  <c r="K140" i="28"/>
  <c r="K141" i="28"/>
  <c r="K142" i="28"/>
  <c r="K143" i="28"/>
  <c r="K145" i="28"/>
  <c r="K146" i="28"/>
  <c r="K147" i="28"/>
  <c r="K148" i="28"/>
  <c r="K149" i="28"/>
  <c r="K150" i="28"/>
  <c r="K152" i="28"/>
  <c r="K153" i="28"/>
  <c r="K154" i="28"/>
  <c r="K156" i="28"/>
  <c r="K158" i="28"/>
  <c r="K159" i="28"/>
  <c r="K160" i="28"/>
  <c r="K161" i="28"/>
  <c r="K162" i="28"/>
  <c r="K163" i="28"/>
  <c r="K164" i="28"/>
  <c r="K165" i="28"/>
  <c r="K166" i="28"/>
  <c r="K167" i="28"/>
  <c r="K168" i="28"/>
  <c r="K169" i="28"/>
  <c r="K170" i="28"/>
  <c r="K171" i="28"/>
  <c r="K172" i="28"/>
  <c r="K173" i="28"/>
  <c r="K174" i="28"/>
  <c r="K175" i="28"/>
  <c r="K178" i="28"/>
  <c r="K179" i="28"/>
  <c r="K180" i="28"/>
  <c r="L18" i="28"/>
  <c r="L19" i="28"/>
  <c r="L20" i="28"/>
  <c r="L21" i="28"/>
  <c r="L22" i="28"/>
  <c r="L23" i="28"/>
  <c r="L24" i="28"/>
  <c r="L25" i="28"/>
  <c r="L26" i="28"/>
  <c r="L27" i="28"/>
  <c r="L28" i="28"/>
  <c r="L29" i="28"/>
  <c r="L30" i="28"/>
  <c r="L31" i="28"/>
  <c r="L33" i="28"/>
  <c r="L34" i="28"/>
  <c r="L35" i="28"/>
  <c r="L38" i="28"/>
  <c r="L39" i="28"/>
  <c r="L40" i="28"/>
  <c r="L43" i="28"/>
  <c r="L46" i="28"/>
  <c r="L53" i="28"/>
  <c r="L54" i="28"/>
  <c r="L55" i="28"/>
  <c r="L56" i="28"/>
  <c r="L57" i="28"/>
  <c r="L58" i="28"/>
  <c r="L59" i="28"/>
  <c r="L60" i="28"/>
  <c r="L61" i="28"/>
  <c r="L62" i="28"/>
  <c r="L63" i="28"/>
  <c r="L64" i="28"/>
  <c r="L65" i="28"/>
  <c r="L66" i="28"/>
  <c r="L67" i="28"/>
  <c r="L68" i="28"/>
  <c r="L69" i="28"/>
  <c r="L70" i="28"/>
  <c r="L71" i="28"/>
  <c r="L72" i="28"/>
  <c r="L73" i="28"/>
  <c r="L74" i="28"/>
  <c r="L75" i="28"/>
  <c r="L76" i="28"/>
  <c r="L77" i="28"/>
  <c r="L78" i="28"/>
  <c r="L79" i="28"/>
  <c r="L80" i="28"/>
  <c r="L81" i="28"/>
  <c r="L82" i="28"/>
  <c r="L83" i="28"/>
  <c r="L84" i="28"/>
  <c r="L85" i="28"/>
  <c r="L86" i="28"/>
  <c r="L87" i="28"/>
  <c r="L88" i="28"/>
  <c r="L89" i="28"/>
  <c r="L90" i="28"/>
  <c r="L91" i="28"/>
  <c r="L92" i="28"/>
  <c r="L93" i="28"/>
  <c r="L94" i="28"/>
  <c r="L95" i="28"/>
  <c r="L96" i="28"/>
  <c r="L97" i="28"/>
  <c r="L98" i="28"/>
  <c r="L99" i="28"/>
  <c r="L100" i="28"/>
  <c r="L101" i="28"/>
  <c r="L102" i="28"/>
  <c r="L103" i="28"/>
  <c r="L104" i="28"/>
  <c r="L105" i="28"/>
  <c r="L106" i="28"/>
  <c r="L107" i="28"/>
  <c r="L108" i="28"/>
  <c r="L110" i="28"/>
  <c r="L111" i="28"/>
  <c r="L112" i="28"/>
  <c r="L113" i="28"/>
  <c r="L114" i="28"/>
  <c r="L115" i="28"/>
  <c r="L116" i="28"/>
  <c r="L117" i="28"/>
  <c r="L118" i="28"/>
  <c r="L119" i="28"/>
  <c r="L120" i="28"/>
  <c r="L121" i="28"/>
  <c r="L122" i="28"/>
  <c r="L123" i="28"/>
  <c r="L124" i="28"/>
  <c r="L125" i="28"/>
  <c r="L126" i="28"/>
  <c r="L127" i="28"/>
  <c r="L128" i="28"/>
  <c r="L129" i="28"/>
  <c r="L130" i="28"/>
  <c r="L131" i="28"/>
  <c r="L132" i="28"/>
  <c r="L133" i="28"/>
  <c r="L134" i="28"/>
  <c r="L135" i="28"/>
  <c r="L136" i="28"/>
  <c r="L137" i="28"/>
  <c r="L138" i="28"/>
  <c r="L139" i="28"/>
  <c r="L140" i="28"/>
  <c r="L141" i="28"/>
  <c r="L142" i="28"/>
  <c r="L143" i="28"/>
  <c r="L145" i="28"/>
  <c r="L146" i="28"/>
  <c r="L147" i="28"/>
  <c r="L148" i="28"/>
  <c r="L149" i="28"/>
  <c r="L150" i="28"/>
  <c r="L151" i="28"/>
  <c r="L152" i="28"/>
  <c r="L153" i="28"/>
  <c r="L154" i="28"/>
  <c r="L156" i="28"/>
  <c r="L158" i="28"/>
  <c r="L159" i="28"/>
  <c r="L160" i="28"/>
  <c r="L161" i="28"/>
  <c r="L162" i="28"/>
  <c r="L163" i="28"/>
  <c r="L164" i="28"/>
  <c r="L165" i="28"/>
  <c r="L166" i="28"/>
  <c r="L167" i="28"/>
  <c r="L168" i="28"/>
  <c r="L169" i="28"/>
  <c r="L170" i="28"/>
  <c r="L171" i="28"/>
  <c r="L172" i="28"/>
  <c r="L173" i="28"/>
  <c r="L174" i="28"/>
  <c r="L175" i="28"/>
  <c r="L178" i="28"/>
  <c r="L179" i="28"/>
  <c r="L180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3" i="28"/>
  <c r="M34" i="28"/>
  <c r="M35" i="28"/>
  <c r="M38" i="28"/>
  <c r="M39" i="28"/>
  <c r="M40" i="28"/>
  <c r="M43" i="28"/>
  <c r="M46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5" i="28"/>
  <c r="M146" i="28"/>
  <c r="M147" i="28"/>
  <c r="M148" i="28"/>
  <c r="M149" i="28"/>
  <c r="M150" i="28"/>
  <c r="M151" i="28"/>
  <c r="M152" i="28"/>
  <c r="M153" i="28"/>
  <c r="M154" i="28"/>
  <c r="M156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8" i="28"/>
  <c r="M179" i="28"/>
  <c r="M180" i="28"/>
  <c r="N18" i="28"/>
  <c r="N19" i="28"/>
  <c r="N20" i="28"/>
  <c r="N21" i="28"/>
  <c r="N22" i="28"/>
  <c r="N23" i="28"/>
  <c r="N24" i="28"/>
  <c r="N25" i="28"/>
  <c r="N26" i="28"/>
  <c r="N27" i="28"/>
  <c r="N28" i="28"/>
  <c r="N29" i="28"/>
  <c r="N30" i="28"/>
  <c r="N31" i="28"/>
  <c r="N33" i="28"/>
  <c r="N34" i="28"/>
  <c r="N35" i="28"/>
  <c r="N38" i="28"/>
  <c r="N39" i="28"/>
  <c r="N40" i="28"/>
  <c r="N43" i="28"/>
  <c r="N46" i="28"/>
  <c r="N53" i="28"/>
  <c r="N54" i="28"/>
  <c r="N55" i="28"/>
  <c r="N56" i="28"/>
  <c r="N57" i="28"/>
  <c r="N58" i="28"/>
  <c r="N59" i="28"/>
  <c r="N60" i="28"/>
  <c r="N61" i="28"/>
  <c r="N62" i="28"/>
  <c r="N63" i="28"/>
  <c r="N64" i="28"/>
  <c r="N65" i="28"/>
  <c r="N66" i="28"/>
  <c r="N67" i="28"/>
  <c r="N68" i="28"/>
  <c r="N69" i="28"/>
  <c r="N70" i="28"/>
  <c r="N71" i="28"/>
  <c r="N72" i="28"/>
  <c r="N73" i="28"/>
  <c r="N74" i="28"/>
  <c r="N75" i="28"/>
  <c r="N76" i="28"/>
  <c r="N77" i="28"/>
  <c r="N78" i="28"/>
  <c r="N79" i="28"/>
  <c r="N80" i="28"/>
  <c r="N81" i="28"/>
  <c r="N82" i="28"/>
  <c r="N83" i="28"/>
  <c r="N84" i="28"/>
  <c r="N85" i="28"/>
  <c r="N86" i="28"/>
  <c r="N87" i="28"/>
  <c r="N88" i="28"/>
  <c r="N89" i="28"/>
  <c r="N90" i="28"/>
  <c r="N91" i="28"/>
  <c r="N92" i="28"/>
  <c r="N93" i="28"/>
  <c r="N94" i="28"/>
  <c r="N95" i="28"/>
  <c r="N96" i="28"/>
  <c r="N97" i="28"/>
  <c r="N98" i="28"/>
  <c r="N99" i="28"/>
  <c r="N100" i="28"/>
  <c r="N101" i="28"/>
  <c r="N102" i="28"/>
  <c r="N103" i="28"/>
  <c r="N104" i="28"/>
  <c r="N105" i="28"/>
  <c r="N106" i="28"/>
  <c r="N107" i="28"/>
  <c r="N108" i="28"/>
  <c r="N110" i="28"/>
  <c r="N111" i="28"/>
  <c r="N112" i="28"/>
  <c r="N113" i="28"/>
  <c r="N114" i="28"/>
  <c r="N115" i="28"/>
  <c r="N116" i="28"/>
  <c r="N117" i="28"/>
  <c r="N118" i="28"/>
  <c r="N119" i="28"/>
  <c r="N120" i="28"/>
  <c r="N121" i="28"/>
  <c r="N122" i="28"/>
  <c r="N123" i="28"/>
  <c r="N124" i="28"/>
  <c r="N125" i="28"/>
  <c r="N126" i="28"/>
  <c r="N127" i="28"/>
  <c r="N128" i="28"/>
  <c r="N129" i="28"/>
  <c r="N130" i="28"/>
  <c r="N131" i="28"/>
  <c r="N132" i="28"/>
  <c r="N133" i="28"/>
  <c r="N134" i="28"/>
  <c r="N135" i="28"/>
  <c r="N136" i="28"/>
  <c r="N137" i="28"/>
  <c r="N138" i="28"/>
  <c r="N139" i="28"/>
  <c r="N140" i="28"/>
  <c r="N141" i="28"/>
  <c r="N142" i="28"/>
  <c r="N143" i="28"/>
  <c r="N145" i="28"/>
  <c r="N146" i="28"/>
  <c r="N147" i="28"/>
  <c r="N148" i="28"/>
  <c r="N149" i="28"/>
  <c r="N150" i="28"/>
  <c r="N151" i="28"/>
  <c r="N152" i="28"/>
  <c r="N153" i="28"/>
  <c r="N154" i="28"/>
  <c r="N156" i="28"/>
  <c r="N158" i="28"/>
  <c r="N159" i="28"/>
  <c r="N160" i="28"/>
  <c r="N161" i="28"/>
  <c r="N162" i="28"/>
  <c r="N163" i="28"/>
  <c r="N164" i="28"/>
  <c r="N165" i="28"/>
  <c r="N166" i="28"/>
  <c r="N167" i="28"/>
  <c r="N168" i="28"/>
  <c r="N169" i="28"/>
  <c r="N170" i="28"/>
  <c r="N171" i="28"/>
  <c r="N172" i="28"/>
  <c r="N173" i="28"/>
  <c r="N174" i="28"/>
  <c r="N175" i="28"/>
  <c r="N178" i="28"/>
  <c r="N179" i="28"/>
  <c r="N180" i="28"/>
  <c r="O18" i="28"/>
  <c r="O19" i="28"/>
  <c r="O20" i="28"/>
  <c r="O21" i="28"/>
  <c r="O22" i="28"/>
  <c r="O23" i="28"/>
  <c r="O24" i="28"/>
  <c r="O25" i="28"/>
  <c r="O26" i="28"/>
  <c r="O27" i="28"/>
  <c r="O28" i="28"/>
  <c r="O29" i="28"/>
  <c r="O30" i="28"/>
  <c r="O31" i="28"/>
  <c r="O33" i="28"/>
  <c r="O34" i="28"/>
  <c r="O35" i="28"/>
  <c r="O38" i="28"/>
  <c r="O39" i="28"/>
  <c r="O40" i="28"/>
  <c r="O43" i="28"/>
  <c r="O46" i="28"/>
  <c r="O53" i="28"/>
  <c r="O54" i="28"/>
  <c r="O55" i="28"/>
  <c r="O56" i="28"/>
  <c r="O57" i="28"/>
  <c r="O58" i="28"/>
  <c r="O59" i="28"/>
  <c r="O60" i="28"/>
  <c r="O61" i="28"/>
  <c r="O62" i="28"/>
  <c r="O63" i="28"/>
  <c r="O64" i="28"/>
  <c r="O65" i="28"/>
  <c r="O66" i="28"/>
  <c r="O67" i="28"/>
  <c r="O68" i="28"/>
  <c r="O69" i="28"/>
  <c r="O70" i="28"/>
  <c r="O71" i="28"/>
  <c r="O72" i="28"/>
  <c r="O73" i="28"/>
  <c r="O74" i="28"/>
  <c r="O75" i="28"/>
  <c r="O76" i="28"/>
  <c r="O77" i="28"/>
  <c r="O78" i="28"/>
  <c r="O79" i="28"/>
  <c r="O80" i="28"/>
  <c r="O81" i="28"/>
  <c r="O82" i="28"/>
  <c r="O83" i="28"/>
  <c r="O84" i="28"/>
  <c r="O85" i="28"/>
  <c r="O86" i="28"/>
  <c r="O87" i="28"/>
  <c r="O88" i="28"/>
  <c r="O89" i="28"/>
  <c r="O90" i="28"/>
  <c r="O91" i="28"/>
  <c r="O92" i="28"/>
  <c r="O93" i="28"/>
  <c r="O94" i="28"/>
  <c r="O95" i="28"/>
  <c r="O96" i="28"/>
  <c r="O97" i="28"/>
  <c r="O98" i="28"/>
  <c r="O99" i="28"/>
  <c r="O100" i="28"/>
  <c r="O101" i="28"/>
  <c r="O102" i="28"/>
  <c r="O103" i="28"/>
  <c r="O104" i="28"/>
  <c r="O105" i="28"/>
  <c r="O106" i="28"/>
  <c r="O107" i="28"/>
  <c r="O108" i="28"/>
  <c r="O110" i="28"/>
  <c r="O111" i="28"/>
  <c r="O112" i="28"/>
  <c r="O113" i="28"/>
  <c r="O114" i="28"/>
  <c r="O115" i="28"/>
  <c r="O116" i="28"/>
  <c r="O117" i="28"/>
  <c r="O118" i="28"/>
  <c r="O119" i="28"/>
  <c r="O120" i="28"/>
  <c r="O121" i="28"/>
  <c r="O122" i="28"/>
  <c r="O123" i="28"/>
  <c r="O124" i="28"/>
  <c r="O125" i="28"/>
  <c r="O126" i="28"/>
  <c r="O127" i="28"/>
  <c r="O128" i="28"/>
  <c r="O129" i="28"/>
  <c r="O130" i="28"/>
  <c r="O131" i="28"/>
  <c r="O132" i="28"/>
  <c r="O133" i="28"/>
  <c r="O134" i="28"/>
  <c r="O135" i="28"/>
  <c r="O136" i="28"/>
  <c r="O137" i="28"/>
  <c r="O138" i="28"/>
  <c r="O139" i="28"/>
  <c r="O140" i="28"/>
  <c r="O141" i="28"/>
  <c r="O142" i="28"/>
  <c r="O143" i="28"/>
  <c r="O145" i="28"/>
  <c r="O146" i="28"/>
  <c r="O147" i="28"/>
  <c r="O148" i="28"/>
  <c r="O149" i="28"/>
  <c r="O150" i="28"/>
  <c r="O151" i="28"/>
  <c r="O152" i="28"/>
  <c r="O153" i="28"/>
  <c r="O154" i="28"/>
  <c r="O156" i="28"/>
  <c r="O158" i="28"/>
  <c r="O159" i="28"/>
  <c r="O160" i="28"/>
  <c r="O161" i="28"/>
  <c r="O162" i="28"/>
  <c r="O163" i="28"/>
  <c r="O164" i="28"/>
  <c r="O165" i="28"/>
  <c r="O166" i="28"/>
  <c r="O167" i="28"/>
  <c r="O168" i="28"/>
  <c r="O169" i="28"/>
  <c r="O170" i="28"/>
  <c r="O171" i="28"/>
  <c r="O172" i="28"/>
  <c r="O173" i="28"/>
  <c r="O174" i="28"/>
  <c r="O175" i="28"/>
  <c r="O178" i="28"/>
  <c r="O179" i="28"/>
  <c r="O180" i="28"/>
  <c r="P18" i="28"/>
  <c r="P19" i="28"/>
  <c r="P20" i="28"/>
  <c r="P21" i="28"/>
  <c r="P22" i="28"/>
  <c r="P23" i="28"/>
  <c r="P24" i="28"/>
  <c r="P25" i="28"/>
  <c r="P26" i="28"/>
  <c r="P27" i="28"/>
  <c r="P28" i="28"/>
  <c r="P29" i="28"/>
  <c r="P30" i="28"/>
  <c r="P31" i="28"/>
  <c r="P33" i="28"/>
  <c r="P34" i="28"/>
  <c r="P35" i="28"/>
  <c r="P38" i="28"/>
  <c r="P39" i="28"/>
  <c r="P40" i="28"/>
  <c r="P43" i="28"/>
  <c r="P46" i="28"/>
  <c r="P53" i="28"/>
  <c r="P54" i="28"/>
  <c r="P55" i="28"/>
  <c r="P56" i="28"/>
  <c r="P57" i="28"/>
  <c r="P58" i="28"/>
  <c r="P59" i="28"/>
  <c r="P60" i="28"/>
  <c r="P61" i="28"/>
  <c r="P62" i="28"/>
  <c r="P63" i="28"/>
  <c r="P64" i="28"/>
  <c r="P65" i="28"/>
  <c r="P66" i="28"/>
  <c r="P67" i="28"/>
  <c r="P68" i="28"/>
  <c r="P69" i="28"/>
  <c r="P70" i="28"/>
  <c r="P71" i="28"/>
  <c r="P72" i="28"/>
  <c r="P73" i="28"/>
  <c r="P74" i="28"/>
  <c r="P75" i="28"/>
  <c r="P76" i="28"/>
  <c r="P77" i="28"/>
  <c r="P78" i="28"/>
  <c r="P79" i="28"/>
  <c r="P80" i="28"/>
  <c r="P81" i="28"/>
  <c r="P82" i="28"/>
  <c r="P83" i="28"/>
  <c r="P84" i="28"/>
  <c r="P85" i="28"/>
  <c r="P86" i="28"/>
  <c r="P87" i="28"/>
  <c r="P88" i="28"/>
  <c r="P89" i="28"/>
  <c r="P90" i="28"/>
  <c r="P91" i="28"/>
  <c r="P92" i="28"/>
  <c r="P93" i="28"/>
  <c r="P94" i="28"/>
  <c r="P95" i="28"/>
  <c r="P96" i="28"/>
  <c r="P97" i="28"/>
  <c r="P98" i="28"/>
  <c r="P99" i="28"/>
  <c r="P100" i="28"/>
  <c r="P101" i="28"/>
  <c r="P102" i="28"/>
  <c r="P103" i="28"/>
  <c r="P104" i="28"/>
  <c r="P105" i="28"/>
  <c r="P106" i="28"/>
  <c r="P107" i="28"/>
  <c r="P108" i="28"/>
  <c r="P110" i="28"/>
  <c r="P111" i="28"/>
  <c r="P112" i="28"/>
  <c r="P113" i="28"/>
  <c r="P114" i="28"/>
  <c r="P115" i="28"/>
  <c r="P116" i="28"/>
  <c r="P117" i="28"/>
  <c r="P118" i="28"/>
  <c r="P119" i="28"/>
  <c r="P120" i="28"/>
  <c r="P121" i="28"/>
  <c r="P122" i="28"/>
  <c r="P123" i="28"/>
  <c r="P124" i="28"/>
  <c r="P125" i="28"/>
  <c r="P126" i="28"/>
  <c r="P127" i="28"/>
  <c r="P128" i="28"/>
  <c r="P129" i="28"/>
  <c r="P130" i="28"/>
  <c r="P131" i="28"/>
  <c r="P132" i="28"/>
  <c r="P133" i="28"/>
  <c r="P134" i="28"/>
  <c r="P135" i="28"/>
  <c r="P136" i="28"/>
  <c r="P137" i="28"/>
  <c r="P138" i="28"/>
  <c r="P139" i="28"/>
  <c r="P140" i="28"/>
  <c r="P141" i="28"/>
  <c r="P142" i="28"/>
  <c r="P143" i="28"/>
  <c r="P145" i="28"/>
  <c r="P146" i="28"/>
  <c r="P147" i="28"/>
  <c r="P148" i="28"/>
  <c r="P149" i="28"/>
  <c r="P150" i="28"/>
  <c r="P151" i="28"/>
  <c r="P152" i="28"/>
  <c r="P153" i="28"/>
  <c r="P154" i="28"/>
  <c r="P156" i="28"/>
  <c r="P158" i="28"/>
  <c r="P159" i="28"/>
  <c r="P160" i="28"/>
  <c r="P161" i="28"/>
  <c r="P162" i="28"/>
  <c r="P163" i="28"/>
  <c r="P164" i="28"/>
  <c r="P165" i="28"/>
  <c r="P166" i="28"/>
  <c r="P167" i="28"/>
  <c r="P168" i="28"/>
  <c r="P169" i="28"/>
  <c r="P170" i="28"/>
  <c r="P171" i="28"/>
  <c r="P172" i="28"/>
  <c r="P173" i="28"/>
  <c r="P174" i="28"/>
  <c r="P175" i="28"/>
  <c r="P178" i="28"/>
  <c r="P179" i="28"/>
  <c r="P180" i="28"/>
  <c r="Q18" i="28"/>
  <c r="Q19" i="28"/>
  <c r="Q20" i="28"/>
  <c r="Q21" i="28"/>
  <c r="Q22" i="28"/>
  <c r="Q23" i="28"/>
  <c r="Q24" i="28"/>
  <c r="Q25" i="28"/>
  <c r="Q26" i="28"/>
  <c r="Q27" i="28"/>
  <c r="Q28" i="28"/>
  <c r="Q29" i="28"/>
  <c r="Q30" i="28"/>
  <c r="Q31" i="28"/>
  <c r="Q33" i="28"/>
  <c r="Q34" i="28"/>
  <c r="Q35" i="28"/>
  <c r="Q38" i="28"/>
  <c r="Q39" i="28"/>
  <c r="Q40" i="28"/>
  <c r="Q43" i="28"/>
  <c r="Q46" i="28"/>
  <c r="Q53" i="28"/>
  <c r="Q54" i="28"/>
  <c r="Q55" i="28"/>
  <c r="Q56" i="28"/>
  <c r="Q57" i="28"/>
  <c r="Q58" i="28"/>
  <c r="Q59" i="28"/>
  <c r="Q60" i="28"/>
  <c r="Q61" i="28"/>
  <c r="Q62" i="28"/>
  <c r="Q63" i="28"/>
  <c r="Q64" i="28"/>
  <c r="Q65" i="28"/>
  <c r="Q66" i="28"/>
  <c r="Q67" i="28"/>
  <c r="Q68" i="28"/>
  <c r="Q69" i="28"/>
  <c r="Q70" i="28"/>
  <c r="Q71" i="28"/>
  <c r="Q72" i="28"/>
  <c r="Q73" i="28"/>
  <c r="Q74" i="28"/>
  <c r="Q75" i="28"/>
  <c r="Q76" i="28"/>
  <c r="Q77" i="28"/>
  <c r="Q78" i="28"/>
  <c r="Q79" i="28"/>
  <c r="Q80" i="28"/>
  <c r="Q81" i="28"/>
  <c r="Q82" i="28"/>
  <c r="Q83" i="28"/>
  <c r="Q84" i="28"/>
  <c r="Q85" i="28"/>
  <c r="Q86" i="28"/>
  <c r="Q87" i="28"/>
  <c r="Q88" i="28"/>
  <c r="Q89" i="28"/>
  <c r="Q90" i="28"/>
  <c r="Q91" i="28"/>
  <c r="Q92" i="28"/>
  <c r="Q93" i="28"/>
  <c r="Q94" i="28"/>
  <c r="Q95" i="28"/>
  <c r="Q96" i="28"/>
  <c r="Q97" i="28"/>
  <c r="Q98" i="28"/>
  <c r="Q99" i="28"/>
  <c r="Q100" i="28"/>
  <c r="Q101" i="28"/>
  <c r="Q102" i="28"/>
  <c r="Q103" i="28"/>
  <c r="Q104" i="28"/>
  <c r="Q105" i="28"/>
  <c r="Q106" i="28"/>
  <c r="Q107" i="28"/>
  <c r="Q108" i="28"/>
  <c r="Q110" i="28"/>
  <c r="Q111" i="28"/>
  <c r="Q112" i="28"/>
  <c r="Q113" i="28"/>
  <c r="Q114" i="28"/>
  <c r="Q115" i="28"/>
  <c r="Q116" i="28"/>
  <c r="Q117" i="28"/>
  <c r="Q118" i="28"/>
  <c r="Q119" i="28"/>
  <c r="Q120" i="28"/>
  <c r="Q121" i="28"/>
  <c r="Q122" i="28"/>
  <c r="Q123" i="28"/>
  <c r="Q124" i="28"/>
  <c r="Q125" i="28"/>
  <c r="Q126" i="28"/>
  <c r="Q127" i="28"/>
  <c r="Q128" i="28"/>
  <c r="Q129" i="28"/>
  <c r="Q130" i="28"/>
  <c r="Q131" i="28"/>
  <c r="Q132" i="28"/>
  <c r="Q133" i="28"/>
  <c r="Q134" i="28"/>
  <c r="Q135" i="28"/>
  <c r="Q136" i="28"/>
  <c r="Q137" i="28"/>
  <c r="Q138" i="28"/>
  <c r="Q139" i="28"/>
  <c r="Q140" i="28"/>
  <c r="Q141" i="28"/>
  <c r="Q142" i="28"/>
  <c r="Q143" i="28"/>
  <c r="Q145" i="28"/>
  <c r="Q146" i="28"/>
  <c r="Q147" i="28"/>
  <c r="Q148" i="28"/>
  <c r="Q149" i="28"/>
  <c r="Q150" i="28"/>
  <c r="Q151" i="28"/>
  <c r="Q152" i="28"/>
  <c r="Q153" i="28"/>
  <c r="Q154" i="28"/>
  <c r="Q156" i="28"/>
  <c r="Q158" i="28"/>
  <c r="Q159" i="28"/>
  <c r="Q160" i="28"/>
  <c r="Q161" i="28"/>
  <c r="Q162" i="28"/>
  <c r="Q163" i="28"/>
  <c r="Q164" i="28"/>
  <c r="Q165" i="28"/>
  <c r="Q166" i="28"/>
  <c r="Q167" i="28"/>
  <c r="Q168" i="28"/>
  <c r="Q169" i="28"/>
  <c r="Q170" i="28"/>
  <c r="Q171" i="28"/>
  <c r="Q172" i="28"/>
  <c r="Q173" i="28"/>
  <c r="Q174" i="28"/>
  <c r="Q175" i="28"/>
  <c r="Q178" i="28"/>
  <c r="Q179" i="28"/>
  <c r="Q180" i="28"/>
  <c r="R18" i="28"/>
  <c r="R19" i="28"/>
  <c r="R20" i="28"/>
  <c r="R21" i="28"/>
  <c r="R22" i="28"/>
  <c r="R23" i="28"/>
  <c r="R24" i="28"/>
  <c r="R25" i="28"/>
  <c r="R26" i="28"/>
  <c r="R27" i="28"/>
  <c r="R28" i="28"/>
  <c r="R29" i="28"/>
  <c r="R30" i="28"/>
  <c r="R31" i="28"/>
  <c r="R33" i="28"/>
  <c r="R34" i="28"/>
  <c r="R35" i="28"/>
  <c r="R38" i="28"/>
  <c r="R39" i="28"/>
  <c r="R40" i="28"/>
  <c r="R43" i="28"/>
  <c r="R46" i="28"/>
  <c r="R53" i="28"/>
  <c r="R54" i="28"/>
  <c r="R55" i="28"/>
  <c r="R56" i="28"/>
  <c r="R57" i="28"/>
  <c r="R58" i="28"/>
  <c r="R59" i="28"/>
  <c r="R60" i="28"/>
  <c r="R61" i="28"/>
  <c r="R62" i="28"/>
  <c r="R63" i="28"/>
  <c r="R64" i="28"/>
  <c r="R65" i="28"/>
  <c r="R66" i="28"/>
  <c r="R67" i="28"/>
  <c r="R68" i="28"/>
  <c r="R69" i="28"/>
  <c r="R70" i="28"/>
  <c r="R71" i="28"/>
  <c r="R72" i="28"/>
  <c r="R73" i="28"/>
  <c r="R74" i="28"/>
  <c r="R75" i="28"/>
  <c r="R76" i="28"/>
  <c r="R77" i="28"/>
  <c r="R78" i="28"/>
  <c r="R79" i="28"/>
  <c r="R80" i="28"/>
  <c r="R81" i="28"/>
  <c r="R82" i="28"/>
  <c r="R83" i="28"/>
  <c r="R84" i="28"/>
  <c r="R85" i="28"/>
  <c r="R86" i="28"/>
  <c r="R87" i="28"/>
  <c r="R88" i="28"/>
  <c r="R89" i="28"/>
  <c r="R90" i="28"/>
  <c r="R91" i="28"/>
  <c r="R92" i="28"/>
  <c r="R93" i="28"/>
  <c r="R94" i="28"/>
  <c r="R95" i="28"/>
  <c r="R96" i="28"/>
  <c r="R97" i="28"/>
  <c r="R98" i="28"/>
  <c r="R99" i="28"/>
  <c r="R100" i="28"/>
  <c r="R101" i="28"/>
  <c r="R102" i="28"/>
  <c r="R103" i="28"/>
  <c r="R104" i="28"/>
  <c r="R105" i="28"/>
  <c r="R106" i="28"/>
  <c r="R107" i="28"/>
  <c r="R108" i="28"/>
  <c r="R110" i="28"/>
  <c r="R111" i="28"/>
  <c r="R112" i="28"/>
  <c r="R113" i="28"/>
  <c r="R114" i="28"/>
  <c r="R115" i="28"/>
  <c r="R116" i="28"/>
  <c r="R117" i="28"/>
  <c r="R118" i="28"/>
  <c r="R119" i="28"/>
  <c r="R120" i="28"/>
  <c r="R121" i="28"/>
  <c r="R122" i="28"/>
  <c r="R123" i="28"/>
  <c r="R124" i="28"/>
  <c r="R125" i="28"/>
  <c r="R126" i="28"/>
  <c r="R127" i="28"/>
  <c r="R128" i="28"/>
  <c r="R129" i="28"/>
  <c r="R130" i="28"/>
  <c r="R131" i="28"/>
  <c r="R132" i="28"/>
  <c r="R133" i="28"/>
  <c r="R134" i="28"/>
  <c r="R135" i="28"/>
  <c r="R136" i="28"/>
  <c r="R137" i="28"/>
  <c r="R138" i="28"/>
  <c r="R139" i="28"/>
  <c r="R140" i="28"/>
  <c r="R141" i="28"/>
  <c r="R142" i="28"/>
  <c r="R143" i="28"/>
  <c r="R145" i="28"/>
  <c r="R146" i="28"/>
  <c r="R147" i="28"/>
  <c r="R148" i="28"/>
  <c r="R149" i="28"/>
  <c r="R150" i="28"/>
  <c r="R151" i="28"/>
  <c r="R152" i="28"/>
  <c r="R153" i="28"/>
  <c r="R154" i="28"/>
  <c r="R156" i="28"/>
  <c r="R158" i="28"/>
  <c r="R159" i="28"/>
  <c r="R160" i="28"/>
  <c r="R161" i="28"/>
  <c r="R162" i="28"/>
  <c r="R163" i="28"/>
  <c r="R164" i="28"/>
  <c r="R165" i="28"/>
  <c r="R166" i="28"/>
  <c r="R167" i="28"/>
  <c r="R168" i="28"/>
  <c r="R169" i="28"/>
  <c r="R170" i="28"/>
  <c r="R171" i="28"/>
  <c r="R172" i="28"/>
  <c r="R173" i="28"/>
  <c r="R174" i="28"/>
  <c r="R175" i="28"/>
  <c r="R178" i="28"/>
  <c r="R179" i="28"/>
  <c r="R180" i="28"/>
  <c r="S18" i="28"/>
  <c r="S19" i="28"/>
  <c r="S20" i="28"/>
  <c r="S21" i="28"/>
  <c r="S22" i="28"/>
  <c r="S23" i="28"/>
  <c r="S24" i="28"/>
  <c r="S25" i="28"/>
  <c r="S26" i="28"/>
  <c r="S27" i="28"/>
  <c r="S28" i="28"/>
  <c r="S29" i="28"/>
  <c r="S30" i="28"/>
  <c r="S31" i="28"/>
  <c r="S33" i="28"/>
  <c r="S34" i="28"/>
  <c r="S35" i="28"/>
  <c r="S38" i="28"/>
  <c r="S39" i="28"/>
  <c r="S40" i="28"/>
  <c r="S43" i="28"/>
  <c r="S46" i="28"/>
  <c r="S53" i="28"/>
  <c r="S54" i="28"/>
  <c r="S55" i="28"/>
  <c r="S56" i="28"/>
  <c r="S57" i="28"/>
  <c r="S58" i="28"/>
  <c r="S59" i="28"/>
  <c r="S60" i="28"/>
  <c r="S61" i="28"/>
  <c r="S62" i="28"/>
  <c r="S63" i="28"/>
  <c r="S64" i="28"/>
  <c r="S65" i="28"/>
  <c r="S66" i="28"/>
  <c r="S67" i="28"/>
  <c r="S68" i="28"/>
  <c r="S69" i="28"/>
  <c r="S70" i="28"/>
  <c r="S71" i="28"/>
  <c r="S72" i="28"/>
  <c r="S73" i="28"/>
  <c r="S74" i="28"/>
  <c r="S75" i="28"/>
  <c r="S76" i="28"/>
  <c r="S77" i="28"/>
  <c r="S78" i="28"/>
  <c r="S79" i="28"/>
  <c r="S80" i="28"/>
  <c r="S81" i="28"/>
  <c r="S82" i="28"/>
  <c r="S83" i="28"/>
  <c r="S84" i="28"/>
  <c r="S85" i="28"/>
  <c r="S86" i="28"/>
  <c r="S87" i="28"/>
  <c r="S88" i="28"/>
  <c r="S89" i="28"/>
  <c r="S90" i="28"/>
  <c r="S91" i="28"/>
  <c r="S92" i="28"/>
  <c r="S93" i="28"/>
  <c r="S94" i="28"/>
  <c r="S95" i="28"/>
  <c r="S96" i="28"/>
  <c r="S97" i="28"/>
  <c r="S98" i="28"/>
  <c r="S99" i="28"/>
  <c r="S100" i="28"/>
  <c r="S101" i="28"/>
  <c r="S102" i="28"/>
  <c r="S103" i="28"/>
  <c r="S104" i="28"/>
  <c r="S105" i="28"/>
  <c r="S106" i="28"/>
  <c r="S107" i="28"/>
  <c r="S108" i="28"/>
  <c r="S110" i="28"/>
  <c r="S111" i="28"/>
  <c r="S112" i="28"/>
  <c r="S113" i="28"/>
  <c r="S114" i="28"/>
  <c r="S115" i="28"/>
  <c r="S116" i="28"/>
  <c r="S117" i="28"/>
  <c r="S118" i="28"/>
  <c r="S119" i="28"/>
  <c r="S120" i="28"/>
  <c r="S121" i="28"/>
  <c r="S122" i="28"/>
  <c r="S123" i="28"/>
  <c r="S124" i="28"/>
  <c r="S125" i="28"/>
  <c r="S126" i="28"/>
  <c r="S127" i="28"/>
  <c r="S128" i="28"/>
  <c r="S129" i="28"/>
  <c r="S130" i="28"/>
  <c r="S131" i="28"/>
  <c r="S132" i="28"/>
  <c r="S133" i="28"/>
  <c r="S134" i="28"/>
  <c r="S135" i="28"/>
  <c r="S136" i="28"/>
  <c r="S137" i="28"/>
  <c r="S138" i="28"/>
  <c r="S139" i="28"/>
  <c r="S140" i="28"/>
  <c r="S141" i="28"/>
  <c r="S142" i="28"/>
  <c r="S143" i="28"/>
  <c r="S145" i="28"/>
  <c r="S146" i="28"/>
  <c r="S147" i="28"/>
  <c r="S148" i="28"/>
  <c r="S149" i="28"/>
  <c r="S150" i="28"/>
  <c r="S151" i="28"/>
  <c r="S152" i="28"/>
  <c r="S153" i="28"/>
  <c r="S154" i="28"/>
  <c r="S156" i="28"/>
  <c r="S158" i="28"/>
  <c r="S159" i="28"/>
  <c r="S160" i="28"/>
  <c r="S161" i="28"/>
  <c r="S162" i="28"/>
  <c r="S163" i="28"/>
  <c r="S164" i="28"/>
  <c r="S165" i="28"/>
  <c r="S166" i="28"/>
  <c r="S167" i="28"/>
  <c r="S168" i="28"/>
  <c r="S169" i="28"/>
  <c r="S170" i="28"/>
  <c r="S171" i="28"/>
  <c r="S172" i="28"/>
  <c r="S173" i="28"/>
  <c r="S174" i="28"/>
  <c r="S175" i="28"/>
  <c r="S178" i="28"/>
  <c r="S179" i="28"/>
  <c r="S180" i="28"/>
  <c r="D297" i="1"/>
  <c r="E297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D158" i="1"/>
  <c r="E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D34" i="1"/>
  <c r="E34" i="1"/>
  <c r="H34" i="1"/>
  <c r="I34" i="1"/>
  <c r="J34" i="1"/>
  <c r="K34" i="1"/>
  <c r="L34" i="1"/>
  <c r="M34" i="1"/>
  <c r="N34" i="1"/>
  <c r="O34" i="1"/>
  <c r="P34" i="1"/>
  <c r="Q34" i="1"/>
  <c r="R34" i="1"/>
  <c r="S34" i="1"/>
  <c r="D18" i="1"/>
  <c r="D18" i="17" s="1"/>
  <c r="D19" i="1"/>
  <c r="D20" i="1"/>
  <c r="D21" i="1"/>
  <c r="D22" i="1"/>
  <c r="D23" i="1"/>
  <c r="D23" i="17" s="1"/>
  <c r="D26" i="1"/>
  <c r="D33" i="1"/>
  <c r="D35" i="1"/>
  <c r="D38" i="1"/>
  <c r="D39" i="1"/>
  <c r="D40" i="1"/>
  <c r="D46" i="1"/>
  <c r="D53" i="1"/>
  <c r="D57" i="1"/>
  <c r="D40" i="17" s="1"/>
  <c r="D59" i="1"/>
  <c r="D40" i="16" s="1"/>
  <c r="D60" i="1"/>
  <c r="D61" i="1"/>
  <c r="D62" i="1"/>
  <c r="D63" i="1"/>
  <c r="D66" i="1"/>
  <c r="D67" i="1"/>
  <c r="D75" i="1"/>
  <c r="D76" i="1"/>
  <c r="D79" i="1"/>
  <c r="D80" i="1"/>
  <c r="D81" i="1"/>
  <c r="D88" i="1"/>
  <c r="D89" i="1"/>
  <c r="D90" i="1"/>
  <c r="D91" i="1"/>
  <c r="D92" i="1"/>
  <c r="D93" i="1"/>
  <c r="D94" i="1"/>
  <c r="D95" i="1"/>
  <c r="D101" i="1"/>
  <c r="D108" i="1"/>
  <c r="D109" i="1"/>
  <c r="D110" i="1"/>
  <c r="D111" i="1"/>
  <c r="D112" i="1"/>
  <c r="D113" i="1"/>
  <c r="D114" i="1"/>
  <c r="D115" i="1"/>
  <c r="D116" i="1"/>
  <c r="D118" i="1"/>
  <c r="D124" i="1"/>
  <c r="D125" i="1"/>
  <c r="D126" i="1"/>
  <c r="D128" i="1"/>
  <c r="D129" i="1"/>
  <c r="D130" i="1"/>
  <c r="D131" i="1"/>
  <c r="D133" i="1"/>
  <c r="D134" i="1"/>
  <c r="D136" i="1"/>
  <c r="D137" i="1"/>
  <c r="D138" i="1"/>
  <c r="D142" i="1"/>
  <c r="D145" i="1"/>
  <c r="D146" i="1"/>
  <c r="D147" i="1"/>
  <c r="D149" i="1"/>
  <c r="D150" i="1"/>
  <c r="D151" i="1"/>
  <c r="D152" i="1"/>
  <c r="D153" i="1"/>
  <c r="D159" i="1"/>
  <c r="D160" i="1"/>
  <c r="D175" i="1"/>
  <c r="D178" i="1"/>
  <c r="D179" i="1"/>
  <c r="D180" i="1"/>
  <c r="D181" i="1"/>
  <c r="D182" i="1"/>
  <c r="D184" i="1"/>
  <c r="D185" i="1"/>
  <c r="D186" i="1"/>
  <c r="D187" i="1"/>
  <c r="D188" i="1"/>
  <c r="D189" i="1"/>
  <c r="D192" i="1"/>
  <c r="D193" i="1"/>
  <c r="D194" i="1"/>
  <c r="D195" i="1"/>
  <c r="D171" i="14" s="1"/>
  <c r="D196" i="1"/>
  <c r="D197" i="1"/>
  <c r="D198" i="1"/>
  <c r="D210" i="1"/>
  <c r="D218" i="1"/>
  <c r="D177" i="16" s="1"/>
  <c r="D219" i="1"/>
  <c r="D220" i="1"/>
  <c r="D221" i="1"/>
  <c r="D180" i="16" s="1"/>
  <c r="D222" i="1"/>
  <c r="D225" i="1"/>
  <c r="D226" i="1"/>
  <c r="D227" i="1"/>
  <c r="D228" i="1"/>
  <c r="D229" i="1"/>
  <c r="D230" i="1"/>
  <c r="D231" i="1"/>
  <c r="D197" i="7" s="1"/>
  <c r="D232" i="1"/>
  <c r="D234" i="1"/>
  <c r="D235" i="1"/>
  <c r="D236" i="1"/>
  <c r="D237" i="1"/>
  <c r="D238" i="1"/>
  <c r="D242" i="1"/>
  <c r="D257" i="1"/>
  <c r="D226" i="16" s="1"/>
  <c r="D260" i="1"/>
  <c r="D294" i="1"/>
  <c r="D251" i="17" s="1"/>
  <c r="D295" i="1"/>
  <c r="D243" i="7" s="1"/>
  <c r="D296" i="1"/>
  <c r="D298" i="1"/>
  <c r="D300" i="1"/>
  <c r="D255" i="14" s="1"/>
  <c r="D301" i="1"/>
  <c r="D302" i="1"/>
  <c r="D303" i="1"/>
  <c r="D308" i="1"/>
  <c r="D316" i="1"/>
  <c r="D317" i="1"/>
  <c r="E18" i="1"/>
  <c r="E19" i="1"/>
  <c r="E20" i="1"/>
  <c r="E21" i="1"/>
  <c r="E22" i="1"/>
  <c r="E23" i="1"/>
  <c r="E26" i="1"/>
  <c r="E33" i="1"/>
  <c r="E35" i="1"/>
  <c r="E38" i="1"/>
  <c r="E39" i="1"/>
  <c r="E40" i="1"/>
  <c r="E46" i="1"/>
  <c r="E53" i="1"/>
  <c r="E57" i="1"/>
  <c r="E59" i="1"/>
  <c r="E60" i="1"/>
  <c r="E61" i="1"/>
  <c r="E62" i="1"/>
  <c r="E63" i="1"/>
  <c r="E66" i="1"/>
  <c r="E67" i="1"/>
  <c r="E75" i="1"/>
  <c r="E76" i="1"/>
  <c r="E79" i="1"/>
  <c r="E80" i="1"/>
  <c r="E81" i="1"/>
  <c r="E88" i="1"/>
  <c r="E89" i="1"/>
  <c r="E90" i="1"/>
  <c r="E91" i="1"/>
  <c r="E92" i="1"/>
  <c r="E93" i="1"/>
  <c r="E94" i="1"/>
  <c r="E95" i="1"/>
  <c r="E101" i="1"/>
  <c r="E108" i="1"/>
  <c r="E109" i="1"/>
  <c r="E110" i="1"/>
  <c r="E111" i="1"/>
  <c r="E112" i="1"/>
  <c r="E113" i="1"/>
  <c r="E114" i="1"/>
  <c r="E115" i="1"/>
  <c r="E116" i="1"/>
  <c r="E118" i="1"/>
  <c r="E124" i="1"/>
  <c r="E125" i="1"/>
  <c r="E126" i="1"/>
  <c r="E128" i="1"/>
  <c r="E129" i="1"/>
  <c r="E130" i="1"/>
  <c r="E131" i="1"/>
  <c r="E133" i="1"/>
  <c r="E134" i="1"/>
  <c r="E136" i="1"/>
  <c r="E137" i="1"/>
  <c r="E138" i="1"/>
  <c r="E142" i="1"/>
  <c r="E145" i="1"/>
  <c r="E146" i="1"/>
  <c r="E147" i="1"/>
  <c r="E149" i="1"/>
  <c r="E150" i="1"/>
  <c r="E151" i="1"/>
  <c r="E152" i="1"/>
  <c r="E153" i="1"/>
  <c r="E159" i="1"/>
  <c r="E160" i="1"/>
  <c r="E175" i="1"/>
  <c r="E178" i="1"/>
  <c r="E179" i="1"/>
  <c r="E180" i="1"/>
  <c r="E181" i="1"/>
  <c r="E182" i="1"/>
  <c r="E184" i="1"/>
  <c r="E185" i="1"/>
  <c r="E186" i="1"/>
  <c r="E187" i="1"/>
  <c r="E188" i="1"/>
  <c r="E189" i="1"/>
  <c r="E192" i="1"/>
  <c r="E193" i="1"/>
  <c r="E194" i="1"/>
  <c r="E195" i="1"/>
  <c r="E196" i="1"/>
  <c r="E197" i="1"/>
  <c r="E198" i="1"/>
  <c r="E210" i="1"/>
  <c r="E218" i="1"/>
  <c r="E219" i="1"/>
  <c r="E220" i="1"/>
  <c r="E221" i="1"/>
  <c r="E222" i="1"/>
  <c r="E225" i="1"/>
  <c r="E226" i="1"/>
  <c r="E227" i="1"/>
  <c r="C199" i="9" s="1"/>
  <c r="E228" i="1"/>
  <c r="E229" i="1"/>
  <c r="E230" i="1"/>
  <c r="E231" i="1"/>
  <c r="E232" i="1"/>
  <c r="E234" i="1"/>
  <c r="E235" i="1"/>
  <c r="E236" i="1"/>
  <c r="E237" i="1"/>
  <c r="E238" i="1"/>
  <c r="E242" i="1"/>
  <c r="E257" i="1"/>
  <c r="C226" i="16" s="1"/>
  <c r="E260" i="1"/>
  <c r="E294" i="1"/>
  <c r="C251" i="17" s="1"/>
  <c r="E295" i="1"/>
  <c r="C243" i="7" s="1"/>
  <c r="E296" i="1"/>
  <c r="E298" i="1"/>
  <c r="E300" i="1"/>
  <c r="C255" i="14" s="1"/>
  <c r="E301" i="1"/>
  <c r="E302" i="1"/>
  <c r="E303" i="1"/>
  <c r="E308" i="1"/>
  <c r="E316" i="1"/>
  <c r="E317" i="1"/>
  <c r="H18" i="1"/>
  <c r="H19" i="1"/>
  <c r="H20" i="1"/>
  <c r="H21" i="1"/>
  <c r="H22" i="1"/>
  <c r="H23" i="1"/>
  <c r="H26" i="1"/>
  <c r="H33" i="1"/>
  <c r="H35" i="1"/>
  <c r="H38" i="1"/>
  <c r="H39" i="1"/>
  <c r="H40" i="1"/>
  <c r="H46" i="1"/>
  <c r="H53" i="1"/>
  <c r="H57" i="1"/>
  <c r="H59" i="1"/>
  <c r="H60" i="1"/>
  <c r="H61" i="1"/>
  <c r="H62" i="1"/>
  <c r="H63" i="1"/>
  <c r="H66" i="1"/>
  <c r="H67" i="1"/>
  <c r="H75" i="1"/>
  <c r="H76" i="1"/>
  <c r="H79" i="1"/>
  <c r="H80" i="1"/>
  <c r="H81" i="1"/>
  <c r="H88" i="1"/>
  <c r="H89" i="1"/>
  <c r="H90" i="1"/>
  <c r="H91" i="1"/>
  <c r="H92" i="1"/>
  <c r="H93" i="1"/>
  <c r="H94" i="1"/>
  <c r="H95" i="1"/>
  <c r="H101" i="1"/>
  <c r="H108" i="1"/>
  <c r="H109" i="1"/>
  <c r="H110" i="1"/>
  <c r="H111" i="1"/>
  <c r="H112" i="1"/>
  <c r="H113" i="1"/>
  <c r="H114" i="1"/>
  <c r="H115" i="1"/>
  <c r="H116" i="1"/>
  <c r="H118" i="1"/>
  <c r="H124" i="1"/>
  <c r="H125" i="1"/>
  <c r="H126" i="1"/>
  <c r="H128" i="1"/>
  <c r="H129" i="1"/>
  <c r="H130" i="1"/>
  <c r="H131" i="1"/>
  <c r="H133" i="1"/>
  <c r="H134" i="1"/>
  <c r="H136" i="1"/>
  <c r="H137" i="1"/>
  <c r="H138" i="1"/>
  <c r="H142" i="1"/>
  <c r="H145" i="1"/>
  <c r="H146" i="1"/>
  <c r="H147" i="1"/>
  <c r="H149" i="1"/>
  <c r="H150" i="1"/>
  <c r="H151" i="1"/>
  <c r="H152" i="1"/>
  <c r="H153" i="1"/>
  <c r="H159" i="1"/>
  <c r="H160" i="1"/>
  <c r="H175" i="1"/>
  <c r="H178" i="1"/>
  <c r="H179" i="1"/>
  <c r="H180" i="1"/>
  <c r="H181" i="1"/>
  <c r="H182" i="1"/>
  <c r="H184" i="1"/>
  <c r="H185" i="1"/>
  <c r="H186" i="1"/>
  <c r="H187" i="1"/>
  <c r="H188" i="1"/>
  <c r="H189" i="1"/>
  <c r="H192" i="1"/>
  <c r="H193" i="1"/>
  <c r="H194" i="1"/>
  <c r="H195" i="1"/>
  <c r="H196" i="1"/>
  <c r="H197" i="1"/>
  <c r="H198" i="1"/>
  <c r="H210" i="1"/>
  <c r="H218" i="1"/>
  <c r="H219" i="1"/>
  <c r="H220" i="1"/>
  <c r="H221" i="1"/>
  <c r="H222" i="1"/>
  <c r="H225" i="1"/>
  <c r="H226" i="1"/>
  <c r="H227" i="1"/>
  <c r="H228" i="1"/>
  <c r="H229" i="1"/>
  <c r="H230" i="1"/>
  <c r="H231" i="1"/>
  <c r="H232" i="1"/>
  <c r="H234" i="1"/>
  <c r="H235" i="1"/>
  <c r="H236" i="1"/>
  <c r="H237" i="1"/>
  <c r="H238" i="1"/>
  <c r="H242" i="1"/>
  <c r="H257" i="1"/>
  <c r="H260" i="1"/>
  <c r="H294" i="1"/>
  <c r="H295" i="1"/>
  <c r="H296" i="1"/>
  <c r="H298" i="1"/>
  <c r="H300" i="1"/>
  <c r="H301" i="1"/>
  <c r="H302" i="1"/>
  <c r="H303" i="1"/>
  <c r="H316" i="1"/>
  <c r="H317" i="1"/>
  <c r="I18" i="1"/>
  <c r="I19" i="1"/>
  <c r="I20" i="1"/>
  <c r="I21" i="1"/>
  <c r="I22" i="1"/>
  <c r="I23" i="1"/>
  <c r="I26" i="1"/>
  <c r="I33" i="1"/>
  <c r="I35" i="1"/>
  <c r="I38" i="1"/>
  <c r="I39" i="1"/>
  <c r="I40" i="1"/>
  <c r="I46" i="1"/>
  <c r="I53" i="1"/>
  <c r="I57" i="1"/>
  <c r="I59" i="1"/>
  <c r="I60" i="1"/>
  <c r="I61" i="1"/>
  <c r="I62" i="1"/>
  <c r="I63" i="1"/>
  <c r="I66" i="1"/>
  <c r="I67" i="1"/>
  <c r="I75" i="1"/>
  <c r="I76" i="1"/>
  <c r="I79" i="1"/>
  <c r="I80" i="1"/>
  <c r="I81" i="1"/>
  <c r="I88" i="1"/>
  <c r="I89" i="1"/>
  <c r="I90" i="1"/>
  <c r="I91" i="1"/>
  <c r="I92" i="1"/>
  <c r="I93" i="1"/>
  <c r="I94" i="1"/>
  <c r="I95" i="1"/>
  <c r="I101" i="1"/>
  <c r="I108" i="1"/>
  <c r="I109" i="1"/>
  <c r="I110" i="1"/>
  <c r="I111" i="1"/>
  <c r="I112" i="1"/>
  <c r="I113" i="1"/>
  <c r="I114" i="1"/>
  <c r="I115" i="1"/>
  <c r="I116" i="1"/>
  <c r="I118" i="1"/>
  <c r="I124" i="1"/>
  <c r="I125" i="1"/>
  <c r="I126" i="1"/>
  <c r="I128" i="1"/>
  <c r="I129" i="1"/>
  <c r="I130" i="1"/>
  <c r="I131" i="1"/>
  <c r="I133" i="1"/>
  <c r="I134" i="1"/>
  <c r="I136" i="1"/>
  <c r="I137" i="1"/>
  <c r="I138" i="1"/>
  <c r="I142" i="1"/>
  <c r="I145" i="1"/>
  <c r="I146" i="1"/>
  <c r="I147" i="1"/>
  <c r="I149" i="1"/>
  <c r="I150" i="1"/>
  <c r="I151" i="1"/>
  <c r="I152" i="1"/>
  <c r="I153" i="1"/>
  <c r="I159" i="1"/>
  <c r="I160" i="1"/>
  <c r="I175" i="1"/>
  <c r="I178" i="1"/>
  <c r="I179" i="1"/>
  <c r="I180" i="1"/>
  <c r="I181" i="1"/>
  <c r="I182" i="1"/>
  <c r="I184" i="1"/>
  <c r="I185" i="1"/>
  <c r="I186" i="1"/>
  <c r="I187" i="1"/>
  <c r="I188" i="1"/>
  <c r="I189" i="1"/>
  <c r="I192" i="1"/>
  <c r="I193" i="1"/>
  <c r="I194" i="1"/>
  <c r="I195" i="1"/>
  <c r="I196" i="1"/>
  <c r="I197" i="1"/>
  <c r="I198" i="1"/>
  <c r="I210" i="1"/>
  <c r="I218" i="1"/>
  <c r="I219" i="1"/>
  <c r="I220" i="1"/>
  <c r="I221" i="1"/>
  <c r="I222" i="1"/>
  <c r="I225" i="1"/>
  <c r="I226" i="1"/>
  <c r="I227" i="1"/>
  <c r="I228" i="1"/>
  <c r="I229" i="1"/>
  <c r="I230" i="1"/>
  <c r="I231" i="1"/>
  <c r="I232" i="1"/>
  <c r="I234" i="1"/>
  <c r="I235" i="1"/>
  <c r="I236" i="1"/>
  <c r="I237" i="1"/>
  <c r="I238" i="1"/>
  <c r="I242" i="1"/>
  <c r="I257" i="1"/>
  <c r="I260" i="1"/>
  <c r="I294" i="1"/>
  <c r="I295" i="1"/>
  <c r="I296" i="1"/>
  <c r="I298" i="1"/>
  <c r="I300" i="1"/>
  <c r="I301" i="1"/>
  <c r="I302" i="1"/>
  <c r="I303" i="1"/>
  <c r="I308" i="1"/>
  <c r="I316" i="1"/>
  <c r="I317" i="1"/>
  <c r="J18" i="1"/>
  <c r="J19" i="1"/>
  <c r="J20" i="1"/>
  <c r="J21" i="1"/>
  <c r="J22" i="1"/>
  <c r="J23" i="1"/>
  <c r="J26" i="1"/>
  <c r="J33" i="1"/>
  <c r="J35" i="1"/>
  <c r="J38" i="1"/>
  <c r="J39" i="1"/>
  <c r="J40" i="1"/>
  <c r="J46" i="1"/>
  <c r="J53" i="1"/>
  <c r="J57" i="1"/>
  <c r="J59" i="1"/>
  <c r="J60" i="1"/>
  <c r="J61" i="1"/>
  <c r="J62" i="1"/>
  <c r="J63" i="1"/>
  <c r="J66" i="1"/>
  <c r="J67" i="1"/>
  <c r="J75" i="1"/>
  <c r="J76" i="1"/>
  <c r="J79" i="1"/>
  <c r="J80" i="1"/>
  <c r="J81" i="1"/>
  <c r="J88" i="1"/>
  <c r="J89" i="1"/>
  <c r="J90" i="1"/>
  <c r="J91" i="1"/>
  <c r="J92" i="1"/>
  <c r="J93" i="1"/>
  <c r="J94" i="1"/>
  <c r="J95" i="1"/>
  <c r="J101" i="1"/>
  <c r="J108" i="1"/>
  <c r="J109" i="1"/>
  <c r="J110" i="1"/>
  <c r="J111" i="1"/>
  <c r="J112" i="1"/>
  <c r="J113" i="1"/>
  <c r="J114" i="1"/>
  <c r="J115" i="1"/>
  <c r="J116" i="1"/>
  <c r="J118" i="1"/>
  <c r="J124" i="1"/>
  <c r="J125" i="1"/>
  <c r="J126" i="1"/>
  <c r="J128" i="1"/>
  <c r="J129" i="1"/>
  <c r="J130" i="1"/>
  <c r="J131" i="1"/>
  <c r="J133" i="1"/>
  <c r="J134" i="1"/>
  <c r="J136" i="1"/>
  <c r="J137" i="1"/>
  <c r="J138" i="1"/>
  <c r="J142" i="1"/>
  <c r="J145" i="1"/>
  <c r="J146" i="1"/>
  <c r="J147" i="1"/>
  <c r="J149" i="1"/>
  <c r="J150" i="1"/>
  <c r="J151" i="1"/>
  <c r="J152" i="1"/>
  <c r="J153" i="1"/>
  <c r="J159" i="1"/>
  <c r="J160" i="1"/>
  <c r="J175" i="1"/>
  <c r="J178" i="1"/>
  <c r="J179" i="1"/>
  <c r="J180" i="1"/>
  <c r="J181" i="1"/>
  <c r="J182" i="1"/>
  <c r="J184" i="1"/>
  <c r="J185" i="1"/>
  <c r="J186" i="1"/>
  <c r="J187" i="1"/>
  <c r="J188" i="1"/>
  <c r="J189" i="1"/>
  <c r="J192" i="1"/>
  <c r="J193" i="1"/>
  <c r="J194" i="1"/>
  <c r="J195" i="1"/>
  <c r="J196" i="1"/>
  <c r="J197" i="1"/>
  <c r="J198" i="1"/>
  <c r="J210" i="1"/>
  <c r="J218" i="1"/>
  <c r="J219" i="1"/>
  <c r="J220" i="1"/>
  <c r="J221" i="1"/>
  <c r="J222" i="1"/>
  <c r="J225" i="1"/>
  <c r="J226" i="1"/>
  <c r="J227" i="1"/>
  <c r="J228" i="1"/>
  <c r="J229" i="1"/>
  <c r="J230" i="1"/>
  <c r="J231" i="1"/>
  <c r="J232" i="1"/>
  <c r="J234" i="1"/>
  <c r="J235" i="1"/>
  <c r="J236" i="1"/>
  <c r="J237" i="1"/>
  <c r="J238" i="1"/>
  <c r="J242" i="1"/>
  <c r="J257" i="1"/>
  <c r="J260" i="1"/>
  <c r="J294" i="1"/>
  <c r="J295" i="1"/>
  <c r="J296" i="1"/>
  <c r="J298" i="1"/>
  <c r="J300" i="1"/>
  <c r="J301" i="1"/>
  <c r="J302" i="1"/>
  <c r="J303" i="1"/>
  <c r="J308" i="1"/>
  <c r="J316" i="1"/>
  <c r="J317" i="1"/>
  <c r="K18" i="1"/>
  <c r="K19" i="1"/>
  <c r="K20" i="1"/>
  <c r="K21" i="1"/>
  <c r="K22" i="1"/>
  <c r="K23" i="1"/>
  <c r="K26" i="1"/>
  <c r="K33" i="1"/>
  <c r="K35" i="1"/>
  <c r="K38" i="1"/>
  <c r="K39" i="1"/>
  <c r="K40" i="1"/>
  <c r="K46" i="1"/>
  <c r="K53" i="1"/>
  <c r="K57" i="1"/>
  <c r="K59" i="1"/>
  <c r="K60" i="1"/>
  <c r="K61" i="1"/>
  <c r="K62" i="1"/>
  <c r="K63" i="1"/>
  <c r="K66" i="1"/>
  <c r="K67" i="1"/>
  <c r="K75" i="1"/>
  <c r="K76" i="1"/>
  <c r="K79" i="1"/>
  <c r="K80" i="1"/>
  <c r="K81" i="1"/>
  <c r="K88" i="1"/>
  <c r="K89" i="1"/>
  <c r="K90" i="1"/>
  <c r="K91" i="1"/>
  <c r="K92" i="1"/>
  <c r="K93" i="1"/>
  <c r="K94" i="1"/>
  <c r="K95" i="1"/>
  <c r="K101" i="1"/>
  <c r="K108" i="1"/>
  <c r="K109" i="1"/>
  <c r="K110" i="1"/>
  <c r="K111" i="1"/>
  <c r="K112" i="1"/>
  <c r="K113" i="1"/>
  <c r="K114" i="1"/>
  <c r="K115" i="1"/>
  <c r="K116" i="1"/>
  <c r="K118" i="1"/>
  <c r="K124" i="1"/>
  <c r="K125" i="1"/>
  <c r="K126" i="1"/>
  <c r="K128" i="1"/>
  <c r="K129" i="1"/>
  <c r="K130" i="1"/>
  <c r="K131" i="1"/>
  <c r="K133" i="1"/>
  <c r="K134" i="1"/>
  <c r="K136" i="1"/>
  <c r="K137" i="1"/>
  <c r="K138" i="1"/>
  <c r="K142" i="1"/>
  <c r="K145" i="1"/>
  <c r="K146" i="1"/>
  <c r="K147" i="1"/>
  <c r="K149" i="1"/>
  <c r="K150" i="1"/>
  <c r="K151" i="1"/>
  <c r="K152" i="1"/>
  <c r="K153" i="1"/>
  <c r="K159" i="1"/>
  <c r="K160" i="1"/>
  <c r="K175" i="1"/>
  <c r="K178" i="1"/>
  <c r="K179" i="1"/>
  <c r="K180" i="1"/>
  <c r="K181" i="1"/>
  <c r="K182" i="1"/>
  <c r="K184" i="1"/>
  <c r="K185" i="1"/>
  <c r="K186" i="1"/>
  <c r="K187" i="1"/>
  <c r="K188" i="1"/>
  <c r="K189" i="1"/>
  <c r="K192" i="1"/>
  <c r="K193" i="1"/>
  <c r="K194" i="1"/>
  <c r="K195" i="1"/>
  <c r="K196" i="1"/>
  <c r="K197" i="1"/>
  <c r="K198" i="1"/>
  <c r="K210" i="1"/>
  <c r="K218" i="1"/>
  <c r="K219" i="1"/>
  <c r="K220" i="1"/>
  <c r="K221" i="1"/>
  <c r="K222" i="1"/>
  <c r="K225" i="1"/>
  <c r="K226" i="1"/>
  <c r="K227" i="1"/>
  <c r="K228" i="1"/>
  <c r="K229" i="1"/>
  <c r="K230" i="1"/>
  <c r="K231" i="1"/>
  <c r="K232" i="1"/>
  <c r="K234" i="1"/>
  <c r="K235" i="1"/>
  <c r="K236" i="1"/>
  <c r="K237" i="1"/>
  <c r="K238" i="1"/>
  <c r="K242" i="1"/>
  <c r="K257" i="1"/>
  <c r="K260" i="1"/>
  <c r="K294" i="1"/>
  <c r="K295" i="1"/>
  <c r="K296" i="1"/>
  <c r="K298" i="1"/>
  <c r="K300" i="1"/>
  <c r="K301" i="1"/>
  <c r="K302" i="1"/>
  <c r="K303" i="1"/>
  <c r="K308" i="1"/>
  <c r="K316" i="1"/>
  <c r="K317" i="1"/>
  <c r="L18" i="1"/>
  <c r="L19" i="1"/>
  <c r="L20" i="1"/>
  <c r="L21" i="1"/>
  <c r="L22" i="1"/>
  <c r="L23" i="1"/>
  <c r="L26" i="1"/>
  <c r="L33" i="1"/>
  <c r="L35" i="1"/>
  <c r="L38" i="1"/>
  <c r="L39" i="1"/>
  <c r="L40" i="1"/>
  <c r="L46" i="1"/>
  <c r="L53" i="1"/>
  <c r="L57" i="1"/>
  <c r="L59" i="1"/>
  <c r="L60" i="1"/>
  <c r="L61" i="1"/>
  <c r="L62" i="1"/>
  <c r="L63" i="1"/>
  <c r="L66" i="1"/>
  <c r="L67" i="1"/>
  <c r="L75" i="1"/>
  <c r="L76" i="1"/>
  <c r="L79" i="1"/>
  <c r="L80" i="1"/>
  <c r="L81" i="1"/>
  <c r="L88" i="1"/>
  <c r="L89" i="1"/>
  <c r="L90" i="1"/>
  <c r="L91" i="1"/>
  <c r="L92" i="1"/>
  <c r="L93" i="1"/>
  <c r="L94" i="1"/>
  <c r="L95" i="1"/>
  <c r="L101" i="1"/>
  <c r="L108" i="1"/>
  <c r="L109" i="1"/>
  <c r="L110" i="1"/>
  <c r="L111" i="1"/>
  <c r="L112" i="1"/>
  <c r="L113" i="1"/>
  <c r="L114" i="1"/>
  <c r="L115" i="1"/>
  <c r="L116" i="1"/>
  <c r="L118" i="1"/>
  <c r="L124" i="1"/>
  <c r="L125" i="1"/>
  <c r="L126" i="1"/>
  <c r="L128" i="1"/>
  <c r="L129" i="1"/>
  <c r="L130" i="1"/>
  <c r="L131" i="1"/>
  <c r="L133" i="1"/>
  <c r="L134" i="1"/>
  <c r="L136" i="1"/>
  <c r="L137" i="1"/>
  <c r="L138" i="1"/>
  <c r="L142" i="1"/>
  <c r="L145" i="1"/>
  <c r="L146" i="1"/>
  <c r="L147" i="1"/>
  <c r="L149" i="1"/>
  <c r="L150" i="1"/>
  <c r="L151" i="1"/>
  <c r="L152" i="1"/>
  <c r="L153" i="1"/>
  <c r="L159" i="1"/>
  <c r="L160" i="1"/>
  <c r="L175" i="1"/>
  <c r="L178" i="1"/>
  <c r="L179" i="1"/>
  <c r="L180" i="1"/>
  <c r="L181" i="1"/>
  <c r="L182" i="1"/>
  <c r="L184" i="1"/>
  <c r="L185" i="1"/>
  <c r="L186" i="1"/>
  <c r="L187" i="1"/>
  <c r="L188" i="1"/>
  <c r="L189" i="1"/>
  <c r="L192" i="1"/>
  <c r="L193" i="1"/>
  <c r="L194" i="1"/>
  <c r="L195" i="1"/>
  <c r="L196" i="1"/>
  <c r="L197" i="1"/>
  <c r="L198" i="1"/>
  <c r="L210" i="1"/>
  <c r="L218" i="1"/>
  <c r="L219" i="1"/>
  <c r="L220" i="1"/>
  <c r="L221" i="1"/>
  <c r="L222" i="1"/>
  <c r="L225" i="1"/>
  <c r="L226" i="1"/>
  <c r="L227" i="1"/>
  <c r="L228" i="1"/>
  <c r="L229" i="1"/>
  <c r="L230" i="1"/>
  <c r="L231" i="1"/>
  <c r="L232" i="1"/>
  <c r="L234" i="1"/>
  <c r="L235" i="1"/>
  <c r="L236" i="1"/>
  <c r="L237" i="1"/>
  <c r="L238" i="1"/>
  <c r="L242" i="1"/>
  <c r="L257" i="1"/>
  <c r="L260" i="1"/>
  <c r="L294" i="1"/>
  <c r="L295" i="1"/>
  <c r="L296" i="1"/>
  <c r="L298" i="1"/>
  <c r="L300" i="1"/>
  <c r="L301" i="1"/>
  <c r="L302" i="1"/>
  <c r="L303" i="1"/>
  <c r="L308" i="1"/>
  <c r="L316" i="1"/>
  <c r="L317" i="1"/>
  <c r="M18" i="1"/>
  <c r="M19" i="1"/>
  <c r="M20" i="1"/>
  <c r="M21" i="1"/>
  <c r="M22" i="1"/>
  <c r="M23" i="1"/>
  <c r="M26" i="1"/>
  <c r="M33" i="1"/>
  <c r="M35" i="1"/>
  <c r="M38" i="1"/>
  <c r="M39" i="1"/>
  <c r="M40" i="1"/>
  <c r="M46" i="1"/>
  <c r="M53" i="1"/>
  <c r="M57" i="1"/>
  <c r="M59" i="1"/>
  <c r="M60" i="1"/>
  <c r="M61" i="1"/>
  <c r="M62" i="1"/>
  <c r="M63" i="1"/>
  <c r="M66" i="1"/>
  <c r="M67" i="1"/>
  <c r="M75" i="1"/>
  <c r="M76" i="1"/>
  <c r="M79" i="1"/>
  <c r="M80" i="1"/>
  <c r="M81" i="1"/>
  <c r="M88" i="1"/>
  <c r="M89" i="1"/>
  <c r="M90" i="1"/>
  <c r="M91" i="1"/>
  <c r="M92" i="1"/>
  <c r="M93" i="1"/>
  <c r="M94" i="1"/>
  <c r="M95" i="1"/>
  <c r="M101" i="1"/>
  <c r="M108" i="1"/>
  <c r="M109" i="1"/>
  <c r="M110" i="1"/>
  <c r="M111" i="1"/>
  <c r="M112" i="1"/>
  <c r="M113" i="1"/>
  <c r="M114" i="1"/>
  <c r="M115" i="1"/>
  <c r="M116" i="1"/>
  <c r="M118" i="1"/>
  <c r="M124" i="1"/>
  <c r="M125" i="1"/>
  <c r="M126" i="1"/>
  <c r="M128" i="1"/>
  <c r="M129" i="1"/>
  <c r="M130" i="1"/>
  <c r="M131" i="1"/>
  <c r="M133" i="1"/>
  <c r="M134" i="1"/>
  <c r="M136" i="1"/>
  <c r="M137" i="1"/>
  <c r="M138" i="1"/>
  <c r="M142" i="1"/>
  <c r="M145" i="1"/>
  <c r="M146" i="1"/>
  <c r="M147" i="1"/>
  <c r="M149" i="1"/>
  <c r="M150" i="1"/>
  <c r="M151" i="1"/>
  <c r="M152" i="1"/>
  <c r="M153" i="1"/>
  <c r="M159" i="1"/>
  <c r="M160" i="1"/>
  <c r="M175" i="1"/>
  <c r="M178" i="1"/>
  <c r="M179" i="1"/>
  <c r="M180" i="1"/>
  <c r="M181" i="1"/>
  <c r="M182" i="1"/>
  <c r="M184" i="1"/>
  <c r="M185" i="1"/>
  <c r="M186" i="1"/>
  <c r="M187" i="1"/>
  <c r="M188" i="1"/>
  <c r="M189" i="1"/>
  <c r="M192" i="1"/>
  <c r="M193" i="1"/>
  <c r="M194" i="1"/>
  <c r="M195" i="1"/>
  <c r="M196" i="1"/>
  <c r="M197" i="1"/>
  <c r="M198" i="1"/>
  <c r="M210" i="1"/>
  <c r="M218" i="1"/>
  <c r="M219" i="1"/>
  <c r="M220" i="1"/>
  <c r="M221" i="1"/>
  <c r="M222" i="1"/>
  <c r="M225" i="1"/>
  <c r="M226" i="1"/>
  <c r="M227" i="1"/>
  <c r="M228" i="1"/>
  <c r="M229" i="1"/>
  <c r="M230" i="1"/>
  <c r="M231" i="1"/>
  <c r="M232" i="1"/>
  <c r="M234" i="1"/>
  <c r="M235" i="1"/>
  <c r="M236" i="1"/>
  <c r="M237" i="1"/>
  <c r="M238" i="1"/>
  <c r="M242" i="1"/>
  <c r="M257" i="1"/>
  <c r="M260" i="1"/>
  <c r="M294" i="1"/>
  <c r="M295" i="1"/>
  <c r="M296" i="1"/>
  <c r="M298" i="1"/>
  <c r="M300" i="1"/>
  <c r="M301" i="1"/>
  <c r="M302" i="1"/>
  <c r="M303" i="1"/>
  <c r="M308" i="1"/>
  <c r="M316" i="1"/>
  <c r="M317" i="1"/>
  <c r="N18" i="1"/>
  <c r="N19" i="1"/>
  <c r="N20" i="1"/>
  <c r="N21" i="1"/>
  <c r="N22" i="1"/>
  <c r="N23" i="1"/>
  <c r="N26" i="1"/>
  <c r="N33" i="1"/>
  <c r="N35" i="1"/>
  <c r="N38" i="1"/>
  <c r="N39" i="1"/>
  <c r="N40" i="1"/>
  <c r="N46" i="1"/>
  <c r="N53" i="1"/>
  <c r="N57" i="1"/>
  <c r="N59" i="1"/>
  <c r="N60" i="1"/>
  <c r="N61" i="1"/>
  <c r="N62" i="1"/>
  <c r="N63" i="1"/>
  <c r="N66" i="1"/>
  <c r="N67" i="1"/>
  <c r="N75" i="1"/>
  <c r="N76" i="1"/>
  <c r="N79" i="1"/>
  <c r="N80" i="1"/>
  <c r="N81" i="1"/>
  <c r="N88" i="1"/>
  <c r="N89" i="1"/>
  <c r="N90" i="1"/>
  <c r="N91" i="1"/>
  <c r="N92" i="1"/>
  <c r="N93" i="1"/>
  <c r="N94" i="1"/>
  <c r="N95" i="1"/>
  <c r="N101" i="1"/>
  <c r="N108" i="1"/>
  <c r="N109" i="1"/>
  <c r="N110" i="1"/>
  <c r="N111" i="1"/>
  <c r="N112" i="1"/>
  <c r="N113" i="1"/>
  <c r="N114" i="1"/>
  <c r="N115" i="1"/>
  <c r="N116" i="1"/>
  <c r="N118" i="1"/>
  <c r="N124" i="1"/>
  <c r="N125" i="1"/>
  <c r="N126" i="1"/>
  <c r="N128" i="1"/>
  <c r="N129" i="1"/>
  <c r="N130" i="1"/>
  <c r="N131" i="1"/>
  <c r="N133" i="1"/>
  <c r="N134" i="1"/>
  <c r="N136" i="1"/>
  <c r="N137" i="1"/>
  <c r="N138" i="1"/>
  <c r="N142" i="1"/>
  <c r="N145" i="1"/>
  <c r="N146" i="1"/>
  <c r="N147" i="1"/>
  <c r="N149" i="1"/>
  <c r="N150" i="1"/>
  <c r="N151" i="1"/>
  <c r="N152" i="1"/>
  <c r="N153" i="1"/>
  <c r="N159" i="1"/>
  <c r="N160" i="1"/>
  <c r="N175" i="1"/>
  <c r="N178" i="1"/>
  <c r="N179" i="1"/>
  <c r="N180" i="1"/>
  <c r="N181" i="1"/>
  <c r="N182" i="1"/>
  <c r="N184" i="1"/>
  <c r="N185" i="1"/>
  <c r="N186" i="1"/>
  <c r="N187" i="1"/>
  <c r="N188" i="1"/>
  <c r="N189" i="1"/>
  <c r="N192" i="1"/>
  <c r="N193" i="1"/>
  <c r="N194" i="1"/>
  <c r="N195" i="1"/>
  <c r="N196" i="1"/>
  <c r="N197" i="1"/>
  <c r="N198" i="1"/>
  <c r="N210" i="1"/>
  <c r="N218" i="1"/>
  <c r="N219" i="1"/>
  <c r="N220" i="1"/>
  <c r="N221" i="1"/>
  <c r="N222" i="1"/>
  <c r="N225" i="1"/>
  <c r="N226" i="1"/>
  <c r="N227" i="1"/>
  <c r="N228" i="1"/>
  <c r="N229" i="1"/>
  <c r="N230" i="1"/>
  <c r="N231" i="1"/>
  <c r="N232" i="1"/>
  <c r="N234" i="1"/>
  <c r="N235" i="1"/>
  <c r="N236" i="1"/>
  <c r="N237" i="1"/>
  <c r="N238" i="1"/>
  <c r="N242" i="1"/>
  <c r="N257" i="1"/>
  <c r="N260" i="1"/>
  <c r="N294" i="1"/>
  <c r="N295" i="1"/>
  <c r="N296" i="1"/>
  <c r="N298" i="1"/>
  <c r="N300" i="1"/>
  <c r="N301" i="1"/>
  <c r="N302" i="1"/>
  <c r="N303" i="1"/>
  <c r="N308" i="1"/>
  <c r="N316" i="1"/>
  <c r="N317" i="1"/>
  <c r="O18" i="1"/>
  <c r="O19" i="1"/>
  <c r="O20" i="1"/>
  <c r="O21" i="1"/>
  <c r="O22" i="1"/>
  <c r="O23" i="1"/>
  <c r="O26" i="1"/>
  <c r="O33" i="1"/>
  <c r="O35" i="1"/>
  <c r="O38" i="1"/>
  <c r="O39" i="1"/>
  <c r="O40" i="1"/>
  <c r="O46" i="1"/>
  <c r="O53" i="1"/>
  <c r="O57" i="1"/>
  <c r="O59" i="1"/>
  <c r="O60" i="1"/>
  <c r="O61" i="1"/>
  <c r="O62" i="1"/>
  <c r="O63" i="1"/>
  <c r="O66" i="1"/>
  <c r="O67" i="1"/>
  <c r="O75" i="1"/>
  <c r="O76" i="1"/>
  <c r="O79" i="1"/>
  <c r="O80" i="1"/>
  <c r="O81" i="1"/>
  <c r="O88" i="1"/>
  <c r="O89" i="1"/>
  <c r="O90" i="1"/>
  <c r="O91" i="1"/>
  <c r="O92" i="1"/>
  <c r="O93" i="1"/>
  <c r="O94" i="1"/>
  <c r="O95" i="1"/>
  <c r="O101" i="1"/>
  <c r="O108" i="1"/>
  <c r="O109" i="1"/>
  <c r="O110" i="1"/>
  <c r="O111" i="1"/>
  <c r="O112" i="1"/>
  <c r="O113" i="1"/>
  <c r="O114" i="1"/>
  <c r="O115" i="1"/>
  <c r="O116" i="1"/>
  <c r="O118" i="1"/>
  <c r="O124" i="1"/>
  <c r="O125" i="1"/>
  <c r="O126" i="1"/>
  <c r="O128" i="1"/>
  <c r="O129" i="1"/>
  <c r="O130" i="1"/>
  <c r="O131" i="1"/>
  <c r="O133" i="1"/>
  <c r="O134" i="1"/>
  <c r="O136" i="1"/>
  <c r="O137" i="1"/>
  <c r="O138" i="1"/>
  <c r="O142" i="1"/>
  <c r="O145" i="1"/>
  <c r="O146" i="1"/>
  <c r="O147" i="1"/>
  <c r="O149" i="1"/>
  <c r="O150" i="1"/>
  <c r="O151" i="1"/>
  <c r="O152" i="1"/>
  <c r="O153" i="1"/>
  <c r="O159" i="1"/>
  <c r="O160" i="1"/>
  <c r="O175" i="1"/>
  <c r="O178" i="1"/>
  <c r="O179" i="1"/>
  <c r="O180" i="1"/>
  <c r="O181" i="1"/>
  <c r="O182" i="1"/>
  <c r="O184" i="1"/>
  <c r="O185" i="1"/>
  <c r="O186" i="1"/>
  <c r="O187" i="1"/>
  <c r="O188" i="1"/>
  <c r="O189" i="1"/>
  <c r="O192" i="1"/>
  <c r="O193" i="1"/>
  <c r="O194" i="1"/>
  <c r="O195" i="1"/>
  <c r="O196" i="1"/>
  <c r="O197" i="1"/>
  <c r="O198" i="1"/>
  <c r="O210" i="1"/>
  <c r="O218" i="1"/>
  <c r="O219" i="1"/>
  <c r="O220" i="1"/>
  <c r="O221" i="1"/>
  <c r="O222" i="1"/>
  <c r="O225" i="1"/>
  <c r="O226" i="1"/>
  <c r="O227" i="1"/>
  <c r="O228" i="1"/>
  <c r="O229" i="1"/>
  <c r="O230" i="1"/>
  <c r="O231" i="1"/>
  <c r="O232" i="1"/>
  <c r="O234" i="1"/>
  <c r="O235" i="1"/>
  <c r="O236" i="1"/>
  <c r="O237" i="1"/>
  <c r="O238" i="1"/>
  <c r="O242" i="1"/>
  <c r="O257" i="1"/>
  <c r="O260" i="1"/>
  <c r="O294" i="1"/>
  <c r="O295" i="1"/>
  <c r="O296" i="1"/>
  <c r="O298" i="1"/>
  <c r="O300" i="1"/>
  <c r="O301" i="1"/>
  <c r="O302" i="1"/>
  <c r="O303" i="1"/>
  <c r="O308" i="1"/>
  <c r="O316" i="1"/>
  <c r="O317" i="1"/>
  <c r="P18" i="1"/>
  <c r="P19" i="1"/>
  <c r="P20" i="1"/>
  <c r="P21" i="1"/>
  <c r="P22" i="1"/>
  <c r="P23" i="1"/>
  <c r="P26" i="1"/>
  <c r="P33" i="1"/>
  <c r="P35" i="1"/>
  <c r="P38" i="1"/>
  <c r="P39" i="1"/>
  <c r="P40" i="1"/>
  <c r="P46" i="1"/>
  <c r="P53" i="1"/>
  <c r="P57" i="1"/>
  <c r="P59" i="1"/>
  <c r="P60" i="1"/>
  <c r="P61" i="1"/>
  <c r="P62" i="1"/>
  <c r="P63" i="1"/>
  <c r="P66" i="1"/>
  <c r="P67" i="1"/>
  <c r="P75" i="1"/>
  <c r="P76" i="1"/>
  <c r="P79" i="1"/>
  <c r="P80" i="1"/>
  <c r="P81" i="1"/>
  <c r="P88" i="1"/>
  <c r="P89" i="1"/>
  <c r="P90" i="1"/>
  <c r="P91" i="1"/>
  <c r="P92" i="1"/>
  <c r="P93" i="1"/>
  <c r="P94" i="1"/>
  <c r="P95" i="1"/>
  <c r="P101" i="1"/>
  <c r="P108" i="1"/>
  <c r="P109" i="1"/>
  <c r="P110" i="1"/>
  <c r="P111" i="1"/>
  <c r="P112" i="1"/>
  <c r="P113" i="1"/>
  <c r="P114" i="1"/>
  <c r="P115" i="1"/>
  <c r="P116" i="1"/>
  <c r="P118" i="1"/>
  <c r="P124" i="1"/>
  <c r="P125" i="1"/>
  <c r="P126" i="1"/>
  <c r="P128" i="1"/>
  <c r="P129" i="1"/>
  <c r="P130" i="1"/>
  <c r="P131" i="1"/>
  <c r="P133" i="1"/>
  <c r="P134" i="1"/>
  <c r="P136" i="1"/>
  <c r="P137" i="1"/>
  <c r="P138" i="1"/>
  <c r="P142" i="1"/>
  <c r="P145" i="1"/>
  <c r="P146" i="1"/>
  <c r="P147" i="1"/>
  <c r="P149" i="1"/>
  <c r="P150" i="1"/>
  <c r="P151" i="1"/>
  <c r="P152" i="1"/>
  <c r="P153" i="1"/>
  <c r="P159" i="1"/>
  <c r="P160" i="1"/>
  <c r="P175" i="1"/>
  <c r="P178" i="1"/>
  <c r="P179" i="1"/>
  <c r="P180" i="1"/>
  <c r="P181" i="1"/>
  <c r="P182" i="1"/>
  <c r="P184" i="1"/>
  <c r="P185" i="1"/>
  <c r="P186" i="1"/>
  <c r="P187" i="1"/>
  <c r="P188" i="1"/>
  <c r="P189" i="1"/>
  <c r="P192" i="1"/>
  <c r="P193" i="1"/>
  <c r="P194" i="1"/>
  <c r="P195" i="1"/>
  <c r="P196" i="1"/>
  <c r="P197" i="1"/>
  <c r="P198" i="1"/>
  <c r="P210" i="1"/>
  <c r="P218" i="1"/>
  <c r="P219" i="1"/>
  <c r="P220" i="1"/>
  <c r="P221" i="1"/>
  <c r="P222" i="1"/>
  <c r="P225" i="1"/>
  <c r="P226" i="1"/>
  <c r="P227" i="1"/>
  <c r="P228" i="1"/>
  <c r="P229" i="1"/>
  <c r="P230" i="1"/>
  <c r="P231" i="1"/>
  <c r="P232" i="1"/>
  <c r="P234" i="1"/>
  <c r="P235" i="1"/>
  <c r="P236" i="1"/>
  <c r="P237" i="1"/>
  <c r="P238" i="1"/>
  <c r="P242" i="1"/>
  <c r="P257" i="1"/>
  <c r="P260" i="1"/>
  <c r="P294" i="1"/>
  <c r="P295" i="1"/>
  <c r="P296" i="1"/>
  <c r="P298" i="1"/>
  <c r="P300" i="1"/>
  <c r="P301" i="1"/>
  <c r="P302" i="1"/>
  <c r="P303" i="1"/>
  <c r="P308" i="1"/>
  <c r="P316" i="1"/>
  <c r="P317" i="1"/>
  <c r="Q18" i="1"/>
  <c r="Q19" i="1"/>
  <c r="Q20" i="1"/>
  <c r="Q21" i="1"/>
  <c r="Q22" i="1"/>
  <c r="Q23" i="1"/>
  <c r="Q26" i="1"/>
  <c r="Q33" i="1"/>
  <c r="Q35" i="1"/>
  <c r="Q38" i="1"/>
  <c r="Q39" i="1"/>
  <c r="Q40" i="1"/>
  <c r="Q46" i="1"/>
  <c r="Q53" i="1"/>
  <c r="Q57" i="1"/>
  <c r="Q59" i="1"/>
  <c r="Q60" i="1"/>
  <c r="Q61" i="1"/>
  <c r="Q62" i="1"/>
  <c r="Q63" i="1"/>
  <c r="Q66" i="1"/>
  <c r="Q67" i="1"/>
  <c r="Q75" i="1"/>
  <c r="Q76" i="1"/>
  <c r="Q79" i="1"/>
  <c r="Q80" i="1"/>
  <c r="Q81" i="1"/>
  <c r="Q88" i="1"/>
  <c r="Q89" i="1"/>
  <c r="Q90" i="1"/>
  <c r="Q91" i="1"/>
  <c r="Q92" i="1"/>
  <c r="Q93" i="1"/>
  <c r="Q94" i="1"/>
  <c r="Q95" i="1"/>
  <c r="Q101" i="1"/>
  <c r="Q108" i="1"/>
  <c r="Q109" i="1"/>
  <c r="Q110" i="1"/>
  <c r="Q111" i="1"/>
  <c r="Q112" i="1"/>
  <c r="Q113" i="1"/>
  <c r="Q114" i="1"/>
  <c r="Q115" i="1"/>
  <c r="Q116" i="1"/>
  <c r="Q118" i="1"/>
  <c r="Q124" i="1"/>
  <c r="Q125" i="1"/>
  <c r="Q126" i="1"/>
  <c r="Q128" i="1"/>
  <c r="Q129" i="1"/>
  <c r="Q130" i="1"/>
  <c r="Q131" i="1"/>
  <c r="Q133" i="1"/>
  <c r="Q134" i="1"/>
  <c r="Q136" i="1"/>
  <c r="Q137" i="1"/>
  <c r="Q138" i="1"/>
  <c r="Q142" i="1"/>
  <c r="Q145" i="1"/>
  <c r="Q146" i="1"/>
  <c r="Q147" i="1"/>
  <c r="Q149" i="1"/>
  <c r="Q150" i="1"/>
  <c r="Q151" i="1"/>
  <c r="Q152" i="1"/>
  <c r="Q153" i="1"/>
  <c r="Q159" i="1"/>
  <c r="Q160" i="1"/>
  <c r="Q175" i="1"/>
  <c r="Q178" i="1"/>
  <c r="Q179" i="1"/>
  <c r="Q180" i="1"/>
  <c r="Q181" i="1"/>
  <c r="Q182" i="1"/>
  <c r="Q184" i="1"/>
  <c r="Q185" i="1"/>
  <c r="Q186" i="1"/>
  <c r="Q187" i="1"/>
  <c r="Q188" i="1"/>
  <c r="Q189" i="1"/>
  <c r="Q192" i="1"/>
  <c r="Q193" i="1"/>
  <c r="Q194" i="1"/>
  <c r="Q195" i="1"/>
  <c r="Q196" i="1"/>
  <c r="Q197" i="1"/>
  <c r="Q198" i="1"/>
  <c r="Q210" i="1"/>
  <c r="Q218" i="1"/>
  <c r="Q219" i="1"/>
  <c r="Q220" i="1"/>
  <c r="Q221" i="1"/>
  <c r="Q222" i="1"/>
  <c r="Q225" i="1"/>
  <c r="Q226" i="1"/>
  <c r="Q227" i="1"/>
  <c r="Q228" i="1"/>
  <c r="Q229" i="1"/>
  <c r="Q230" i="1"/>
  <c r="Q231" i="1"/>
  <c r="Q232" i="1"/>
  <c r="Q234" i="1"/>
  <c r="Q235" i="1"/>
  <c r="Q236" i="1"/>
  <c r="Q237" i="1"/>
  <c r="Q238" i="1"/>
  <c r="Q242" i="1"/>
  <c r="Q257" i="1"/>
  <c r="Q260" i="1"/>
  <c r="Q294" i="1"/>
  <c r="Q295" i="1"/>
  <c r="Q296" i="1"/>
  <c r="Q298" i="1"/>
  <c r="Q300" i="1"/>
  <c r="Q301" i="1"/>
  <c r="Q302" i="1"/>
  <c r="Q303" i="1"/>
  <c r="Q308" i="1"/>
  <c r="Q316" i="1"/>
  <c r="Q317" i="1"/>
  <c r="R18" i="1"/>
  <c r="R19" i="1"/>
  <c r="R20" i="1"/>
  <c r="R21" i="1"/>
  <c r="R22" i="1"/>
  <c r="R23" i="1"/>
  <c r="R26" i="1"/>
  <c r="R33" i="1"/>
  <c r="R35" i="1"/>
  <c r="R38" i="1"/>
  <c r="R39" i="1"/>
  <c r="R40" i="1"/>
  <c r="R46" i="1"/>
  <c r="R53" i="1"/>
  <c r="R57" i="1"/>
  <c r="R59" i="1"/>
  <c r="R60" i="1"/>
  <c r="R61" i="1"/>
  <c r="R62" i="1"/>
  <c r="R63" i="1"/>
  <c r="R66" i="1"/>
  <c r="R67" i="1"/>
  <c r="R75" i="1"/>
  <c r="R76" i="1"/>
  <c r="R79" i="1"/>
  <c r="R80" i="1"/>
  <c r="R81" i="1"/>
  <c r="R88" i="1"/>
  <c r="R89" i="1"/>
  <c r="R90" i="1"/>
  <c r="R91" i="1"/>
  <c r="R92" i="1"/>
  <c r="R93" i="1"/>
  <c r="R94" i="1"/>
  <c r="R95" i="1"/>
  <c r="R101" i="1"/>
  <c r="R108" i="1"/>
  <c r="R109" i="1"/>
  <c r="R110" i="1"/>
  <c r="R111" i="1"/>
  <c r="R112" i="1"/>
  <c r="R113" i="1"/>
  <c r="R114" i="1"/>
  <c r="R115" i="1"/>
  <c r="R116" i="1"/>
  <c r="R118" i="1"/>
  <c r="R124" i="1"/>
  <c r="R125" i="1"/>
  <c r="R126" i="1"/>
  <c r="R128" i="1"/>
  <c r="R129" i="1"/>
  <c r="R130" i="1"/>
  <c r="R131" i="1"/>
  <c r="R133" i="1"/>
  <c r="R134" i="1"/>
  <c r="R136" i="1"/>
  <c r="R137" i="1"/>
  <c r="R138" i="1"/>
  <c r="R142" i="1"/>
  <c r="R145" i="1"/>
  <c r="R146" i="1"/>
  <c r="R147" i="1"/>
  <c r="R149" i="1"/>
  <c r="R150" i="1"/>
  <c r="R151" i="1"/>
  <c r="R152" i="1"/>
  <c r="R153" i="1"/>
  <c r="R159" i="1"/>
  <c r="R160" i="1"/>
  <c r="R175" i="1"/>
  <c r="R178" i="1"/>
  <c r="R179" i="1"/>
  <c r="R180" i="1"/>
  <c r="R181" i="1"/>
  <c r="R182" i="1"/>
  <c r="R184" i="1"/>
  <c r="R185" i="1"/>
  <c r="R186" i="1"/>
  <c r="R187" i="1"/>
  <c r="R188" i="1"/>
  <c r="R189" i="1"/>
  <c r="R192" i="1"/>
  <c r="R193" i="1"/>
  <c r="R194" i="1"/>
  <c r="R195" i="1"/>
  <c r="R196" i="1"/>
  <c r="R197" i="1"/>
  <c r="R198" i="1"/>
  <c r="R210" i="1"/>
  <c r="R218" i="1"/>
  <c r="R219" i="1"/>
  <c r="R220" i="1"/>
  <c r="R221" i="1"/>
  <c r="R222" i="1"/>
  <c r="R225" i="1"/>
  <c r="R226" i="1"/>
  <c r="R227" i="1"/>
  <c r="R228" i="1"/>
  <c r="R229" i="1"/>
  <c r="R230" i="1"/>
  <c r="R231" i="1"/>
  <c r="R232" i="1"/>
  <c r="R234" i="1"/>
  <c r="R235" i="1"/>
  <c r="R236" i="1"/>
  <c r="R237" i="1"/>
  <c r="R238" i="1"/>
  <c r="R242" i="1"/>
  <c r="R257" i="1"/>
  <c r="R260" i="1"/>
  <c r="R294" i="1"/>
  <c r="R295" i="1"/>
  <c r="R296" i="1"/>
  <c r="R298" i="1"/>
  <c r="R300" i="1"/>
  <c r="R301" i="1"/>
  <c r="R302" i="1"/>
  <c r="R303" i="1"/>
  <c r="R308" i="1"/>
  <c r="R316" i="1"/>
  <c r="R317" i="1"/>
  <c r="S18" i="1"/>
  <c r="S19" i="1"/>
  <c r="S20" i="1"/>
  <c r="S21" i="1"/>
  <c r="S22" i="1"/>
  <c r="S23" i="1"/>
  <c r="S26" i="1"/>
  <c r="S33" i="1"/>
  <c r="S35" i="1"/>
  <c r="S38" i="1"/>
  <c r="S39" i="1"/>
  <c r="S40" i="1"/>
  <c r="S46" i="1"/>
  <c r="S53" i="1"/>
  <c r="S57" i="1"/>
  <c r="S59" i="1"/>
  <c r="S60" i="1"/>
  <c r="S61" i="1"/>
  <c r="S62" i="1"/>
  <c r="S63" i="1"/>
  <c r="S66" i="1"/>
  <c r="S67" i="1"/>
  <c r="S75" i="1"/>
  <c r="S76" i="1"/>
  <c r="S79" i="1"/>
  <c r="S80" i="1"/>
  <c r="S81" i="1"/>
  <c r="S88" i="1"/>
  <c r="S89" i="1"/>
  <c r="S90" i="1"/>
  <c r="S91" i="1"/>
  <c r="S92" i="1"/>
  <c r="S93" i="1"/>
  <c r="S94" i="1"/>
  <c r="S95" i="1"/>
  <c r="S101" i="1"/>
  <c r="S108" i="1"/>
  <c r="S109" i="1"/>
  <c r="S110" i="1"/>
  <c r="S111" i="1"/>
  <c r="S112" i="1"/>
  <c r="S113" i="1"/>
  <c r="S114" i="1"/>
  <c r="S115" i="1"/>
  <c r="S116" i="1"/>
  <c r="S118" i="1"/>
  <c r="S124" i="1"/>
  <c r="S125" i="1"/>
  <c r="S126" i="1"/>
  <c r="S128" i="1"/>
  <c r="S129" i="1"/>
  <c r="S130" i="1"/>
  <c r="S131" i="1"/>
  <c r="S133" i="1"/>
  <c r="S134" i="1"/>
  <c r="S136" i="1"/>
  <c r="S137" i="1"/>
  <c r="S138" i="1"/>
  <c r="S142" i="1"/>
  <c r="S145" i="1"/>
  <c r="S146" i="1"/>
  <c r="S147" i="1"/>
  <c r="S149" i="1"/>
  <c r="S150" i="1"/>
  <c r="S151" i="1"/>
  <c r="S152" i="1"/>
  <c r="S153" i="1"/>
  <c r="S159" i="1"/>
  <c r="S160" i="1"/>
  <c r="S175" i="1"/>
  <c r="S178" i="1"/>
  <c r="S179" i="1"/>
  <c r="S180" i="1"/>
  <c r="S181" i="1"/>
  <c r="S182" i="1"/>
  <c r="S184" i="1"/>
  <c r="S185" i="1"/>
  <c r="S186" i="1"/>
  <c r="S187" i="1"/>
  <c r="S188" i="1"/>
  <c r="S189" i="1"/>
  <c r="S192" i="1"/>
  <c r="S193" i="1"/>
  <c r="S194" i="1"/>
  <c r="S195" i="1"/>
  <c r="S196" i="1"/>
  <c r="S197" i="1"/>
  <c r="S198" i="1"/>
  <c r="S210" i="1"/>
  <c r="S218" i="1"/>
  <c r="S219" i="1"/>
  <c r="S220" i="1"/>
  <c r="S221" i="1"/>
  <c r="S222" i="1"/>
  <c r="S225" i="1"/>
  <c r="S226" i="1"/>
  <c r="S227" i="1"/>
  <c r="S228" i="1"/>
  <c r="S229" i="1"/>
  <c r="S230" i="1"/>
  <c r="S231" i="1"/>
  <c r="S232" i="1"/>
  <c r="S234" i="1"/>
  <c r="S235" i="1"/>
  <c r="S236" i="1"/>
  <c r="S237" i="1"/>
  <c r="S238" i="1"/>
  <c r="S242" i="1"/>
  <c r="S257" i="1"/>
  <c r="S260" i="1"/>
  <c r="S294" i="1"/>
  <c r="S295" i="1"/>
  <c r="S296" i="1"/>
  <c r="S298" i="1"/>
  <c r="S300" i="1"/>
  <c r="S301" i="1"/>
  <c r="S302" i="1"/>
  <c r="S303" i="1"/>
  <c r="S308" i="1"/>
  <c r="S316" i="1"/>
  <c r="S317" i="1"/>
  <c r="C15" i="27"/>
  <c r="C16" i="27"/>
  <c r="C17" i="27"/>
  <c r="D135" i="23"/>
  <c r="AD15" i="32"/>
  <c r="D21" i="32"/>
  <c r="X21" i="32"/>
  <c r="I25" i="23"/>
  <c r="X111" i="18"/>
  <c r="U148" i="32"/>
  <c r="AJ129" i="32"/>
  <c r="D136" i="32"/>
  <c r="I176" i="32"/>
  <c r="AA93" i="32"/>
  <c r="O13" i="18"/>
  <c r="AG22" i="32"/>
  <c r="I128" i="32"/>
  <c r="AJ163" i="29"/>
  <c r="X92" i="32"/>
  <c r="R13" i="18"/>
  <c r="K16" i="25"/>
  <c r="AJ114" i="18"/>
  <c r="AD36" i="23"/>
  <c r="U179" i="32"/>
  <c r="I177" i="32"/>
  <c r="AD89" i="32"/>
  <c r="O114" i="18"/>
  <c r="R170" i="29"/>
  <c r="AA22" i="32"/>
  <c r="AA179" i="32"/>
  <c r="AA110" i="18"/>
  <c r="AA163" i="29"/>
  <c r="AD12" i="18"/>
  <c r="R164" i="29"/>
  <c r="AJ180" i="32"/>
  <c r="U176" i="32"/>
  <c r="AA133" i="32"/>
  <c r="X22" i="32"/>
  <c r="U131" i="32"/>
  <c r="AA136" i="32"/>
  <c r="AM111" i="18"/>
  <c r="O176" i="32"/>
  <c r="AJ169" i="29"/>
  <c r="R169" i="29"/>
  <c r="D131" i="32"/>
  <c r="X19" i="32"/>
  <c r="U110" i="18"/>
  <c r="F169" i="29"/>
  <c r="F170" i="29"/>
  <c r="AG148" i="32"/>
  <c r="U180" i="32"/>
  <c r="O164" i="29"/>
  <c r="X16" i="32"/>
  <c r="L131" i="32"/>
  <c r="D128" i="32"/>
  <c r="I19" i="32"/>
  <c r="R22" i="32"/>
  <c r="F111" i="18"/>
  <c r="L145" i="32"/>
  <c r="D90" i="32"/>
  <c r="AJ112" i="18"/>
  <c r="AM36" i="23"/>
  <c r="D169" i="29"/>
  <c r="AJ30" i="23"/>
  <c r="U111" i="18"/>
  <c r="R178" i="32"/>
  <c r="U30" i="23"/>
  <c r="R88" i="32"/>
  <c r="L16" i="32"/>
  <c r="L25" i="23"/>
  <c r="F21" i="32"/>
  <c r="X15" i="32"/>
  <c r="AM113" i="18"/>
  <c r="AJ147" i="32"/>
  <c r="X110" i="18"/>
  <c r="AG136" i="32"/>
  <c r="O55" i="32"/>
  <c r="X31" i="23"/>
  <c r="AJ175" i="32"/>
  <c r="AD110" i="18"/>
  <c r="I22" i="32"/>
  <c r="X128" i="32"/>
  <c r="AJ16" i="32"/>
  <c r="R47" i="32"/>
  <c r="U133" i="32"/>
  <c r="O30" i="23"/>
  <c r="F180" i="32"/>
  <c r="I178" i="32"/>
  <c r="AJ92" i="32"/>
  <c r="R92" i="32"/>
  <c r="L30" i="23"/>
  <c r="AG169" i="29"/>
  <c r="X47" i="32"/>
  <c r="R148" i="32"/>
  <c r="AG91" i="32"/>
  <c r="X177" i="32"/>
  <c r="O136" i="32"/>
  <c r="L128" i="32"/>
  <c r="F91" i="32"/>
  <c r="U85" i="32"/>
  <c r="AD163" i="29"/>
  <c r="U32" i="23"/>
  <c r="O133" i="32"/>
  <c r="U92" i="32"/>
  <c r="AJ19" i="32"/>
  <c r="R31" i="23"/>
  <c r="AD133" i="32"/>
  <c r="I88" i="32"/>
  <c r="AA111" i="18"/>
  <c r="U169" i="29"/>
  <c r="AJ91" i="32"/>
  <c r="AM31" i="23"/>
  <c r="AD94" i="32"/>
  <c r="U112" i="18"/>
  <c r="AD112" i="18"/>
  <c r="I136" i="32"/>
  <c r="O110" i="18"/>
  <c r="AD180" i="32"/>
  <c r="AD91" i="32"/>
  <c r="L36" i="23"/>
  <c r="L85" i="32"/>
  <c r="X90" i="32"/>
  <c r="X163" i="29"/>
  <c r="L164" i="29"/>
  <c r="I111" i="18"/>
  <c r="U19" i="32"/>
  <c r="I47" i="32"/>
  <c r="AG162" i="29"/>
  <c r="AD88" i="32"/>
  <c r="U96" i="32"/>
  <c r="AJ93" i="32"/>
  <c r="X147" i="32"/>
  <c r="AJ128" i="32"/>
  <c r="AG85" i="32"/>
  <c r="I113" i="18"/>
  <c r="D55" i="32"/>
  <c r="O147" i="32"/>
  <c r="R15" i="32"/>
  <c r="F31" i="23"/>
  <c r="AG129" i="32"/>
  <c r="L55" i="32"/>
  <c r="F16" i="32"/>
  <c r="U88" i="32"/>
  <c r="AJ12" i="18"/>
  <c r="I147" i="32"/>
  <c r="AJ179" i="32"/>
  <c r="AD22" i="32"/>
  <c r="X32" i="23"/>
  <c r="R30" i="23"/>
  <c r="AG163" i="29"/>
  <c r="R180" i="32"/>
  <c r="I15" i="32"/>
  <c r="AD21" i="32"/>
  <c r="U15" i="32"/>
  <c r="F30" i="23"/>
  <c r="F47" i="32"/>
  <c r="AD31" i="23"/>
  <c r="I133" i="32"/>
  <c r="AA177" i="32"/>
  <c r="AA30" i="23"/>
  <c r="D129" i="32"/>
  <c r="AA114" i="18"/>
  <c r="R175" i="32"/>
  <c r="O163" i="29"/>
  <c r="I36" i="23"/>
  <c r="R90" i="32"/>
  <c r="X88" i="32"/>
  <c r="R85" i="32"/>
  <c r="L89" i="32"/>
  <c r="O32" i="23"/>
  <c r="F32" i="23"/>
  <c r="AG131" i="32"/>
  <c r="R96" i="32"/>
  <c r="X176" i="32"/>
  <c r="AA91" i="32"/>
  <c r="F92" i="32"/>
  <c r="AA94" i="32"/>
  <c r="I16" i="32"/>
  <c r="AJ32" i="23"/>
  <c r="U162" i="29"/>
  <c r="AA31" i="23"/>
  <c r="AA147" i="32"/>
  <c r="AD85" i="32"/>
  <c r="L13" i="18"/>
  <c r="AJ96" i="32"/>
  <c r="AG36" i="23"/>
  <c r="L90" i="32"/>
  <c r="L47" i="32"/>
  <c r="X133" i="32"/>
  <c r="D145" i="32"/>
  <c r="I30" i="23"/>
  <c r="AM32" i="23"/>
  <c r="R41" i="32"/>
  <c r="R168" i="29"/>
  <c r="AG179" i="32"/>
  <c r="L112" i="18"/>
  <c r="I169" i="29"/>
  <c r="AD131" i="32"/>
  <c r="AG180" i="32"/>
  <c r="AD136" i="32"/>
  <c r="F113" i="18"/>
  <c r="AA92" i="32"/>
  <c r="I91" i="32"/>
  <c r="AD92" i="32"/>
  <c r="AA88" i="32"/>
  <c r="AD96" i="32"/>
  <c r="AD111" i="18"/>
  <c r="AD175" i="32"/>
  <c r="I129" i="32"/>
  <c r="O131" i="32"/>
  <c r="I180" i="32"/>
  <c r="AG113" i="18"/>
  <c r="R89" i="32"/>
  <c r="R177" i="32"/>
  <c r="AA176" i="32"/>
  <c r="I93" i="32"/>
  <c r="AJ148" i="32"/>
  <c r="X145" i="32"/>
  <c r="X94" i="32"/>
  <c r="R129" i="32"/>
  <c r="AJ136" i="32"/>
  <c r="D176" i="32"/>
  <c r="U94" i="32"/>
  <c r="I92" i="32"/>
  <c r="AG89" i="32"/>
  <c r="I85" i="32"/>
  <c r="R93" i="32"/>
  <c r="AD170" i="29"/>
  <c r="L170" i="29"/>
  <c r="F94" i="32"/>
  <c r="O111" i="18"/>
  <c r="AJ131" i="32"/>
  <c r="X89" i="32"/>
  <c r="R110" i="18"/>
  <c r="D89" i="32"/>
  <c r="U90" i="32"/>
  <c r="AJ22" i="32"/>
  <c r="AJ85" i="32"/>
  <c r="AJ13" i="18"/>
  <c r="O47" i="32"/>
  <c r="D148" i="32"/>
  <c r="AG145" i="32"/>
  <c r="AG15" i="32"/>
  <c r="L21" i="32"/>
  <c r="U21" i="32"/>
  <c r="AJ88" i="32"/>
  <c r="D175" i="32"/>
  <c r="AD47" i="32"/>
  <c r="L93" i="32"/>
  <c r="AA128" i="32"/>
  <c r="F85" i="32"/>
  <c r="F13" i="18"/>
  <c r="I131" i="32"/>
  <c r="O112" i="18"/>
  <c r="AA178" i="32"/>
  <c r="I96" i="32"/>
  <c r="AA96" i="32"/>
  <c r="AG96" i="32"/>
  <c r="R176" i="32"/>
  <c r="AA175" i="32"/>
  <c r="AA47" i="32"/>
  <c r="AA89" i="32"/>
  <c r="L169" i="29"/>
  <c r="AG30" i="23"/>
  <c r="AA113" i="18"/>
  <c r="L111" i="18"/>
  <c r="L176" i="32"/>
  <c r="U177" i="32"/>
  <c r="U128" i="32"/>
  <c r="X113" i="18"/>
  <c r="R94" i="32"/>
  <c r="L12" i="18"/>
  <c r="R128" i="32"/>
  <c r="AD128" i="32"/>
  <c r="F148" i="32"/>
  <c r="X129" i="32"/>
  <c r="O91" i="32"/>
  <c r="I89" i="32"/>
  <c r="I164" i="29"/>
  <c r="F145" i="32"/>
  <c r="AG13" i="18"/>
  <c r="O89" i="32"/>
  <c r="AM12" i="18"/>
  <c r="AD145" i="32"/>
  <c r="O12" i="18"/>
  <c r="L178" i="32"/>
  <c r="AA180" i="32"/>
  <c r="U36" i="23"/>
  <c r="O162" i="29"/>
  <c r="U89" i="32"/>
  <c r="D96" i="32"/>
  <c r="D93" i="32"/>
  <c r="AD114" i="18"/>
  <c r="X30" i="23"/>
  <c r="L129" i="32"/>
  <c r="AJ145" i="32"/>
  <c r="D163" i="29"/>
  <c r="AA90" i="32"/>
  <c r="O148" i="32"/>
  <c r="AD176" i="32"/>
  <c r="AD129" i="32"/>
  <c r="R114" i="18"/>
  <c r="O129" i="32"/>
  <c r="AJ31" i="23"/>
  <c r="AJ89" i="32"/>
  <c r="AG92" i="32"/>
  <c r="O169" i="29"/>
  <c r="AJ47" i="32"/>
  <c r="AG111" i="18"/>
  <c r="L31" i="23"/>
  <c r="F176" i="32"/>
  <c r="AG175" i="32"/>
  <c r="O16" i="32"/>
  <c r="AA112" i="18"/>
  <c r="U145" i="32"/>
  <c r="U12" i="18"/>
  <c r="L175" i="32"/>
  <c r="AA170" i="29"/>
  <c r="O128" i="32"/>
  <c r="F36" i="23"/>
  <c r="U55" i="32"/>
  <c r="R25" i="23"/>
  <c r="AG16" i="32"/>
  <c r="AG31" i="23"/>
  <c r="AD19" i="32"/>
  <c r="L96" i="32"/>
  <c r="U129" i="32"/>
  <c r="L148" i="32"/>
  <c r="AA13" i="18"/>
  <c r="X112" i="18"/>
  <c r="O25" i="23"/>
  <c r="I21" i="32"/>
  <c r="R21" i="32"/>
  <c r="AG147" i="32"/>
  <c r="R19" i="32"/>
  <c r="AM30" i="23"/>
  <c r="F178" i="32"/>
  <c r="X136" i="32"/>
  <c r="L147" i="32"/>
  <c r="X55" i="32"/>
  <c r="F136" i="32"/>
  <c r="L32" i="23"/>
  <c r="R111" i="18"/>
  <c r="I114" i="18"/>
  <c r="AG47" i="32"/>
  <c r="R162" i="29"/>
  <c r="AG90" i="32"/>
  <c r="U16" i="32"/>
  <c r="X36" i="23"/>
  <c r="R133" i="32"/>
  <c r="F175" i="32"/>
  <c r="F128" i="32"/>
  <c r="AA129" i="32"/>
  <c r="AA12" i="18"/>
  <c r="D19" i="25"/>
  <c r="X162" i="29"/>
  <c r="D177" i="32"/>
  <c r="O88" i="32"/>
  <c r="L180" i="32"/>
  <c r="X13" i="18"/>
  <c r="R147" i="32"/>
  <c r="AJ164" i="29"/>
  <c r="AG176" i="32"/>
  <c r="AM112" i="18"/>
  <c r="D15" i="32"/>
  <c r="AJ15" i="32"/>
  <c r="AA15" i="32"/>
  <c r="O21" i="32"/>
  <c r="O94" i="32"/>
  <c r="AG55" i="32"/>
  <c r="U113" i="18"/>
  <c r="F96" i="32"/>
  <c r="AD148" i="32"/>
  <c r="I110" i="18"/>
  <c r="U114" i="18"/>
  <c r="AD32" i="23"/>
  <c r="AJ133" i="32"/>
  <c r="R55" i="32"/>
  <c r="L136" i="32"/>
  <c r="F131" i="32"/>
  <c r="L88" i="32"/>
  <c r="AA32" i="23"/>
  <c r="X164" i="29"/>
  <c r="F55" i="32"/>
  <c r="O93" i="32"/>
  <c r="AA148" i="32"/>
  <c r="AA145" i="32"/>
  <c r="R12" i="18"/>
  <c r="AJ162" i="29"/>
  <c r="D170" i="29"/>
  <c r="F112" i="18"/>
  <c r="AD169" i="29"/>
  <c r="AJ176" i="32"/>
  <c r="L22" i="32"/>
  <c r="AD90" i="32"/>
  <c r="D147" i="32"/>
  <c r="D22" i="32"/>
  <c r="D178" i="32"/>
  <c r="D88" i="32"/>
  <c r="AG12" i="18"/>
  <c r="O113" i="18"/>
  <c r="AJ36" i="23"/>
  <c r="O31" i="23"/>
  <c r="F93" i="32"/>
  <c r="AM13" i="18"/>
  <c r="X12" i="18"/>
  <c r="AG133" i="32"/>
  <c r="O170" i="29"/>
  <c r="U136" i="32"/>
  <c r="R112" i="18"/>
  <c r="L113" i="18"/>
  <c r="I13" i="18"/>
  <c r="L179" i="32"/>
  <c r="AG178" i="32"/>
  <c r="L163" i="29"/>
  <c r="U22" i="32"/>
  <c r="L177" i="32"/>
  <c r="AD113" i="18"/>
  <c r="L91" i="32"/>
  <c r="F90" i="32"/>
  <c r="O96" i="32"/>
  <c r="F88" i="32"/>
  <c r="AD164" i="29"/>
  <c r="AD178" i="32"/>
  <c r="U164" i="29"/>
  <c r="O92" i="32"/>
  <c r="O145" i="32"/>
  <c r="R113" i="18"/>
  <c r="AD93" i="32"/>
  <c r="R36" i="23"/>
  <c r="F110" i="18"/>
  <c r="F89" i="32"/>
  <c r="I55" i="32"/>
  <c r="AG93" i="32"/>
  <c r="F19" i="32"/>
  <c r="D164" i="29"/>
  <c r="AJ111" i="18"/>
  <c r="F133" i="32"/>
  <c r="R136" i="32"/>
  <c r="X148" i="32"/>
  <c r="AA36" i="23"/>
  <c r="AG21" i="32"/>
  <c r="F114" i="18"/>
  <c r="F162" i="29"/>
  <c r="X91" i="32"/>
  <c r="AA85" i="32"/>
  <c r="AJ90" i="32"/>
  <c r="D91" i="32"/>
  <c r="I94" i="32"/>
  <c r="AD16" i="32"/>
  <c r="X93" i="32"/>
  <c r="L114" i="18"/>
  <c r="AJ113" i="18"/>
  <c r="I145" i="32"/>
  <c r="U175" i="32"/>
  <c r="X169" i="29"/>
  <c r="F15" i="32"/>
  <c r="AJ21" i="32"/>
  <c r="AA21" i="32"/>
  <c r="O15" i="32"/>
  <c r="AA162" i="29"/>
  <c r="F163" i="29"/>
  <c r="O175" i="32"/>
  <c r="O90" i="32"/>
  <c r="AA164" i="29"/>
  <c r="AM110" i="18"/>
  <c r="D85" i="32"/>
  <c r="I31" i="23"/>
  <c r="D179" i="32"/>
  <c r="AD162" i="29"/>
  <c r="I112" i="18"/>
  <c r="L92" i="32"/>
  <c r="R163" i="29"/>
  <c r="I179" i="32"/>
  <c r="AG128" i="32"/>
  <c r="AD147" i="32"/>
  <c r="AG110" i="18"/>
  <c r="I170" i="29"/>
  <c r="O177" i="32"/>
  <c r="I163" i="29"/>
  <c r="X179" i="32"/>
  <c r="AD30" i="23"/>
  <c r="F164" i="29"/>
  <c r="X85" i="32"/>
  <c r="X96" i="32"/>
  <c r="F147" i="32"/>
  <c r="AA19" i="32"/>
  <c r="O36" i="23"/>
  <c r="AJ178" i="32"/>
  <c r="I175" i="32"/>
  <c r="AJ177" i="32"/>
  <c r="X178" i="32"/>
  <c r="U163" i="29"/>
  <c r="L19" i="32"/>
  <c r="R91" i="32"/>
  <c r="X131" i="32"/>
  <c r="AG88" i="32"/>
  <c r="AJ55" i="32"/>
  <c r="O179" i="32"/>
  <c r="AG114" i="18"/>
  <c r="AA55" i="32"/>
  <c r="R145" i="32"/>
  <c r="F179" i="32"/>
  <c r="O85" i="32"/>
  <c r="AA131" i="32"/>
  <c r="U91" i="32"/>
  <c r="U47" i="32"/>
  <c r="AG164" i="29"/>
  <c r="X114" i="18"/>
  <c r="AG112" i="18"/>
  <c r="D180" i="32"/>
  <c r="AM114" i="18"/>
  <c r="U13" i="18"/>
  <c r="AG94" i="32"/>
  <c r="F129" i="32"/>
  <c r="AA16" i="32"/>
  <c r="I162" i="29"/>
  <c r="I90" i="32"/>
  <c r="R32" i="23"/>
  <c r="R16" i="32"/>
  <c r="D47" i="32"/>
  <c r="AD179" i="32"/>
  <c r="L94" i="32"/>
  <c r="F177" i="32"/>
  <c r="O178" i="32"/>
  <c r="U147" i="32"/>
  <c r="U178" i="32"/>
  <c r="U31" i="23"/>
  <c r="U170" i="29"/>
  <c r="AJ94" i="32"/>
  <c r="O180" i="32"/>
  <c r="L133" i="32"/>
  <c r="R179" i="32"/>
  <c r="AD177" i="32"/>
  <c r="D162" i="29"/>
  <c r="I12" i="18"/>
  <c r="L162" i="29"/>
  <c r="R131" i="32"/>
  <c r="D94" i="32"/>
  <c r="U93" i="32"/>
  <c r="I148" i="32"/>
  <c r="AJ110" i="18"/>
  <c r="O22" i="32"/>
  <c r="AG170" i="29"/>
  <c r="L110" i="18"/>
  <c r="D92" i="32"/>
  <c r="AA169" i="29"/>
  <c r="AG19" i="32"/>
  <c r="AG177" i="32"/>
  <c r="I32" i="23"/>
  <c r="L15" i="32"/>
  <c r="D16" i="32"/>
  <c r="X175" i="32"/>
  <c r="F12" i="18"/>
  <c r="D133" i="32"/>
  <c r="F22" i="32"/>
  <c r="AD55" i="32"/>
  <c r="AJ170" i="29"/>
  <c r="D19" i="32"/>
  <c r="O19" i="32"/>
  <c r="AD13" i="18"/>
  <c r="AG32" i="23"/>
  <c r="X170" i="29"/>
  <c r="X180" i="32"/>
  <c r="C200" i="9" l="1"/>
  <c r="C214" i="13"/>
  <c r="C217" i="16"/>
  <c r="D214" i="13"/>
  <c r="D217" i="16"/>
  <c r="C200" i="11"/>
  <c r="AI21" i="32"/>
  <c r="K21" i="32"/>
  <c r="N21" i="32"/>
  <c r="H21" i="32"/>
  <c r="AL21" i="32"/>
  <c r="AL15" i="32"/>
  <c r="N15" i="32"/>
  <c r="AI15" i="32"/>
  <c r="K15" i="32"/>
  <c r="H15" i="32"/>
  <c r="C253" i="14"/>
  <c r="C245" i="11"/>
  <c r="C246" i="7"/>
  <c r="D263" i="12"/>
  <c r="D251" i="7"/>
  <c r="D253" i="10"/>
  <c r="D254" i="9"/>
  <c r="D251" i="11"/>
  <c r="D249" i="8"/>
  <c r="D244" i="2"/>
  <c r="D263" i="14"/>
  <c r="D248" i="7"/>
  <c r="D246" i="8"/>
  <c r="C248" i="11"/>
  <c r="C243" i="11"/>
  <c r="C245" i="10"/>
  <c r="C246" i="9"/>
  <c r="C244" i="7"/>
  <c r="D253" i="14"/>
  <c r="D246" i="7"/>
  <c r="D245" i="11"/>
  <c r="C212" i="15"/>
  <c r="C216" i="13"/>
  <c r="D205" i="12"/>
  <c r="D213" i="14"/>
  <c r="D248" i="11"/>
  <c r="D245" i="10"/>
  <c r="D246" i="9"/>
  <c r="D243" i="11"/>
  <c r="D244" i="7"/>
  <c r="D212" i="15"/>
  <c r="D216" i="13"/>
  <c r="C251" i="7"/>
  <c r="C263" i="12"/>
  <c r="C251" i="11"/>
  <c r="C253" i="10"/>
  <c r="C254" i="9"/>
  <c r="C249" i="8"/>
  <c r="C255" i="9"/>
  <c r="C252" i="7"/>
  <c r="C254" i="10"/>
  <c r="C250" i="8"/>
  <c r="C201" i="12"/>
  <c r="C205" i="14"/>
  <c r="C244" i="11"/>
  <c r="C245" i="7"/>
  <c r="C259" i="16"/>
  <c r="C252" i="10"/>
  <c r="C253" i="9"/>
  <c r="C250" i="7"/>
  <c r="C248" i="8"/>
  <c r="C228" i="14"/>
  <c r="C226" i="13"/>
  <c r="C227" i="12"/>
  <c r="D252" i="7"/>
  <c r="D255" i="9"/>
  <c r="D254" i="10"/>
  <c r="D250" i="8"/>
  <c r="D201" i="12"/>
  <c r="D205" i="14"/>
  <c r="D244" i="11"/>
  <c r="D245" i="7"/>
  <c r="C259" i="17"/>
  <c r="C249" i="7"/>
  <c r="C247" i="8"/>
  <c r="C264" i="14"/>
  <c r="C223" i="13"/>
  <c r="C225" i="14"/>
  <c r="C224" i="12"/>
  <c r="D259" i="16"/>
  <c r="D252" i="10"/>
  <c r="D253" i="9"/>
  <c r="D250" i="7"/>
  <c r="D248" i="8"/>
  <c r="D226" i="13"/>
  <c r="D227" i="12"/>
  <c r="D228" i="14"/>
  <c r="D200" i="11"/>
  <c r="C244" i="2"/>
  <c r="C248" i="7"/>
  <c r="C263" i="14"/>
  <c r="C246" i="8"/>
  <c r="C205" i="12"/>
  <c r="C213" i="14"/>
  <c r="D259" i="17"/>
  <c r="D249" i="7"/>
  <c r="D247" i="8"/>
  <c r="D264" i="14"/>
  <c r="D224" i="12"/>
  <c r="D225" i="14"/>
  <c r="D223" i="13"/>
  <c r="AF21" i="32"/>
  <c r="AF15" i="32"/>
  <c r="AC15" i="32"/>
  <c r="AC21" i="32"/>
  <c r="Z21" i="32"/>
  <c r="Z15" i="32"/>
  <c r="W15" i="32"/>
  <c r="W21" i="32"/>
  <c r="T15" i="32"/>
  <c r="Q15" i="32"/>
  <c r="T21" i="32"/>
  <c r="Q21" i="32"/>
  <c r="D186" i="17"/>
  <c r="D187" i="17"/>
  <c r="C249" i="11"/>
  <c r="C241" i="17"/>
  <c r="D249" i="11"/>
  <c r="D241" i="17"/>
  <c r="C262" i="16"/>
  <c r="C263" i="17"/>
  <c r="C261" i="16"/>
  <c r="C262" i="17"/>
  <c r="C211" i="14"/>
  <c r="D262" i="16"/>
  <c r="D263" i="17"/>
  <c r="D261" i="16"/>
  <c r="D262" i="17"/>
  <c r="C247" i="11"/>
  <c r="C251" i="16"/>
  <c r="D247" i="11"/>
  <c r="D251" i="16"/>
  <c r="D170" i="13"/>
  <c r="D172" i="16"/>
  <c r="D256" i="14"/>
  <c r="D255" i="15"/>
  <c r="C259" i="15"/>
  <c r="C256" i="13"/>
  <c r="C260" i="14"/>
  <c r="D256" i="13"/>
  <c r="D259" i="15"/>
  <c r="D260" i="14"/>
  <c r="D161" i="13"/>
  <c r="C257" i="13"/>
  <c r="C260" i="15"/>
  <c r="C246" i="11"/>
  <c r="C246" i="13"/>
  <c r="D171" i="13"/>
  <c r="D171" i="15"/>
  <c r="C258" i="14"/>
  <c r="C257" i="15"/>
  <c r="C221" i="14"/>
  <c r="C220" i="13"/>
  <c r="D257" i="13"/>
  <c r="D260" i="15"/>
  <c r="D246" i="11"/>
  <c r="D246" i="13"/>
  <c r="C257" i="14"/>
  <c r="C254" i="13"/>
  <c r="C219" i="15"/>
  <c r="C218" i="14"/>
  <c r="C203" i="15"/>
  <c r="D258" i="14"/>
  <c r="D257" i="15"/>
  <c r="D221" i="14"/>
  <c r="D220" i="13"/>
  <c r="C244" i="16"/>
  <c r="C258" i="15"/>
  <c r="C259" i="14"/>
  <c r="C256" i="14"/>
  <c r="C255" i="15"/>
  <c r="D257" i="14"/>
  <c r="D254" i="13"/>
  <c r="D219" i="15"/>
  <c r="D218" i="14"/>
  <c r="D244" i="16"/>
  <c r="D258" i="15"/>
  <c r="D259" i="14"/>
  <c r="C247" i="9"/>
  <c r="C252" i="11"/>
  <c r="C246" i="10"/>
  <c r="C252" i="12"/>
  <c r="D248" i="9"/>
  <c r="D253" i="11"/>
  <c r="D247" i="10"/>
  <c r="C250" i="10"/>
  <c r="C256" i="11"/>
  <c r="C256" i="12"/>
  <c r="C245" i="9"/>
  <c r="C250" i="11"/>
  <c r="D247" i="9"/>
  <c r="D252" i="11"/>
  <c r="D246" i="10"/>
  <c r="D252" i="12"/>
  <c r="D250" i="10"/>
  <c r="D256" i="12"/>
  <c r="D256" i="11"/>
  <c r="D245" i="9"/>
  <c r="D250" i="11"/>
  <c r="C257" i="11"/>
  <c r="C251" i="10"/>
  <c r="C257" i="12"/>
  <c r="C255" i="12"/>
  <c r="C255" i="11"/>
  <c r="C249" i="10"/>
  <c r="D257" i="11"/>
  <c r="D257" i="12"/>
  <c r="D251" i="10"/>
  <c r="C249" i="9"/>
  <c r="C254" i="12"/>
  <c r="C254" i="11"/>
  <c r="C248" i="10"/>
  <c r="D255" i="12"/>
  <c r="D255" i="11"/>
  <c r="D249" i="10"/>
  <c r="C248" i="9"/>
  <c r="C253" i="11"/>
  <c r="C247" i="10"/>
  <c r="D249" i="9"/>
  <c r="D254" i="11"/>
  <c r="D254" i="12"/>
  <c r="D248" i="10"/>
  <c r="C251" i="9"/>
  <c r="C243" i="8"/>
  <c r="D251" i="9"/>
  <c r="D243" i="8"/>
  <c r="C242" i="2"/>
  <c r="C252" i="9"/>
  <c r="C244" i="8"/>
  <c r="C250" i="9"/>
  <c r="C242" i="8"/>
  <c r="D242" i="2"/>
  <c r="D252" i="9"/>
  <c r="D244" i="8"/>
  <c r="D250" i="9"/>
  <c r="D242" i="8"/>
  <c r="C236" i="11"/>
  <c r="C238" i="10"/>
  <c r="C236" i="12"/>
  <c r="C240" i="16"/>
  <c r="C240" i="15"/>
  <c r="C235" i="13"/>
  <c r="C242" i="17"/>
  <c r="C241" i="2"/>
  <c r="C245" i="16"/>
  <c r="C238" i="16"/>
  <c r="C240" i="17"/>
  <c r="C238" i="15"/>
  <c r="D238" i="10"/>
  <c r="D236" i="11"/>
  <c r="D242" i="17"/>
  <c r="D240" i="16"/>
  <c r="D235" i="13"/>
  <c r="D236" i="12"/>
  <c r="D240" i="15"/>
  <c r="D178" i="16"/>
  <c r="D180" i="17"/>
  <c r="D28" i="14"/>
  <c r="D28" i="16"/>
  <c r="D241" i="2"/>
  <c r="D245" i="16"/>
  <c r="D241" i="15"/>
  <c r="D243" i="17"/>
  <c r="D241" i="16"/>
  <c r="D192" i="8"/>
  <c r="D179" i="16"/>
  <c r="C238" i="14"/>
  <c r="C238" i="17"/>
  <c r="C236" i="15"/>
  <c r="C236" i="16"/>
  <c r="C205" i="13"/>
  <c r="D238" i="16"/>
  <c r="D238" i="15"/>
  <c r="D240" i="17"/>
  <c r="C235" i="16"/>
  <c r="C237" i="17"/>
  <c r="C235" i="15"/>
  <c r="D236" i="15"/>
  <c r="D236" i="16"/>
  <c r="D238" i="14"/>
  <c r="D238" i="17"/>
  <c r="D205" i="13"/>
  <c r="C232" i="10"/>
  <c r="C234" i="16"/>
  <c r="C230" i="12"/>
  <c r="C229" i="13"/>
  <c r="C236" i="17"/>
  <c r="C234" i="15"/>
  <c r="C230" i="11"/>
  <c r="D235" i="15"/>
  <c r="D235" i="16"/>
  <c r="D237" i="17"/>
  <c r="D189" i="17"/>
  <c r="D28" i="10"/>
  <c r="D28" i="17"/>
  <c r="C239" i="17"/>
  <c r="C237" i="16"/>
  <c r="C237" i="15"/>
  <c r="C245" i="17"/>
  <c r="C243" i="16"/>
  <c r="C240" i="2"/>
  <c r="D236" i="17"/>
  <c r="D232" i="10"/>
  <c r="D230" i="12"/>
  <c r="D234" i="15"/>
  <c r="D229" i="13"/>
  <c r="D234" i="16"/>
  <c r="D230" i="11"/>
  <c r="D239" i="17"/>
  <c r="D237" i="16"/>
  <c r="D237" i="15"/>
  <c r="C242" i="16"/>
  <c r="C244" i="17"/>
  <c r="C239" i="2"/>
  <c r="D245" i="17"/>
  <c r="D243" i="16"/>
  <c r="D240" i="2"/>
  <c r="C241" i="15"/>
  <c r="C241" i="16"/>
  <c r="C243" i="17"/>
  <c r="D242" i="16"/>
  <c r="D244" i="17"/>
  <c r="D239" i="2"/>
  <c r="AO32" i="23"/>
  <c r="AI92" i="32"/>
  <c r="AF13" i="18"/>
  <c r="AI133" i="32"/>
  <c r="AI89" i="32"/>
  <c r="AI19" i="32"/>
  <c r="AF133" i="32"/>
  <c r="AF91" i="32"/>
  <c r="AF89" i="32"/>
  <c r="AI47" i="32"/>
  <c r="AI85" i="32"/>
  <c r="AF131" i="32"/>
  <c r="AF55" i="32"/>
  <c r="AF88" i="32"/>
  <c r="AF19" i="32"/>
  <c r="AI31" i="23"/>
  <c r="AC133" i="32"/>
  <c r="AC91" i="32"/>
  <c r="AC89" i="32"/>
  <c r="AF32" i="23"/>
  <c r="Z92" i="32"/>
  <c r="Z90" i="32"/>
  <c r="AC36" i="23"/>
  <c r="W93" i="32"/>
  <c r="Z30" i="23"/>
  <c r="Z12" i="18"/>
  <c r="T136" i="32"/>
  <c r="T94" i="32"/>
  <c r="T22" i="32"/>
  <c r="W13" i="18"/>
  <c r="Q96" i="32"/>
  <c r="K47" i="32"/>
  <c r="K85" i="32"/>
  <c r="H131" i="32"/>
  <c r="H55" i="32"/>
  <c r="H88" i="32"/>
  <c r="H19" i="32"/>
  <c r="K31" i="23"/>
  <c r="H31" i="23"/>
  <c r="AL16" i="32"/>
  <c r="N16" i="32"/>
  <c r="AL148" i="32"/>
  <c r="N148" i="32"/>
  <c r="Z147" i="32"/>
  <c r="T145" i="32"/>
  <c r="AL133" i="32"/>
  <c r="AL32" i="23"/>
  <c r="AI131" i="32"/>
  <c r="AI55" i="32"/>
  <c r="AL31" i="23"/>
  <c r="AL96" i="32"/>
  <c r="AF47" i="32"/>
  <c r="AF85" i="32"/>
  <c r="AC131" i="32"/>
  <c r="AC55" i="32"/>
  <c r="AC88" i="32"/>
  <c r="AC19" i="32"/>
  <c r="AF31" i="23"/>
  <c r="Z133" i="32"/>
  <c r="Z91" i="32"/>
  <c r="Z89" i="32"/>
  <c r="AC32" i="23"/>
  <c r="W92" i="32"/>
  <c r="W90" i="32"/>
  <c r="Z36" i="23"/>
  <c r="T93" i="32"/>
  <c r="W30" i="23"/>
  <c r="W12" i="18"/>
  <c r="Q136" i="32"/>
  <c r="Q94" i="32"/>
  <c r="Q22" i="32"/>
  <c r="T13" i="18"/>
  <c r="N96" i="32"/>
  <c r="H47" i="32"/>
  <c r="H85" i="32"/>
  <c r="AI16" i="32"/>
  <c r="K16" i="32"/>
  <c r="AI148" i="32"/>
  <c r="K148" i="32"/>
  <c r="W147" i="32"/>
  <c r="Q145" i="32"/>
  <c r="AO31" i="23"/>
  <c r="AI88" i="32"/>
  <c r="AL136" i="32"/>
  <c r="AL94" i="32"/>
  <c r="AL22" i="32"/>
  <c r="AO13" i="18"/>
  <c r="AI96" i="32"/>
  <c r="AC47" i="32"/>
  <c r="AC85" i="32"/>
  <c r="Z131" i="32"/>
  <c r="Z55" i="32"/>
  <c r="Z88" i="32"/>
  <c r="Z19" i="32"/>
  <c r="AC31" i="23"/>
  <c r="W133" i="32"/>
  <c r="W91" i="32"/>
  <c r="W89" i="32"/>
  <c r="Z32" i="23"/>
  <c r="T92" i="32"/>
  <c r="T90" i="32"/>
  <c r="W36" i="23"/>
  <c r="Q93" i="32"/>
  <c r="T30" i="23"/>
  <c r="T12" i="18"/>
  <c r="N136" i="32"/>
  <c r="N94" i="32"/>
  <c r="N22" i="32"/>
  <c r="Q13" i="18"/>
  <c r="K96" i="32"/>
  <c r="AF16" i="32"/>
  <c r="H16" i="32"/>
  <c r="AF148" i="32"/>
  <c r="H148" i="32"/>
  <c r="T147" i="32"/>
  <c r="AL145" i="32"/>
  <c r="N145" i="32"/>
  <c r="AL36" i="23"/>
  <c r="AF93" i="32"/>
  <c r="AI30" i="23"/>
  <c r="AC94" i="32"/>
  <c r="AL131" i="32"/>
  <c r="AL19" i="32"/>
  <c r="AI91" i="32"/>
  <c r="AF92" i="32"/>
  <c r="AL85" i="32"/>
  <c r="AL93" i="32"/>
  <c r="AO30" i="23"/>
  <c r="AO12" i="18"/>
  <c r="AI136" i="32"/>
  <c r="AI94" i="32"/>
  <c r="AI22" i="32"/>
  <c r="AL13" i="18"/>
  <c r="AF96" i="32"/>
  <c r="Z47" i="32"/>
  <c r="Z85" i="32"/>
  <c r="W131" i="32"/>
  <c r="W55" i="32"/>
  <c r="W88" i="32"/>
  <c r="W19" i="32"/>
  <c r="Z31" i="23"/>
  <c r="T133" i="32"/>
  <c r="T91" i="32"/>
  <c r="T89" i="32"/>
  <c r="W32" i="23"/>
  <c r="Q92" i="32"/>
  <c r="Q90" i="32"/>
  <c r="T36" i="23"/>
  <c r="N93" i="32"/>
  <c r="Q30" i="23"/>
  <c r="Q12" i="18"/>
  <c r="K136" i="32"/>
  <c r="K94" i="32"/>
  <c r="K22" i="32"/>
  <c r="N13" i="18"/>
  <c r="H96" i="32"/>
  <c r="AC16" i="32"/>
  <c r="AC148" i="32"/>
  <c r="Q147" i="32"/>
  <c r="AI145" i="32"/>
  <c r="K145" i="32"/>
  <c r="AL91" i="32"/>
  <c r="AI12" i="18"/>
  <c r="AC22" i="32"/>
  <c r="AL55" i="32"/>
  <c r="AL92" i="32"/>
  <c r="AL90" i="32"/>
  <c r="AO36" i="23"/>
  <c r="AI93" i="32"/>
  <c r="AL30" i="23"/>
  <c r="AL12" i="18"/>
  <c r="AF136" i="32"/>
  <c r="AF94" i="32"/>
  <c r="AF22" i="32"/>
  <c r="AI13" i="18"/>
  <c r="AC96" i="32"/>
  <c r="W47" i="32"/>
  <c r="W85" i="32"/>
  <c r="T131" i="32"/>
  <c r="T55" i="32"/>
  <c r="T88" i="32"/>
  <c r="T19" i="32"/>
  <c r="W31" i="23"/>
  <c r="Q133" i="32"/>
  <c r="Q91" i="32"/>
  <c r="Q89" i="32"/>
  <c r="T32" i="23"/>
  <c r="N92" i="32"/>
  <c r="N90" i="32"/>
  <c r="Q36" i="23"/>
  <c r="K93" i="32"/>
  <c r="N30" i="23"/>
  <c r="N12" i="18"/>
  <c r="H136" i="32"/>
  <c r="H94" i="32"/>
  <c r="H22" i="32"/>
  <c r="K13" i="18"/>
  <c r="H13" i="18"/>
  <c r="Z16" i="32"/>
  <c r="Z148" i="32"/>
  <c r="AL147" i="32"/>
  <c r="N147" i="32"/>
  <c r="AF145" i="32"/>
  <c r="H145" i="32"/>
  <c r="T47" i="32"/>
  <c r="T85" i="32"/>
  <c r="Q131" i="32"/>
  <c r="Q55" i="32"/>
  <c r="Q88" i="32"/>
  <c r="Q19" i="32"/>
  <c r="T31" i="23"/>
  <c r="N133" i="32"/>
  <c r="N91" i="32"/>
  <c r="N89" i="32"/>
  <c r="Q32" i="23"/>
  <c r="K92" i="32"/>
  <c r="K90" i="32"/>
  <c r="N36" i="23"/>
  <c r="H93" i="32"/>
  <c r="K30" i="23"/>
  <c r="K12" i="18"/>
  <c r="H30" i="23"/>
  <c r="H12" i="18"/>
  <c r="W16" i="32"/>
  <c r="W148" i="32"/>
  <c r="AI147" i="32"/>
  <c r="K147" i="32"/>
  <c r="AC145" i="32"/>
  <c r="Z96" i="32"/>
  <c r="AF90" i="32"/>
  <c r="AI36" i="23"/>
  <c r="AC93" i="32"/>
  <c r="AF30" i="23"/>
  <c r="AF12" i="18"/>
  <c r="Z136" i="32"/>
  <c r="Z94" i="32"/>
  <c r="Z22" i="32"/>
  <c r="AC13" i="18"/>
  <c r="W96" i="32"/>
  <c r="Q47" i="32"/>
  <c r="Q85" i="32"/>
  <c r="N131" i="32"/>
  <c r="N55" i="32"/>
  <c r="N88" i="32"/>
  <c r="N19" i="32"/>
  <c r="Q31" i="23"/>
  <c r="K133" i="32"/>
  <c r="K91" i="32"/>
  <c r="K89" i="32"/>
  <c r="N32" i="23"/>
  <c r="H92" i="32"/>
  <c r="H90" i="32"/>
  <c r="K36" i="23"/>
  <c r="H36" i="23"/>
  <c r="T16" i="32"/>
  <c r="T148" i="32"/>
  <c r="AF147" i="32"/>
  <c r="H147" i="32"/>
  <c r="Z145" i="32"/>
  <c r="AL89" i="32"/>
  <c r="AI90" i="32"/>
  <c r="AC136" i="32"/>
  <c r="AL88" i="32"/>
  <c r="AL47" i="32"/>
  <c r="AI32" i="23"/>
  <c r="AC92" i="32"/>
  <c r="AC90" i="32"/>
  <c r="AF36" i="23"/>
  <c r="Z93" i="32"/>
  <c r="AC30" i="23"/>
  <c r="AC12" i="18"/>
  <c r="W136" i="32"/>
  <c r="W94" i="32"/>
  <c r="W22" i="32"/>
  <c r="Z13" i="18"/>
  <c r="T96" i="32"/>
  <c r="N47" i="32"/>
  <c r="N85" i="32"/>
  <c r="K131" i="32"/>
  <c r="K55" i="32"/>
  <c r="K88" i="32"/>
  <c r="K19" i="32"/>
  <c r="N31" i="23"/>
  <c r="H133" i="32"/>
  <c r="H91" i="32"/>
  <c r="H89" i="32"/>
  <c r="K32" i="23"/>
  <c r="H32" i="23"/>
  <c r="Q16" i="32"/>
  <c r="Q148" i="32"/>
  <c r="AC147" i="32"/>
  <c r="W145" i="32"/>
  <c r="C251" i="2"/>
  <c r="C266" i="9"/>
  <c r="C264" i="7"/>
  <c r="C269" i="15"/>
  <c r="C271" i="14"/>
  <c r="C264" i="11"/>
  <c r="C264" i="13"/>
  <c r="C265" i="10"/>
  <c r="C271" i="17"/>
  <c r="C262" i="8"/>
  <c r="C264" i="12"/>
  <c r="C262" i="2"/>
  <c r="C207" i="13"/>
  <c r="C212" i="14"/>
  <c r="D270" i="15"/>
  <c r="D265" i="11"/>
  <c r="D267" i="9"/>
  <c r="D272" i="14"/>
  <c r="D265" i="7"/>
  <c r="D266" i="10"/>
  <c r="D272" i="17"/>
  <c r="D265" i="12"/>
  <c r="D265" i="13"/>
  <c r="D263" i="8"/>
  <c r="D270" i="16"/>
  <c r="D196" i="7"/>
  <c r="D216" i="14"/>
  <c r="D214" i="15"/>
  <c r="D215" i="9"/>
  <c r="D216" i="17"/>
  <c r="D168" i="12"/>
  <c r="D202" i="14"/>
  <c r="D200" i="10"/>
  <c r="D113" i="17"/>
  <c r="C256" i="2"/>
  <c r="C271" i="9"/>
  <c r="C269" i="7"/>
  <c r="C276" i="17"/>
  <c r="C267" i="8"/>
  <c r="C269" i="11"/>
  <c r="C274" i="16"/>
  <c r="C270" i="10"/>
  <c r="C274" i="15"/>
  <c r="C269" i="12"/>
  <c r="C263" i="2"/>
  <c r="C269" i="13"/>
  <c r="C276" i="14"/>
  <c r="C222" i="17"/>
  <c r="C218" i="11"/>
  <c r="C222" i="14"/>
  <c r="C220" i="16"/>
  <c r="C220" i="10"/>
  <c r="C220" i="15"/>
  <c r="C221" i="9"/>
  <c r="C217" i="13"/>
  <c r="C218" i="12"/>
  <c r="C249" i="2"/>
  <c r="C260" i="8"/>
  <c r="C263" i="10"/>
  <c r="C264" i="9"/>
  <c r="C262" i="11"/>
  <c r="C269" i="14"/>
  <c r="C262" i="7"/>
  <c r="C267" i="15"/>
  <c r="C262" i="12"/>
  <c r="C267" i="16"/>
  <c r="C261" i="2"/>
  <c r="D251" i="2"/>
  <c r="D264" i="7"/>
  <c r="D266" i="9"/>
  <c r="D269" i="15"/>
  <c r="D264" i="11"/>
  <c r="D271" i="17"/>
  <c r="D271" i="14"/>
  <c r="D265" i="10"/>
  <c r="D262" i="8"/>
  <c r="D264" i="13"/>
  <c r="D264" i="12"/>
  <c r="D262" i="2"/>
  <c r="D207" i="13"/>
  <c r="D212" i="14"/>
  <c r="D200" i="9"/>
  <c r="D201" i="15"/>
  <c r="D256" i="2"/>
  <c r="D269" i="7"/>
  <c r="D271" i="9"/>
  <c r="D269" i="11"/>
  <c r="D270" i="10"/>
  <c r="D276" i="17"/>
  <c r="D274" i="16"/>
  <c r="D274" i="15"/>
  <c r="D276" i="14"/>
  <c r="D267" i="8"/>
  <c r="D269" i="13"/>
  <c r="D269" i="12"/>
  <c r="D263" i="2"/>
  <c r="D222" i="17"/>
  <c r="D220" i="10"/>
  <c r="D221" i="9"/>
  <c r="D222" i="14"/>
  <c r="D220" i="15"/>
  <c r="D218" i="11"/>
  <c r="D220" i="16"/>
  <c r="D218" i="12"/>
  <c r="D217" i="13"/>
  <c r="C247" i="2"/>
  <c r="C261" i="10"/>
  <c r="C262" i="9"/>
  <c r="C260" i="7"/>
  <c r="C260" i="11"/>
  <c r="C267" i="14"/>
  <c r="C258" i="8"/>
  <c r="C265" i="16"/>
  <c r="C259" i="2"/>
  <c r="C260" i="13"/>
  <c r="C267" i="17"/>
  <c r="D249" i="2"/>
  <c r="D262" i="11"/>
  <c r="D263" i="10"/>
  <c r="D264" i="9"/>
  <c r="D262" i="7"/>
  <c r="D260" i="8"/>
  <c r="D267" i="15"/>
  <c r="D269" i="14"/>
  <c r="D262" i="12"/>
  <c r="D261" i="2"/>
  <c r="D267" i="16"/>
  <c r="D211" i="14"/>
  <c r="D209" i="16"/>
  <c r="D195" i="13"/>
  <c r="D200" i="14"/>
  <c r="C273" i="10"/>
  <c r="C270" i="8"/>
  <c r="C274" i="9"/>
  <c r="C272" i="11"/>
  <c r="C272" i="12"/>
  <c r="C280" i="17"/>
  <c r="C277" i="16"/>
  <c r="C272" i="13"/>
  <c r="C277" i="15"/>
  <c r="C264" i="2"/>
  <c r="C279" i="14"/>
  <c r="C199" i="10"/>
  <c r="C221" i="15"/>
  <c r="C221" i="16"/>
  <c r="C223" i="14"/>
  <c r="C219" i="12"/>
  <c r="C221" i="10"/>
  <c r="C220" i="2"/>
  <c r="C218" i="13"/>
  <c r="C223" i="17"/>
  <c r="C222" i="9"/>
  <c r="C219" i="11"/>
  <c r="C246" i="2"/>
  <c r="C266" i="14"/>
  <c r="C259" i="11"/>
  <c r="C259" i="13"/>
  <c r="C264" i="16"/>
  <c r="C259" i="12"/>
  <c r="C266" i="17"/>
  <c r="C202" i="13"/>
  <c r="C207" i="15"/>
  <c r="C203" i="12"/>
  <c r="C203" i="11"/>
  <c r="D247" i="2"/>
  <c r="D261" i="10"/>
  <c r="D260" i="11"/>
  <c r="D260" i="7"/>
  <c r="D258" i="8"/>
  <c r="D262" i="9"/>
  <c r="D267" i="14"/>
  <c r="D259" i="2"/>
  <c r="D265" i="16"/>
  <c r="D260" i="13"/>
  <c r="D267" i="17"/>
  <c r="D190" i="17"/>
  <c r="D199" i="9"/>
  <c r="D274" i="9"/>
  <c r="D272" i="11"/>
  <c r="D272" i="12"/>
  <c r="D273" i="10"/>
  <c r="D270" i="8"/>
  <c r="D280" i="17"/>
  <c r="D277" i="16"/>
  <c r="D279" i="14"/>
  <c r="D264" i="2"/>
  <c r="D272" i="13"/>
  <c r="D277" i="15"/>
  <c r="D199" i="10"/>
  <c r="D221" i="15"/>
  <c r="D220" i="2"/>
  <c r="D221" i="16"/>
  <c r="D223" i="17"/>
  <c r="D218" i="13"/>
  <c r="D223" i="14"/>
  <c r="D219" i="12"/>
  <c r="D221" i="10"/>
  <c r="D222" i="7"/>
  <c r="D222" i="9"/>
  <c r="D219" i="11"/>
  <c r="C274" i="11"/>
  <c r="C274" i="12"/>
  <c r="C275" i="10"/>
  <c r="C272" i="8"/>
  <c r="C276" i="9"/>
  <c r="C266" i="2"/>
  <c r="C274" i="13"/>
  <c r="C281" i="14"/>
  <c r="C282" i="17"/>
  <c r="C279" i="16"/>
  <c r="C279" i="15"/>
  <c r="C245" i="2"/>
  <c r="C261" i="9"/>
  <c r="C257" i="8"/>
  <c r="C258" i="11"/>
  <c r="C260" i="10"/>
  <c r="C259" i="7"/>
  <c r="C258" i="2"/>
  <c r="C265" i="14"/>
  <c r="C263" i="16"/>
  <c r="C258" i="13"/>
  <c r="C265" i="17"/>
  <c r="C263" i="15"/>
  <c r="C258" i="12"/>
  <c r="C201" i="13"/>
  <c r="C206" i="14"/>
  <c r="C206" i="15"/>
  <c r="C202" i="11"/>
  <c r="D246" i="2"/>
  <c r="D266" i="14"/>
  <c r="D259" i="11"/>
  <c r="D264" i="16"/>
  <c r="D259" i="13"/>
  <c r="D259" i="12"/>
  <c r="D266" i="17"/>
  <c r="D202" i="13"/>
  <c r="D207" i="15"/>
  <c r="D203" i="11"/>
  <c r="D203" i="12"/>
  <c r="D207" i="16"/>
  <c r="D170" i="15"/>
  <c r="D170" i="14"/>
  <c r="C248" i="2"/>
  <c r="C266" i="15"/>
  <c r="C263" i="9"/>
  <c r="C268" i="14"/>
  <c r="C261" i="11"/>
  <c r="C262" i="10"/>
  <c r="C261" i="7"/>
  <c r="C259" i="8"/>
  <c r="C260" i="2"/>
  <c r="C261" i="13"/>
  <c r="C266" i="16"/>
  <c r="C224" i="17"/>
  <c r="C222" i="15"/>
  <c r="C219" i="13"/>
  <c r="C222" i="16"/>
  <c r="C224" i="14"/>
  <c r="C221" i="2"/>
  <c r="C220" i="11"/>
  <c r="C223" i="9"/>
  <c r="C220" i="12"/>
  <c r="C222" i="10"/>
  <c r="C268" i="10"/>
  <c r="C265" i="8"/>
  <c r="C267" i="13"/>
  <c r="C272" i="16"/>
  <c r="C274" i="14"/>
  <c r="C269" i="9"/>
  <c r="C274" i="17"/>
  <c r="C272" i="15"/>
  <c r="C267" i="12"/>
  <c r="C267" i="7"/>
  <c r="C267" i="11"/>
  <c r="C232" i="17"/>
  <c r="C228" i="11"/>
  <c r="C230" i="10"/>
  <c r="C230" i="15"/>
  <c r="C228" i="12"/>
  <c r="C231" i="9"/>
  <c r="C232" i="14"/>
  <c r="C230" i="16"/>
  <c r="C227" i="13"/>
  <c r="D272" i="8"/>
  <c r="D276" i="9"/>
  <c r="D274" i="11"/>
  <c r="D274" i="12"/>
  <c r="D275" i="10"/>
  <c r="D266" i="2"/>
  <c r="D281" i="14"/>
  <c r="D279" i="16"/>
  <c r="D279" i="15"/>
  <c r="D274" i="13"/>
  <c r="D282" i="17"/>
  <c r="D245" i="2"/>
  <c r="D261" i="9"/>
  <c r="D258" i="11"/>
  <c r="D257" i="8"/>
  <c r="D259" i="7"/>
  <c r="D258" i="2"/>
  <c r="D265" i="14"/>
  <c r="D260" i="10"/>
  <c r="D265" i="17"/>
  <c r="D263" i="16"/>
  <c r="D258" i="13"/>
  <c r="D258" i="12"/>
  <c r="D263" i="15"/>
  <c r="D201" i="13"/>
  <c r="D206" i="14"/>
  <c r="D202" i="11"/>
  <c r="D206" i="15"/>
  <c r="D168" i="9"/>
  <c r="D198" i="7"/>
  <c r="D169" i="15"/>
  <c r="D169" i="14"/>
  <c r="D248" i="2"/>
  <c r="D262" i="10"/>
  <c r="D268" i="14"/>
  <c r="D261" i="7"/>
  <c r="D263" i="9"/>
  <c r="D266" i="15"/>
  <c r="D259" i="8"/>
  <c r="D261" i="11"/>
  <c r="D260" i="2"/>
  <c r="D266" i="16"/>
  <c r="D261" i="13"/>
  <c r="D224" i="17"/>
  <c r="D222" i="15"/>
  <c r="D219" i="13"/>
  <c r="D222" i="16"/>
  <c r="D221" i="2"/>
  <c r="D224" i="14"/>
  <c r="D223" i="7"/>
  <c r="D220" i="12"/>
  <c r="D222" i="10"/>
  <c r="D223" i="9"/>
  <c r="D220" i="11"/>
  <c r="C264" i="8"/>
  <c r="C271" i="15"/>
  <c r="C268" i="9"/>
  <c r="C271" i="16"/>
  <c r="C266" i="13"/>
  <c r="C266" i="7"/>
  <c r="C273" i="17"/>
  <c r="C266" i="12"/>
  <c r="C267" i="10"/>
  <c r="C266" i="11"/>
  <c r="C273" i="14"/>
  <c r="C227" i="10"/>
  <c r="C227" i="15"/>
  <c r="C228" i="9"/>
  <c r="C229" i="17"/>
  <c r="C224" i="13"/>
  <c r="C225" i="12"/>
  <c r="C229" i="14"/>
  <c r="C225" i="11"/>
  <c r="C228" i="7"/>
  <c r="C227" i="16"/>
  <c r="D267" i="13"/>
  <c r="D267" i="11"/>
  <c r="D274" i="17"/>
  <c r="D269" i="9"/>
  <c r="D272" i="15"/>
  <c r="D268" i="10"/>
  <c r="D274" i="14"/>
  <c r="D265" i="8"/>
  <c r="D267" i="12"/>
  <c r="D272" i="16"/>
  <c r="D267" i="7"/>
  <c r="D219" i="2"/>
  <c r="D232" i="17"/>
  <c r="D230" i="10"/>
  <c r="D228" i="11"/>
  <c r="D227" i="13"/>
  <c r="D230" i="15"/>
  <c r="D231" i="9"/>
  <c r="D232" i="14"/>
  <c r="D228" i="12"/>
  <c r="D230" i="16"/>
  <c r="D185" i="17"/>
  <c r="D192" i="10"/>
  <c r="D196" i="17"/>
  <c r="C268" i="7"/>
  <c r="C268" i="12"/>
  <c r="C270" i="9"/>
  <c r="C268" i="11"/>
  <c r="C275" i="17"/>
  <c r="C273" i="15"/>
  <c r="C269" i="10"/>
  <c r="C273" i="16"/>
  <c r="C268" i="13"/>
  <c r="C266" i="8"/>
  <c r="C275" i="14"/>
  <c r="C220" i="14"/>
  <c r="C218" i="15"/>
  <c r="C218" i="16"/>
  <c r="C215" i="13"/>
  <c r="C220" i="17"/>
  <c r="C263" i="8"/>
  <c r="C267" i="9"/>
  <c r="C265" i="13"/>
  <c r="C265" i="7"/>
  <c r="C266" i="10"/>
  <c r="C270" i="15"/>
  <c r="C265" i="12"/>
  <c r="C272" i="14"/>
  <c r="C270" i="16"/>
  <c r="C265" i="11"/>
  <c r="C272" i="17"/>
  <c r="C216" i="14"/>
  <c r="C214" i="15"/>
  <c r="C215" i="9"/>
  <c r="C202" i="14"/>
  <c r="C200" i="10"/>
  <c r="D271" i="15"/>
  <c r="D273" i="14"/>
  <c r="D264" i="8"/>
  <c r="D271" i="16"/>
  <c r="D266" i="7"/>
  <c r="D266" i="11"/>
  <c r="D268" i="9"/>
  <c r="D267" i="10"/>
  <c r="D266" i="12"/>
  <c r="D266" i="13"/>
  <c r="D273" i="17"/>
  <c r="D225" i="11"/>
  <c r="D228" i="7"/>
  <c r="D227" i="15"/>
  <c r="D228" i="9"/>
  <c r="D227" i="10"/>
  <c r="D225" i="12"/>
  <c r="D224" i="13"/>
  <c r="D229" i="14"/>
  <c r="D227" i="16"/>
  <c r="D229" i="17"/>
  <c r="D226" i="8"/>
  <c r="D203" i="15"/>
  <c r="D199" i="12"/>
  <c r="D266" i="8"/>
  <c r="D273" i="16"/>
  <c r="D268" i="12"/>
  <c r="D268" i="13"/>
  <c r="D268" i="7"/>
  <c r="D270" i="9"/>
  <c r="D275" i="17"/>
  <c r="D273" i="15"/>
  <c r="D268" i="11"/>
  <c r="D269" i="10"/>
  <c r="D275" i="14"/>
  <c r="D198" i="8"/>
  <c r="D218" i="15"/>
  <c r="D220" i="14"/>
  <c r="D218" i="16"/>
  <c r="D215" i="13"/>
  <c r="D220" i="17"/>
  <c r="D218" i="2"/>
  <c r="T129" i="32"/>
  <c r="AI169" i="29"/>
  <c r="W180" i="32"/>
  <c r="H111" i="18"/>
  <c r="AI162" i="29"/>
  <c r="H113" i="18"/>
  <c r="W163" i="29"/>
  <c r="AI178" i="32"/>
  <c r="AI164" i="29"/>
  <c r="Z178" i="32"/>
  <c r="Q114" i="18"/>
  <c r="Q177" i="32"/>
  <c r="W169" i="29"/>
  <c r="N175" i="32"/>
  <c r="N110" i="18"/>
  <c r="AO112" i="18"/>
  <c r="AC112" i="18"/>
  <c r="AC170" i="29"/>
  <c r="AL163" i="29"/>
  <c r="W175" i="32"/>
  <c r="H114" i="18"/>
  <c r="AL164" i="29"/>
  <c r="W177" i="32"/>
  <c r="Q163" i="29"/>
  <c r="Z170" i="29"/>
  <c r="N114" i="18"/>
  <c r="H178" i="32"/>
  <c r="AF176" i="32"/>
  <c r="AI112" i="18"/>
  <c r="W113" i="18"/>
  <c r="T177" i="32"/>
  <c r="AL111" i="18"/>
  <c r="T169" i="29"/>
  <c r="W110" i="18"/>
  <c r="N180" i="32"/>
  <c r="AF163" i="29"/>
  <c r="AI175" i="32"/>
  <c r="AL175" i="32"/>
  <c r="Q180" i="32"/>
  <c r="AC178" i="32"/>
  <c r="W176" i="32"/>
  <c r="Z129" i="32"/>
  <c r="Z113" i="18"/>
  <c r="K176" i="32"/>
  <c r="AF164" i="29"/>
  <c r="Q129" i="32"/>
  <c r="AC110" i="18"/>
  <c r="T162" i="29"/>
  <c r="AL113" i="18"/>
  <c r="AF179" i="32"/>
  <c r="H162" i="29"/>
  <c r="AL129" i="32"/>
  <c r="K169" i="29"/>
  <c r="AL162" i="29"/>
  <c r="AC164" i="29"/>
  <c r="AC111" i="18"/>
  <c r="AF111" i="18"/>
  <c r="W112" i="18"/>
  <c r="W164" i="29"/>
  <c r="N113" i="18"/>
  <c r="AF169" i="29"/>
  <c r="AC163" i="29"/>
  <c r="AC129" i="32"/>
  <c r="K164" i="29"/>
  <c r="AL112" i="18"/>
  <c r="AL170" i="29"/>
  <c r="N163" i="29"/>
  <c r="H180" i="32"/>
  <c r="W129" i="32"/>
  <c r="T176" i="32"/>
  <c r="Z162" i="29"/>
  <c r="AI129" i="32"/>
  <c r="T110" i="18"/>
  <c r="AF178" i="32"/>
  <c r="AC114" i="18"/>
  <c r="AO113" i="18"/>
  <c r="K110" i="18"/>
  <c r="H177" i="32"/>
  <c r="T112" i="18"/>
  <c r="K111" i="18"/>
  <c r="AL177" i="32"/>
  <c r="AC179" i="32"/>
  <c r="H175" i="32"/>
  <c r="Z175" i="32"/>
  <c r="AI128" i="32"/>
  <c r="Z163" i="29"/>
  <c r="K175" i="32"/>
  <c r="T170" i="29"/>
  <c r="AL114" i="18"/>
  <c r="K129" i="32"/>
  <c r="Q175" i="32"/>
  <c r="AC175" i="32"/>
  <c r="T164" i="29"/>
  <c r="T180" i="32"/>
  <c r="T178" i="32"/>
  <c r="Z179" i="32"/>
  <c r="N178" i="32"/>
  <c r="Q110" i="18"/>
  <c r="Z110" i="18"/>
  <c r="AF170" i="29"/>
  <c r="Q170" i="29"/>
  <c r="AF128" i="32"/>
  <c r="W114" i="18"/>
  <c r="T111" i="18"/>
  <c r="AF129" i="32"/>
  <c r="AL169" i="29"/>
  <c r="H128" i="32"/>
  <c r="H164" i="29"/>
  <c r="K163" i="29"/>
  <c r="N111" i="18"/>
  <c r="N179" i="32"/>
  <c r="AI180" i="32"/>
  <c r="AI176" i="32"/>
  <c r="K114" i="18"/>
  <c r="Q113" i="18"/>
  <c r="AL178" i="32"/>
  <c r="Q179" i="32"/>
  <c r="T113" i="18"/>
  <c r="W170" i="29"/>
  <c r="AL180" i="32"/>
  <c r="AI110" i="18"/>
  <c r="N170" i="29"/>
  <c r="N128" i="32"/>
  <c r="K177" i="32"/>
  <c r="T128" i="32"/>
  <c r="Z177" i="32"/>
  <c r="T179" i="32"/>
  <c r="AF162" i="29"/>
  <c r="K178" i="32"/>
  <c r="Q112" i="18"/>
  <c r="Z164" i="29"/>
  <c r="W111" i="18"/>
  <c r="AC113" i="18"/>
  <c r="AL110" i="18"/>
  <c r="AI163" i="29"/>
  <c r="T175" i="32"/>
  <c r="H169" i="29"/>
  <c r="Q164" i="29"/>
  <c r="K112" i="18"/>
  <c r="AF114" i="18"/>
  <c r="AF110" i="18"/>
  <c r="AC128" i="32"/>
  <c r="AO111" i="18"/>
  <c r="K170" i="29"/>
  <c r="N176" i="32"/>
  <c r="N164" i="29"/>
  <c r="Q169" i="29"/>
  <c r="W179" i="32"/>
  <c r="AL179" i="32"/>
  <c r="Z180" i="32"/>
  <c r="AI179" i="32"/>
  <c r="K128" i="32"/>
  <c r="K180" i="32"/>
  <c r="T114" i="18"/>
  <c r="H129" i="32"/>
  <c r="AI111" i="18"/>
  <c r="Q128" i="32"/>
  <c r="AC176" i="32"/>
  <c r="W128" i="32"/>
  <c r="Z169" i="29"/>
  <c r="K179" i="32"/>
  <c r="N112" i="18"/>
  <c r="N129" i="32"/>
  <c r="AI177" i="32"/>
  <c r="H112" i="18"/>
  <c r="Z112" i="18"/>
  <c r="AF175" i="32"/>
  <c r="AI114" i="18"/>
  <c r="W162" i="29"/>
  <c r="T163" i="29"/>
  <c r="K162" i="29"/>
  <c r="AI170" i="29"/>
  <c r="AC169" i="29"/>
  <c r="H179" i="32"/>
  <c r="AC180" i="32"/>
  <c r="Q176" i="32"/>
  <c r="H163" i="29"/>
  <c r="N162" i="29"/>
  <c r="Q162" i="29"/>
  <c r="Z128" i="32"/>
  <c r="AO114" i="18"/>
  <c r="H170" i="29"/>
  <c r="K113" i="18"/>
  <c r="AL176" i="32"/>
  <c r="Q178" i="32"/>
  <c r="AO110" i="18"/>
  <c r="Q111" i="18"/>
  <c r="AF113" i="18"/>
  <c r="Z114" i="18"/>
  <c r="W178" i="32"/>
  <c r="AL128" i="32"/>
  <c r="N177" i="32"/>
  <c r="AF180" i="32"/>
  <c r="AC162" i="29"/>
  <c r="Z176" i="32"/>
  <c r="N169" i="29"/>
  <c r="AF112" i="18"/>
  <c r="H110" i="18"/>
  <c r="AI113" i="18"/>
  <c r="H176" i="32"/>
  <c r="AF177" i="32"/>
  <c r="AC177" i="32"/>
  <c r="Z111" i="18"/>
  <c r="C239" i="13"/>
  <c r="C254" i="2"/>
  <c r="D239" i="13"/>
  <c r="D254" i="2"/>
  <c r="C240" i="13"/>
  <c r="C255" i="2"/>
  <c r="C237" i="13"/>
  <c r="C252" i="2"/>
  <c r="D238" i="13"/>
  <c r="D253" i="2"/>
  <c r="D240" i="13"/>
  <c r="D255" i="2"/>
  <c r="C238" i="13"/>
  <c r="C253" i="2"/>
  <c r="D237" i="13"/>
  <c r="D252" i="2"/>
  <c r="C245" i="14"/>
  <c r="C257" i="2"/>
  <c r="D245" i="14"/>
  <c r="D257" i="2"/>
  <c r="C230" i="13"/>
  <c r="C233" i="14"/>
  <c r="D231" i="13"/>
  <c r="D234" i="14"/>
  <c r="C233" i="13"/>
  <c r="C236" i="14"/>
  <c r="D230" i="13"/>
  <c r="D233" i="14"/>
  <c r="D233" i="13"/>
  <c r="D236" i="14"/>
  <c r="C203" i="13"/>
  <c r="C204" i="14"/>
  <c r="D203" i="13"/>
  <c r="D204" i="14"/>
  <c r="D39" i="14"/>
  <c r="C236" i="13"/>
  <c r="C239" i="14"/>
  <c r="C234" i="13"/>
  <c r="C237" i="14"/>
  <c r="D236" i="13"/>
  <c r="D239" i="14"/>
  <c r="C232" i="13"/>
  <c r="C235" i="14"/>
  <c r="D234" i="13"/>
  <c r="D237" i="14"/>
  <c r="C231" i="13"/>
  <c r="C234" i="14"/>
  <c r="D232" i="13"/>
  <c r="D235" i="14"/>
  <c r="C215" i="16"/>
  <c r="C206" i="13"/>
  <c r="D153" i="13"/>
  <c r="D215" i="16"/>
  <c r="D206" i="13"/>
  <c r="D28" i="12"/>
  <c r="D28" i="13"/>
  <c r="C236" i="2"/>
  <c r="C239" i="8"/>
  <c r="C240" i="7"/>
  <c r="D242" i="7"/>
  <c r="D238" i="2"/>
  <c r="D241" i="8"/>
  <c r="D236" i="2"/>
  <c r="D240" i="7"/>
  <c r="D239" i="8"/>
  <c r="C241" i="8"/>
  <c r="C238" i="2"/>
  <c r="C242" i="7"/>
  <c r="C237" i="2"/>
  <c r="C240" i="8"/>
  <c r="C241" i="7"/>
  <c r="D241" i="7"/>
  <c r="D237" i="2"/>
  <c r="D240" i="8"/>
  <c r="C233" i="8"/>
  <c r="C234" i="7"/>
  <c r="C230" i="2"/>
  <c r="D230" i="2"/>
  <c r="D233" i="8"/>
  <c r="D234" i="7"/>
  <c r="C225" i="2"/>
  <c r="C233" i="9"/>
  <c r="C231" i="11"/>
  <c r="C231" i="12"/>
  <c r="C233" i="10"/>
  <c r="C229" i="7"/>
  <c r="D226" i="2"/>
  <c r="D234" i="10"/>
  <c r="D234" i="9"/>
  <c r="D232" i="12"/>
  <c r="D229" i="8"/>
  <c r="D232" i="11"/>
  <c r="D230" i="7"/>
  <c r="C242" i="11"/>
  <c r="C244" i="10"/>
  <c r="C235" i="2"/>
  <c r="C244" i="9"/>
  <c r="C238" i="8"/>
  <c r="C239" i="7"/>
  <c r="C236" i="9"/>
  <c r="C236" i="10"/>
  <c r="C228" i="2"/>
  <c r="C232" i="7"/>
  <c r="C231" i="8"/>
  <c r="C234" i="11"/>
  <c r="C234" i="12"/>
  <c r="C233" i="2"/>
  <c r="C236" i="8"/>
  <c r="C242" i="10"/>
  <c r="C237" i="7"/>
  <c r="C242" i="9"/>
  <c r="D244" i="10"/>
  <c r="D244" i="9"/>
  <c r="D242" i="11"/>
  <c r="D235" i="2"/>
  <c r="D239" i="7"/>
  <c r="D238" i="8"/>
  <c r="D225" i="2"/>
  <c r="D231" i="11"/>
  <c r="D233" i="9"/>
  <c r="D231" i="12"/>
  <c r="D229" i="7"/>
  <c r="D233" i="10"/>
  <c r="D228" i="2"/>
  <c r="D236" i="10"/>
  <c r="D236" i="9"/>
  <c r="D232" i="7"/>
  <c r="D231" i="8"/>
  <c r="D234" i="11"/>
  <c r="D234" i="12"/>
  <c r="C232" i="2"/>
  <c r="C241" i="9"/>
  <c r="C235" i="8"/>
  <c r="C241" i="10"/>
  <c r="C236" i="7"/>
  <c r="C214" i="16"/>
  <c r="C204" i="12"/>
  <c r="C204" i="11"/>
  <c r="D233" i="2"/>
  <c r="D242" i="9"/>
  <c r="D236" i="8"/>
  <c r="D237" i="7"/>
  <c r="D242" i="10"/>
  <c r="D170" i="12"/>
  <c r="D190" i="7"/>
  <c r="C234" i="8"/>
  <c r="C240" i="10"/>
  <c r="C240" i="9"/>
  <c r="C231" i="2"/>
  <c r="C235" i="7"/>
  <c r="C238" i="12"/>
  <c r="D232" i="2"/>
  <c r="D235" i="8"/>
  <c r="D236" i="7"/>
  <c r="D241" i="9"/>
  <c r="D241" i="10"/>
  <c r="D214" i="16"/>
  <c r="D204" i="11"/>
  <c r="D204" i="12"/>
  <c r="C239" i="9"/>
  <c r="C239" i="10"/>
  <c r="C237" i="12"/>
  <c r="D231" i="2"/>
  <c r="D240" i="10"/>
  <c r="D235" i="7"/>
  <c r="D240" i="9"/>
  <c r="D234" i="8"/>
  <c r="D238" i="12"/>
  <c r="C243" i="10"/>
  <c r="C234" i="2"/>
  <c r="C243" i="9"/>
  <c r="C237" i="8"/>
  <c r="C238" i="7"/>
  <c r="C241" i="11"/>
  <c r="C232" i="8"/>
  <c r="C229" i="2"/>
  <c r="C237" i="10"/>
  <c r="C237" i="9"/>
  <c r="C233" i="7"/>
  <c r="C235" i="11"/>
  <c r="C235" i="12"/>
  <c r="D239" i="9"/>
  <c r="D239" i="10"/>
  <c r="D237" i="12"/>
  <c r="D243" i="9"/>
  <c r="D243" i="10"/>
  <c r="D234" i="2"/>
  <c r="D241" i="11"/>
  <c r="D238" i="7"/>
  <c r="D237" i="8"/>
  <c r="C235" i="9"/>
  <c r="C235" i="10"/>
  <c r="C227" i="2"/>
  <c r="C231" i="7"/>
  <c r="C230" i="8"/>
  <c r="C233" i="12"/>
  <c r="C233" i="11"/>
  <c r="D237" i="10"/>
  <c r="D237" i="9"/>
  <c r="D229" i="2"/>
  <c r="D232" i="8"/>
  <c r="D233" i="7"/>
  <c r="D235" i="11"/>
  <c r="D235" i="12"/>
  <c r="C234" i="10"/>
  <c r="C226" i="2"/>
  <c r="C234" i="9"/>
  <c r="C232" i="12"/>
  <c r="C232" i="11"/>
  <c r="C229" i="8"/>
  <c r="C230" i="7"/>
  <c r="D235" i="10"/>
  <c r="D235" i="9"/>
  <c r="D227" i="2"/>
  <c r="D231" i="7"/>
  <c r="D233" i="11"/>
  <c r="D233" i="12"/>
  <c r="D230" i="8"/>
  <c r="C210" i="11"/>
  <c r="C211" i="12"/>
  <c r="C213" i="9"/>
  <c r="C213" i="10"/>
  <c r="C215" i="11"/>
  <c r="C218" i="10"/>
  <c r="C216" i="12"/>
  <c r="C218" i="9"/>
  <c r="D211" i="12"/>
  <c r="D213" i="10"/>
  <c r="D213" i="9"/>
  <c r="C214" i="11"/>
  <c r="C217" i="9"/>
  <c r="C217" i="10"/>
  <c r="C215" i="12"/>
  <c r="D215" i="11"/>
  <c r="D218" i="10"/>
  <c r="D218" i="9"/>
  <c r="D216" i="12"/>
  <c r="C216" i="9"/>
  <c r="C216" i="10"/>
  <c r="C214" i="12"/>
  <c r="D214" i="11"/>
  <c r="D215" i="12"/>
  <c r="D217" i="10"/>
  <c r="D217" i="9"/>
  <c r="D170" i="11"/>
  <c r="D169" i="12"/>
  <c r="D216" i="9"/>
  <c r="D216" i="10"/>
  <c r="D214" i="12"/>
  <c r="C216" i="11"/>
  <c r="C219" i="10"/>
  <c r="C217" i="12"/>
  <c r="C219" i="9"/>
  <c r="C217" i="11"/>
  <c r="C212" i="11"/>
  <c r="C212" i="12"/>
  <c r="C214" i="9"/>
  <c r="C214" i="10"/>
  <c r="D168" i="11"/>
  <c r="D216" i="11"/>
  <c r="D219" i="10"/>
  <c r="D217" i="12"/>
  <c r="D219" i="9"/>
  <c r="D217" i="11"/>
  <c r="C210" i="12"/>
  <c r="C212" i="10"/>
  <c r="C212" i="9"/>
  <c r="D211" i="11"/>
  <c r="D212" i="11"/>
  <c r="D212" i="12"/>
  <c r="D214" i="9"/>
  <c r="D214" i="10"/>
  <c r="D191" i="17"/>
  <c r="D168" i="10"/>
  <c r="D209" i="11"/>
  <c r="D212" i="9"/>
  <c r="D212" i="10"/>
  <c r="D210" i="12"/>
  <c r="C202" i="10"/>
  <c r="C201" i="9"/>
  <c r="D200" i="7"/>
  <c r="D199" i="8"/>
  <c r="D201" i="9"/>
  <c r="D188" i="17"/>
  <c r="D169" i="10"/>
  <c r="D203" i="8"/>
  <c r="D210" i="11"/>
  <c r="C208" i="9"/>
  <c r="C213" i="11"/>
  <c r="C207" i="9"/>
  <c r="D206" i="7"/>
  <c r="D213" i="11"/>
  <c r="D207" i="9"/>
  <c r="D193" i="17"/>
  <c r="D169" i="11"/>
  <c r="C206" i="9"/>
  <c r="C211" i="11"/>
  <c r="D29" i="10"/>
  <c r="D28" i="11"/>
  <c r="C204" i="10"/>
  <c r="C209" i="11"/>
  <c r="C203" i="10"/>
  <c r="D211" i="9"/>
  <c r="D211" i="10"/>
  <c r="D206" i="9"/>
  <c r="D204" i="8"/>
  <c r="D204" i="10"/>
  <c r="D202" i="8"/>
  <c r="D203" i="10"/>
  <c r="D202" i="7"/>
  <c r="C210" i="10"/>
  <c r="C210" i="9"/>
  <c r="D202" i="10"/>
  <c r="D201" i="7"/>
  <c r="D200" i="8"/>
  <c r="C209" i="9"/>
  <c r="C209" i="10"/>
  <c r="D210" i="10"/>
  <c r="D201" i="2"/>
  <c r="D210" i="9"/>
  <c r="D200" i="2"/>
  <c r="D209" i="9"/>
  <c r="D209" i="10"/>
  <c r="D184" i="17"/>
  <c r="D167" i="9"/>
  <c r="D199" i="2"/>
  <c r="D207" i="7"/>
  <c r="D208" i="9"/>
  <c r="D183" i="17"/>
  <c r="D166" i="9"/>
  <c r="C211" i="9"/>
  <c r="C211" i="10"/>
  <c r="D22" i="17"/>
  <c r="D20" i="17"/>
  <c r="D45" i="17"/>
  <c r="D33" i="17"/>
  <c r="D19" i="17"/>
  <c r="D105" i="12"/>
  <c r="C250" i="16"/>
  <c r="C244" i="14"/>
  <c r="C243" i="12"/>
  <c r="C246" i="15"/>
  <c r="C245" i="13"/>
  <c r="C250" i="17"/>
  <c r="D252" i="17"/>
  <c r="D248" i="15"/>
  <c r="D252" i="16"/>
  <c r="D247" i="13"/>
  <c r="D246" i="14"/>
  <c r="D245" i="12"/>
  <c r="D195" i="7"/>
  <c r="D197" i="8"/>
  <c r="D197" i="11"/>
  <c r="D199" i="14"/>
  <c r="D194" i="9"/>
  <c r="D198" i="12"/>
  <c r="D200" i="15"/>
  <c r="D161" i="7"/>
  <c r="D192" i="17"/>
  <c r="D182" i="17"/>
  <c r="D183" i="16"/>
  <c r="D162" i="11"/>
  <c r="D162" i="10"/>
  <c r="D164" i="13"/>
  <c r="D257" i="16"/>
  <c r="D253" i="15"/>
  <c r="D257" i="17"/>
  <c r="D251" i="14"/>
  <c r="D252" i="13"/>
  <c r="D250" i="12"/>
  <c r="D209" i="15"/>
  <c r="D208" i="14"/>
  <c r="D207" i="12"/>
  <c r="D209" i="13"/>
  <c r="D203" i="9"/>
  <c r="D206" i="11"/>
  <c r="D206" i="10"/>
  <c r="D206" i="8"/>
  <c r="D211" i="16"/>
  <c r="D161" i="10"/>
  <c r="D162" i="15"/>
  <c r="D161" i="12"/>
  <c r="D162" i="14"/>
  <c r="D163" i="13"/>
  <c r="C258" i="17"/>
  <c r="C252" i="14"/>
  <c r="C251" i="12"/>
  <c r="C258" i="16"/>
  <c r="C253" i="13"/>
  <c r="C254" i="15"/>
  <c r="C210" i="15"/>
  <c r="C209" i="14"/>
  <c r="C210" i="13"/>
  <c r="C207" i="11"/>
  <c r="C208" i="12"/>
  <c r="C207" i="10"/>
  <c r="C204" i="9"/>
  <c r="C261" i="14"/>
  <c r="C268" i="16"/>
  <c r="C264" i="15"/>
  <c r="C262" i="13"/>
  <c r="C260" i="12"/>
  <c r="C268" i="17"/>
  <c r="C247" i="17"/>
  <c r="C241" i="14"/>
  <c r="C247" i="16"/>
  <c r="C243" i="15"/>
  <c r="C242" i="13"/>
  <c r="C240" i="12"/>
  <c r="C238" i="11"/>
  <c r="D261" i="12"/>
  <c r="D269" i="16"/>
  <c r="D265" i="15"/>
  <c r="D262" i="14"/>
  <c r="D269" i="17"/>
  <c r="D263" i="13"/>
  <c r="D248" i="16"/>
  <c r="D242" i="14"/>
  <c r="D248" i="17"/>
  <c r="D244" i="15"/>
  <c r="D243" i="13"/>
  <c r="D241" i="12"/>
  <c r="D239" i="11"/>
  <c r="D167" i="8"/>
  <c r="D195" i="8"/>
  <c r="D195" i="11"/>
  <c r="D197" i="14"/>
  <c r="D192" i="9"/>
  <c r="D193" i="7"/>
  <c r="D198" i="15"/>
  <c r="D196" i="12"/>
  <c r="D198" i="13"/>
  <c r="D195" i="10"/>
  <c r="D172" i="15"/>
  <c r="D169" i="9"/>
  <c r="D171" i="12"/>
  <c r="D172" i="14"/>
  <c r="D174" i="16"/>
  <c r="D258" i="17"/>
  <c r="D254" i="15"/>
  <c r="D252" i="14"/>
  <c r="D253" i="13"/>
  <c r="D258" i="16"/>
  <c r="D251" i="12"/>
  <c r="D210" i="15"/>
  <c r="D209" i="14"/>
  <c r="D210" i="13"/>
  <c r="D208" i="12"/>
  <c r="D204" i="9"/>
  <c r="D207" i="10"/>
  <c r="D207" i="11"/>
  <c r="D207" i="8"/>
  <c r="D204" i="7"/>
  <c r="D212" i="16"/>
  <c r="C248" i="16"/>
  <c r="C244" i="15"/>
  <c r="C241" i="12"/>
  <c r="C248" i="17"/>
  <c r="C242" i="14"/>
  <c r="C243" i="13"/>
  <c r="C239" i="11"/>
  <c r="D244" i="14"/>
  <c r="D250" i="17"/>
  <c r="D245" i="13"/>
  <c r="D243" i="12"/>
  <c r="D250" i="16"/>
  <c r="D246" i="15"/>
  <c r="C255" i="13"/>
  <c r="C260" i="16"/>
  <c r="C256" i="15"/>
  <c r="C253" i="12"/>
  <c r="C254" i="14"/>
  <c r="C239" i="12"/>
  <c r="C246" i="17"/>
  <c r="C246" i="16"/>
  <c r="C240" i="14"/>
  <c r="C242" i="15"/>
  <c r="C237" i="11"/>
  <c r="C241" i="13"/>
  <c r="D264" i="15"/>
  <c r="D262" i="13"/>
  <c r="D260" i="12"/>
  <c r="D268" i="17"/>
  <c r="D261" i="14"/>
  <c r="D268" i="16"/>
  <c r="D247" i="16"/>
  <c r="D247" i="17"/>
  <c r="D243" i="15"/>
  <c r="D240" i="12"/>
  <c r="D242" i="13"/>
  <c r="D238" i="11"/>
  <c r="D241" i="14"/>
  <c r="D166" i="8"/>
  <c r="D194" i="8"/>
  <c r="D194" i="10"/>
  <c r="D194" i="11"/>
  <c r="D195" i="12"/>
  <c r="D192" i="7"/>
  <c r="D196" i="14"/>
  <c r="D197" i="15"/>
  <c r="D197" i="13"/>
  <c r="D168" i="14"/>
  <c r="D165" i="9"/>
  <c r="D168" i="15"/>
  <c r="D167" i="11"/>
  <c r="D167" i="10"/>
  <c r="D167" i="12"/>
  <c r="D169" i="13"/>
  <c r="D42" i="17"/>
  <c r="D29" i="16"/>
  <c r="D29" i="14"/>
  <c r="D29" i="12"/>
  <c r="D29" i="13"/>
  <c r="D29" i="17"/>
  <c r="C249" i="17"/>
  <c r="C249" i="16"/>
  <c r="C245" i="15"/>
  <c r="C243" i="14"/>
  <c r="C242" i="12"/>
  <c r="C244" i="13"/>
  <c r="C240" i="11"/>
  <c r="C209" i="12"/>
  <c r="C210" i="14"/>
  <c r="C211" i="15"/>
  <c r="C211" i="13"/>
  <c r="C208" i="11"/>
  <c r="C205" i="9"/>
  <c r="C208" i="10"/>
  <c r="C249" i="14"/>
  <c r="C255" i="17"/>
  <c r="C251" i="15"/>
  <c r="C248" i="12"/>
  <c r="C250" i="13"/>
  <c r="C255" i="16"/>
  <c r="D254" i="14"/>
  <c r="D260" i="17"/>
  <c r="D255" i="13"/>
  <c r="D253" i="12"/>
  <c r="D260" i="16"/>
  <c r="D256" i="15"/>
  <c r="D240" i="14"/>
  <c r="D246" i="16"/>
  <c r="D242" i="15"/>
  <c r="D241" i="13"/>
  <c r="D239" i="12"/>
  <c r="D237" i="11"/>
  <c r="D246" i="17"/>
  <c r="D196" i="15"/>
  <c r="D195" i="14"/>
  <c r="D193" i="11"/>
  <c r="D194" i="12"/>
  <c r="D193" i="8"/>
  <c r="D197" i="17"/>
  <c r="D196" i="13"/>
  <c r="D193" i="10"/>
  <c r="D191" i="7"/>
  <c r="D166" i="11"/>
  <c r="D166" i="12"/>
  <c r="D164" i="9"/>
  <c r="D167" i="14"/>
  <c r="D167" i="15"/>
  <c r="D168" i="13"/>
  <c r="D166" i="10"/>
  <c r="D26" i="17"/>
  <c r="D25" i="17"/>
  <c r="D25" i="15"/>
  <c r="D25" i="14"/>
  <c r="D25" i="13"/>
  <c r="D25" i="16"/>
  <c r="D25" i="12"/>
  <c r="D243" i="14"/>
  <c r="D249" i="16"/>
  <c r="D245" i="15"/>
  <c r="D242" i="12"/>
  <c r="D249" i="17"/>
  <c r="D240" i="11"/>
  <c r="D244" i="13"/>
  <c r="D211" i="15"/>
  <c r="D210" i="14"/>
  <c r="D211" i="13"/>
  <c r="D208" i="10"/>
  <c r="D209" i="12"/>
  <c r="D208" i="11"/>
  <c r="D205" i="9"/>
  <c r="D205" i="7"/>
  <c r="D208" i="8"/>
  <c r="C254" i="17"/>
  <c r="C254" i="16"/>
  <c r="C247" i="12"/>
  <c r="C248" i="14"/>
  <c r="C250" i="15"/>
  <c r="C249" i="13"/>
  <c r="D251" i="15"/>
  <c r="D250" i="13"/>
  <c r="D248" i="12"/>
  <c r="D255" i="16"/>
  <c r="D255" i="17"/>
  <c r="D249" i="14"/>
  <c r="D164" i="8"/>
  <c r="D195" i="17"/>
  <c r="D191" i="8"/>
  <c r="D194" i="13"/>
  <c r="D189" i="7"/>
  <c r="D165" i="11"/>
  <c r="D165" i="10"/>
  <c r="D166" i="15"/>
  <c r="D165" i="12"/>
  <c r="D167" i="13"/>
  <c r="D166" i="14"/>
  <c r="D163" i="9"/>
  <c r="D155" i="12"/>
  <c r="D156" i="14"/>
  <c r="D156" i="15"/>
  <c r="D38" i="17"/>
  <c r="D38" i="16"/>
  <c r="C256" i="17"/>
  <c r="C251" i="13"/>
  <c r="C256" i="16"/>
  <c r="C252" i="15"/>
  <c r="C249" i="12"/>
  <c r="C250" i="14"/>
  <c r="C208" i="13"/>
  <c r="C208" i="15"/>
  <c r="C207" i="14"/>
  <c r="C202" i="9"/>
  <c r="C205" i="10"/>
  <c r="C205" i="11"/>
  <c r="C206" i="12"/>
  <c r="D194" i="7"/>
  <c r="D199" i="15"/>
  <c r="D196" i="8"/>
  <c r="D197" i="12"/>
  <c r="D198" i="14"/>
  <c r="D199" i="13"/>
  <c r="D193" i="9"/>
  <c r="D196" i="11"/>
  <c r="D196" i="10"/>
  <c r="D145" i="17"/>
  <c r="D182" i="16"/>
  <c r="C253" i="17"/>
  <c r="C253" i="16"/>
  <c r="C248" i="13"/>
  <c r="C249" i="15"/>
  <c r="C246" i="12"/>
  <c r="C247" i="14"/>
  <c r="C202" i="12"/>
  <c r="C204" i="15"/>
  <c r="C204" i="13"/>
  <c r="C201" i="10"/>
  <c r="C203" i="14"/>
  <c r="C201" i="11"/>
  <c r="D250" i="15"/>
  <c r="D247" i="12"/>
  <c r="D254" i="17"/>
  <c r="D254" i="16"/>
  <c r="D249" i="13"/>
  <c r="D248" i="14"/>
  <c r="D163" i="8"/>
  <c r="D194" i="17"/>
  <c r="D188" i="7"/>
  <c r="D165" i="14"/>
  <c r="D166" i="13"/>
  <c r="D162" i="9"/>
  <c r="D165" i="15"/>
  <c r="D164" i="12"/>
  <c r="D164" i="10"/>
  <c r="D164" i="11"/>
  <c r="D114" i="17"/>
  <c r="D251" i="13"/>
  <c r="D249" i="12"/>
  <c r="D252" i="15"/>
  <c r="D256" i="17"/>
  <c r="D256" i="16"/>
  <c r="D250" i="14"/>
  <c r="D208" i="15"/>
  <c r="D206" i="12"/>
  <c r="D208" i="13"/>
  <c r="D205" i="11"/>
  <c r="D205" i="10"/>
  <c r="D202" i="9"/>
  <c r="D207" i="14"/>
  <c r="D210" i="16"/>
  <c r="D203" i="7"/>
  <c r="D205" i="8"/>
  <c r="C269" i="16"/>
  <c r="C269" i="17"/>
  <c r="C261" i="12"/>
  <c r="C263" i="13"/>
  <c r="C262" i="14"/>
  <c r="C265" i="15"/>
  <c r="C252" i="17"/>
  <c r="C245" i="12"/>
  <c r="C247" i="13"/>
  <c r="C248" i="15"/>
  <c r="C246" i="14"/>
  <c r="C252" i="16"/>
  <c r="D253" i="16"/>
  <c r="D246" i="12"/>
  <c r="D249" i="15"/>
  <c r="D247" i="14"/>
  <c r="D253" i="17"/>
  <c r="D248" i="13"/>
  <c r="D203" i="14"/>
  <c r="D202" i="12"/>
  <c r="D204" i="15"/>
  <c r="D204" i="13"/>
  <c r="D201" i="11"/>
  <c r="D201" i="10"/>
  <c r="D199" i="7"/>
  <c r="D201" i="8"/>
  <c r="D164" i="14"/>
  <c r="D165" i="13"/>
  <c r="D163" i="10"/>
  <c r="D163" i="12"/>
  <c r="D164" i="15"/>
  <c r="D163" i="11"/>
  <c r="D155" i="13"/>
  <c r="D154" i="14"/>
  <c r="D154" i="15"/>
  <c r="D153" i="12"/>
  <c r="D21" i="17"/>
  <c r="C257" i="16"/>
  <c r="C251" i="14"/>
  <c r="C250" i="12"/>
  <c r="C252" i="13"/>
  <c r="C257" i="17"/>
  <c r="C253" i="15"/>
  <c r="C208" i="14"/>
  <c r="C209" i="15"/>
  <c r="C209" i="13"/>
  <c r="C206" i="11"/>
  <c r="C206" i="10"/>
  <c r="C207" i="12"/>
  <c r="C203" i="9"/>
  <c r="C260" i="17"/>
  <c r="D74" i="17"/>
  <c r="D36" i="16"/>
  <c r="D36" i="17"/>
  <c r="B43" i="17"/>
  <c r="B32" i="17"/>
  <c r="D43" i="17"/>
  <c r="D44" i="17"/>
  <c r="B97" i="17"/>
  <c r="B104" i="17"/>
  <c r="B74" i="17"/>
  <c r="D26" i="15"/>
  <c r="D26" i="16"/>
  <c r="D23" i="15"/>
  <c r="D23" i="16"/>
  <c r="D41" i="17"/>
  <c r="D39" i="13"/>
  <c r="D39" i="11"/>
  <c r="D39" i="12"/>
  <c r="D39" i="15"/>
  <c r="D36" i="13"/>
  <c r="D36" i="12"/>
  <c r="D36" i="10"/>
  <c r="D106" i="14"/>
  <c r="D193" i="2"/>
  <c r="D196" i="2"/>
  <c r="D195" i="2"/>
  <c r="D198" i="2"/>
  <c r="B168" i="2"/>
  <c r="D105" i="13"/>
  <c r="D194" i="2"/>
  <c r="D197" i="2"/>
  <c r="D112" i="17"/>
  <c r="D104" i="10"/>
  <c r="D189" i="2"/>
  <c r="D32" i="17"/>
  <c r="D29" i="15"/>
  <c r="D31" i="17"/>
  <c r="D28" i="15"/>
  <c r="D105" i="11"/>
  <c r="D106" i="15"/>
  <c r="D35" i="17"/>
  <c r="D36" i="15"/>
  <c r="D34" i="17"/>
  <c r="D36" i="14"/>
  <c r="D26" i="12"/>
  <c r="D26" i="13"/>
  <c r="D26" i="14"/>
  <c r="D23" i="14"/>
  <c r="D23" i="13"/>
  <c r="D23" i="11"/>
  <c r="D23" i="12"/>
  <c r="D25" i="11"/>
  <c r="D26" i="11"/>
  <c r="B167" i="2"/>
  <c r="D30" i="17"/>
  <c r="D29" i="11"/>
  <c r="D37" i="17"/>
  <c r="D36" i="11"/>
  <c r="D170" i="2"/>
  <c r="D191" i="2"/>
  <c r="D188" i="2"/>
  <c r="D27" i="17"/>
  <c r="D26" i="10"/>
  <c r="D39" i="17"/>
  <c r="D38" i="10"/>
  <c r="D24" i="17"/>
  <c r="D23" i="10"/>
  <c r="D190" i="2"/>
  <c r="D187" i="2"/>
  <c r="B171" i="2"/>
  <c r="D167" i="2"/>
  <c r="D214" i="8"/>
  <c r="B216" i="8"/>
  <c r="D211" i="8"/>
  <c r="D177" i="17"/>
  <c r="D192" i="2"/>
  <c r="B228" i="8"/>
  <c r="B215" i="8"/>
  <c r="D215" i="8"/>
  <c r="D228" i="8"/>
  <c r="D210" i="8"/>
  <c r="D209" i="8"/>
  <c r="D218" i="8"/>
  <c r="B211" i="8"/>
  <c r="B217" i="8"/>
  <c r="D217" i="8"/>
  <c r="B219" i="8"/>
  <c r="B210" i="8"/>
  <c r="B209" i="8"/>
  <c r="B30" i="17"/>
  <c r="B27" i="17"/>
  <c r="B194" i="7"/>
  <c r="B195" i="8"/>
  <c r="B208" i="8"/>
  <c r="B219" i="2"/>
  <c r="B205" i="7"/>
  <c r="B197" i="7"/>
  <c r="B200" i="7"/>
  <c r="B191" i="7"/>
  <c r="B188" i="2"/>
  <c r="B201" i="8"/>
  <c r="B200" i="8"/>
  <c r="B191" i="2"/>
  <c r="B194" i="2"/>
  <c r="B188" i="7"/>
  <c r="B190" i="2"/>
  <c r="B223" i="8"/>
  <c r="B192" i="7"/>
  <c r="B197" i="8"/>
  <c r="B203" i="8"/>
  <c r="B193" i="2"/>
  <c r="B201" i="2"/>
  <c r="B195" i="2"/>
  <c r="B190" i="7"/>
  <c r="B189" i="7"/>
  <c r="B170" i="2"/>
  <c r="B199" i="2"/>
  <c r="B206" i="8"/>
  <c r="B204" i="8"/>
  <c r="B199" i="7"/>
  <c r="B207" i="7"/>
  <c r="B201" i="7"/>
  <c r="B202" i="7"/>
  <c r="B187" i="2"/>
  <c r="B189" i="2"/>
  <c r="B193" i="7"/>
  <c r="B202" i="8"/>
  <c r="B224" i="8"/>
  <c r="B196" i="7"/>
  <c r="B223" i="7"/>
  <c r="B192" i="2"/>
  <c r="B200" i="2"/>
  <c r="B196" i="2"/>
  <c r="B203" i="7"/>
  <c r="B198" i="2"/>
  <c r="B195" i="7"/>
  <c r="B199" i="8"/>
  <c r="B196" i="8"/>
  <c r="B224" i="7"/>
  <c r="B198" i="7"/>
  <c r="B206" i="7"/>
  <c r="B197" i="2"/>
  <c r="B204" i="7"/>
  <c r="B198" i="8"/>
  <c r="B207" i="8"/>
  <c r="B218" i="2"/>
  <c r="B205" i="8"/>
  <c r="B222" i="7"/>
  <c r="B225" i="8"/>
  <c r="B226" i="8"/>
  <c r="B227" i="8"/>
  <c r="B35" i="17"/>
  <c r="B22" i="17"/>
  <c r="D220" i="8"/>
  <c r="D216" i="2"/>
  <c r="D168" i="8"/>
  <c r="D168" i="2"/>
  <c r="D221" i="8"/>
  <c r="D217" i="2"/>
  <c r="D222" i="8"/>
  <c r="B213" i="8"/>
  <c r="B214" i="8"/>
  <c r="D165" i="8"/>
  <c r="D212" i="8"/>
  <c r="B221" i="8"/>
  <c r="B222" i="8"/>
  <c r="B217" i="2"/>
  <c r="B212" i="8"/>
  <c r="B220" i="8"/>
  <c r="B216" i="2"/>
  <c r="D219" i="8"/>
  <c r="D216" i="8"/>
  <c r="D169" i="2"/>
  <c r="D171" i="2"/>
  <c r="D162" i="8"/>
  <c r="B218" i="8"/>
  <c r="D23" i="2"/>
  <c r="D213" i="8"/>
  <c r="D220" i="7"/>
  <c r="D214" i="2"/>
  <c r="D215" i="2"/>
  <c r="D221" i="7"/>
  <c r="B215" i="2"/>
  <c r="B221" i="7"/>
  <c r="B214" i="2"/>
  <c r="B220" i="7"/>
  <c r="B15" i="2"/>
  <c r="B29" i="17"/>
  <c r="B191" i="17"/>
  <c r="B198" i="15"/>
  <c r="B197" i="15"/>
  <c r="B29" i="14"/>
  <c r="B172" i="15"/>
  <c r="B23" i="16"/>
  <c r="B165" i="10"/>
  <c r="B196" i="12"/>
  <c r="B164" i="9"/>
  <c r="B23" i="17"/>
  <c r="B106" i="15"/>
  <c r="B170" i="15"/>
  <c r="B181" i="16"/>
  <c r="B165" i="14"/>
  <c r="B29" i="16"/>
  <c r="B194" i="8"/>
  <c r="B166" i="15"/>
  <c r="B23" i="15"/>
  <c r="B168" i="14"/>
  <c r="B39" i="14"/>
  <c r="B28" i="14"/>
  <c r="B169" i="14"/>
  <c r="B153" i="13"/>
  <c r="B196" i="14"/>
  <c r="B26" i="10"/>
  <c r="B192" i="17"/>
  <c r="B185" i="17"/>
  <c r="B175" i="16"/>
  <c r="B171" i="14"/>
  <c r="B154" i="15"/>
  <c r="B165" i="15"/>
  <c r="B29" i="15"/>
  <c r="B156" i="14"/>
  <c r="B199" i="15"/>
  <c r="B26" i="15"/>
  <c r="B168" i="15"/>
  <c r="B162" i="15"/>
  <c r="B39" i="13"/>
  <c r="B28" i="13"/>
  <c r="B194" i="13"/>
  <c r="B183" i="17"/>
  <c r="B195" i="17"/>
  <c r="B187" i="17"/>
  <c r="B182" i="17"/>
  <c r="B196" i="17"/>
  <c r="B176" i="16"/>
  <c r="B183" i="16"/>
  <c r="B172" i="16"/>
  <c r="B177" i="16"/>
  <c r="B156" i="15"/>
  <c r="B197" i="12"/>
  <c r="B106" i="14"/>
  <c r="B162" i="14"/>
  <c r="B167" i="13"/>
  <c r="B169" i="12"/>
  <c r="B171" i="12"/>
  <c r="B164" i="12"/>
  <c r="B28" i="10"/>
  <c r="B170" i="12"/>
  <c r="B162" i="10"/>
  <c r="B167" i="10"/>
  <c r="B165" i="8"/>
  <c r="B184" i="17"/>
  <c r="B173" i="15"/>
  <c r="B171" i="15"/>
  <c r="B174" i="16"/>
  <c r="B198" i="14"/>
  <c r="B105" i="13"/>
  <c r="B197" i="14"/>
  <c r="B161" i="13"/>
  <c r="B170" i="14"/>
  <c r="B28" i="12"/>
  <c r="B163" i="12"/>
  <c r="B165" i="12"/>
  <c r="B167" i="9"/>
  <c r="B28" i="17"/>
  <c r="B193" i="17"/>
  <c r="B179" i="16"/>
  <c r="B170" i="13"/>
  <c r="B168" i="9"/>
  <c r="B164" i="10"/>
  <c r="B44" i="17"/>
  <c r="B189" i="17"/>
  <c r="B186" i="17"/>
  <c r="B38" i="16"/>
  <c r="B210" i="16"/>
  <c r="B153" i="12"/>
  <c r="B28" i="16"/>
  <c r="B40" i="16"/>
  <c r="B168" i="13"/>
  <c r="B197" i="17"/>
  <c r="B194" i="17"/>
  <c r="B209" i="16"/>
  <c r="B26" i="16"/>
  <c r="B38" i="17"/>
  <c r="B28" i="15"/>
  <c r="B178" i="16"/>
  <c r="B196" i="13"/>
  <c r="B39" i="15"/>
  <c r="B163" i="13"/>
  <c r="B169" i="15"/>
  <c r="B40" i="17"/>
  <c r="B190" i="17"/>
  <c r="B180" i="17"/>
  <c r="B26" i="17"/>
  <c r="B188" i="17"/>
  <c r="B180" i="16"/>
  <c r="B182" i="16"/>
  <c r="B195" i="13"/>
  <c r="B167" i="15"/>
  <c r="B172" i="14"/>
  <c r="B29" i="13"/>
  <c r="B164" i="15"/>
  <c r="B196" i="15"/>
  <c r="B165" i="13"/>
  <c r="B23" i="13"/>
  <c r="B195" i="14"/>
  <c r="B155" i="13"/>
  <c r="B29" i="12"/>
  <c r="B169" i="10"/>
  <c r="B104" i="10"/>
  <c r="B193" i="10"/>
  <c r="B168" i="8"/>
  <c r="B166" i="10"/>
  <c r="B193" i="8"/>
  <c r="B163" i="8"/>
  <c r="B164" i="13"/>
  <c r="B154" i="14"/>
  <c r="B38" i="10"/>
  <c r="B105" i="12"/>
  <c r="B168" i="10"/>
  <c r="B164" i="8"/>
  <c r="B39" i="12"/>
  <c r="B192" i="10"/>
  <c r="B166" i="12"/>
  <c r="B23" i="14"/>
  <c r="B29" i="10"/>
  <c r="B161" i="12"/>
  <c r="B191" i="8"/>
  <c r="B163" i="9"/>
  <c r="B192" i="8"/>
  <c r="B167" i="14"/>
  <c r="B26" i="12"/>
  <c r="B163" i="10"/>
  <c r="B164" i="14"/>
  <c r="B155" i="12"/>
  <c r="B166" i="8"/>
  <c r="B162" i="8"/>
  <c r="B165" i="9"/>
  <c r="B161" i="10"/>
  <c r="B197" i="13"/>
  <c r="B26" i="14"/>
  <c r="B167" i="12"/>
  <c r="B168" i="12"/>
  <c r="B194" i="10"/>
  <c r="B167" i="8"/>
  <c r="B192" i="9"/>
  <c r="B26" i="13"/>
  <c r="B171" i="13"/>
  <c r="B23" i="10"/>
  <c r="B166" i="9"/>
  <c r="B166" i="14"/>
  <c r="B194" i="12"/>
  <c r="B169" i="13"/>
  <c r="B166" i="13"/>
  <c r="B23" i="12"/>
  <c r="B195" i="12"/>
  <c r="B169" i="9"/>
  <c r="B162" i="9"/>
  <c r="B25" i="15"/>
  <c r="B25" i="10"/>
  <c r="B25" i="17"/>
  <c r="B25" i="12"/>
  <c r="B25" i="14"/>
  <c r="B25" i="13"/>
  <c r="B25" i="16"/>
  <c r="B216" i="17"/>
  <c r="B200" i="15"/>
  <c r="B198" i="12"/>
  <c r="B194" i="9"/>
  <c r="B193" i="9"/>
  <c r="B36" i="16"/>
  <c r="B36" i="14"/>
  <c r="B200" i="14"/>
  <c r="B36" i="15"/>
  <c r="B36" i="13"/>
  <c r="B199" i="13"/>
  <c r="B36" i="17"/>
  <c r="B207" i="16"/>
  <c r="B199" i="14"/>
  <c r="B196" i="10"/>
  <c r="B212" i="16"/>
  <c r="B198" i="13"/>
  <c r="B199" i="12"/>
  <c r="B201" i="15"/>
  <c r="B36" i="10"/>
  <c r="B211" i="16"/>
  <c r="B36" i="12"/>
  <c r="B195" i="10"/>
  <c r="D212" i="2"/>
  <c r="D218" i="7"/>
  <c r="B215" i="7"/>
  <c r="B209" i="2"/>
  <c r="B167" i="17"/>
  <c r="B166" i="2"/>
  <c r="D212" i="7"/>
  <c r="D206" i="2"/>
  <c r="D167" i="17"/>
  <c r="D166" i="2"/>
  <c r="B208" i="2"/>
  <c r="B214" i="7"/>
  <c r="B165" i="2"/>
  <c r="B167" i="7"/>
  <c r="B202" i="2"/>
  <c r="B208" i="7"/>
  <c r="D204" i="2"/>
  <c r="D210" i="7"/>
  <c r="D166" i="17"/>
  <c r="D167" i="7"/>
  <c r="D165" i="2"/>
  <c r="D219" i="7"/>
  <c r="D213" i="2"/>
  <c r="B213" i="7"/>
  <c r="B207" i="2"/>
  <c r="B164" i="2"/>
  <c r="B166" i="7"/>
  <c r="D203" i="2"/>
  <c r="D209" i="7"/>
  <c r="D164" i="2"/>
  <c r="D166" i="7"/>
  <c r="B212" i="7"/>
  <c r="B206" i="2"/>
  <c r="B158" i="17"/>
  <c r="B163" i="2"/>
  <c r="B165" i="7"/>
  <c r="D208" i="7"/>
  <c r="D202" i="2"/>
  <c r="D163" i="2"/>
  <c r="D165" i="7"/>
  <c r="D205" i="2"/>
  <c r="D211" i="7"/>
  <c r="B213" i="2"/>
  <c r="B219" i="7"/>
  <c r="B211" i="7"/>
  <c r="B205" i="2"/>
  <c r="B164" i="7"/>
  <c r="B162" i="2"/>
  <c r="D214" i="7"/>
  <c r="D208" i="2"/>
  <c r="D160" i="2"/>
  <c r="D162" i="7"/>
  <c r="B212" i="17"/>
  <c r="B216" i="7"/>
  <c r="B210" i="2"/>
  <c r="D216" i="7"/>
  <c r="D210" i="2"/>
  <c r="D164" i="7"/>
  <c r="D162" i="2"/>
  <c r="B218" i="7"/>
  <c r="B212" i="2"/>
  <c r="B210" i="7"/>
  <c r="B204" i="2"/>
  <c r="B156" i="17"/>
  <c r="B161" i="2"/>
  <c r="B163" i="7"/>
  <c r="D207" i="2"/>
  <c r="D213" i="7"/>
  <c r="D215" i="7"/>
  <c r="D209" i="2"/>
  <c r="D161" i="2"/>
  <c r="D163" i="7"/>
  <c r="D213" i="17"/>
  <c r="D217" i="7"/>
  <c r="D211" i="2"/>
  <c r="B213" i="17"/>
  <c r="B211" i="2"/>
  <c r="B217" i="7"/>
  <c r="B203" i="2"/>
  <c r="B209" i="7"/>
  <c r="B164" i="17"/>
  <c r="B169" i="2"/>
  <c r="B162" i="7"/>
  <c r="B160" i="2"/>
  <c r="D168" i="17"/>
  <c r="B145" i="17"/>
  <c r="B61" i="17"/>
  <c r="D99" i="17"/>
  <c r="D89" i="17"/>
  <c r="D148" i="17"/>
  <c r="D57" i="17"/>
  <c r="B155" i="17"/>
  <c r="B101" i="17"/>
  <c r="D202" i="17"/>
  <c r="D172" i="7"/>
  <c r="D178" i="15"/>
  <c r="D175" i="11"/>
  <c r="D174" i="10"/>
  <c r="D176" i="13"/>
  <c r="D176" i="12"/>
  <c r="D174" i="9"/>
  <c r="D177" i="14"/>
  <c r="D173" i="8"/>
  <c r="D122" i="17"/>
  <c r="D104" i="13"/>
  <c r="D104" i="11"/>
  <c r="D105" i="15"/>
  <c r="D105" i="14"/>
  <c r="D104" i="12"/>
  <c r="D103" i="10"/>
  <c r="D84" i="17"/>
  <c r="D83" i="17"/>
  <c r="B179" i="12"/>
  <c r="B180" i="14"/>
  <c r="B179" i="13"/>
  <c r="B181" i="15"/>
  <c r="B155" i="15"/>
  <c r="B155" i="14"/>
  <c r="B152" i="10"/>
  <c r="B154" i="13"/>
  <c r="B174" i="17"/>
  <c r="B154" i="12"/>
  <c r="B122" i="17"/>
  <c r="B105" i="14"/>
  <c r="B104" i="13"/>
  <c r="B104" i="12"/>
  <c r="B105" i="15"/>
  <c r="B103" i="10"/>
  <c r="D170" i="7"/>
  <c r="D175" i="14"/>
  <c r="D171" i="8"/>
  <c r="D174" i="13"/>
  <c r="D172" i="9"/>
  <c r="D173" i="11"/>
  <c r="D172" i="10"/>
  <c r="D176" i="15"/>
  <c r="D174" i="12"/>
  <c r="D134" i="14"/>
  <c r="D133" i="13"/>
  <c r="D134" i="15"/>
  <c r="D132" i="10"/>
  <c r="D133" i="12"/>
  <c r="D133" i="11"/>
  <c r="D112" i="13"/>
  <c r="D112" i="12"/>
  <c r="D113" i="14"/>
  <c r="D112" i="11"/>
  <c r="D111" i="10"/>
  <c r="D113" i="15"/>
  <c r="D121" i="17"/>
  <c r="D61" i="17"/>
  <c r="D92" i="14"/>
  <c r="D92" i="15"/>
  <c r="B176" i="10"/>
  <c r="B179" i="14"/>
  <c r="B180" i="15"/>
  <c r="B178" i="13"/>
  <c r="B178" i="12"/>
  <c r="B132" i="10"/>
  <c r="B133" i="12"/>
  <c r="B134" i="15"/>
  <c r="B134" i="14"/>
  <c r="B133" i="13"/>
  <c r="B113" i="14"/>
  <c r="B111" i="10"/>
  <c r="B112" i="12"/>
  <c r="B112" i="13"/>
  <c r="B113" i="15"/>
  <c r="B77" i="14"/>
  <c r="B77" i="13"/>
  <c r="B76" i="10"/>
  <c r="B77" i="12"/>
  <c r="B77" i="15"/>
  <c r="B60" i="17"/>
  <c r="D218" i="17"/>
  <c r="D194" i="15"/>
  <c r="D192" i="13"/>
  <c r="D192" i="12"/>
  <c r="D193" i="14"/>
  <c r="D205" i="16"/>
  <c r="D199" i="17"/>
  <c r="D175" i="15"/>
  <c r="D171" i="10"/>
  <c r="D173" i="13"/>
  <c r="D173" i="12"/>
  <c r="D174" i="14"/>
  <c r="D171" i="9"/>
  <c r="D169" i="7"/>
  <c r="D172" i="11"/>
  <c r="D170" i="8"/>
  <c r="D151" i="17"/>
  <c r="D132" i="13"/>
  <c r="D131" i="10"/>
  <c r="D132" i="11"/>
  <c r="D132" i="12"/>
  <c r="D133" i="15"/>
  <c r="D133" i="14"/>
  <c r="D120" i="13"/>
  <c r="D119" i="10"/>
  <c r="D120" i="12"/>
  <c r="D120" i="11"/>
  <c r="D121" i="15"/>
  <c r="D121" i="14"/>
  <c r="D129" i="17"/>
  <c r="D120" i="17"/>
  <c r="D100" i="17"/>
  <c r="D90" i="17"/>
  <c r="D77" i="15"/>
  <c r="D77" i="14"/>
  <c r="D76" i="10"/>
  <c r="D77" i="12"/>
  <c r="D77" i="13"/>
  <c r="D77" i="11"/>
  <c r="D60" i="17"/>
  <c r="B218" i="17"/>
  <c r="B192" i="12"/>
  <c r="B205" i="16"/>
  <c r="B193" i="14"/>
  <c r="B194" i="15"/>
  <c r="B192" i="13"/>
  <c r="B203" i="17"/>
  <c r="B179" i="15"/>
  <c r="B175" i="10"/>
  <c r="B177" i="12"/>
  <c r="B178" i="14"/>
  <c r="B177" i="13"/>
  <c r="B151" i="17"/>
  <c r="B133" i="14"/>
  <c r="B131" i="10"/>
  <c r="B132" i="13"/>
  <c r="B133" i="15"/>
  <c r="B132" i="12"/>
  <c r="B120" i="13"/>
  <c r="B119" i="10"/>
  <c r="B121" i="15"/>
  <c r="B120" i="12"/>
  <c r="B121" i="14"/>
  <c r="B129" i="17"/>
  <c r="B120" i="17"/>
  <c r="B92" i="15"/>
  <c r="B92" i="14"/>
  <c r="B89" i="17"/>
  <c r="B80" i="17"/>
  <c r="B51" i="17"/>
  <c r="B44" i="16"/>
  <c r="B43" i="15"/>
  <c r="B43" i="14"/>
  <c r="B43" i="13"/>
  <c r="B42" i="10"/>
  <c r="B43" i="12"/>
  <c r="D198" i="17"/>
  <c r="D174" i="15"/>
  <c r="D172" i="12"/>
  <c r="D171" i="11"/>
  <c r="D170" i="10"/>
  <c r="D173" i="14"/>
  <c r="D168" i="7"/>
  <c r="D170" i="9"/>
  <c r="D172" i="13"/>
  <c r="D169" i="8"/>
  <c r="D150" i="17"/>
  <c r="D130" i="10"/>
  <c r="D131" i="13"/>
  <c r="D131" i="12"/>
  <c r="D131" i="11"/>
  <c r="D132" i="14"/>
  <c r="D132" i="15"/>
  <c r="D43" i="13"/>
  <c r="D43" i="15"/>
  <c r="D42" i="10"/>
  <c r="D44" i="16"/>
  <c r="D43" i="12"/>
  <c r="D43" i="14"/>
  <c r="D43" i="11"/>
  <c r="D201" i="17"/>
  <c r="D176" i="14"/>
  <c r="D175" i="13"/>
  <c r="D173" i="10"/>
  <c r="D177" i="15"/>
  <c r="D173" i="9"/>
  <c r="D172" i="8"/>
  <c r="D174" i="11"/>
  <c r="D171" i="7"/>
  <c r="D175" i="12"/>
  <c r="B202" i="17"/>
  <c r="B177" i="14"/>
  <c r="B176" i="12"/>
  <c r="B176" i="13"/>
  <c r="B178" i="15"/>
  <c r="B173" i="8"/>
  <c r="B174" i="9"/>
  <c r="B172" i="7"/>
  <c r="B174" i="10"/>
  <c r="B150" i="17"/>
  <c r="B131" i="13"/>
  <c r="B131" i="12"/>
  <c r="B132" i="15"/>
  <c r="B132" i="14"/>
  <c r="B130" i="10"/>
  <c r="D155" i="14"/>
  <c r="D154" i="12"/>
  <c r="D153" i="11"/>
  <c r="D155" i="15"/>
  <c r="D174" i="17"/>
  <c r="D154" i="13"/>
  <c r="D152" i="10"/>
  <c r="D149" i="17"/>
  <c r="D130" i="11"/>
  <c r="D131" i="15"/>
  <c r="D129" i="10"/>
  <c r="D130" i="12"/>
  <c r="D130" i="13"/>
  <c r="D131" i="14"/>
  <c r="D118" i="17"/>
  <c r="D117" i="17"/>
  <c r="B201" i="17"/>
  <c r="B175" i="12"/>
  <c r="B177" i="15"/>
  <c r="B176" i="14"/>
  <c r="B173" i="9"/>
  <c r="B171" i="7"/>
  <c r="B172" i="8"/>
  <c r="B173" i="10"/>
  <c r="B175" i="13"/>
  <c r="B149" i="17"/>
  <c r="B129" i="10"/>
  <c r="B130" i="13"/>
  <c r="B130" i="12"/>
  <c r="B131" i="14"/>
  <c r="B131" i="15"/>
  <c r="B127" i="17"/>
  <c r="B118" i="17"/>
  <c r="B117" i="17"/>
  <c r="B67" i="17"/>
  <c r="B57" i="17"/>
  <c r="B49" i="17"/>
  <c r="D181" i="15"/>
  <c r="D180" i="14"/>
  <c r="D179" i="12"/>
  <c r="D179" i="13"/>
  <c r="D49" i="17"/>
  <c r="D81" i="15"/>
  <c r="D81" i="11"/>
  <c r="D81" i="13"/>
  <c r="D81" i="14"/>
  <c r="D80" i="10"/>
  <c r="D81" i="12"/>
  <c r="B200" i="17"/>
  <c r="B175" i="14"/>
  <c r="B171" i="8"/>
  <c r="B174" i="12"/>
  <c r="B174" i="13"/>
  <c r="B170" i="7"/>
  <c r="B176" i="15"/>
  <c r="B172" i="9"/>
  <c r="B172" i="10"/>
  <c r="B94" i="17"/>
  <c r="B81" i="13"/>
  <c r="B81" i="15"/>
  <c r="B81" i="14"/>
  <c r="B80" i="10"/>
  <c r="B81" i="12"/>
  <c r="B64" i="14"/>
  <c r="B65" i="16"/>
  <c r="B64" i="13"/>
  <c r="B63" i="10"/>
  <c r="B64" i="15"/>
  <c r="B64" i="12"/>
  <c r="D178" i="13"/>
  <c r="D177" i="11"/>
  <c r="D176" i="10"/>
  <c r="D180" i="15"/>
  <c r="D178" i="12"/>
  <c r="D179" i="14"/>
  <c r="D147" i="17"/>
  <c r="D129" i="14"/>
  <c r="D128" i="11"/>
  <c r="D128" i="13"/>
  <c r="D129" i="15"/>
  <c r="D127" i="10"/>
  <c r="D128" i="12"/>
  <c r="D64" i="12"/>
  <c r="D64" i="11"/>
  <c r="D64" i="13"/>
  <c r="D64" i="14"/>
  <c r="D63" i="10"/>
  <c r="D65" i="16"/>
  <c r="D64" i="15"/>
  <c r="B199" i="17"/>
  <c r="B173" i="12"/>
  <c r="B171" i="10"/>
  <c r="B174" i="14"/>
  <c r="B171" i="9"/>
  <c r="B170" i="8"/>
  <c r="B173" i="13"/>
  <c r="B175" i="15"/>
  <c r="B169" i="7"/>
  <c r="B147" i="17"/>
  <c r="B127" i="10"/>
  <c r="B128" i="12"/>
  <c r="B129" i="14"/>
  <c r="B129" i="15"/>
  <c r="B128" i="13"/>
  <c r="B85" i="17"/>
  <c r="B78" i="16"/>
  <c r="B63" i="15"/>
  <c r="B63" i="12"/>
  <c r="B63" i="14"/>
  <c r="B63" i="13"/>
  <c r="B64" i="16"/>
  <c r="B62" i="10"/>
  <c r="B46" i="10"/>
  <c r="B48" i="16"/>
  <c r="B47" i="12"/>
  <c r="B47" i="14"/>
  <c r="B47" i="15"/>
  <c r="B47" i="13"/>
  <c r="D203" i="17"/>
  <c r="D177" i="13"/>
  <c r="D177" i="12"/>
  <c r="D176" i="11"/>
  <c r="D175" i="10"/>
  <c r="D178" i="14"/>
  <c r="D179" i="15"/>
  <c r="D123" i="17"/>
  <c r="D107" i="15"/>
  <c r="D105" i="10"/>
  <c r="D106" i="11"/>
  <c r="D106" i="12"/>
  <c r="D107" i="14"/>
  <c r="D106" i="13"/>
  <c r="D95" i="17"/>
  <c r="D85" i="17"/>
  <c r="D78" i="16"/>
  <c r="D63" i="11"/>
  <c r="D62" i="10"/>
  <c r="D63" i="14"/>
  <c r="D63" i="13"/>
  <c r="D63" i="12"/>
  <c r="D64" i="16"/>
  <c r="D63" i="15"/>
  <c r="D47" i="14"/>
  <c r="D47" i="11"/>
  <c r="D48" i="16"/>
  <c r="D47" i="13"/>
  <c r="D47" i="15"/>
  <c r="D46" i="10"/>
  <c r="D47" i="12"/>
  <c r="D104" i="17"/>
  <c r="B172" i="13"/>
  <c r="B169" i="8"/>
  <c r="B168" i="7"/>
  <c r="B173" i="14"/>
  <c r="B172" i="12"/>
  <c r="B170" i="10"/>
  <c r="B174" i="15"/>
  <c r="B170" i="9"/>
  <c r="B124" i="17"/>
  <c r="B106" i="13"/>
  <c r="B123" i="17"/>
  <c r="B107" i="14"/>
  <c r="B107" i="15"/>
  <c r="B105" i="10"/>
  <c r="B106" i="12"/>
  <c r="B84" i="17"/>
  <c r="B83" i="17"/>
  <c r="D52" i="17"/>
  <c r="B50" i="17"/>
  <c r="D156" i="17"/>
  <c r="D164" i="17"/>
  <c r="D155" i="17"/>
  <c r="D86" i="17"/>
  <c r="D56" i="17"/>
  <c r="D158" i="17"/>
  <c r="D97" i="17"/>
  <c r="D67" i="17"/>
  <c r="D54" i="17"/>
  <c r="B96" i="17"/>
  <c r="D127" i="17"/>
  <c r="D88" i="17"/>
  <c r="D126" i="17"/>
  <c r="B126" i="17"/>
  <c r="B86" i="17"/>
  <c r="B55" i="17"/>
  <c r="B46" i="17"/>
  <c r="D152" i="17"/>
  <c r="D130" i="17"/>
  <c r="D101" i="17"/>
  <c r="D91" i="17"/>
  <c r="D159" i="17"/>
  <c r="D165" i="17"/>
  <c r="D138" i="17"/>
  <c r="D144" i="17"/>
  <c r="D81" i="17"/>
  <c r="D87" i="17"/>
  <c r="B172" i="17"/>
  <c r="B178" i="17"/>
  <c r="B159" i="17"/>
  <c r="B165" i="17"/>
  <c r="B138" i="17"/>
  <c r="B144" i="17"/>
  <c r="B105" i="17"/>
  <c r="B111" i="17"/>
  <c r="B69" i="17"/>
  <c r="B75" i="17"/>
  <c r="B59" i="17"/>
  <c r="B65" i="17"/>
  <c r="D211" i="17"/>
  <c r="D217" i="17"/>
  <c r="D137" i="17"/>
  <c r="D143" i="17"/>
  <c r="D128" i="17"/>
  <c r="D80" i="17"/>
  <c r="D69" i="17"/>
  <c r="D75" i="17"/>
  <c r="D59" i="17"/>
  <c r="D65" i="17"/>
  <c r="D51" i="17"/>
  <c r="D109" i="17"/>
  <c r="D115" i="17"/>
  <c r="D172" i="17"/>
  <c r="D178" i="17"/>
  <c r="B211" i="17"/>
  <c r="B217" i="17"/>
  <c r="B137" i="17"/>
  <c r="B143" i="17"/>
  <c r="B128" i="17"/>
  <c r="B88" i="17"/>
  <c r="B68" i="17"/>
  <c r="B58" i="17"/>
  <c r="B64" i="17"/>
  <c r="D206" i="17"/>
  <c r="D212" i="17"/>
  <c r="D175" i="17"/>
  <c r="D181" i="17"/>
  <c r="D157" i="17"/>
  <c r="D163" i="17"/>
  <c r="D136" i="17"/>
  <c r="D142" i="17"/>
  <c r="D68" i="17"/>
  <c r="D58" i="17"/>
  <c r="D64" i="17"/>
  <c r="D50" i="17"/>
  <c r="B209" i="17"/>
  <c r="B215" i="17"/>
  <c r="B170" i="17"/>
  <c r="B176" i="17"/>
  <c r="B157" i="17"/>
  <c r="B163" i="17"/>
  <c r="B136" i="17"/>
  <c r="B142" i="17"/>
  <c r="B103" i="17"/>
  <c r="B95" i="17"/>
  <c r="B73" i="17"/>
  <c r="B79" i="17"/>
  <c r="D173" i="17"/>
  <c r="D179" i="17"/>
  <c r="D135" i="17"/>
  <c r="D141" i="17"/>
  <c r="D73" i="17"/>
  <c r="D79" i="17"/>
  <c r="D110" i="17"/>
  <c r="D116" i="17"/>
  <c r="D94" i="17"/>
  <c r="B208" i="17"/>
  <c r="B214" i="17"/>
  <c r="B135" i="17"/>
  <c r="B141" i="17"/>
  <c r="B110" i="17"/>
  <c r="B116" i="17"/>
  <c r="B72" i="17"/>
  <c r="B78" i="17"/>
  <c r="B47" i="17"/>
  <c r="B48" i="17"/>
  <c r="D204" i="17"/>
  <c r="D210" i="17"/>
  <c r="D125" i="17"/>
  <c r="D131" i="17"/>
  <c r="D96" i="17"/>
  <c r="D72" i="17"/>
  <c r="D78" i="17"/>
  <c r="D66" i="17"/>
  <c r="D47" i="17"/>
  <c r="D48" i="17"/>
  <c r="B125" i="17"/>
  <c r="B131" i="17"/>
  <c r="B109" i="17"/>
  <c r="B115" i="17"/>
  <c r="B71" i="17"/>
  <c r="B77" i="17"/>
  <c r="D154" i="17"/>
  <c r="D146" i="17"/>
  <c r="D133" i="17"/>
  <c r="D139" i="17"/>
  <c r="D124" i="17"/>
  <c r="D103" i="17"/>
  <c r="D71" i="17"/>
  <c r="D77" i="17"/>
  <c r="D63" i="17"/>
  <c r="D55" i="17"/>
  <c r="D46" i="17"/>
  <c r="D208" i="17"/>
  <c r="D214" i="17"/>
  <c r="D170" i="17"/>
  <c r="D176" i="17"/>
  <c r="B162" i="17"/>
  <c r="B168" i="17"/>
  <c r="B154" i="17"/>
  <c r="B133" i="17"/>
  <c r="B139" i="17"/>
  <c r="B100" i="17"/>
  <c r="B92" i="17"/>
  <c r="B98" i="17"/>
  <c r="B70" i="17"/>
  <c r="B76" i="17"/>
  <c r="B62" i="17"/>
  <c r="D153" i="17"/>
  <c r="D132" i="17"/>
  <c r="D102" i="17"/>
  <c r="D92" i="17"/>
  <c r="D98" i="17"/>
  <c r="D70" i="17"/>
  <c r="D76" i="17"/>
  <c r="D62" i="17"/>
  <c r="B175" i="17"/>
  <c r="B181" i="17"/>
  <c r="B153" i="17"/>
  <c r="B132" i="17"/>
  <c r="B99" i="17"/>
  <c r="B91" i="17"/>
  <c r="D53" i="17"/>
  <c r="D209" i="17"/>
  <c r="D215" i="17"/>
  <c r="D105" i="17"/>
  <c r="D111" i="17"/>
  <c r="B204" i="17"/>
  <c r="B210" i="17"/>
  <c r="B173" i="17"/>
  <c r="B179" i="17"/>
  <c r="B160" i="17"/>
  <c r="B166" i="17"/>
  <c r="B152" i="17"/>
  <c r="B140" i="17"/>
  <c r="B130" i="17"/>
  <c r="B90" i="17"/>
  <c r="B81" i="17"/>
  <c r="B87" i="17"/>
  <c r="B52" i="17"/>
  <c r="D200" i="17"/>
  <c r="D114" i="16"/>
  <c r="D119" i="17"/>
  <c r="D93" i="16"/>
  <c r="D93" i="17"/>
  <c r="B169" i="16"/>
  <c r="B171" i="17"/>
  <c r="B114" i="16"/>
  <c r="B119" i="17"/>
  <c r="D200" i="16"/>
  <c r="D205" i="17"/>
  <c r="D108" i="16"/>
  <c r="D108" i="17"/>
  <c r="D106" i="16"/>
  <c r="D106" i="17"/>
  <c r="D202" i="16"/>
  <c r="D207" i="17"/>
  <c r="D167" i="16"/>
  <c r="D169" i="17"/>
  <c r="B167" i="16"/>
  <c r="B169" i="17"/>
  <c r="D134" i="16"/>
  <c r="D134" i="17"/>
  <c r="D107" i="16"/>
  <c r="D107" i="17"/>
  <c r="B202" i="16"/>
  <c r="B207" i="17"/>
  <c r="B134" i="16"/>
  <c r="B134" i="17"/>
  <c r="B93" i="16"/>
  <c r="B93" i="17"/>
  <c r="D157" i="16"/>
  <c r="D162" i="17"/>
  <c r="B196" i="16"/>
  <c r="B206" i="17"/>
  <c r="B198" i="17"/>
  <c r="B108" i="16"/>
  <c r="B108" i="17"/>
  <c r="D156" i="16"/>
  <c r="D161" i="17"/>
  <c r="B200" i="16"/>
  <c r="B205" i="17"/>
  <c r="B156" i="16"/>
  <c r="B161" i="17"/>
  <c r="B107" i="16"/>
  <c r="B107" i="17"/>
  <c r="B82" i="16"/>
  <c r="B82" i="17"/>
  <c r="D155" i="16"/>
  <c r="D160" i="17"/>
  <c r="D135" i="16"/>
  <c r="D140" i="17"/>
  <c r="D82" i="16"/>
  <c r="D82" i="17"/>
  <c r="D169" i="16"/>
  <c r="D171" i="17"/>
  <c r="B106" i="16"/>
  <c r="B106" i="17"/>
  <c r="B157" i="16"/>
  <c r="B133" i="16"/>
  <c r="B199" i="16"/>
  <c r="B130" i="16"/>
  <c r="B168" i="16"/>
  <c r="B173" i="16"/>
  <c r="D199" i="16"/>
  <c r="B166" i="16"/>
  <c r="B171" i="16"/>
  <c r="B155" i="16"/>
  <c r="B135" i="16"/>
  <c r="D208" i="16"/>
  <c r="D213" i="16"/>
  <c r="D133" i="16"/>
  <c r="B208" i="16"/>
  <c r="B213" i="16"/>
  <c r="B165" i="16"/>
  <c r="B170" i="16"/>
  <c r="D201" i="16"/>
  <c r="D206" i="16"/>
  <c r="D132" i="16"/>
  <c r="D165" i="16"/>
  <c r="D170" i="16"/>
  <c r="B201" i="16"/>
  <c r="B206" i="16"/>
  <c r="B132" i="16"/>
  <c r="D196" i="16"/>
  <c r="D168" i="16"/>
  <c r="D173" i="16"/>
  <c r="D122" i="16"/>
  <c r="B163" i="16"/>
  <c r="B122" i="16"/>
  <c r="D166" i="16"/>
  <c r="D171" i="16"/>
  <c r="D130" i="16"/>
  <c r="B198" i="16"/>
  <c r="B203" i="16"/>
  <c r="D198" i="16"/>
  <c r="D203" i="16"/>
  <c r="D163" i="16"/>
  <c r="D192" i="16"/>
  <c r="D190" i="15"/>
  <c r="D188" i="16"/>
  <c r="D186" i="15"/>
  <c r="D164" i="16"/>
  <c r="D163" i="15"/>
  <c r="D161" i="11"/>
  <c r="D160" i="10"/>
  <c r="D161" i="8"/>
  <c r="D152" i="16"/>
  <c r="D151" i="15"/>
  <c r="D148" i="16"/>
  <c r="D147" i="15"/>
  <c r="D144" i="16"/>
  <c r="D143" i="15"/>
  <c r="D140" i="16"/>
  <c r="D139" i="15"/>
  <c r="D136" i="16"/>
  <c r="D135" i="15"/>
  <c r="D127" i="16"/>
  <c r="D126" i="15"/>
  <c r="D123" i="16"/>
  <c r="D122" i="15"/>
  <c r="D118" i="16"/>
  <c r="D117" i="15"/>
  <c r="D113" i="16"/>
  <c r="D112" i="15"/>
  <c r="D109" i="16"/>
  <c r="D108" i="15"/>
  <c r="D97" i="16"/>
  <c r="D96" i="15"/>
  <c r="D87" i="16"/>
  <c r="D86" i="15"/>
  <c r="D83" i="16"/>
  <c r="D82" i="15"/>
  <c r="D79" i="16"/>
  <c r="D78" i="15"/>
  <c r="D74" i="16"/>
  <c r="D73" i="15"/>
  <c r="D70" i="16"/>
  <c r="D69" i="15"/>
  <c r="D68" i="16"/>
  <c r="D67" i="15"/>
  <c r="D62" i="16"/>
  <c r="D61" i="15"/>
  <c r="D58" i="16"/>
  <c r="D57" i="15"/>
  <c r="D54" i="16"/>
  <c r="D53" i="15"/>
  <c r="D50" i="16"/>
  <c r="D49" i="15"/>
  <c r="D45" i="16"/>
  <c r="D44" i="15"/>
  <c r="D39" i="16"/>
  <c r="D38" i="15"/>
  <c r="D33" i="16"/>
  <c r="D33" i="15"/>
  <c r="D24" i="16"/>
  <c r="D24" i="15"/>
  <c r="D19" i="16"/>
  <c r="D19" i="15"/>
  <c r="B195" i="16"/>
  <c r="B193" i="15"/>
  <c r="B189" i="10"/>
  <c r="B191" i="16"/>
  <c r="B189" i="15"/>
  <c r="B187" i="16"/>
  <c r="B185" i="15"/>
  <c r="B164" i="16"/>
  <c r="B163" i="15"/>
  <c r="B161" i="8"/>
  <c r="B160" i="10"/>
  <c r="B159" i="16"/>
  <c r="B158" i="15"/>
  <c r="B152" i="16"/>
  <c r="B151" i="15"/>
  <c r="B148" i="16"/>
  <c r="B147" i="15"/>
  <c r="B144" i="16"/>
  <c r="B143" i="15"/>
  <c r="B140" i="16"/>
  <c r="B139" i="15"/>
  <c r="B136" i="16"/>
  <c r="B135" i="15"/>
  <c r="B127" i="16"/>
  <c r="B126" i="15"/>
  <c r="B123" i="16"/>
  <c r="B122" i="15"/>
  <c r="B118" i="16"/>
  <c r="B117" i="15"/>
  <c r="B113" i="16"/>
  <c r="B112" i="15"/>
  <c r="B109" i="16"/>
  <c r="B108" i="15"/>
  <c r="B102" i="16"/>
  <c r="B101" i="15"/>
  <c r="B97" i="15"/>
  <c r="B98" i="16"/>
  <c r="B93" i="15"/>
  <c r="B94" i="16"/>
  <c r="B90" i="16"/>
  <c r="B89" i="15"/>
  <c r="B86" i="16"/>
  <c r="B85" i="15"/>
  <c r="B77" i="16"/>
  <c r="B76" i="15"/>
  <c r="B73" i="16"/>
  <c r="B72" i="15"/>
  <c r="B67" i="16"/>
  <c r="B66" i="15"/>
  <c r="B61" i="16"/>
  <c r="B60" i="15"/>
  <c r="B57" i="16"/>
  <c r="B56" i="15"/>
  <c r="B53" i="16"/>
  <c r="B52" i="15"/>
  <c r="B49" i="16"/>
  <c r="B48" i="15"/>
  <c r="B43" i="16"/>
  <c r="B42" i="15"/>
  <c r="B37" i="16"/>
  <c r="B37" i="15"/>
  <c r="B32" i="16"/>
  <c r="B32" i="15"/>
  <c r="B24" i="16"/>
  <c r="B24" i="15"/>
  <c r="B19" i="16"/>
  <c r="B19" i="15"/>
  <c r="D191" i="16"/>
  <c r="D189" i="15"/>
  <c r="D186" i="16"/>
  <c r="D184" i="15"/>
  <c r="D162" i="16"/>
  <c r="D161" i="15"/>
  <c r="D158" i="10"/>
  <c r="D159" i="11"/>
  <c r="D151" i="16"/>
  <c r="D150" i="15"/>
  <c r="D147" i="16"/>
  <c r="D146" i="15"/>
  <c r="D143" i="16"/>
  <c r="D142" i="15"/>
  <c r="D138" i="15"/>
  <c r="D139" i="16"/>
  <c r="D131" i="16"/>
  <c r="D130" i="15"/>
  <c r="D126" i="16"/>
  <c r="D125" i="15"/>
  <c r="D121" i="16"/>
  <c r="D120" i="15"/>
  <c r="D117" i="16"/>
  <c r="D116" i="15"/>
  <c r="D112" i="16"/>
  <c r="D111" i="15"/>
  <c r="D103" i="16"/>
  <c r="D102" i="15"/>
  <c r="D96" i="16"/>
  <c r="D95" i="15"/>
  <c r="D92" i="16"/>
  <c r="D91" i="15"/>
  <c r="D86" i="16"/>
  <c r="D85" i="15"/>
  <c r="D77" i="16"/>
  <c r="D76" i="15"/>
  <c r="D73" i="16"/>
  <c r="D72" i="15"/>
  <c r="D67" i="16"/>
  <c r="D66" i="15"/>
  <c r="D61" i="16"/>
  <c r="D60" i="15"/>
  <c r="D57" i="16"/>
  <c r="D56" i="15"/>
  <c r="D53" i="16"/>
  <c r="D52" i="15"/>
  <c r="D49" i="16"/>
  <c r="D48" i="15"/>
  <c r="D43" i="16"/>
  <c r="D42" i="15"/>
  <c r="D37" i="16"/>
  <c r="D37" i="15"/>
  <c r="D32" i="16"/>
  <c r="D32" i="15"/>
  <c r="D22" i="16"/>
  <c r="D22" i="15"/>
  <c r="D18" i="16"/>
  <c r="D18" i="15"/>
  <c r="D101" i="16"/>
  <c r="D100" i="15"/>
  <c r="D105" i="16"/>
  <c r="D104" i="15"/>
  <c r="D195" i="16"/>
  <c r="D193" i="15"/>
  <c r="D190" i="11"/>
  <c r="D189" i="10"/>
  <c r="D193" i="16"/>
  <c r="D191" i="15"/>
  <c r="D89" i="16"/>
  <c r="D88" i="15"/>
  <c r="D100" i="16"/>
  <c r="D99" i="15"/>
  <c r="D160" i="16"/>
  <c r="D159" i="15"/>
  <c r="D158" i="16"/>
  <c r="D157" i="15"/>
  <c r="B194" i="16"/>
  <c r="B192" i="15"/>
  <c r="B190" i="16"/>
  <c r="B188" i="15"/>
  <c r="B186" i="16"/>
  <c r="B184" i="15"/>
  <c r="B162" i="16"/>
  <c r="B161" i="15"/>
  <c r="B158" i="10"/>
  <c r="B158" i="16"/>
  <c r="B157" i="15"/>
  <c r="B151" i="16"/>
  <c r="B150" i="15"/>
  <c r="B147" i="16"/>
  <c r="B146" i="15"/>
  <c r="B143" i="16"/>
  <c r="B142" i="15"/>
  <c r="B139" i="16"/>
  <c r="B138" i="15"/>
  <c r="B131" i="16"/>
  <c r="B130" i="15"/>
  <c r="B126" i="16"/>
  <c r="B125" i="15"/>
  <c r="B121" i="16"/>
  <c r="B120" i="15"/>
  <c r="B117" i="16"/>
  <c r="B116" i="15"/>
  <c r="B112" i="16"/>
  <c r="B111" i="15"/>
  <c r="B105" i="16"/>
  <c r="B104" i="15"/>
  <c r="B101" i="16"/>
  <c r="B100" i="15"/>
  <c r="B97" i="16"/>
  <c r="B96" i="15"/>
  <c r="B89" i="16"/>
  <c r="B88" i="15"/>
  <c r="B85" i="16"/>
  <c r="B84" i="15"/>
  <c r="B81" i="16"/>
  <c r="B80" i="15"/>
  <c r="B76" i="16"/>
  <c r="B75" i="15"/>
  <c r="B72" i="16"/>
  <c r="B71" i="15"/>
  <c r="B65" i="15"/>
  <c r="B66" i="16"/>
  <c r="B60" i="16"/>
  <c r="B59" i="15"/>
  <c r="B56" i="16"/>
  <c r="B55" i="15"/>
  <c r="B52" i="16"/>
  <c r="B51" i="15"/>
  <c r="B47" i="16"/>
  <c r="B46" i="15"/>
  <c r="B42" i="16"/>
  <c r="B41" i="15"/>
  <c r="B35" i="16"/>
  <c r="B35" i="15"/>
  <c r="B31" i="16"/>
  <c r="B31" i="15"/>
  <c r="B22" i="16"/>
  <c r="B22" i="15"/>
  <c r="B18" i="15"/>
  <c r="B18" i="16"/>
  <c r="D204" i="16"/>
  <c r="D198" i="9"/>
  <c r="D198" i="10"/>
  <c r="D199" i="11"/>
  <c r="D202" i="15"/>
  <c r="D190" i="16"/>
  <c r="D188" i="15"/>
  <c r="D185" i="16"/>
  <c r="D183" i="15"/>
  <c r="D154" i="16"/>
  <c r="D153" i="15"/>
  <c r="D150" i="16"/>
  <c r="D149" i="15"/>
  <c r="D146" i="16"/>
  <c r="D145" i="15"/>
  <c r="D142" i="16"/>
  <c r="D141" i="15"/>
  <c r="D138" i="16"/>
  <c r="D137" i="15"/>
  <c r="D129" i="16"/>
  <c r="D128" i="15"/>
  <c r="D125" i="16"/>
  <c r="D124" i="15"/>
  <c r="D120" i="16"/>
  <c r="D119" i="15"/>
  <c r="D116" i="16"/>
  <c r="D115" i="15"/>
  <c r="D111" i="16"/>
  <c r="D110" i="15"/>
  <c r="D102" i="16"/>
  <c r="D101" i="15"/>
  <c r="D95" i="16"/>
  <c r="D94" i="15"/>
  <c r="D91" i="16"/>
  <c r="D90" i="15"/>
  <c r="D85" i="16"/>
  <c r="D84" i="15"/>
  <c r="D81" i="16"/>
  <c r="D80" i="15"/>
  <c r="D76" i="16"/>
  <c r="D75" i="15"/>
  <c r="D72" i="16"/>
  <c r="D71" i="15"/>
  <c r="D66" i="16"/>
  <c r="D65" i="15"/>
  <c r="D60" i="16"/>
  <c r="D59" i="15"/>
  <c r="D56" i="16"/>
  <c r="D55" i="15"/>
  <c r="D52" i="16"/>
  <c r="D51" i="15"/>
  <c r="D47" i="16"/>
  <c r="D46" i="15"/>
  <c r="D42" i="16"/>
  <c r="D41" i="15"/>
  <c r="D35" i="16"/>
  <c r="D35" i="15"/>
  <c r="D30" i="16"/>
  <c r="D30" i="15"/>
  <c r="D21" i="16"/>
  <c r="D21" i="15"/>
  <c r="B204" i="16"/>
  <c r="B198" i="10"/>
  <c r="B198" i="9"/>
  <c r="B202" i="15"/>
  <c r="B193" i="16"/>
  <c r="B191" i="15"/>
  <c r="B189" i="16"/>
  <c r="B187" i="15"/>
  <c r="B185" i="16"/>
  <c r="B183" i="15"/>
  <c r="B161" i="16"/>
  <c r="B160" i="15"/>
  <c r="B154" i="16"/>
  <c r="B153" i="15"/>
  <c r="B150" i="16"/>
  <c r="B149" i="15"/>
  <c r="B146" i="16"/>
  <c r="B145" i="15"/>
  <c r="B142" i="16"/>
  <c r="B141" i="15"/>
  <c r="B138" i="16"/>
  <c r="B137" i="15"/>
  <c r="B129" i="16"/>
  <c r="B128" i="15"/>
  <c r="B125" i="16"/>
  <c r="B124" i="15"/>
  <c r="B120" i="16"/>
  <c r="B119" i="15"/>
  <c r="B116" i="16"/>
  <c r="B115" i="15"/>
  <c r="B111" i="16"/>
  <c r="B110" i="15"/>
  <c r="B104" i="16"/>
  <c r="B103" i="15"/>
  <c r="B100" i="16"/>
  <c r="B99" i="15"/>
  <c r="B96" i="16"/>
  <c r="B95" i="15"/>
  <c r="B92" i="16"/>
  <c r="B91" i="15"/>
  <c r="B88" i="16"/>
  <c r="B87" i="15"/>
  <c r="B84" i="16"/>
  <c r="B83" i="15"/>
  <c r="B80" i="16"/>
  <c r="B79" i="15"/>
  <c r="B75" i="16"/>
  <c r="B74" i="15"/>
  <c r="B71" i="16"/>
  <c r="B70" i="15"/>
  <c r="B69" i="16"/>
  <c r="B68" i="15"/>
  <c r="B63" i="16"/>
  <c r="B62" i="15"/>
  <c r="B59" i="16"/>
  <c r="B58" i="15"/>
  <c r="B55" i="16"/>
  <c r="B54" i="15"/>
  <c r="B51" i="16"/>
  <c r="B50" i="15"/>
  <c r="B45" i="15"/>
  <c r="B46" i="16"/>
  <c r="B41" i="16"/>
  <c r="B40" i="15"/>
  <c r="B34" i="16"/>
  <c r="B34" i="15"/>
  <c r="B30" i="16"/>
  <c r="B30" i="15"/>
  <c r="B21" i="16"/>
  <c r="B21" i="15"/>
  <c r="D197" i="16"/>
  <c r="D195" i="15"/>
  <c r="D191" i="10"/>
  <c r="D192" i="11"/>
  <c r="D190" i="8"/>
  <c r="D191" i="9"/>
  <c r="D189" i="16"/>
  <c r="D187" i="15"/>
  <c r="D184" i="16"/>
  <c r="D182" i="15"/>
  <c r="D153" i="16"/>
  <c r="D152" i="15"/>
  <c r="D149" i="16"/>
  <c r="D148" i="15"/>
  <c r="D145" i="16"/>
  <c r="D144" i="15"/>
  <c r="D141" i="16"/>
  <c r="D140" i="15"/>
  <c r="D137" i="16"/>
  <c r="D136" i="15"/>
  <c r="D128" i="16"/>
  <c r="D127" i="15"/>
  <c r="D124" i="16"/>
  <c r="D123" i="15"/>
  <c r="D119" i="16"/>
  <c r="D118" i="15"/>
  <c r="D115" i="16"/>
  <c r="D114" i="15"/>
  <c r="D110" i="16"/>
  <c r="D109" i="15"/>
  <c r="D98" i="16"/>
  <c r="D97" i="15"/>
  <c r="D94" i="16"/>
  <c r="D93" i="15"/>
  <c r="D90" i="16"/>
  <c r="D89" i="15"/>
  <c r="D84" i="16"/>
  <c r="D83" i="15"/>
  <c r="D80" i="16"/>
  <c r="D79" i="15"/>
  <c r="D74" i="15"/>
  <c r="D75" i="16"/>
  <c r="D71" i="16"/>
  <c r="D70" i="15"/>
  <c r="D69" i="16"/>
  <c r="D68" i="15"/>
  <c r="D63" i="16"/>
  <c r="D62" i="15"/>
  <c r="D59" i="16"/>
  <c r="D58" i="15"/>
  <c r="D55" i="16"/>
  <c r="D54" i="15"/>
  <c r="D51" i="16"/>
  <c r="D50" i="15"/>
  <c r="D46" i="16"/>
  <c r="D45" i="15"/>
  <c r="D41" i="16"/>
  <c r="D40" i="15"/>
  <c r="D34" i="16"/>
  <c r="D34" i="15"/>
  <c r="D27" i="16"/>
  <c r="D27" i="15"/>
  <c r="D20" i="16"/>
  <c r="D20" i="15"/>
  <c r="D31" i="15"/>
  <c r="D31" i="16"/>
  <c r="D187" i="16"/>
  <c r="D185" i="15"/>
  <c r="D104" i="16"/>
  <c r="D103" i="15"/>
  <c r="D194" i="16"/>
  <c r="D192" i="15"/>
  <c r="D88" i="16"/>
  <c r="D87" i="15"/>
  <c r="D99" i="16"/>
  <c r="D98" i="15"/>
  <c r="D161" i="16"/>
  <c r="D160" i="15"/>
  <c r="D159" i="16"/>
  <c r="D158" i="15"/>
  <c r="B197" i="16"/>
  <c r="B195" i="15"/>
  <c r="B190" i="8"/>
  <c r="B191" i="10"/>
  <c r="B191" i="9"/>
  <c r="B192" i="16"/>
  <c r="B190" i="15"/>
  <c r="B188" i="16"/>
  <c r="B186" i="15"/>
  <c r="B184" i="16"/>
  <c r="B182" i="15"/>
  <c r="B160" i="16"/>
  <c r="B159" i="15"/>
  <c r="B153" i="16"/>
  <c r="B152" i="15"/>
  <c r="B149" i="16"/>
  <c r="B148" i="15"/>
  <c r="B145" i="16"/>
  <c r="B144" i="15"/>
  <c r="B141" i="16"/>
  <c r="B140" i="15"/>
  <c r="B137" i="16"/>
  <c r="B136" i="15"/>
  <c r="B128" i="16"/>
  <c r="B127" i="15"/>
  <c r="B124" i="16"/>
  <c r="B123" i="15"/>
  <c r="B119" i="16"/>
  <c r="B118" i="15"/>
  <c r="B115" i="16"/>
  <c r="B114" i="15"/>
  <c r="B109" i="15"/>
  <c r="B110" i="16"/>
  <c r="B103" i="16"/>
  <c r="B102" i="15"/>
  <c r="B99" i="16"/>
  <c r="B98" i="15"/>
  <c r="B95" i="16"/>
  <c r="B94" i="15"/>
  <c r="B91" i="16"/>
  <c r="B90" i="15"/>
  <c r="B87" i="16"/>
  <c r="B86" i="15"/>
  <c r="B83" i="16"/>
  <c r="B82" i="15"/>
  <c r="B79" i="16"/>
  <c r="B78" i="15"/>
  <c r="B74" i="16"/>
  <c r="B73" i="15"/>
  <c r="B70" i="16"/>
  <c r="B69" i="15"/>
  <c r="B68" i="16"/>
  <c r="B67" i="15"/>
  <c r="B61" i="15"/>
  <c r="B62" i="16"/>
  <c r="B58" i="16"/>
  <c r="B57" i="15"/>
  <c r="B54" i="16"/>
  <c r="B53" i="15"/>
  <c r="B49" i="15"/>
  <c r="B50" i="16"/>
  <c r="B45" i="16"/>
  <c r="B44" i="15"/>
  <c r="B39" i="16"/>
  <c r="B38" i="15"/>
  <c r="B33" i="16"/>
  <c r="B33" i="15"/>
  <c r="B27" i="16"/>
  <c r="B27" i="15"/>
  <c r="B20" i="16"/>
  <c r="B20" i="15"/>
  <c r="D189" i="14"/>
  <c r="D188" i="13"/>
  <c r="D185" i="14"/>
  <c r="D184" i="13"/>
  <c r="D162" i="13"/>
  <c r="D163" i="14"/>
  <c r="D151" i="14"/>
  <c r="D150" i="13"/>
  <c r="D146" i="13"/>
  <c r="D147" i="14"/>
  <c r="D143" i="14"/>
  <c r="D142" i="13"/>
  <c r="D139" i="14"/>
  <c r="D138" i="13"/>
  <c r="D135" i="14"/>
  <c r="D134" i="13"/>
  <c r="D126" i="14"/>
  <c r="D125" i="13"/>
  <c r="D122" i="14"/>
  <c r="D121" i="13"/>
  <c r="D117" i="14"/>
  <c r="D116" i="13"/>
  <c r="D112" i="14"/>
  <c r="D111" i="13"/>
  <c r="D108" i="14"/>
  <c r="D107" i="13"/>
  <c r="D96" i="14"/>
  <c r="D95" i="13"/>
  <c r="D86" i="14"/>
  <c r="D86" i="13"/>
  <c r="D82" i="14"/>
  <c r="D82" i="13"/>
  <c r="D78" i="14"/>
  <c r="D78" i="13"/>
  <c r="D73" i="14"/>
  <c r="D73" i="13"/>
  <c r="D69" i="14"/>
  <c r="D69" i="13"/>
  <c r="D67" i="14"/>
  <c r="D67" i="13"/>
  <c r="D61" i="14"/>
  <c r="D61" i="13"/>
  <c r="D57" i="14"/>
  <c r="D57" i="13"/>
  <c r="D53" i="14"/>
  <c r="D53" i="13"/>
  <c r="D49" i="14"/>
  <c r="D49" i="13"/>
  <c r="D44" i="14"/>
  <c r="D44" i="13"/>
  <c r="D38" i="14"/>
  <c r="D38" i="13"/>
  <c r="D33" i="14"/>
  <c r="D33" i="13"/>
  <c r="D24" i="14"/>
  <c r="D24" i="13"/>
  <c r="D19" i="14"/>
  <c r="D19" i="13"/>
  <c r="B192" i="14"/>
  <c r="B191" i="13"/>
  <c r="B188" i="14"/>
  <c r="B187" i="13"/>
  <c r="B184" i="14"/>
  <c r="B183" i="13"/>
  <c r="B163" i="14"/>
  <c r="B162" i="13"/>
  <c r="B158" i="14"/>
  <c r="B157" i="13"/>
  <c r="B151" i="14"/>
  <c r="B150" i="13"/>
  <c r="B147" i="14"/>
  <c r="B146" i="13"/>
  <c r="B143" i="14"/>
  <c r="B142" i="13"/>
  <c r="B139" i="14"/>
  <c r="B138" i="13"/>
  <c r="B135" i="14"/>
  <c r="B134" i="13"/>
  <c r="B125" i="13"/>
  <c r="B126" i="14"/>
  <c r="B122" i="14"/>
  <c r="B121" i="13"/>
  <c r="B117" i="14"/>
  <c r="B116" i="13"/>
  <c r="B112" i="14"/>
  <c r="B111" i="13"/>
  <c r="B108" i="14"/>
  <c r="B107" i="13"/>
  <c r="B101" i="14"/>
  <c r="B100" i="13"/>
  <c r="B97" i="14"/>
  <c r="B96" i="13"/>
  <c r="B93" i="14"/>
  <c r="B92" i="13"/>
  <c r="B89" i="14"/>
  <c r="B89" i="13"/>
  <c r="B85" i="14"/>
  <c r="B85" i="13"/>
  <c r="B76" i="14"/>
  <c r="B76" i="13"/>
  <c r="B72" i="14"/>
  <c r="B72" i="13"/>
  <c r="B66" i="14"/>
  <c r="B66" i="13"/>
  <c r="B60" i="14"/>
  <c r="B60" i="13"/>
  <c r="B56" i="14"/>
  <c r="B56" i="13"/>
  <c r="B52" i="14"/>
  <c r="B52" i="13"/>
  <c r="B48" i="14"/>
  <c r="B48" i="13"/>
  <c r="B42" i="14"/>
  <c r="B42" i="13"/>
  <c r="B37" i="14"/>
  <c r="B37" i="13"/>
  <c r="B32" i="14"/>
  <c r="B32" i="13"/>
  <c r="B24" i="14"/>
  <c r="B24" i="13"/>
  <c r="B19" i="14"/>
  <c r="B19" i="13"/>
  <c r="D188" i="14"/>
  <c r="D187" i="13"/>
  <c r="D183" i="14"/>
  <c r="D182" i="13"/>
  <c r="D161" i="14"/>
  <c r="D160" i="13"/>
  <c r="D150" i="14"/>
  <c r="D149" i="13"/>
  <c r="D146" i="14"/>
  <c r="D145" i="13"/>
  <c r="D142" i="14"/>
  <c r="D141" i="13"/>
  <c r="D138" i="14"/>
  <c r="D137" i="13"/>
  <c r="D130" i="14"/>
  <c r="D129" i="13"/>
  <c r="D125" i="14"/>
  <c r="D124" i="13"/>
  <c r="D120" i="14"/>
  <c r="D119" i="13"/>
  <c r="D116" i="14"/>
  <c r="D115" i="13"/>
  <c r="D111" i="14"/>
  <c r="D110" i="13"/>
  <c r="D102" i="14"/>
  <c r="D101" i="13"/>
  <c r="D95" i="14"/>
  <c r="D94" i="13"/>
  <c r="D91" i="14"/>
  <c r="D91" i="13"/>
  <c r="D85" i="14"/>
  <c r="D85" i="13"/>
  <c r="D76" i="14"/>
  <c r="D76" i="13"/>
  <c r="D72" i="14"/>
  <c r="D72" i="13"/>
  <c r="D66" i="14"/>
  <c r="D66" i="13"/>
  <c r="D60" i="14"/>
  <c r="D60" i="13"/>
  <c r="D56" i="14"/>
  <c r="D56" i="13"/>
  <c r="D52" i="14"/>
  <c r="D52" i="13"/>
  <c r="D48" i="14"/>
  <c r="D48" i="13"/>
  <c r="D42" i="14"/>
  <c r="D42" i="13"/>
  <c r="D37" i="14"/>
  <c r="D37" i="13"/>
  <c r="D32" i="14"/>
  <c r="D32" i="13"/>
  <c r="D22" i="14"/>
  <c r="D22" i="13"/>
  <c r="D18" i="14"/>
  <c r="D18" i="13"/>
  <c r="D100" i="14"/>
  <c r="D99" i="13"/>
  <c r="D104" i="14"/>
  <c r="D103" i="13"/>
  <c r="D192" i="14"/>
  <c r="D191" i="13"/>
  <c r="D190" i="14"/>
  <c r="D189" i="13"/>
  <c r="D88" i="14"/>
  <c r="D88" i="13"/>
  <c r="D98" i="13"/>
  <c r="D99" i="14"/>
  <c r="D159" i="14"/>
  <c r="D158" i="13"/>
  <c r="D157" i="14"/>
  <c r="D156" i="13"/>
  <c r="B191" i="14"/>
  <c r="B190" i="13"/>
  <c r="B187" i="14"/>
  <c r="B186" i="13"/>
  <c r="B183" i="14"/>
  <c r="B182" i="13"/>
  <c r="B161" i="14"/>
  <c r="B160" i="13"/>
  <c r="B157" i="14"/>
  <c r="B156" i="13"/>
  <c r="B150" i="14"/>
  <c r="B149" i="13"/>
  <c r="B146" i="14"/>
  <c r="B145" i="13"/>
  <c r="B142" i="14"/>
  <c r="B141" i="13"/>
  <c r="B138" i="14"/>
  <c r="B137" i="13"/>
  <c r="B130" i="14"/>
  <c r="B129" i="13"/>
  <c r="B125" i="14"/>
  <c r="B124" i="13"/>
  <c r="B120" i="14"/>
  <c r="B119" i="13"/>
  <c r="B116" i="14"/>
  <c r="B115" i="13"/>
  <c r="B111" i="14"/>
  <c r="B110" i="13"/>
  <c r="B104" i="14"/>
  <c r="B103" i="13"/>
  <c r="B100" i="14"/>
  <c r="B99" i="13"/>
  <c r="B96" i="14"/>
  <c r="B95" i="13"/>
  <c r="B88" i="14"/>
  <c r="B88" i="13"/>
  <c r="B84" i="14"/>
  <c r="B84" i="13"/>
  <c r="B80" i="14"/>
  <c r="B80" i="13"/>
  <c r="B75" i="14"/>
  <c r="B75" i="13"/>
  <c r="B71" i="14"/>
  <c r="B71" i="13"/>
  <c r="B65" i="14"/>
  <c r="B65" i="13"/>
  <c r="B59" i="14"/>
  <c r="B59" i="13"/>
  <c r="B55" i="14"/>
  <c r="B55" i="13"/>
  <c r="B51" i="14"/>
  <c r="B51" i="13"/>
  <c r="B46" i="14"/>
  <c r="B46" i="13"/>
  <c r="B41" i="14"/>
  <c r="B41" i="13"/>
  <c r="B35" i="14"/>
  <c r="B35" i="13"/>
  <c r="B31" i="14"/>
  <c r="B31" i="13"/>
  <c r="B22" i="14"/>
  <c r="B22" i="13"/>
  <c r="B18" i="13"/>
  <c r="B18" i="14"/>
  <c r="D201" i="14"/>
  <c r="D200" i="13"/>
  <c r="D187" i="14"/>
  <c r="D186" i="13"/>
  <c r="D182" i="14"/>
  <c r="D181" i="13"/>
  <c r="D153" i="14"/>
  <c r="D152" i="13"/>
  <c r="D149" i="14"/>
  <c r="D148" i="13"/>
  <c r="D145" i="14"/>
  <c r="D144" i="13"/>
  <c r="D141" i="14"/>
  <c r="D140" i="13"/>
  <c r="D137" i="14"/>
  <c r="D136" i="13"/>
  <c r="D128" i="14"/>
  <c r="D127" i="13"/>
  <c r="D124" i="14"/>
  <c r="D123" i="13"/>
  <c r="D119" i="14"/>
  <c r="D118" i="13"/>
  <c r="D115" i="14"/>
  <c r="D114" i="13"/>
  <c r="D110" i="14"/>
  <c r="D109" i="13"/>
  <c r="D101" i="14"/>
  <c r="D100" i="13"/>
  <c r="D94" i="14"/>
  <c r="D93" i="13"/>
  <c r="D90" i="14"/>
  <c r="D90" i="13"/>
  <c r="D84" i="14"/>
  <c r="D84" i="13"/>
  <c r="D80" i="14"/>
  <c r="D80" i="13"/>
  <c r="D75" i="14"/>
  <c r="D75" i="13"/>
  <c r="D71" i="14"/>
  <c r="D71" i="13"/>
  <c r="D65" i="14"/>
  <c r="D65" i="13"/>
  <c r="D59" i="14"/>
  <c r="D59" i="13"/>
  <c r="D55" i="13"/>
  <c r="D55" i="14"/>
  <c r="D51" i="14"/>
  <c r="D51" i="13"/>
  <c r="D46" i="14"/>
  <c r="D46" i="13"/>
  <c r="D41" i="14"/>
  <c r="D41" i="13"/>
  <c r="D35" i="14"/>
  <c r="D35" i="13"/>
  <c r="D30" i="14"/>
  <c r="D30" i="13"/>
  <c r="D21" i="14"/>
  <c r="D21" i="13"/>
  <c r="B201" i="14"/>
  <c r="B200" i="13"/>
  <c r="B189" i="13"/>
  <c r="B190" i="14"/>
  <c r="B186" i="14"/>
  <c r="B185" i="13"/>
  <c r="B182" i="14"/>
  <c r="B181" i="13"/>
  <c r="B160" i="14"/>
  <c r="B159" i="13"/>
  <c r="B153" i="14"/>
  <c r="B152" i="13"/>
  <c r="B149" i="14"/>
  <c r="B148" i="13"/>
  <c r="B145" i="14"/>
  <c r="B144" i="13"/>
  <c r="B141" i="14"/>
  <c r="B140" i="13"/>
  <c r="B137" i="14"/>
  <c r="B136" i="13"/>
  <c r="B128" i="14"/>
  <c r="B127" i="13"/>
  <c r="B124" i="14"/>
  <c r="B123" i="13"/>
  <c r="B119" i="14"/>
  <c r="B118" i="13"/>
  <c r="B115" i="14"/>
  <c r="B114" i="13"/>
  <c r="B109" i="13"/>
  <c r="B110" i="14"/>
  <c r="B103" i="14"/>
  <c r="B102" i="13"/>
  <c r="B99" i="14"/>
  <c r="B98" i="13"/>
  <c r="B95" i="14"/>
  <c r="B94" i="13"/>
  <c r="B91" i="14"/>
  <c r="B91" i="13"/>
  <c r="B87" i="14"/>
  <c r="B87" i="13"/>
  <c r="B83" i="14"/>
  <c r="B83" i="13"/>
  <c r="B79" i="14"/>
  <c r="B79" i="13"/>
  <c r="B74" i="14"/>
  <c r="B74" i="13"/>
  <c r="B70" i="14"/>
  <c r="B70" i="13"/>
  <c r="B68" i="14"/>
  <c r="B68" i="13"/>
  <c r="B62" i="14"/>
  <c r="B62" i="13"/>
  <c r="B58" i="14"/>
  <c r="B58" i="13"/>
  <c r="B54" i="14"/>
  <c r="B54" i="13"/>
  <c r="B50" i="14"/>
  <c r="B50" i="13"/>
  <c r="B45" i="14"/>
  <c r="B45" i="13"/>
  <c r="B40" i="14"/>
  <c r="B40" i="13"/>
  <c r="B34" i="14"/>
  <c r="B34" i="13"/>
  <c r="B30" i="14"/>
  <c r="B30" i="13"/>
  <c r="B21" i="14"/>
  <c r="B21" i="13"/>
  <c r="D194" i="14"/>
  <c r="D193" i="13"/>
  <c r="D186" i="14"/>
  <c r="D185" i="13"/>
  <c r="D181" i="14"/>
  <c r="D180" i="13"/>
  <c r="D152" i="14"/>
  <c r="D151" i="13"/>
  <c r="D148" i="14"/>
  <c r="D147" i="13"/>
  <c r="D144" i="14"/>
  <c r="D143" i="13"/>
  <c r="D140" i="14"/>
  <c r="D139" i="13"/>
  <c r="D136" i="14"/>
  <c r="D135" i="13"/>
  <c r="D127" i="14"/>
  <c r="D126" i="13"/>
  <c r="D123" i="14"/>
  <c r="D122" i="13"/>
  <c r="D118" i="14"/>
  <c r="D117" i="13"/>
  <c r="D114" i="14"/>
  <c r="D113" i="13"/>
  <c r="D109" i="14"/>
  <c r="D108" i="13"/>
  <c r="D97" i="14"/>
  <c r="D96" i="13"/>
  <c r="D93" i="14"/>
  <c r="D92" i="13"/>
  <c r="D89" i="14"/>
  <c r="D89" i="13"/>
  <c r="D83" i="14"/>
  <c r="D83" i="13"/>
  <c r="D79" i="14"/>
  <c r="D79" i="13"/>
  <c r="D74" i="14"/>
  <c r="D74" i="13"/>
  <c r="D70" i="14"/>
  <c r="D70" i="13"/>
  <c r="D68" i="14"/>
  <c r="D68" i="13"/>
  <c r="D62" i="14"/>
  <c r="D62" i="13"/>
  <c r="D58" i="14"/>
  <c r="D58" i="13"/>
  <c r="D54" i="14"/>
  <c r="D54" i="13"/>
  <c r="D50" i="14"/>
  <c r="D50" i="13"/>
  <c r="D45" i="14"/>
  <c r="D45" i="13"/>
  <c r="D40" i="14"/>
  <c r="D40" i="13"/>
  <c r="D34" i="14"/>
  <c r="D34" i="13"/>
  <c r="D27" i="14"/>
  <c r="D27" i="13"/>
  <c r="D20" i="14"/>
  <c r="D20" i="13"/>
  <c r="D31" i="14"/>
  <c r="D31" i="13"/>
  <c r="D184" i="14"/>
  <c r="D183" i="13"/>
  <c r="D103" i="14"/>
  <c r="D102" i="13"/>
  <c r="D191" i="14"/>
  <c r="D190" i="13"/>
  <c r="D87" i="14"/>
  <c r="D87" i="13"/>
  <c r="D98" i="14"/>
  <c r="D97" i="13"/>
  <c r="D160" i="14"/>
  <c r="D159" i="13"/>
  <c r="D158" i="14"/>
  <c r="D157" i="13"/>
  <c r="B194" i="14"/>
  <c r="B193" i="13"/>
  <c r="B189" i="14"/>
  <c r="B188" i="13"/>
  <c r="B185" i="14"/>
  <c r="B184" i="13"/>
  <c r="B181" i="14"/>
  <c r="B180" i="13"/>
  <c r="B159" i="14"/>
  <c r="B158" i="13"/>
  <c r="B152" i="14"/>
  <c r="B151" i="13"/>
  <c r="B148" i="14"/>
  <c r="B147" i="13"/>
  <c r="B144" i="14"/>
  <c r="B143" i="13"/>
  <c r="B140" i="14"/>
  <c r="B139" i="13"/>
  <c r="B136" i="14"/>
  <c r="B135" i="13"/>
  <c r="B127" i="14"/>
  <c r="B126" i="13"/>
  <c r="B123" i="14"/>
  <c r="B122" i="13"/>
  <c r="B118" i="14"/>
  <c r="B117" i="13"/>
  <c r="B114" i="14"/>
  <c r="B113" i="13"/>
  <c r="B109" i="14"/>
  <c r="B108" i="13"/>
  <c r="B102" i="14"/>
  <c r="B101" i="13"/>
  <c r="B98" i="14"/>
  <c r="B97" i="13"/>
  <c r="B94" i="14"/>
  <c r="B93" i="13"/>
  <c r="B90" i="14"/>
  <c r="B90" i="13"/>
  <c r="B86" i="14"/>
  <c r="B86" i="13"/>
  <c r="B82" i="14"/>
  <c r="B82" i="13"/>
  <c r="B78" i="14"/>
  <c r="B78" i="13"/>
  <c r="B73" i="14"/>
  <c r="B73" i="13"/>
  <c r="B69" i="14"/>
  <c r="B69" i="13"/>
  <c r="B67" i="14"/>
  <c r="B67" i="13"/>
  <c r="B61" i="14"/>
  <c r="B61" i="13"/>
  <c r="B57" i="14"/>
  <c r="B57" i="13"/>
  <c r="B53" i="14"/>
  <c r="B53" i="13"/>
  <c r="B49" i="14"/>
  <c r="B49" i="13"/>
  <c r="B44" i="14"/>
  <c r="B44" i="13"/>
  <c r="B38" i="14"/>
  <c r="B38" i="13"/>
  <c r="B33" i="14"/>
  <c r="B33" i="13"/>
  <c r="B27" i="14"/>
  <c r="B27" i="13"/>
  <c r="B20" i="14"/>
  <c r="B20" i="13"/>
  <c r="D181" i="10"/>
  <c r="D184" i="12"/>
  <c r="D182" i="11"/>
  <c r="D149" i="10"/>
  <c r="D150" i="11"/>
  <c r="D150" i="12"/>
  <c r="D141" i="10"/>
  <c r="D142" i="11"/>
  <c r="D142" i="12"/>
  <c r="D133" i="10"/>
  <c r="D134" i="11"/>
  <c r="D134" i="12"/>
  <c r="D120" i="10"/>
  <c r="D121" i="12"/>
  <c r="D121" i="11"/>
  <c r="D110" i="10"/>
  <c r="D111" i="12"/>
  <c r="D111" i="11"/>
  <c r="D94" i="10"/>
  <c r="D95" i="12"/>
  <c r="D95" i="11"/>
  <c r="D85" i="10"/>
  <c r="D86" i="11"/>
  <c r="D86" i="12"/>
  <c r="D77" i="10"/>
  <c r="D78" i="11"/>
  <c r="D78" i="12"/>
  <c r="D68" i="10"/>
  <c r="D69" i="12"/>
  <c r="D69" i="11"/>
  <c r="D60" i="10"/>
  <c r="D61" i="12"/>
  <c r="D61" i="11"/>
  <c r="D52" i="10"/>
  <c r="D53" i="12"/>
  <c r="D53" i="11"/>
  <c r="D43" i="10"/>
  <c r="D44" i="12"/>
  <c r="D44" i="11"/>
  <c r="D33" i="10"/>
  <c r="D33" i="12"/>
  <c r="D33" i="11"/>
  <c r="D19" i="10"/>
  <c r="D19" i="12"/>
  <c r="D19" i="11"/>
  <c r="B184" i="10"/>
  <c r="B187" i="12"/>
  <c r="B162" i="12"/>
  <c r="B149" i="10"/>
  <c r="B150" i="12"/>
  <c r="B141" i="10"/>
  <c r="B142" i="12"/>
  <c r="B133" i="10"/>
  <c r="B134" i="12"/>
  <c r="B120" i="10"/>
  <c r="B121" i="12"/>
  <c r="B110" i="10"/>
  <c r="B111" i="12"/>
  <c r="B99" i="10"/>
  <c r="B100" i="12"/>
  <c r="B91" i="10"/>
  <c r="B92" i="12"/>
  <c r="B84" i="10"/>
  <c r="B85" i="12"/>
  <c r="B75" i="10"/>
  <c r="B76" i="12"/>
  <c r="B59" i="10"/>
  <c r="B60" i="12"/>
  <c r="B51" i="10"/>
  <c r="B52" i="12"/>
  <c r="B41" i="10"/>
  <c r="B42" i="12"/>
  <c r="B32" i="10"/>
  <c r="B32" i="12"/>
  <c r="B19" i="10"/>
  <c r="B19" i="12"/>
  <c r="D179" i="10"/>
  <c r="D180" i="11"/>
  <c r="D182" i="12"/>
  <c r="D148" i="10"/>
  <c r="D149" i="12"/>
  <c r="D149" i="11"/>
  <c r="D140" i="10"/>
  <c r="D141" i="12"/>
  <c r="D141" i="11"/>
  <c r="D128" i="10"/>
  <c r="D129" i="12"/>
  <c r="D129" i="11"/>
  <c r="D118" i="10"/>
  <c r="D119" i="12"/>
  <c r="D119" i="11"/>
  <c r="D109" i="10"/>
  <c r="D110" i="12"/>
  <c r="D110" i="11"/>
  <c r="D93" i="10"/>
  <c r="D94" i="11"/>
  <c r="D94" i="12"/>
  <c r="D84" i="10"/>
  <c r="D85" i="12"/>
  <c r="D85" i="11"/>
  <c r="D75" i="10"/>
  <c r="D76" i="12"/>
  <c r="D76" i="11"/>
  <c r="D59" i="10"/>
  <c r="D60" i="12"/>
  <c r="D60" i="11"/>
  <c r="D51" i="10"/>
  <c r="D52" i="12"/>
  <c r="D52" i="11"/>
  <c r="D41" i="10"/>
  <c r="D42" i="12"/>
  <c r="D42" i="11"/>
  <c r="D32" i="10"/>
  <c r="D32" i="12"/>
  <c r="D32" i="11"/>
  <c r="D18" i="10"/>
  <c r="D18" i="12"/>
  <c r="D18" i="11"/>
  <c r="D191" i="12"/>
  <c r="D189" i="11"/>
  <c r="D97" i="10"/>
  <c r="D98" i="12"/>
  <c r="D98" i="11"/>
  <c r="D155" i="10"/>
  <c r="D158" i="12"/>
  <c r="D156" i="11"/>
  <c r="B183" i="10"/>
  <c r="B186" i="12"/>
  <c r="B160" i="12"/>
  <c r="B148" i="10"/>
  <c r="B149" i="12"/>
  <c r="B140" i="10"/>
  <c r="B141" i="12"/>
  <c r="B128" i="10"/>
  <c r="B129" i="12"/>
  <c r="B118" i="10"/>
  <c r="B119" i="12"/>
  <c r="B109" i="10"/>
  <c r="B110" i="12"/>
  <c r="B98" i="10"/>
  <c r="B99" i="12"/>
  <c r="B83" i="10"/>
  <c r="B84" i="12"/>
  <c r="B74" i="10"/>
  <c r="B75" i="12"/>
  <c r="B58" i="10"/>
  <c r="B59" i="12"/>
  <c r="B50" i="10"/>
  <c r="B51" i="12"/>
  <c r="B40" i="10"/>
  <c r="B41" i="12"/>
  <c r="B31" i="10"/>
  <c r="B31" i="12"/>
  <c r="B18" i="10"/>
  <c r="B18" i="12"/>
  <c r="D200" i="12"/>
  <c r="D198" i="11"/>
  <c r="D178" i="10"/>
  <c r="D181" i="12"/>
  <c r="D179" i="11"/>
  <c r="D147" i="10"/>
  <c r="D148" i="12"/>
  <c r="D148" i="11"/>
  <c r="D139" i="10"/>
  <c r="D140" i="12"/>
  <c r="D140" i="11"/>
  <c r="D126" i="10"/>
  <c r="D127" i="12"/>
  <c r="D127" i="11"/>
  <c r="D117" i="10"/>
  <c r="D118" i="12"/>
  <c r="D118" i="11"/>
  <c r="D108" i="10"/>
  <c r="D109" i="12"/>
  <c r="D109" i="11"/>
  <c r="D92" i="10"/>
  <c r="D93" i="12"/>
  <c r="D93" i="11"/>
  <c r="D83" i="10"/>
  <c r="D84" i="12"/>
  <c r="D84" i="11"/>
  <c r="D74" i="10"/>
  <c r="D75" i="12"/>
  <c r="D75" i="11"/>
  <c r="D58" i="10"/>
  <c r="D59" i="12"/>
  <c r="D59" i="11"/>
  <c r="D50" i="10"/>
  <c r="D51" i="12"/>
  <c r="D51" i="11"/>
  <c r="D40" i="10"/>
  <c r="D41" i="12"/>
  <c r="D41" i="11"/>
  <c r="D30" i="10"/>
  <c r="D30" i="11"/>
  <c r="D30" i="12"/>
  <c r="B200" i="12"/>
  <c r="B182" i="10"/>
  <c r="B185" i="12"/>
  <c r="B156" i="10"/>
  <c r="B159" i="12"/>
  <c r="B147" i="10"/>
  <c r="B148" i="12"/>
  <c r="B139" i="10"/>
  <c r="B140" i="12"/>
  <c r="B126" i="10"/>
  <c r="B127" i="12"/>
  <c r="B117" i="10"/>
  <c r="B118" i="12"/>
  <c r="B108" i="10"/>
  <c r="B109" i="12"/>
  <c r="B97" i="10"/>
  <c r="B98" i="12"/>
  <c r="B90" i="10"/>
  <c r="B91" i="12"/>
  <c r="B82" i="10"/>
  <c r="B83" i="12"/>
  <c r="B73" i="10"/>
  <c r="B74" i="12"/>
  <c r="B67" i="10"/>
  <c r="B68" i="12"/>
  <c r="B57" i="10"/>
  <c r="B58" i="12"/>
  <c r="B49" i="10"/>
  <c r="B50" i="12"/>
  <c r="B39" i="10"/>
  <c r="B40" i="12"/>
  <c r="B30" i="10"/>
  <c r="B30" i="12"/>
  <c r="D193" i="12"/>
  <c r="D191" i="11"/>
  <c r="D177" i="10"/>
  <c r="D180" i="12"/>
  <c r="D178" i="11"/>
  <c r="D146" i="10"/>
  <c r="D147" i="12"/>
  <c r="D147" i="11"/>
  <c r="D138" i="10"/>
  <c r="D139" i="12"/>
  <c r="D139" i="11"/>
  <c r="D125" i="10"/>
  <c r="D126" i="12"/>
  <c r="D126" i="11"/>
  <c r="D116" i="10"/>
  <c r="D117" i="12"/>
  <c r="D117" i="11"/>
  <c r="D107" i="10"/>
  <c r="D108" i="12"/>
  <c r="D108" i="11"/>
  <c r="D91" i="10"/>
  <c r="D92" i="12"/>
  <c r="D92" i="11"/>
  <c r="D82" i="10"/>
  <c r="D83" i="12"/>
  <c r="D83" i="11"/>
  <c r="D73" i="10"/>
  <c r="D74" i="12"/>
  <c r="D74" i="11"/>
  <c r="D67" i="10"/>
  <c r="D68" i="12"/>
  <c r="D68" i="11"/>
  <c r="D57" i="10"/>
  <c r="D58" i="12"/>
  <c r="D58" i="11"/>
  <c r="D49" i="10"/>
  <c r="D50" i="12"/>
  <c r="D50" i="11"/>
  <c r="D39" i="10"/>
  <c r="D40" i="12"/>
  <c r="D40" i="11"/>
  <c r="D27" i="10"/>
  <c r="D27" i="12"/>
  <c r="D27" i="11"/>
  <c r="D180" i="10"/>
  <c r="D183" i="12"/>
  <c r="D181" i="11"/>
  <c r="D101" i="10"/>
  <c r="D102" i="11"/>
  <c r="D102" i="12"/>
  <c r="D86" i="10"/>
  <c r="D87" i="12"/>
  <c r="D87" i="11"/>
  <c r="D156" i="10"/>
  <c r="D159" i="12"/>
  <c r="D157" i="11"/>
  <c r="B193" i="12"/>
  <c r="B181" i="10"/>
  <c r="B184" i="12"/>
  <c r="B155" i="10"/>
  <c r="B158" i="12"/>
  <c r="B146" i="10"/>
  <c r="B147" i="12"/>
  <c r="B138" i="10"/>
  <c r="B139" i="12"/>
  <c r="B125" i="10"/>
  <c r="B126" i="12"/>
  <c r="B116" i="10"/>
  <c r="B117" i="12"/>
  <c r="B107" i="10"/>
  <c r="B108" i="12"/>
  <c r="B96" i="10"/>
  <c r="B97" i="12"/>
  <c r="B89" i="10"/>
  <c r="B90" i="12"/>
  <c r="B81" i="10"/>
  <c r="B82" i="12"/>
  <c r="B72" i="10"/>
  <c r="B73" i="12"/>
  <c r="B66" i="10"/>
  <c r="B67" i="12"/>
  <c r="B56" i="10"/>
  <c r="B57" i="12"/>
  <c r="B48" i="10"/>
  <c r="B49" i="12"/>
  <c r="B38" i="12"/>
  <c r="B27" i="10"/>
  <c r="B27" i="12"/>
  <c r="D185" i="10"/>
  <c r="D188" i="12"/>
  <c r="D186" i="11"/>
  <c r="D162" i="12"/>
  <c r="D160" i="11"/>
  <c r="D145" i="10"/>
  <c r="D146" i="12"/>
  <c r="D146" i="11"/>
  <c r="D137" i="10"/>
  <c r="D138" i="12"/>
  <c r="D138" i="11"/>
  <c r="D124" i="10"/>
  <c r="D125" i="12"/>
  <c r="D125" i="11"/>
  <c r="D115" i="10"/>
  <c r="D116" i="12"/>
  <c r="D116" i="11"/>
  <c r="D106" i="10"/>
  <c r="D107" i="12"/>
  <c r="D107" i="11"/>
  <c r="D81" i="10"/>
  <c r="D82" i="12"/>
  <c r="D82" i="11"/>
  <c r="D72" i="10"/>
  <c r="D73" i="12"/>
  <c r="D73" i="11"/>
  <c r="D66" i="10"/>
  <c r="D67" i="12"/>
  <c r="D67" i="11"/>
  <c r="D56" i="10"/>
  <c r="D57" i="12"/>
  <c r="D57" i="11"/>
  <c r="D48" i="10"/>
  <c r="D49" i="12"/>
  <c r="D49" i="11"/>
  <c r="D38" i="11"/>
  <c r="D38" i="12"/>
  <c r="D24" i="10"/>
  <c r="D24" i="12"/>
  <c r="D24" i="11"/>
  <c r="B191" i="12"/>
  <c r="B180" i="10"/>
  <c r="B183" i="12"/>
  <c r="B154" i="10"/>
  <c r="B157" i="12"/>
  <c r="B145" i="10"/>
  <c r="B146" i="12"/>
  <c r="B137" i="10"/>
  <c r="B138" i="12"/>
  <c r="B124" i="10"/>
  <c r="B125" i="12"/>
  <c r="B115" i="10"/>
  <c r="B116" i="12"/>
  <c r="B106" i="10"/>
  <c r="B107" i="12"/>
  <c r="B95" i="10"/>
  <c r="B96" i="12"/>
  <c r="B88" i="10"/>
  <c r="B89" i="12"/>
  <c r="B71" i="10"/>
  <c r="B72" i="12"/>
  <c r="B65" i="10"/>
  <c r="B66" i="12"/>
  <c r="B55" i="10"/>
  <c r="B56" i="12"/>
  <c r="B47" i="10"/>
  <c r="B48" i="12"/>
  <c r="B37" i="10"/>
  <c r="B37" i="12"/>
  <c r="B24" i="10"/>
  <c r="B24" i="12"/>
  <c r="D184" i="10"/>
  <c r="D187" i="12"/>
  <c r="D185" i="11"/>
  <c r="D160" i="12"/>
  <c r="D158" i="11"/>
  <c r="D144" i="10"/>
  <c r="D145" i="12"/>
  <c r="D145" i="11"/>
  <c r="D136" i="10"/>
  <c r="D137" i="12"/>
  <c r="D137" i="11"/>
  <c r="D123" i="10"/>
  <c r="D124" i="12"/>
  <c r="D124" i="11"/>
  <c r="D114" i="10"/>
  <c r="D115" i="12"/>
  <c r="D115" i="11"/>
  <c r="D100" i="10"/>
  <c r="D101" i="12"/>
  <c r="D101" i="11"/>
  <c r="D90" i="10"/>
  <c r="D91" i="12"/>
  <c r="D91" i="11"/>
  <c r="D71" i="10"/>
  <c r="D72" i="12"/>
  <c r="D72" i="11"/>
  <c r="D65" i="10"/>
  <c r="D66" i="12"/>
  <c r="D66" i="11"/>
  <c r="D55" i="10"/>
  <c r="D56" i="12"/>
  <c r="D56" i="11"/>
  <c r="D47" i="10"/>
  <c r="D48" i="12"/>
  <c r="D48" i="11"/>
  <c r="D37" i="10"/>
  <c r="D37" i="12"/>
  <c r="D37" i="11"/>
  <c r="D22" i="10"/>
  <c r="D22" i="11"/>
  <c r="D22" i="12"/>
  <c r="D98" i="10"/>
  <c r="D99" i="12"/>
  <c r="D99" i="11"/>
  <c r="D102" i="10"/>
  <c r="D103" i="12"/>
  <c r="D103" i="11"/>
  <c r="D186" i="10"/>
  <c r="D189" i="12"/>
  <c r="D187" i="11"/>
  <c r="D87" i="10"/>
  <c r="D88" i="12"/>
  <c r="D88" i="11"/>
  <c r="D153" i="10"/>
  <c r="D156" i="12"/>
  <c r="D154" i="11"/>
  <c r="B187" i="10"/>
  <c r="B190" i="12"/>
  <c r="B179" i="10"/>
  <c r="B182" i="12"/>
  <c r="B153" i="10"/>
  <c r="B156" i="12"/>
  <c r="B144" i="10"/>
  <c r="B145" i="12"/>
  <c r="B136" i="10"/>
  <c r="B137" i="12"/>
  <c r="B123" i="10"/>
  <c r="B124" i="12"/>
  <c r="B114" i="10"/>
  <c r="B115" i="12"/>
  <c r="B102" i="10"/>
  <c r="B103" i="12"/>
  <c r="B94" i="10"/>
  <c r="B95" i="12"/>
  <c r="B87" i="10"/>
  <c r="B88" i="12"/>
  <c r="B79" i="10"/>
  <c r="B80" i="12"/>
  <c r="B70" i="10"/>
  <c r="B71" i="12"/>
  <c r="B64" i="10"/>
  <c r="B65" i="12"/>
  <c r="B54" i="10"/>
  <c r="B55" i="12"/>
  <c r="B45" i="10"/>
  <c r="B46" i="12"/>
  <c r="B35" i="10"/>
  <c r="B35" i="12"/>
  <c r="B22" i="10"/>
  <c r="B22" i="12"/>
  <c r="D183" i="10"/>
  <c r="D186" i="12"/>
  <c r="D184" i="11"/>
  <c r="D151" i="10"/>
  <c r="D152" i="12"/>
  <c r="D152" i="11"/>
  <c r="D143" i="10"/>
  <c r="D144" i="12"/>
  <c r="D144" i="11"/>
  <c r="D135" i="10"/>
  <c r="D136" i="12"/>
  <c r="D136" i="11"/>
  <c r="D122" i="10"/>
  <c r="D123" i="12"/>
  <c r="D123" i="11"/>
  <c r="D113" i="10"/>
  <c r="D114" i="12"/>
  <c r="D114" i="11"/>
  <c r="D99" i="10"/>
  <c r="D100" i="12"/>
  <c r="D100" i="11"/>
  <c r="D89" i="10"/>
  <c r="D90" i="12"/>
  <c r="D90" i="11"/>
  <c r="D79" i="10"/>
  <c r="D80" i="12"/>
  <c r="D80" i="11"/>
  <c r="D70" i="10"/>
  <c r="D71" i="12"/>
  <c r="D71" i="11"/>
  <c r="D64" i="10"/>
  <c r="D65" i="12"/>
  <c r="D65" i="11"/>
  <c r="D54" i="10"/>
  <c r="D55" i="12"/>
  <c r="D55" i="11"/>
  <c r="D45" i="10"/>
  <c r="D46" i="12"/>
  <c r="D46" i="11"/>
  <c r="D35" i="10"/>
  <c r="D35" i="12"/>
  <c r="D35" i="11"/>
  <c r="D21" i="10"/>
  <c r="D21" i="12"/>
  <c r="D21" i="11"/>
  <c r="B186" i="10"/>
  <c r="B189" i="12"/>
  <c r="B178" i="10"/>
  <c r="B181" i="12"/>
  <c r="B151" i="10"/>
  <c r="B152" i="12"/>
  <c r="B143" i="10"/>
  <c r="B144" i="12"/>
  <c r="B135" i="10"/>
  <c r="B136" i="12"/>
  <c r="B122" i="10"/>
  <c r="B123" i="12"/>
  <c r="B113" i="10"/>
  <c r="B114" i="12"/>
  <c r="B101" i="10"/>
  <c r="B102" i="12"/>
  <c r="B93" i="10"/>
  <c r="B94" i="12"/>
  <c r="B86" i="10"/>
  <c r="B87" i="12"/>
  <c r="B78" i="10"/>
  <c r="B79" i="12"/>
  <c r="B69" i="10"/>
  <c r="B70" i="12"/>
  <c r="B61" i="10"/>
  <c r="B62" i="12"/>
  <c r="B53" i="10"/>
  <c r="B54" i="12"/>
  <c r="B44" i="10"/>
  <c r="B45" i="12"/>
  <c r="B34" i="10"/>
  <c r="B34" i="12"/>
  <c r="B21" i="10"/>
  <c r="B21" i="12"/>
  <c r="D182" i="10"/>
  <c r="D185" i="12"/>
  <c r="D183" i="11"/>
  <c r="D150" i="10"/>
  <c r="D151" i="12"/>
  <c r="D151" i="11"/>
  <c r="D142" i="10"/>
  <c r="D143" i="12"/>
  <c r="D143" i="11"/>
  <c r="D134" i="10"/>
  <c r="D135" i="12"/>
  <c r="D135" i="11"/>
  <c r="D121" i="10"/>
  <c r="D122" i="12"/>
  <c r="D122" i="11"/>
  <c r="D112" i="10"/>
  <c r="D113" i="12"/>
  <c r="D113" i="11"/>
  <c r="D95" i="10"/>
  <c r="D96" i="12"/>
  <c r="D96" i="11"/>
  <c r="D88" i="10"/>
  <c r="D89" i="12"/>
  <c r="D89" i="11"/>
  <c r="D78" i="10"/>
  <c r="D79" i="12"/>
  <c r="D79" i="11"/>
  <c r="D69" i="10"/>
  <c r="D70" i="11"/>
  <c r="D70" i="12"/>
  <c r="D61" i="10"/>
  <c r="D62" i="12"/>
  <c r="D62" i="11"/>
  <c r="D53" i="10"/>
  <c r="D54" i="12"/>
  <c r="D54" i="11"/>
  <c r="D44" i="10"/>
  <c r="D45" i="12"/>
  <c r="D45" i="11"/>
  <c r="D34" i="10"/>
  <c r="D34" i="12"/>
  <c r="D34" i="11"/>
  <c r="D20" i="10"/>
  <c r="D20" i="12"/>
  <c r="D20" i="11"/>
  <c r="D31" i="10"/>
  <c r="D31" i="12"/>
  <c r="D31" i="11"/>
  <c r="D187" i="10"/>
  <c r="D188" i="11"/>
  <c r="D190" i="12"/>
  <c r="D96" i="10"/>
  <c r="D97" i="12"/>
  <c r="D97" i="11"/>
  <c r="D154" i="10"/>
  <c r="D157" i="12"/>
  <c r="D155" i="11"/>
  <c r="B185" i="10"/>
  <c r="B188" i="12"/>
  <c r="B177" i="10"/>
  <c r="B180" i="12"/>
  <c r="B150" i="10"/>
  <c r="B151" i="12"/>
  <c r="B142" i="10"/>
  <c r="B143" i="12"/>
  <c r="B134" i="10"/>
  <c r="B135" i="12"/>
  <c r="B121" i="10"/>
  <c r="B122" i="12"/>
  <c r="B112" i="10"/>
  <c r="B113" i="12"/>
  <c r="B100" i="10"/>
  <c r="B101" i="12"/>
  <c r="B92" i="10"/>
  <c r="B93" i="12"/>
  <c r="B85" i="10"/>
  <c r="B86" i="12"/>
  <c r="B77" i="10"/>
  <c r="B78" i="12"/>
  <c r="B68" i="10"/>
  <c r="B69" i="12"/>
  <c r="B60" i="10"/>
  <c r="B61" i="12"/>
  <c r="B52" i="10"/>
  <c r="B53" i="12"/>
  <c r="B43" i="10"/>
  <c r="B44" i="12"/>
  <c r="B33" i="10"/>
  <c r="B33" i="12"/>
  <c r="B20" i="10"/>
  <c r="B20" i="12"/>
  <c r="D188" i="10"/>
  <c r="D186" i="2"/>
  <c r="D187" i="7"/>
  <c r="B157" i="8"/>
  <c r="B157" i="10"/>
  <c r="D196" i="9"/>
  <c r="D197" i="10"/>
  <c r="D197" i="9"/>
  <c r="B196" i="9"/>
  <c r="B197" i="9"/>
  <c r="B197" i="10"/>
  <c r="B159" i="2"/>
  <c r="B159" i="10"/>
  <c r="B160" i="7"/>
  <c r="B160" i="8"/>
  <c r="B160" i="9"/>
  <c r="D190" i="10"/>
  <c r="D189" i="8"/>
  <c r="D190" i="9"/>
  <c r="B190" i="10"/>
  <c r="B189" i="8"/>
  <c r="B190" i="9"/>
  <c r="D159" i="10"/>
  <c r="D159" i="2"/>
  <c r="D160" i="7"/>
  <c r="D160" i="8"/>
  <c r="D160" i="9"/>
  <c r="B188" i="10"/>
  <c r="B186" i="2"/>
  <c r="B187" i="7"/>
  <c r="D157" i="8"/>
  <c r="D157" i="10"/>
  <c r="B159" i="7"/>
  <c r="B159" i="8"/>
  <c r="B158" i="2"/>
  <c r="B159" i="9"/>
  <c r="D186" i="7"/>
  <c r="D185" i="2"/>
  <c r="D186" i="8"/>
  <c r="D187" i="9"/>
  <c r="D189" i="9"/>
  <c r="D188" i="8"/>
  <c r="B189" i="9"/>
  <c r="B188" i="8"/>
  <c r="D158" i="2"/>
  <c r="D159" i="8"/>
  <c r="D159" i="7"/>
  <c r="D159" i="9"/>
  <c r="B186" i="7"/>
  <c r="B185" i="2"/>
  <c r="B187" i="9"/>
  <c r="B186" i="8"/>
  <c r="B158" i="7"/>
  <c r="B157" i="2"/>
  <c r="D185" i="7"/>
  <c r="D184" i="2"/>
  <c r="B154" i="2"/>
  <c r="B156" i="7"/>
  <c r="B155" i="2"/>
  <c r="D158" i="7"/>
  <c r="D157" i="2"/>
  <c r="B184" i="2"/>
  <c r="B185" i="7"/>
  <c r="D154" i="2"/>
  <c r="D156" i="7"/>
  <c r="D155" i="2"/>
  <c r="B179" i="2"/>
  <c r="B180" i="7"/>
  <c r="B182" i="9"/>
  <c r="B181" i="8"/>
  <c r="D174" i="2"/>
  <c r="D176" i="8"/>
  <c r="D177" i="9"/>
  <c r="D175" i="7"/>
  <c r="D183" i="2"/>
  <c r="D184" i="7"/>
  <c r="D185" i="8"/>
  <c r="D186" i="9"/>
  <c r="B178" i="2"/>
  <c r="B179" i="7"/>
  <c r="B181" i="9"/>
  <c r="B180" i="8"/>
  <c r="D161" i="9"/>
  <c r="D195" i="9"/>
  <c r="D173" i="2"/>
  <c r="D175" i="8"/>
  <c r="D176" i="9"/>
  <c r="D174" i="7"/>
  <c r="B161" i="9"/>
  <c r="B195" i="9"/>
  <c r="B177" i="2"/>
  <c r="B180" i="9"/>
  <c r="B179" i="8"/>
  <c r="B178" i="7"/>
  <c r="D176" i="2"/>
  <c r="D177" i="7"/>
  <c r="D178" i="8"/>
  <c r="D179" i="9"/>
  <c r="B156" i="2"/>
  <c r="B157" i="7"/>
  <c r="D158" i="8"/>
  <c r="D187" i="8"/>
  <c r="D188" i="9"/>
  <c r="D172" i="2"/>
  <c r="D175" i="9"/>
  <c r="D173" i="7"/>
  <c r="D174" i="8"/>
  <c r="D175" i="2"/>
  <c r="D177" i="8"/>
  <c r="D178" i="9"/>
  <c r="D176" i="7"/>
  <c r="B158" i="8"/>
  <c r="B188" i="9"/>
  <c r="B187" i="8"/>
  <c r="B176" i="2"/>
  <c r="B179" i="9"/>
  <c r="B178" i="8"/>
  <c r="B177" i="7"/>
  <c r="D180" i="2"/>
  <c r="D183" i="9"/>
  <c r="D182" i="8"/>
  <c r="D181" i="7"/>
  <c r="D156" i="2"/>
  <c r="D157" i="7"/>
  <c r="B183" i="2"/>
  <c r="B185" i="8"/>
  <c r="B186" i="9"/>
  <c r="B184" i="7"/>
  <c r="B175" i="2"/>
  <c r="B177" i="8"/>
  <c r="B176" i="7"/>
  <c r="B178" i="9"/>
  <c r="D179" i="2"/>
  <c r="D180" i="7"/>
  <c r="D182" i="9"/>
  <c r="D181" i="8"/>
  <c r="D181" i="2"/>
  <c r="D183" i="8"/>
  <c r="D184" i="9"/>
  <c r="D182" i="7"/>
  <c r="B182" i="2"/>
  <c r="B183" i="7"/>
  <c r="B184" i="8"/>
  <c r="B185" i="9"/>
  <c r="B174" i="2"/>
  <c r="B175" i="7"/>
  <c r="B176" i="8"/>
  <c r="B177" i="9"/>
  <c r="D178" i="2"/>
  <c r="D179" i="7"/>
  <c r="D180" i="8"/>
  <c r="D181" i="9"/>
  <c r="B181" i="2"/>
  <c r="B182" i="7"/>
  <c r="B184" i="9"/>
  <c r="B183" i="8"/>
  <c r="B173" i="2"/>
  <c r="B174" i="7"/>
  <c r="B176" i="9"/>
  <c r="B175" i="8"/>
  <c r="D177" i="2"/>
  <c r="D178" i="7"/>
  <c r="D179" i="8"/>
  <c r="D180" i="9"/>
  <c r="D182" i="2"/>
  <c r="D184" i="8"/>
  <c r="D185" i="9"/>
  <c r="D183" i="7"/>
  <c r="B180" i="2"/>
  <c r="B181" i="7"/>
  <c r="B183" i="9"/>
  <c r="B182" i="8"/>
  <c r="B172" i="2"/>
  <c r="B173" i="7"/>
  <c r="B175" i="9"/>
  <c r="B174" i="8"/>
  <c r="B15" i="8"/>
  <c r="B158" i="9"/>
  <c r="B24" i="9"/>
  <c r="B103" i="9"/>
  <c r="B152" i="9"/>
  <c r="B143" i="7"/>
  <c r="B39" i="7"/>
  <c r="B137" i="2"/>
  <c r="B30" i="2"/>
  <c r="B150" i="8"/>
  <c r="B135" i="2"/>
  <c r="B151" i="9"/>
  <c r="B32" i="9"/>
  <c r="B147" i="8"/>
  <c r="B39" i="8"/>
  <c r="B145" i="7"/>
  <c r="B31" i="7"/>
  <c r="B149" i="9"/>
  <c r="B41" i="9"/>
  <c r="B149" i="8"/>
  <c r="B31" i="8"/>
  <c r="B15" i="9"/>
  <c r="B17" i="10"/>
  <c r="B17" i="12"/>
  <c r="B15" i="13"/>
  <c r="B17" i="14"/>
  <c r="B15" i="15"/>
  <c r="B17" i="16"/>
  <c r="B15" i="17"/>
  <c r="B16" i="10"/>
  <c r="B16" i="12"/>
  <c r="B16" i="14"/>
  <c r="B16" i="16"/>
  <c r="B150" i="2"/>
  <c r="B39" i="9"/>
  <c r="B17" i="7"/>
  <c r="B15" i="10"/>
  <c r="B15" i="12"/>
  <c r="B17" i="13"/>
  <c r="B15" i="14"/>
  <c r="B17" i="15"/>
  <c r="B15" i="16"/>
  <c r="B17" i="17"/>
  <c r="B16" i="8"/>
  <c r="B16" i="13"/>
  <c r="B16" i="15"/>
  <c r="B16" i="17"/>
  <c r="B17" i="9"/>
  <c r="B16" i="9"/>
  <c r="B155" i="9"/>
  <c r="B153" i="8"/>
  <c r="B140" i="2"/>
  <c r="B148" i="7"/>
  <c r="B144" i="9"/>
  <c r="B142" i="8"/>
  <c r="B138" i="7"/>
  <c r="B130" i="2"/>
  <c r="B136" i="9"/>
  <c r="B134" i="8"/>
  <c r="B130" i="7"/>
  <c r="B123" i="2"/>
  <c r="B128" i="9"/>
  <c r="B126" i="8"/>
  <c r="B122" i="7"/>
  <c r="B115" i="2"/>
  <c r="B120" i="9"/>
  <c r="B118" i="8"/>
  <c r="B114" i="7"/>
  <c r="B107" i="2"/>
  <c r="B112" i="9"/>
  <c r="B110" i="8"/>
  <c r="B106" i="7"/>
  <c r="B99" i="2"/>
  <c r="B104" i="9"/>
  <c r="B102" i="8"/>
  <c r="B101" i="7"/>
  <c r="B94" i="2"/>
  <c r="B96" i="9"/>
  <c r="B95" i="8"/>
  <c r="B94" i="7"/>
  <c r="B82" i="8"/>
  <c r="B83" i="9"/>
  <c r="B82" i="7"/>
  <c r="B78" i="2"/>
  <c r="B77" i="9"/>
  <c r="B76" i="8"/>
  <c r="B76" i="7"/>
  <c r="B72" i="2"/>
  <c r="B69" i="9"/>
  <c r="B68" i="8"/>
  <c r="B68" i="7"/>
  <c r="B64" i="2"/>
  <c r="B61" i="9"/>
  <c r="B60" i="8"/>
  <c r="B60" i="7"/>
  <c r="B56" i="2"/>
  <c r="B53" i="9"/>
  <c r="B52" i="8"/>
  <c r="B52" i="7"/>
  <c r="B48" i="2"/>
  <c r="B45" i="9"/>
  <c r="B44" i="8"/>
  <c r="B44" i="7"/>
  <c r="B40" i="2"/>
  <c r="B37" i="9"/>
  <c r="B36" i="8"/>
  <c r="B33" i="2"/>
  <c r="B36" i="7"/>
  <c r="B27" i="8"/>
  <c r="B28" i="9"/>
  <c r="B27" i="7"/>
  <c r="B26" i="2"/>
  <c r="B19" i="8"/>
  <c r="B19" i="9"/>
  <c r="B19" i="7"/>
  <c r="B19" i="2"/>
  <c r="B155" i="7"/>
  <c r="B146" i="2"/>
  <c r="B154" i="9"/>
  <c r="B147" i="7"/>
  <c r="B152" i="8"/>
  <c r="B139" i="2"/>
  <c r="B143" i="9"/>
  <c r="B141" i="8"/>
  <c r="B129" i="2"/>
  <c r="B137" i="7"/>
  <c r="B135" i="9"/>
  <c r="B133" i="8"/>
  <c r="B129" i="7"/>
  <c r="B122" i="2"/>
  <c r="B127" i="9"/>
  <c r="B125" i="8"/>
  <c r="B121" i="7"/>
  <c r="B114" i="2"/>
  <c r="B119" i="9"/>
  <c r="B117" i="8"/>
  <c r="B113" i="7"/>
  <c r="B106" i="2"/>
  <c r="B111" i="9"/>
  <c r="B109" i="8"/>
  <c r="B105" i="7"/>
  <c r="B98" i="2"/>
  <c r="B95" i="9"/>
  <c r="B94" i="8"/>
  <c r="B93" i="7"/>
  <c r="B88" i="2"/>
  <c r="B82" i="9"/>
  <c r="B81" i="8"/>
  <c r="B77" i="2"/>
  <c r="B81" i="7"/>
  <c r="B75" i="8"/>
  <c r="B76" i="9"/>
  <c r="B75" i="7"/>
  <c r="B71" i="2"/>
  <c r="B67" i="8"/>
  <c r="B68" i="9"/>
  <c r="B67" i="7"/>
  <c r="B63" i="2"/>
  <c r="B59" i="8"/>
  <c r="B59" i="7"/>
  <c r="B60" i="9"/>
  <c r="B55" i="2"/>
  <c r="B51" i="8"/>
  <c r="B52" i="9"/>
  <c r="B51" i="7"/>
  <c r="B47" i="2"/>
  <c r="B43" i="8"/>
  <c r="B44" i="9"/>
  <c r="B43" i="7"/>
  <c r="B39" i="2"/>
  <c r="B35" i="8"/>
  <c r="B36" i="9"/>
  <c r="B35" i="7"/>
  <c r="B32" i="2"/>
  <c r="B27" i="9"/>
  <c r="B26" i="8"/>
  <c r="B26" i="7"/>
  <c r="B18" i="9"/>
  <c r="B18" i="8"/>
  <c r="B18" i="7"/>
  <c r="B18" i="2"/>
  <c r="B154" i="7"/>
  <c r="B145" i="2"/>
  <c r="B153" i="9"/>
  <c r="B151" i="8"/>
  <c r="B146" i="7"/>
  <c r="B138" i="2"/>
  <c r="B142" i="9"/>
  <c r="B140" i="8"/>
  <c r="B136" i="7"/>
  <c r="B128" i="2"/>
  <c r="B133" i="9"/>
  <c r="B131" i="8"/>
  <c r="B120" i="2"/>
  <c r="B127" i="7"/>
  <c r="B126" i="9"/>
  <c r="B124" i="8"/>
  <c r="B113" i="2"/>
  <c r="B120" i="7"/>
  <c r="B118" i="9"/>
  <c r="B116" i="8"/>
  <c r="B105" i="2"/>
  <c r="B112" i="7"/>
  <c r="B110" i="9"/>
  <c r="B108" i="8"/>
  <c r="B102" i="9"/>
  <c r="B101" i="8"/>
  <c r="B100" i="7"/>
  <c r="B93" i="2"/>
  <c r="B94" i="9"/>
  <c r="B93" i="8"/>
  <c r="B92" i="7"/>
  <c r="B87" i="2"/>
  <c r="B89" i="9"/>
  <c r="B88" i="8"/>
  <c r="B81" i="9"/>
  <c r="B80" i="8"/>
  <c r="B76" i="2"/>
  <c r="B80" i="7"/>
  <c r="B75" i="9"/>
  <c r="B74" i="8"/>
  <c r="B74" i="7"/>
  <c r="B70" i="2"/>
  <c r="B67" i="9"/>
  <c r="B66" i="8"/>
  <c r="B66" i="7"/>
  <c r="B62" i="2"/>
  <c r="B59" i="9"/>
  <c r="B58" i="8"/>
  <c r="B58" i="7"/>
  <c r="B54" i="2"/>
  <c r="B50" i="8"/>
  <c r="B51" i="9"/>
  <c r="B50" i="7"/>
  <c r="B46" i="2"/>
  <c r="B43" i="9"/>
  <c r="B42" i="8"/>
  <c r="B42" i="7"/>
  <c r="B38" i="2"/>
  <c r="B35" i="9"/>
  <c r="B34" i="8"/>
  <c r="B34" i="7"/>
  <c r="B26" i="9"/>
  <c r="B25" i="8"/>
  <c r="B25" i="2"/>
  <c r="B25" i="7"/>
  <c r="B153" i="2"/>
  <c r="B153" i="7"/>
  <c r="B150" i="9"/>
  <c r="B148" i="8"/>
  <c r="B144" i="7"/>
  <c r="B136" i="2"/>
  <c r="B141" i="9"/>
  <c r="B139" i="8"/>
  <c r="B135" i="7"/>
  <c r="B127" i="2"/>
  <c r="B132" i="9"/>
  <c r="B130" i="8"/>
  <c r="B126" i="7"/>
  <c r="B119" i="2"/>
  <c r="B125" i="9"/>
  <c r="B123" i="8"/>
  <c r="B119" i="7"/>
  <c r="B112" i="2"/>
  <c r="B117" i="9"/>
  <c r="B115" i="8"/>
  <c r="B111" i="7"/>
  <c r="B104" i="2"/>
  <c r="B109" i="9"/>
  <c r="B107" i="8"/>
  <c r="B101" i="9"/>
  <c r="B100" i="8"/>
  <c r="B99" i="7"/>
  <c r="B92" i="2"/>
  <c r="B93" i="9"/>
  <c r="B92" i="8"/>
  <c r="B91" i="7"/>
  <c r="B86" i="2"/>
  <c r="B88" i="9"/>
  <c r="B87" i="8"/>
  <c r="B87" i="7"/>
  <c r="B80" i="9"/>
  <c r="B79" i="8"/>
  <c r="B79" i="7"/>
  <c r="B75" i="2"/>
  <c r="B74" i="9"/>
  <c r="B73" i="8"/>
  <c r="B69" i="2"/>
  <c r="B73" i="7"/>
  <c r="B66" i="9"/>
  <c r="B65" i="8"/>
  <c r="B65" i="7"/>
  <c r="B61" i="2"/>
  <c r="B58" i="9"/>
  <c r="B57" i="8"/>
  <c r="B57" i="7"/>
  <c r="B53" i="2"/>
  <c r="B50" i="9"/>
  <c r="B49" i="8"/>
  <c r="B45" i="2"/>
  <c r="B49" i="7"/>
  <c r="B42" i="9"/>
  <c r="B41" i="8"/>
  <c r="B37" i="2"/>
  <c r="B41" i="7"/>
  <c r="B34" i="9"/>
  <c r="B33" i="8"/>
  <c r="B33" i="7"/>
  <c r="B25" i="9"/>
  <c r="B24" i="8"/>
  <c r="B24" i="7"/>
  <c r="B24" i="2"/>
  <c r="B152" i="2"/>
  <c r="B152" i="7"/>
  <c r="B144" i="2"/>
  <c r="B148" i="9"/>
  <c r="B146" i="8"/>
  <c r="B142" i="7"/>
  <c r="B134" i="2"/>
  <c r="B140" i="9"/>
  <c r="B138" i="8"/>
  <c r="B134" i="7"/>
  <c r="B131" i="9"/>
  <c r="B129" i="8"/>
  <c r="B125" i="7"/>
  <c r="B118" i="2"/>
  <c r="B124" i="9"/>
  <c r="B122" i="8"/>
  <c r="B118" i="7"/>
  <c r="B111" i="2"/>
  <c r="B114" i="8"/>
  <c r="B116" i="9"/>
  <c r="B110" i="7"/>
  <c r="B103" i="2"/>
  <c r="B106" i="8"/>
  <c r="B108" i="9"/>
  <c r="B99" i="8"/>
  <c r="B100" i="9"/>
  <c r="B98" i="7"/>
  <c r="B91" i="2"/>
  <c r="B91" i="8"/>
  <c r="B92" i="9"/>
  <c r="B90" i="7"/>
  <c r="B85" i="2"/>
  <c r="B87" i="9"/>
  <c r="B86" i="8"/>
  <c r="B86" i="7"/>
  <c r="B82" i="2"/>
  <c r="B79" i="9"/>
  <c r="B78" i="8"/>
  <c r="B78" i="7"/>
  <c r="B74" i="2"/>
  <c r="B73" i="9"/>
  <c r="B72" i="8"/>
  <c r="B68" i="2"/>
  <c r="B72" i="7"/>
  <c r="B65" i="9"/>
  <c r="B64" i="8"/>
  <c r="B64" i="7"/>
  <c r="B60" i="2"/>
  <c r="B57" i="9"/>
  <c r="B56" i="8"/>
  <c r="B56" i="7"/>
  <c r="B52" i="2"/>
  <c r="B49" i="9"/>
  <c r="B48" i="8"/>
  <c r="B44" i="2"/>
  <c r="B48" i="7"/>
  <c r="B40" i="8"/>
  <c r="B36" i="2"/>
  <c r="B40" i="7"/>
  <c r="B33" i="9"/>
  <c r="B32" i="8"/>
  <c r="B32" i="7"/>
  <c r="B31" i="2"/>
  <c r="B23" i="9"/>
  <c r="B23" i="8"/>
  <c r="B23" i="7"/>
  <c r="B23" i="2"/>
  <c r="B151" i="2"/>
  <c r="B156" i="8"/>
  <c r="B151" i="7"/>
  <c r="B143" i="2"/>
  <c r="B147" i="9"/>
  <c r="B145" i="8"/>
  <c r="B141" i="7"/>
  <c r="B133" i="2"/>
  <c r="B139" i="9"/>
  <c r="B137" i="8"/>
  <c r="B133" i="7"/>
  <c r="B126" i="2"/>
  <c r="B130" i="9"/>
  <c r="B128" i="8"/>
  <c r="B117" i="2"/>
  <c r="B124" i="7"/>
  <c r="B123" i="9"/>
  <c r="B121" i="8"/>
  <c r="B117" i="7"/>
  <c r="B110" i="2"/>
  <c r="B113" i="8"/>
  <c r="B115" i="9"/>
  <c r="B109" i="7"/>
  <c r="B102" i="2"/>
  <c r="B105" i="8"/>
  <c r="B107" i="9"/>
  <c r="B97" i="2"/>
  <c r="B104" i="7"/>
  <c r="B99" i="9"/>
  <c r="B98" i="8"/>
  <c r="B97" i="7"/>
  <c r="B90" i="2"/>
  <c r="B91" i="9"/>
  <c r="B89" i="7"/>
  <c r="B84" i="2"/>
  <c r="B90" i="8"/>
  <c r="B86" i="9"/>
  <c r="B85" i="8"/>
  <c r="B85" i="7"/>
  <c r="B81" i="2"/>
  <c r="B72" i="9"/>
  <c r="B71" i="8"/>
  <c r="B71" i="7"/>
  <c r="B67" i="2"/>
  <c r="B64" i="9"/>
  <c r="B63" i="8"/>
  <c r="B59" i="2"/>
  <c r="B63" i="7"/>
  <c r="B56" i="9"/>
  <c r="B55" i="8"/>
  <c r="B55" i="7"/>
  <c r="B51" i="2"/>
  <c r="B48" i="9"/>
  <c r="B47" i="8"/>
  <c r="B47" i="7"/>
  <c r="B43" i="2"/>
  <c r="B40" i="9"/>
  <c r="B38" i="8"/>
  <c r="B38" i="7"/>
  <c r="B35" i="2"/>
  <c r="B31" i="9"/>
  <c r="B30" i="8"/>
  <c r="B29" i="2"/>
  <c r="B30" i="7"/>
  <c r="B22" i="9"/>
  <c r="B22" i="8"/>
  <c r="B22" i="7"/>
  <c r="B22" i="2"/>
  <c r="B147" i="2"/>
  <c r="B149" i="2"/>
  <c r="B157" i="9"/>
  <c r="B155" i="8"/>
  <c r="B150" i="7"/>
  <c r="B142" i="2"/>
  <c r="B146" i="9"/>
  <c r="B144" i="8"/>
  <c r="B140" i="7"/>
  <c r="B132" i="2"/>
  <c r="B138" i="9"/>
  <c r="B136" i="8"/>
  <c r="B132" i="7"/>
  <c r="B125" i="2"/>
  <c r="B134" i="9"/>
  <c r="B132" i="8"/>
  <c r="B128" i="7"/>
  <c r="B121" i="2"/>
  <c r="B122" i="9"/>
  <c r="B120" i="8"/>
  <c r="B109" i="2"/>
  <c r="B116" i="7"/>
  <c r="B114" i="9"/>
  <c r="B112" i="8"/>
  <c r="B108" i="7"/>
  <c r="B101" i="2"/>
  <c r="B106" i="9"/>
  <c r="B104" i="8"/>
  <c r="B103" i="7"/>
  <c r="B96" i="2"/>
  <c r="B98" i="9"/>
  <c r="B97" i="8"/>
  <c r="B96" i="7"/>
  <c r="B90" i="9"/>
  <c r="B89" i="8"/>
  <c r="B88" i="7"/>
  <c r="B83" i="2"/>
  <c r="B85" i="9"/>
  <c r="B84" i="8"/>
  <c r="B80" i="2"/>
  <c r="B84" i="7"/>
  <c r="B71" i="9"/>
  <c r="B70" i="8"/>
  <c r="B70" i="7"/>
  <c r="B66" i="2"/>
  <c r="B63" i="9"/>
  <c r="B62" i="8"/>
  <c r="B62" i="7"/>
  <c r="B58" i="2"/>
  <c r="B55" i="9"/>
  <c r="B54" i="8"/>
  <c r="B54" i="7"/>
  <c r="B50" i="2"/>
  <c r="B47" i="9"/>
  <c r="B46" i="8"/>
  <c r="B46" i="7"/>
  <c r="B42" i="2"/>
  <c r="B30" i="9"/>
  <c r="B29" i="8"/>
  <c r="B29" i="7"/>
  <c r="B28" i="2"/>
  <c r="B21" i="9"/>
  <c r="B21" i="8"/>
  <c r="B21" i="7"/>
  <c r="B21" i="2"/>
  <c r="B148" i="2"/>
  <c r="B156" i="9"/>
  <c r="B149" i="7"/>
  <c r="B154" i="8"/>
  <c r="B141" i="2"/>
  <c r="B145" i="9"/>
  <c r="B143" i="8"/>
  <c r="B139" i="7"/>
  <c r="B131" i="2"/>
  <c r="B137" i="9"/>
  <c r="B135" i="8"/>
  <c r="B131" i="7"/>
  <c r="B124" i="2"/>
  <c r="B129" i="9"/>
  <c r="B127" i="8"/>
  <c r="B123" i="7"/>
  <c r="B116" i="2"/>
  <c r="B121" i="9"/>
  <c r="B115" i="7"/>
  <c r="B119" i="8"/>
  <c r="B108" i="2"/>
  <c r="B113" i="9"/>
  <c r="B107" i="7"/>
  <c r="B111" i="8"/>
  <c r="B100" i="2"/>
  <c r="B105" i="9"/>
  <c r="B103" i="8"/>
  <c r="B102" i="7"/>
  <c r="B95" i="2"/>
  <c r="B97" i="9"/>
  <c r="B96" i="8"/>
  <c r="B89" i="2"/>
  <c r="B95" i="7"/>
  <c r="B83" i="8"/>
  <c r="B84" i="9"/>
  <c r="B83" i="7"/>
  <c r="B79" i="2"/>
  <c r="B78" i="9"/>
  <c r="B77" i="8"/>
  <c r="B77" i="7"/>
  <c r="B73" i="2"/>
  <c r="B70" i="9"/>
  <c r="B69" i="8"/>
  <c r="B69" i="7"/>
  <c r="B65" i="2"/>
  <c r="B62" i="9"/>
  <c r="B61" i="7"/>
  <c r="B57" i="2"/>
  <c r="B61" i="8"/>
  <c r="B54" i="9"/>
  <c r="B53" i="8"/>
  <c r="B53" i="7"/>
  <c r="B49" i="2"/>
  <c r="B46" i="9"/>
  <c r="B45" i="8"/>
  <c r="B45" i="7"/>
  <c r="B41" i="2"/>
  <c r="B38" i="9"/>
  <c r="B37" i="7"/>
  <c r="B37" i="8"/>
  <c r="B34" i="2"/>
  <c r="B29" i="9"/>
  <c r="B28" i="8"/>
  <c r="B28" i="7"/>
  <c r="B27" i="2"/>
  <c r="B20" i="8"/>
  <c r="B20" i="9"/>
  <c r="B20" i="2"/>
  <c r="B20" i="7"/>
  <c r="B17" i="8"/>
  <c r="B16" i="2"/>
  <c r="B16" i="7"/>
  <c r="B17" i="2"/>
  <c r="B15" i="7"/>
  <c r="H110" i="28"/>
  <c r="H166" i="28"/>
  <c r="H117" i="28"/>
  <c r="H153" i="28"/>
  <c r="H158" i="28"/>
  <c r="H124" i="28"/>
  <c r="H169" i="28"/>
  <c r="H145" i="28"/>
  <c r="H136" i="28"/>
  <c r="H128" i="28"/>
  <c r="H116" i="28"/>
  <c r="H95" i="28"/>
  <c r="H143" i="28"/>
  <c r="H159" i="28"/>
  <c r="H108" i="28"/>
  <c r="H130" i="28"/>
  <c r="H119" i="28"/>
  <c r="H94" i="28"/>
  <c r="H111" i="28"/>
  <c r="J145" i="28"/>
  <c r="J136" i="28"/>
  <c r="J111" i="28"/>
  <c r="J162" i="28"/>
  <c r="J143" i="28"/>
  <c r="J148" i="28"/>
  <c r="J135" i="28"/>
  <c r="J127" i="28"/>
  <c r="J119" i="28"/>
  <c r="J110" i="28"/>
  <c r="J128" i="28"/>
  <c r="J161" i="28"/>
  <c r="J146" i="28"/>
  <c r="J133" i="28"/>
  <c r="J117" i="28"/>
  <c r="J107" i="28"/>
  <c r="J92" i="28"/>
  <c r="J118" i="28"/>
  <c r="J171" i="28"/>
  <c r="J153" i="28"/>
  <c r="I137" i="28"/>
  <c r="I108" i="28"/>
  <c r="I117" i="28"/>
  <c r="I107" i="28"/>
  <c r="I146" i="28"/>
  <c r="I116" i="28"/>
  <c r="I174" i="28"/>
  <c r="I95" i="28"/>
  <c r="I94" i="28"/>
  <c r="I159" i="28"/>
  <c r="I145" i="28"/>
  <c r="I129" i="28"/>
  <c r="I115" i="28"/>
  <c r="I136" i="28"/>
  <c r="I160" i="28"/>
  <c r="I128" i="28"/>
  <c r="I114" i="28"/>
  <c r="I156" i="28"/>
  <c r="I141" i="28"/>
  <c r="I133" i="28"/>
  <c r="I170" i="28"/>
  <c r="I132" i="28"/>
  <c r="I124" i="28"/>
  <c r="H122" i="28"/>
  <c r="H142" i="28"/>
  <c r="H121" i="28"/>
  <c r="H164" i="28"/>
  <c r="H141" i="28"/>
  <c r="H133" i="28"/>
  <c r="H140" i="28"/>
  <c r="H154" i="28"/>
  <c r="H139" i="28"/>
  <c r="H131" i="28"/>
  <c r="H123" i="28"/>
  <c r="H97" i="28"/>
  <c r="H134" i="28"/>
  <c r="H156" i="28"/>
  <c r="H132" i="28"/>
  <c r="H112" i="28"/>
  <c r="H137" i="28"/>
  <c r="H118" i="28"/>
  <c r="H179" i="28"/>
  <c r="H168" i="28"/>
  <c r="H165" i="28"/>
  <c r="H96" i="28"/>
  <c r="X13" i="32"/>
  <c r="AD48" i="32"/>
  <c r="L14" i="32"/>
  <c r="AJ43" i="32"/>
  <c r="I29" i="23"/>
  <c r="AA17" i="32"/>
  <c r="AJ14" i="18"/>
  <c r="AD53" i="32"/>
  <c r="U11" i="18"/>
  <c r="AM29" i="23"/>
  <c r="O29" i="23"/>
  <c r="U48" i="32"/>
  <c r="R11" i="18"/>
  <c r="AG18" i="32"/>
  <c r="AD28" i="23"/>
  <c r="I52" i="32"/>
  <c r="AD50" i="32"/>
  <c r="F18" i="32"/>
  <c r="AG48" i="32"/>
  <c r="AD29" i="23"/>
  <c r="AG13" i="32"/>
  <c r="AJ48" i="32"/>
  <c r="AA54" i="32"/>
  <c r="X54" i="32"/>
  <c r="O53" i="32"/>
  <c r="X14" i="32"/>
  <c r="AA14" i="32"/>
  <c r="F29" i="23"/>
  <c r="O46" i="32"/>
  <c r="AA51" i="32"/>
  <c r="R51" i="32"/>
  <c r="S25" i="25"/>
  <c r="AD46" i="32"/>
  <c r="AA52" i="32"/>
  <c r="AD52" i="32"/>
  <c r="X11" i="18"/>
  <c r="F28" i="23"/>
  <c r="U52" i="32"/>
  <c r="I50" i="32"/>
  <c r="X50" i="32"/>
  <c r="R28" i="23"/>
  <c r="AG53" i="32"/>
  <c r="F46" i="32"/>
  <c r="I95" i="18"/>
  <c r="L44" i="32"/>
  <c r="F43" i="32"/>
  <c r="AA50" i="32"/>
  <c r="L51" i="32"/>
  <c r="O17" i="32"/>
  <c r="F54" i="32"/>
  <c r="R53" i="32"/>
  <c r="AM95" i="18"/>
  <c r="I46" i="32"/>
  <c r="X53" i="32"/>
  <c r="F17" i="32"/>
  <c r="D43" i="32"/>
  <c r="AG11" i="18"/>
  <c r="U29" i="23"/>
  <c r="O49" i="32"/>
  <c r="L53" i="32"/>
  <c r="AJ29" i="23"/>
  <c r="I17" i="32"/>
  <c r="AG14" i="18"/>
  <c r="O51" i="32"/>
  <c r="O14" i="32"/>
  <c r="U14" i="18"/>
  <c r="AA29" i="23"/>
  <c r="R52" i="32"/>
  <c r="R48" i="32"/>
  <c r="AG17" i="32"/>
  <c r="I54" i="32"/>
  <c r="R29" i="23"/>
  <c r="AG14" i="32"/>
  <c r="X45" i="32"/>
  <c r="R46" i="32"/>
  <c r="X29" i="23"/>
  <c r="R17" i="32"/>
  <c r="R49" i="32"/>
  <c r="F44" i="32"/>
  <c r="D18" i="32"/>
  <c r="AG29" i="23"/>
  <c r="R14" i="18"/>
  <c r="AD49" i="32"/>
  <c r="AG49" i="32"/>
  <c r="AG43" i="32"/>
  <c r="D49" i="32"/>
  <c r="D46" i="32"/>
  <c r="AD95" i="18"/>
  <c r="F48" i="32"/>
  <c r="X44" i="32"/>
  <c r="F50" i="32"/>
  <c r="AA45" i="32"/>
  <c r="AD13" i="32"/>
  <c r="U44" i="32"/>
  <c r="L46" i="32"/>
  <c r="I45" i="32"/>
  <c r="O18" i="32"/>
  <c r="AJ11" i="18"/>
  <c r="L45" i="32"/>
  <c r="AJ49" i="32"/>
  <c r="AG28" i="23"/>
  <c r="D45" i="32"/>
  <c r="AG46" i="32"/>
  <c r="AJ46" i="32"/>
  <c r="U54" i="32"/>
  <c r="AD45" i="32"/>
  <c r="U17" i="32"/>
  <c r="L54" i="32"/>
  <c r="D53" i="32"/>
  <c r="AJ17" i="32"/>
  <c r="U28" i="23"/>
  <c r="R43" i="32"/>
  <c r="AJ44" i="23"/>
  <c r="F51" i="32"/>
  <c r="AG45" i="32"/>
  <c r="AJ18" i="32"/>
  <c r="O13" i="32"/>
  <c r="AA49" i="32"/>
  <c r="U13" i="32"/>
  <c r="L13" i="32"/>
  <c r="D50" i="32"/>
  <c r="U50" i="32"/>
  <c r="AM11" i="18"/>
  <c r="O28" i="23"/>
  <c r="O43" i="32"/>
  <c r="U53" i="32"/>
  <c r="R13" i="32"/>
  <c r="L48" i="32"/>
  <c r="AA48" i="32"/>
  <c r="AD17" i="32"/>
  <c r="X43" i="32"/>
  <c r="X14" i="18"/>
  <c r="AJ54" i="32"/>
  <c r="D51" i="32"/>
  <c r="D52" i="32"/>
  <c r="L50" i="32"/>
  <c r="AA13" i="32"/>
  <c r="AA14" i="18"/>
  <c r="I28" i="23"/>
  <c r="X95" i="18"/>
  <c r="AA44" i="32"/>
  <c r="O48" i="32"/>
  <c r="L11" i="18"/>
  <c r="AM14" i="18"/>
  <c r="AG44" i="32"/>
  <c r="D44" i="32"/>
  <c r="R18" i="32"/>
  <c r="AD14" i="18"/>
  <c r="I49" i="32"/>
  <c r="S13" i="25"/>
  <c r="U51" i="32"/>
  <c r="AD54" i="32"/>
  <c r="I13" i="32"/>
  <c r="AJ53" i="32"/>
  <c r="I14" i="18"/>
  <c r="I14" i="32"/>
  <c r="X48" i="32"/>
  <c r="I11" i="18"/>
  <c r="AG95" i="18"/>
  <c r="R54" i="32"/>
  <c r="AA43" i="32"/>
  <c r="F49" i="32"/>
  <c r="AA28" i="23"/>
  <c r="AG54" i="32"/>
  <c r="R45" i="32"/>
  <c r="U43" i="32"/>
  <c r="AD18" i="32"/>
  <c r="L43" i="32"/>
  <c r="D54" i="32"/>
  <c r="AD11" i="18"/>
  <c r="O45" i="32"/>
  <c r="O54" i="32"/>
  <c r="AJ14" i="32"/>
  <c r="F52" i="32"/>
  <c r="L14" i="18"/>
  <c r="D48" i="32"/>
  <c r="F95" i="18"/>
  <c r="AG51" i="32"/>
  <c r="AJ51" i="32"/>
  <c r="D14" i="25"/>
  <c r="R95" i="18"/>
  <c r="AD51" i="32"/>
  <c r="F45" i="32"/>
  <c r="AJ13" i="32"/>
  <c r="I48" i="32"/>
  <c r="AD14" i="32"/>
  <c r="I18" i="32"/>
  <c r="R14" i="32"/>
  <c r="D17" i="32"/>
  <c r="L52" i="32"/>
  <c r="I51" i="32"/>
  <c r="O11" i="18"/>
  <c r="F14" i="32"/>
  <c r="I44" i="32"/>
  <c r="AA53" i="32"/>
  <c r="U49" i="32"/>
  <c r="X46" i="32"/>
  <c r="F13" i="32"/>
  <c r="AD44" i="32"/>
  <c r="X51" i="32"/>
  <c r="F11" i="18"/>
  <c r="F53" i="32"/>
  <c r="AA95" i="18"/>
  <c r="R44" i="32"/>
  <c r="O50" i="32"/>
  <c r="U95" i="18"/>
  <c r="L18" i="32"/>
  <c r="AJ95" i="18"/>
  <c r="X17" i="32"/>
  <c r="R50" i="32"/>
  <c r="AJ45" i="32"/>
  <c r="I43" i="32"/>
  <c r="D14" i="32"/>
  <c r="L49" i="32"/>
  <c r="D13" i="32"/>
  <c r="X52" i="32"/>
  <c r="O52" i="32"/>
  <c r="AG50" i="32"/>
  <c r="L17" i="32"/>
  <c r="U18" i="32"/>
  <c r="U46" i="32"/>
  <c r="U45" i="32"/>
  <c r="AD43" i="32"/>
  <c r="I53" i="32"/>
  <c r="F14" i="18"/>
  <c r="X18" i="32"/>
  <c r="O95" i="18"/>
  <c r="AG118" i="18"/>
  <c r="U14" i="32"/>
  <c r="AA18" i="32"/>
  <c r="AJ50" i="32"/>
  <c r="X28" i="23"/>
  <c r="O44" i="32"/>
  <c r="AJ28" i="23"/>
  <c r="AJ44" i="32"/>
  <c r="X49" i="32"/>
  <c r="AJ52" i="32"/>
  <c r="AG52" i="32"/>
  <c r="L28" i="23"/>
  <c r="AA46" i="32"/>
  <c r="L29" i="23"/>
  <c r="O14" i="18"/>
  <c r="L95" i="18"/>
  <c r="AA11" i="18"/>
  <c r="AM28" i="23"/>
  <c r="Q45" i="32" l="1"/>
  <c r="Z95" i="18"/>
  <c r="K54" i="32"/>
  <c r="AC51" i="32"/>
  <c r="AF95" i="18"/>
  <c r="AF50" i="32"/>
  <c r="AL52" i="32"/>
  <c r="Q17" i="32"/>
  <c r="AI49" i="32"/>
  <c r="H43" i="32"/>
  <c r="AI51" i="32"/>
  <c r="AI95" i="18"/>
  <c r="AL53" i="32"/>
  <c r="AI46" i="32"/>
  <c r="AI48" i="32"/>
  <c r="H51" i="32"/>
  <c r="N29" i="23"/>
  <c r="AI52" i="32"/>
  <c r="W14" i="18"/>
  <c r="AC43" i="32"/>
  <c r="Z14" i="32"/>
  <c r="T44" i="32"/>
  <c r="Z50" i="32"/>
  <c r="AL13" i="32"/>
  <c r="N49" i="32"/>
  <c r="AF45" i="32"/>
  <c r="Q53" i="32"/>
  <c r="AI43" i="32"/>
  <c r="AC45" i="32"/>
  <c r="H14" i="18"/>
  <c r="AL14" i="18"/>
  <c r="H95" i="18"/>
  <c r="W18" i="32"/>
  <c r="W11" i="18"/>
  <c r="W53" i="32"/>
  <c r="N11" i="18"/>
  <c r="K51" i="32"/>
  <c r="AI53" i="32"/>
  <c r="AI28" i="23"/>
  <c r="Q52" i="32"/>
  <c r="AC44" i="32"/>
  <c r="AF11" i="18"/>
  <c r="Z52" i="32"/>
  <c r="AC29" i="23"/>
  <c r="AO11" i="18"/>
  <c r="W54" i="32"/>
  <c r="Q95" i="18"/>
  <c r="Q14" i="18"/>
  <c r="AI14" i="32"/>
  <c r="N43" i="32"/>
  <c r="AF49" i="32"/>
  <c r="Q43" i="32"/>
  <c r="Z46" i="32"/>
  <c r="Z17" i="32"/>
  <c r="N45" i="32"/>
  <c r="AI18" i="32"/>
  <c r="AL46" i="32"/>
  <c r="N48" i="32"/>
  <c r="T54" i="32"/>
  <c r="N53" i="32"/>
  <c r="AI45" i="32"/>
  <c r="H28" i="23"/>
  <c r="AF28" i="23"/>
  <c r="AL43" i="32"/>
  <c r="T49" i="32"/>
  <c r="H13" i="32"/>
  <c r="AC95" i="18"/>
  <c r="AF52" i="32"/>
  <c r="H17" i="32"/>
  <c r="N13" i="32"/>
  <c r="N17" i="32"/>
  <c r="W29" i="23"/>
  <c r="T14" i="18"/>
  <c r="Q48" i="32"/>
  <c r="AC14" i="18"/>
  <c r="AL44" i="32"/>
  <c r="T45" i="32"/>
  <c r="W46" i="32"/>
  <c r="W48" i="32"/>
  <c r="N44" i="32"/>
  <c r="Z29" i="23"/>
  <c r="N14" i="18"/>
  <c r="T46" i="32"/>
  <c r="H49" i="32"/>
  <c r="AF13" i="32"/>
  <c r="T14" i="32"/>
  <c r="K11" i="18"/>
  <c r="AC14" i="32"/>
  <c r="K53" i="32"/>
  <c r="Q51" i="32"/>
  <c r="Q50" i="32"/>
  <c r="T52" i="32"/>
  <c r="W95" i="18"/>
  <c r="Z51" i="32"/>
  <c r="AO28" i="23"/>
  <c r="Z14" i="18"/>
  <c r="Q44" i="32"/>
  <c r="AF51" i="32"/>
  <c r="W28" i="23"/>
  <c r="AL50" i="32"/>
  <c r="K13" i="32"/>
  <c r="T17" i="32"/>
  <c r="AL29" i="23"/>
  <c r="N18" i="32"/>
  <c r="Z18" i="32"/>
  <c r="H29" i="23"/>
  <c r="AL48" i="32"/>
  <c r="W17" i="32"/>
  <c r="K46" i="32"/>
  <c r="K14" i="18"/>
  <c r="Q29" i="23"/>
  <c r="K95" i="18"/>
  <c r="Z43" i="32"/>
  <c r="Z11" i="18"/>
  <c r="H11" i="18"/>
  <c r="H54" i="32"/>
  <c r="Q49" i="32"/>
  <c r="AF53" i="32"/>
  <c r="AC50" i="32"/>
  <c r="AL11" i="18"/>
  <c r="Z54" i="32"/>
  <c r="H46" i="32"/>
  <c r="W49" i="32"/>
  <c r="K44" i="32"/>
  <c r="AC18" i="32"/>
  <c r="K43" i="32"/>
  <c r="K48" i="32"/>
  <c r="AC28" i="23"/>
  <c r="N28" i="23"/>
  <c r="H53" i="32"/>
  <c r="Z48" i="32"/>
  <c r="T28" i="23"/>
  <c r="Z49" i="32"/>
  <c r="AL54" i="32"/>
  <c r="AI11" i="18"/>
  <c r="H48" i="32"/>
  <c r="AO95" i="18"/>
  <c r="K17" i="32"/>
  <c r="Z44" i="32"/>
  <c r="Q14" i="32"/>
  <c r="AL17" i="32"/>
  <c r="N54" i="32"/>
  <c r="N95" i="18"/>
  <c r="H44" i="32"/>
  <c r="AC52" i="32"/>
  <c r="AL45" i="32"/>
  <c r="AF14" i="18"/>
  <c r="W51" i="32"/>
  <c r="AI14" i="18"/>
  <c r="H45" i="32"/>
  <c r="T95" i="18"/>
  <c r="W52" i="32"/>
  <c r="W45" i="32"/>
  <c r="AF46" i="32"/>
  <c r="W50" i="32"/>
  <c r="T29" i="23"/>
  <c r="K49" i="32"/>
  <c r="K45" i="32"/>
  <c r="T18" i="32"/>
  <c r="N14" i="32"/>
  <c r="Q46" i="32"/>
  <c r="K29" i="23"/>
  <c r="AF18" i="32"/>
  <c r="K50" i="32"/>
  <c r="T50" i="32"/>
  <c r="W43" i="32"/>
  <c r="AC46" i="32"/>
  <c r="AI44" i="32"/>
  <c r="AI54" i="32"/>
  <c r="H18" i="32"/>
  <c r="Q18" i="32"/>
  <c r="N52" i="32"/>
  <c r="T13" i="32"/>
  <c r="T51" i="32"/>
  <c r="AL51" i="32"/>
  <c r="K14" i="32"/>
  <c r="T48" i="32"/>
  <c r="Q13" i="32"/>
  <c r="AC13" i="32"/>
  <c r="Z53" i="32"/>
  <c r="AI29" i="23"/>
  <c r="AL14" i="32"/>
  <c r="K18" i="32"/>
  <c r="Z28" i="23"/>
  <c r="H52" i="32"/>
  <c r="AC48" i="32"/>
  <c r="K28" i="23"/>
  <c r="T43" i="32"/>
  <c r="AF43" i="32"/>
  <c r="AF29" i="23"/>
  <c r="Z13" i="32"/>
  <c r="Q11" i="18"/>
  <c r="AF48" i="32"/>
  <c r="AC54" i="32"/>
  <c r="Z45" i="32"/>
  <c r="AF17" i="32"/>
  <c r="H14" i="32"/>
  <c r="AI13" i="32"/>
  <c r="K52" i="32"/>
  <c r="W13" i="32"/>
  <c r="AC49" i="32"/>
  <c r="T53" i="32"/>
  <c r="AL28" i="23"/>
  <c r="Q28" i="23"/>
  <c r="AI17" i="32"/>
  <c r="AF54" i="32"/>
  <c r="AC11" i="18"/>
  <c r="Q54" i="32"/>
  <c r="W14" i="32"/>
  <c r="T11" i="18"/>
  <c r="AC17" i="32"/>
  <c r="AF44" i="32"/>
  <c r="AF14" i="32"/>
  <c r="AO14" i="18"/>
  <c r="AC53" i="32"/>
  <c r="AL18" i="32"/>
  <c r="H50" i="32"/>
  <c r="N46" i="32"/>
  <c r="AO29" i="23"/>
  <c r="N51" i="32"/>
  <c r="AL95" i="18"/>
  <c r="N50" i="32"/>
  <c r="AL49" i="32"/>
  <c r="W44" i="32"/>
  <c r="AI50" i="32"/>
  <c r="C15" i="28" l="1"/>
  <c r="C16" i="28"/>
  <c r="C17" i="28"/>
  <c r="D153" i="18" l="1"/>
  <c r="D23" i="23" l="1"/>
  <c r="D22" i="23"/>
  <c r="D136" i="23"/>
  <c r="D142" i="23"/>
  <c r="D133" i="23" l="1"/>
  <c r="D136" i="18" l="1"/>
  <c r="D131" i="18"/>
  <c r="D50" i="18"/>
  <c r="D147" i="18" l="1"/>
  <c r="D10" i="18"/>
  <c r="D46" i="23"/>
  <c r="D45" i="23"/>
  <c r="D44" i="23"/>
  <c r="D43" i="23"/>
  <c r="H15" i="1"/>
  <c r="I15" i="1"/>
  <c r="H16" i="1"/>
  <c r="I16" i="1"/>
  <c r="H17" i="1"/>
  <c r="F15" i="33" s="1"/>
  <c r="I17" i="1"/>
  <c r="G15" i="33" s="1"/>
  <c r="D42" i="23"/>
  <c r="D41" i="23"/>
  <c r="D24" i="23"/>
  <c r="D8" i="23"/>
  <c r="D130" i="23"/>
  <c r="F20" i="33" l="1"/>
  <c r="F11" i="33"/>
  <c r="G20" i="33"/>
  <c r="G11" i="33"/>
  <c r="P38" i="30"/>
  <c r="H38" i="30"/>
  <c r="L37" i="30"/>
  <c r="N38" i="30"/>
  <c r="I37" i="30"/>
  <c r="K38" i="30"/>
  <c r="I38" i="30"/>
  <c r="O38" i="30"/>
  <c r="G38" i="30"/>
  <c r="K37" i="30"/>
  <c r="J37" i="30"/>
  <c r="N37" i="30"/>
  <c r="E37" i="30"/>
  <c r="F38" i="30"/>
  <c r="M38" i="30"/>
  <c r="F37" i="30"/>
  <c r="M37" i="30"/>
  <c r="E38" i="30"/>
  <c r="O37" i="30"/>
  <c r="L38" i="30"/>
  <c r="P37" i="30"/>
  <c r="H37" i="30"/>
  <c r="G37" i="30"/>
  <c r="J38" i="30"/>
  <c r="N36" i="30" l="1"/>
  <c r="F36" i="30"/>
  <c r="P36" i="30"/>
  <c r="H36" i="30"/>
  <c r="G36" i="30"/>
  <c r="K36" i="30"/>
  <c r="E36" i="30"/>
  <c r="D37" i="30"/>
  <c r="I36" i="30"/>
  <c r="O36" i="30"/>
  <c r="J36" i="30"/>
  <c r="L36" i="30"/>
  <c r="D38" i="30"/>
  <c r="M36" i="30"/>
  <c r="D116" i="23"/>
  <c r="D115" i="23"/>
  <c r="D119" i="23"/>
  <c r="D36" i="30" l="1"/>
  <c r="D114" i="23"/>
  <c r="D120" i="23" l="1"/>
  <c r="D118" i="23" l="1"/>
  <c r="D130" i="18" l="1"/>
  <c r="D129" i="18"/>
  <c r="D128" i="18" l="1"/>
  <c r="D152" i="18" l="1"/>
  <c r="D72" i="18" l="1"/>
  <c r="D71" i="18"/>
  <c r="D65" i="18"/>
  <c r="D61" i="18"/>
  <c r="D60" i="18" l="1"/>
  <c r="D68" i="18"/>
  <c r="D75" i="18" l="1"/>
  <c r="D74" i="18" l="1"/>
  <c r="D100" i="18" l="1"/>
  <c r="D99" i="18"/>
  <c r="D96" i="18"/>
  <c r="D55" i="18"/>
  <c r="D47" i="18"/>
  <c r="D131" i="23"/>
  <c r="D127" i="23"/>
  <c r="D126" i="23"/>
  <c r="D94" i="18" l="1"/>
  <c r="H6" i="33"/>
  <c r="K84" i="28"/>
  <c r="K151" i="28"/>
  <c r="D15" i="28"/>
  <c r="D16" i="28"/>
  <c r="D17" i="28"/>
  <c r="D15" i="2"/>
  <c r="D16" i="1"/>
  <c r="D16" i="9" s="1"/>
  <c r="D17" i="1"/>
  <c r="D17" i="9" s="1"/>
  <c r="Q2" i="28"/>
  <c r="D15" i="9" l="1"/>
  <c r="D24" i="9"/>
  <c r="D103" i="9"/>
  <c r="D158" i="9"/>
  <c r="D149" i="9"/>
  <c r="D145" i="7"/>
  <c r="D30" i="2"/>
  <c r="D39" i="7"/>
  <c r="D147" i="8"/>
  <c r="D137" i="2"/>
  <c r="D32" i="9"/>
  <c r="D152" i="9"/>
  <c r="D149" i="8"/>
  <c r="D143" i="7"/>
  <c r="D151" i="9"/>
  <c r="D31" i="8"/>
  <c r="D41" i="9"/>
  <c r="D150" i="8"/>
  <c r="D135" i="2"/>
  <c r="D31" i="7"/>
  <c r="D39" i="8"/>
  <c r="D16" i="16"/>
  <c r="D16" i="14"/>
  <c r="D16" i="12"/>
  <c r="D16" i="10"/>
  <c r="D15" i="17"/>
  <c r="D17" i="16"/>
  <c r="D15" i="15"/>
  <c r="D17" i="14"/>
  <c r="D15" i="13"/>
  <c r="D17" i="12"/>
  <c r="D15" i="11"/>
  <c r="D17" i="10"/>
  <c r="D16" i="17"/>
  <c r="D16" i="15"/>
  <c r="D16" i="13"/>
  <c r="D16" i="11"/>
  <c r="D150" i="2"/>
  <c r="D17" i="17"/>
  <c r="D15" i="16"/>
  <c r="D17" i="15"/>
  <c r="D15" i="14"/>
  <c r="D17" i="13"/>
  <c r="D15" i="12"/>
  <c r="D17" i="11"/>
  <c r="D15" i="10"/>
  <c r="D39" i="9"/>
  <c r="D151" i="2"/>
  <c r="D92" i="2"/>
  <c r="D139" i="7"/>
  <c r="D130" i="7"/>
  <c r="D118" i="7"/>
  <c r="D110" i="7"/>
  <c r="D100" i="9"/>
  <c r="D92" i="9"/>
  <c r="D82" i="9"/>
  <c r="D74" i="9"/>
  <c r="D66" i="9"/>
  <c r="D58" i="9"/>
  <c r="D50" i="9"/>
  <c r="D42" i="9"/>
  <c r="D34" i="9"/>
  <c r="D23" i="8"/>
  <c r="D142" i="7"/>
  <c r="D151" i="7"/>
  <c r="D132" i="9"/>
  <c r="D142" i="8"/>
  <c r="D133" i="8"/>
  <c r="D121" i="8"/>
  <c r="D113" i="8"/>
  <c r="D101" i="9"/>
  <c r="D149" i="2"/>
  <c r="D131" i="2"/>
  <c r="D123" i="2"/>
  <c r="D111" i="2"/>
  <c r="D103" i="2"/>
  <c r="D99" i="8"/>
  <c r="D91" i="8"/>
  <c r="D81" i="8"/>
  <c r="D73" i="8"/>
  <c r="D65" i="8"/>
  <c r="D57" i="8"/>
  <c r="D49" i="8"/>
  <c r="D41" i="8"/>
  <c r="D33" i="8"/>
  <c r="D23" i="7"/>
  <c r="D134" i="2"/>
  <c r="D143" i="2"/>
  <c r="D130" i="8"/>
  <c r="D138" i="7"/>
  <c r="D129" i="7"/>
  <c r="D117" i="7"/>
  <c r="D109" i="7"/>
  <c r="D100" i="8"/>
  <c r="D145" i="9"/>
  <c r="D136" i="9"/>
  <c r="D124" i="9"/>
  <c r="D116" i="9"/>
  <c r="D108" i="9"/>
  <c r="D98" i="7"/>
  <c r="D90" i="7"/>
  <c r="D81" i="7"/>
  <c r="D73" i="7"/>
  <c r="D65" i="7"/>
  <c r="D57" i="7"/>
  <c r="D49" i="7"/>
  <c r="D41" i="7"/>
  <c r="D33" i="7"/>
  <c r="D148" i="9"/>
  <c r="D156" i="8"/>
  <c r="D89" i="9"/>
  <c r="D126" i="7"/>
  <c r="D148" i="2"/>
  <c r="D130" i="2"/>
  <c r="D143" i="8"/>
  <c r="D106" i="8"/>
  <c r="D69" i="2"/>
  <c r="D37" i="2"/>
  <c r="D146" i="8"/>
  <c r="D119" i="2"/>
  <c r="D144" i="9"/>
  <c r="D110" i="2"/>
  <c r="D105" i="8"/>
  <c r="D97" i="7"/>
  <c r="D80" i="8"/>
  <c r="D72" i="8"/>
  <c r="D64" i="8"/>
  <c r="D56" i="8"/>
  <c r="D48" i="7"/>
  <c r="D40" i="7"/>
  <c r="D32" i="7"/>
  <c r="D22" i="7"/>
  <c r="D131" i="7"/>
  <c r="D111" i="7"/>
  <c r="D91" i="7"/>
  <c r="D82" i="7"/>
  <c r="D66" i="7"/>
  <c r="D50" i="7"/>
  <c r="D34" i="7"/>
  <c r="D150" i="7"/>
  <c r="D137" i="7"/>
  <c r="D128" i="7"/>
  <c r="D134" i="8"/>
  <c r="D91" i="2"/>
  <c r="D61" i="2"/>
  <c r="D23" i="9"/>
  <c r="D135" i="9"/>
  <c r="D115" i="9"/>
  <c r="D104" i="7"/>
  <c r="D98" i="8"/>
  <c r="D80" i="7"/>
  <c r="D72" i="7"/>
  <c r="D64" i="7"/>
  <c r="D56" i="7"/>
  <c r="D48" i="8"/>
  <c r="D36" i="2"/>
  <c r="D31" i="2"/>
  <c r="D22" i="2"/>
  <c r="D124" i="2"/>
  <c r="D104" i="2"/>
  <c r="D86" i="2"/>
  <c r="D78" i="2"/>
  <c r="D62" i="2"/>
  <c r="D46" i="2"/>
  <c r="D142" i="2"/>
  <c r="D129" i="2"/>
  <c r="D121" i="2"/>
  <c r="D109" i="2"/>
  <c r="D122" i="8"/>
  <c r="D85" i="2"/>
  <c r="D53" i="2"/>
  <c r="D122" i="2"/>
  <c r="D102" i="2"/>
  <c r="D97" i="2"/>
  <c r="D90" i="2"/>
  <c r="D76" i="2"/>
  <c r="D68" i="2"/>
  <c r="D60" i="2"/>
  <c r="D52" i="2"/>
  <c r="D44" i="2"/>
  <c r="D33" i="9"/>
  <c r="D22" i="9"/>
  <c r="D137" i="9"/>
  <c r="D115" i="8"/>
  <c r="D93" i="9"/>
  <c r="D83" i="9"/>
  <c r="D67" i="9"/>
  <c r="D51" i="9"/>
  <c r="D35" i="9"/>
  <c r="D155" i="8"/>
  <c r="D143" i="9"/>
  <c r="D134" i="9"/>
  <c r="D122" i="9"/>
  <c r="D114" i="9"/>
  <c r="D106" i="9"/>
  <c r="D98" i="9"/>
  <c r="D80" i="9"/>
  <c r="D71" i="8"/>
  <c r="D63" i="7"/>
  <c r="D55" i="8"/>
  <c r="D47" i="8"/>
  <c r="D38" i="7"/>
  <c r="D45" i="2"/>
  <c r="D123" i="9"/>
  <c r="D73" i="9"/>
  <c r="D40" i="8"/>
  <c r="D82" i="8"/>
  <c r="D157" i="9"/>
  <c r="D116" i="7"/>
  <c r="D104" i="8"/>
  <c r="D96" i="7"/>
  <c r="D72" i="9"/>
  <c r="D59" i="2"/>
  <c r="D51" i="2"/>
  <c r="D40" i="9"/>
  <c r="D30" i="8"/>
  <c r="D21" i="7"/>
  <c r="D89" i="8"/>
  <c r="D152" i="7"/>
  <c r="D127" i="7"/>
  <c r="D156" i="9"/>
  <c r="D142" i="9"/>
  <c r="D129" i="9"/>
  <c r="D121" i="9"/>
  <c r="D113" i="9"/>
  <c r="D105" i="9"/>
  <c r="D97" i="9"/>
  <c r="D87" i="9"/>
  <c r="D79" i="9"/>
  <c r="D71" i="9"/>
  <c r="D63" i="9"/>
  <c r="D55" i="9"/>
  <c r="D47" i="9"/>
  <c r="D29" i="8"/>
  <c r="D20" i="9"/>
  <c r="D27" i="9"/>
  <c r="D107" i="9"/>
  <c r="D65" i="9"/>
  <c r="D32" i="8"/>
  <c r="D135" i="8"/>
  <c r="D66" i="8"/>
  <c r="D141" i="8"/>
  <c r="D112" i="8"/>
  <c r="D103" i="7"/>
  <c r="D79" i="8"/>
  <c r="D71" i="7"/>
  <c r="D63" i="8"/>
  <c r="D48" i="9"/>
  <c r="D38" i="8"/>
  <c r="D30" i="7"/>
  <c r="D21" i="8"/>
  <c r="D83" i="2"/>
  <c r="D144" i="2"/>
  <c r="D120" i="2"/>
  <c r="D140" i="9"/>
  <c r="D154" i="8"/>
  <c r="D140" i="8"/>
  <c r="D127" i="8"/>
  <c r="D119" i="8"/>
  <c r="D111" i="8"/>
  <c r="D103" i="8"/>
  <c r="D96" i="8"/>
  <c r="D86" i="8"/>
  <c r="D78" i="8"/>
  <c r="D70" i="8"/>
  <c r="D62" i="8"/>
  <c r="D54" i="8"/>
  <c r="D46" i="8"/>
  <c r="D29" i="7"/>
  <c r="D20" i="8"/>
  <c r="D26" i="8"/>
  <c r="D154" i="7"/>
  <c r="D114" i="8"/>
  <c r="D88" i="8"/>
  <c r="D99" i="9"/>
  <c r="D57" i="9"/>
  <c r="D22" i="8"/>
  <c r="D117" i="9"/>
  <c r="D50" i="8"/>
  <c r="D132" i="8"/>
  <c r="D108" i="7"/>
  <c r="D96" i="2"/>
  <c r="D79" i="7"/>
  <c r="D67" i="2"/>
  <c r="D56" i="9"/>
  <c r="D47" i="7"/>
  <c r="D35" i="2"/>
  <c r="D29" i="2"/>
  <c r="D21" i="2"/>
  <c r="D90" i="9"/>
  <c r="D131" i="8"/>
  <c r="D134" i="7"/>
  <c r="D149" i="7"/>
  <c r="D136" i="7"/>
  <c r="D123" i="7"/>
  <c r="D115" i="7"/>
  <c r="D107" i="7"/>
  <c r="D102" i="7"/>
  <c r="D95" i="7"/>
  <c r="D86" i="7"/>
  <c r="D78" i="7"/>
  <c r="D70" i="7"/>
  <c r="D62" i="7"/>
  <c r="D54" i="7"/>
  <c r="D46" i="7"/>
  <c r="D30" i="9"/>
  <c r="D20" i="7"/>
  <c r="D26" i="7"/>
  <c r="D145" i="2"/>
  <c r="D75" i="2"/>
  <c r="D31" i="9"/>
  <c r="D133" i="9"/>
  <c r="D141" i="2"/>
  <c r="D100" i="2"/>
  <c r="D74" i="2"/>
  <c r="D42" i="2"/>
  <c r="D155" i="9"/>
  <c r="D141" i="9"/>
  <c r="D128" i="9"/>
  <c r="D118" i="8"/>
  <c r="D112" i="9"/>
  <c r="D104" i="9"/>
  <c r="D96" i="9"/>
  <c r="D85" i="8"/>
  <c r="D77" i="8"/>
  <c r="D69" i="8"/>
  <c r="D61" i="8"/>
  <c r="D53" i="7"/>
  <c r="D45" i="8"/>
  <c r="D37" i="8"/>
  <c r="D29" i="9"/>
  <c r="D19" i="9"/>
  <c r="D90" i="8"/>
  <c r="D144" i="8"/>
  <c r="D117" i="2"/>
  <c r="D144" i="7"/>
  <c r="D119" i="7"/>
  <c r="D75" i="9"/>
  <c r="D59" i="9"/>
  <c r="D43" i="9"/>
  <c r="D25" i="9"/>
  <c r="D153" i="2"/>
  <c r="D139" i="2"/>
  <c r="D126" i="2"/>
  <c r="D114" i="2"/>
  <c r="D106" i="2"/>
  <c r="D98" i="2"/>
  <c r="D88" i="2"/>
  <c r="D80" i="2"/>
  <c r="D76" i="7"/>
  <c r="D68" i="7"/>
  <c r="D60" i="7"/>
  <c r="D52" i="7"/>
  <c r="D44" i="7"/>
  <c r="D36" i="7"/>
  <c r="D26" i="2"/>
  <c r="D18" i="2"/>
  <c r="D146" i="2"/>
  <c r="D151" i="8"/>
  <c r="D136" i="8"/>
  <c r="D124" i="8"/>
  <c r="D116" i="8"/>
  <c r="D108" i="8"/>
  <c r="D93" i="2"/>
  <c r="D87" i="2"/>
  <c r="D79" i="2"/>
  <c r="D71" i="2"/>
  <c r="D63" i="2"/>
  <c r="D55" i="2"/>
  <c r="D47" i="2"/>
  <c r="D39" i="2"/>
  <c r="D32" i="2"/>
  <c r="D25" i="2"/>
  <c r="D99" i="7"/>
  <c r="D81" i="9"/>
  <c r="D92" i="8"/>
  <c r="D120" i="8"/>
  <c r="D64" i="9"/>
  <c r="D21" i="9"/>
  <c r="D88" i="7"/>
  <c r="D128" i="2"/>
  <c r="D95" i="2"/>
  <c r="D66" i="2"/>
  <c r="D28" i="2"/>
  <c r="D153" i="8"/>
  <c r="D139" i="8"/>
  <c r="D126" i="8"/>
  <c r="D120" i="9"/>
  <c r="D110" i="8"/>
  <c r="D101" i="7"/>
  <c r="D95" i="8"/>
  <c r="D85" i="7"/>
  <c r="D77" i="7"/>
  <c r="D69" i="7"/>
  <c r="D61" i="7"/>
  <c r="D53" i="8"/>
  <c r="D45" i="7"/>
  <c r="D37" i="7"/>
  <c r="D28" i="7"/>
  <c r="D19" i="7"/>
  <c r="D89" i="7"/>
  <c r="D132" i="2"/>
  <c r="D153" i="7"/>
  <c r="D124" i="7"/>
  <c r="D136" i="2"/>
  <c r="D112" i="2"/>
  <c r="D74" i="8"/>
  <c r="D58" i="7"/>
  <c r="D42" i="8"/>
  <c r="D24" i="8"/>
  <c r="D154" i="9"/>
  <c r="D139" i="9"/>
  <c r="D127" i="9"/>
  <c r="D119" i="9"/>
  <c r="D111" i="9"/>
  <c r="D95" i="9"/>
  <c r="D85" i="9"/>
  <c r="D77" i="9"/>
  <c r="D68" i="8"/>
  <c r="D61" i="9"/>
  <c r="D53" i="9"/>
  <c r="D44" i="8"/>
  <c r="D37" i="9"/>
  <c r="D28" i="9"/>
  <c r="D18" i="9"/>
  <c r="D49" i="9"/>
  <c r="D34" i="8"/>
  <c r="D101" i="2"/>
  <c r="D55" i="7"/>
  <c r="D138" i="8"/>
  <c r="D116" i="2"/>
  <c r="D89" i="2"/>
  <c r="D58" i="2"/>
  <c r="D20" i="2"/>
  <c r="D148" i="7"/>
  <c r="D135" i="7"/>
  <c r="D122" i="7"/>
  <c r="D114" i="7"/>
  <c r="D106" i="7"/>
  <c r="D94" i="2"/>
  <c r="D94" i="7"/>
  <c r="D81" i="2"/>
  <c r="D73" i="2"/>
  <c r="D65" i="2"/>
  <c r="D57" i="2"/>
  <c r="D49" i="2"/>
  <c r="D41" i="2"/>
  <c r="D34" i="2"/>
  <c r="D27" i="2"/>
  <c r="D19" i="2"/>
  <c r="D84" i="2"/>
  <c r="D140" i="7"/>
  <c r="D130" i="9"/>
  <c r="D150" i="9"/>
  <c r="D125" i="9"/>
  <c r="D107" i="8"/>
  <c r="D74" i="7"/>
  <c r="D58" i="8"/>
  <c r="D42" i="7"/>
  <c r="D24" i="7"/>
  <c r="D152" i="8"/>
  <c r="D137" i="8"/>
  <c r="D125" i="8"/>
  <c r="D117" i="8"/>
  <c r="D109" i="8"/>
  <c r="D94" i="8"/>
  <c r="D84" i="8"/>
  <c r="D76" i="8"/>
  <c r="D69" i="9"/>
  <c r="D60" i="8"/>
  <c r="D52" i="8"/>
  <c r="D45" i="9"/>
  <c r="D36" i="8"/>
  <c r="D27" i="8"/>
  <c r="D18" i="8"/>
  <c r="D152" i="2"/>
  <c r="D138" i="2"/>
  <c r="D132" i="7"/>
  <c r="D113" i="2"/>
  <c r="D105" i="2"/>
  <c r="D101" i="8"/>
  <c r="D93" i="8"/>
  <c r="D83" i="8"/>
  <c r="D97" i="8"/>
  <c r="D50" i="2"/>
  <c r="D127" i="2"/>
  <c r="D102" i="8"/>
  <c r="D62" i="9"/>
  <c r="D28" i="8"/>
  <c r="D91" i="9"/>
  <c r="D128" i="8"/>
  <c r="D109" i="9"/>
  <c r="D24" i="2"/>
  <c r="D113" i="7"/>
  <c r="D72" i="2"/>
  <c r="D40" i="2"/>
  <c r="D155" i="7"/>
  <c r="D146" i="7"/>
  <c r="D120" i="7"/>
  <c r="D102" i="9"/>
  <c r="D84" i="9"/>
  <c r="D75" i="7"/>
  <c r="D60" i="9"/>
  <c r="D51" i="8"/>
  <c r="D43" i="7"/>
  <c r="D26" i="9"/>
  <c r="D133" i="2"/>
  <c r="D147" i="2"/>
  <c r="D131" i="9"/>
  <c r="D82" i="2"/>
  <c r="D140" i="2"/>
  <c r="D38" i="9"/>
  <c r="D121" i="7"/>
  <c r="D18" i="7"/>
  <c r="D153" i="9"/>
  <c r="D110" i="9"/>
  <c r="D67" i="7"/>
  <c r="D141" i="7"/>
  <c r="D118" i="2"/>
  <c r="D77" i="2"/>
  <c r="D43" i="2"/>
  <c r="D115" i="2"/>
  <c r="D86" i="9"/>
  <c r="D54" i="9"/>
  <c r="D19" i="8"/>
  <c r="D146" i="9"/>
  <c r="D70" i="2"/>
  <c r="D147" i="7"/>
  <c r="D105" i="7"/>
  <c r="D64" i="2"/>
  <c r="D33" i="2"/>
  <c r="D138" i="9"/>
  <c r="D118" i="9"/>
  <c r="D100" i="7"/>
  <c r="D83" i="7"/>
  <c r="D68" i="9"/>
  <c r="D59" i="8"/>
  <c r="D51" i="7"/>
  <c r="D36" i="9"/>
  <c r="D25" i="8"/>
  <c r="D145" i="8"/>
  <c r="D88" i="9"/>
  <c r="D125" i="7"/>
  <c r="D70" i="9"/>
  <c r="D123" i="8"/>
  <c r="D48" i="2"/>
  <c r="D92" i="7"/>
  <c r="D43" i="8"/>
  <c r="D108" i="2"/>
  <c r="D107" i="2"/>
  <c r="D78" i="9"/>
  <c r="D46" i="9"/>
  <c r="D148" i="8"/>
  <c r="D54" i="2"/>
  <c r="D133" i="7"/>
  <c r="D93" i="7"/>
  <c r="D56" i="2"/>
  <c r="D27" i="7"/>
  <c r="D125" i="2"/>
  <c r="D112" i="7"/>
  <c r="D94" i="9"/>
  <c r="D76" i="9"/>
  <c r="D67" i="8"/>
  <c r="D59" i="7"/>
  <c r="D44" i="9"/>
  <c r="D35" i="8"/>
  <c r="D25" i="7"/>
  <c r="D147" i="9"/>
  <c r="D87" i="8"/>
  <c r="D129" i="8"/>
  <c r="D99" i="2"/>
  <c r="D38" i="2"/>
  <c r="D84" i="7"/>
  <c r="D126" i="9"/>
  <c r="D75" i="8"/>
  <c r="D52" i="9"/>
  <c r="D35" i="7"/>
  <c r="D87" i="7"/>
  <c r="D17" i="2"/>
  <c r="D17" i="8"/>
  <c r="D17" i="7"/>
  <c r="D15" i="8"/>
  <c r="D15" i="7"/>
  <c r="D16" i="8"/>
  <c r="D16" i="7"/>
  <c r="D16" i="2"/>
  <c r="E15" i="27"/>
  <c r="E16" i="27"/>
  <c r="E17" i="27"/>
  <c r="O12" i="17" l="1"/>
  <c r="O12" i="11"/>
  <c r="O12" i="9"/>
  <c r="O12" i="8"/>
  <c r="O12" i="7"/>
  <c r="J15" i="1"/>
  <c r="K15" i="1"/>
  <c r="J16" i="1"/>
  <c r="K16" i="1"/>
  <c r="J17" i="1"/>
  <c r="H15" i="33" s="1"/>
  <c r="K17" i="1"/>
  <c r="I15" i="33" s="1"/>
  <c r="I11" i="33" l="1"/>
  <c r="I20" i="33"/>
  <c r="H20" i="33"/>
  <c r="H11" i="33"/>
  <c r="O12" i="14"/>
  <c r="O12" i="16"/>
  <c r="D103" i="18"/>
  <c r="C2" i="31"/>
  <c r="E2" i="31" s="1"/>
  <c r="D118" i="18" l="1"/>
  <c r="D117" i="18" l="1"/>
  <c r="D33" i="18" l="1"/>
  <c r="D28" i="18"/>
  <c r="D9" i="18"/>
  <c r="D112" i="23"/>
  <c r="D60" i="23"/>
  <c r="D59" i="23"/>
  <c r="D56" i="23"/>
  <c r="D49" i="23"/>
  <c r="E15" i="28" l="1"/>
  <c r="E16" i="28"/>
  <c r="E17" i="28"/>
  <c r="E15" i="1"/>
  <c r="E16" i="1"/>
  <c r="C16" i="9" s="1"/>
  <c r="E17" i="1"/>
  <c r="C17" i="9" s="1"/>
  <c r="C297" i="16" l="1"/>
  <c r="C194" i="7"/>
  <c r="C195" i="8"/>
  <c r="C208" i="8"/>
  <c r="C195" i="7"/>
  <c r="C219" i="2"/>
  <c r="C196" i="7"/>
  <c r="C218" i="2"/>
  <c r="C204" i="7"/>
  <c r="C201" i="2"/>
  <c r="C198" i="7"/>
  <c r="C189" i="7"/>
  <c r="C189" i="2"/>
  <c r="C193" i="7"/>
  <c r="C224" i="7"/>
  <c r="C197" i="8"/>
  <c r="C201" i="8"/>
  <c r="C205" i="8"/>
  <c r="C200" i="8"/>
  <c r="C196" i="8"/>
  <c r="C193" i="2"/>
  <c r="C207" i="7"/>
  <c r="C192" i="2"/>
  <c r="C190" i="7"/>
  <c r="C188" i="2"/>
  <c r="C200" i="7"/>
  <c r="C197" i="2"/>
  <c r="C192" i="7"/>
  <c r="C203" i="8"/>
  <c r="C199" i="7"/>
  <c r="C199" i="2"/>
  <c r="C170" i="2"/>
  <c r="C187" i="2"/>
  <c r="C188" i="7"/>
  <c r="C203" i="7"/>
  <c r="C206" i="8"/>
  <c r="C204" i="8"/>
  <c r="C200" i="2"/>
  <c r="C205" i="7"/>
  <c r="C191" i="7"/>
  <c r="C223" i="8"/>
  <c r="C196" i="2"/>
  <c r="C198" i="2"/>
  <c r="C190" i="2"/>
  <c r="C199" i="8"/>
  <c r="C202" i="8"/>
  <c r="C207" i="8"/>
  <c r="C195" i="2"/>
  <c r="C222" i="7"/>
  <c r="C206" i="7"/>
  <c r="C224" i="8"/>
  <c r="C201" i="7"/>
  <c r="C194" i="2"/>
  <c r="C191" i="2"/>
  <c r="C198" i="8"/>
  <c r="C223" i="7"/>
  <c r="C202" i="7"/>
  <c r="C197" i="7"/>
  <c r="C226" i="8"/>
  <c r="C227" i="8"/>
  <c r="C225" i="8"/>
  <c r="C228" i="8"/>
  <c r="C161" i="7"/>
  <c r="C217" i="2"/>
  <c r="C166" i="7"/>
  <c r="C165" i="7"/>
  <c r="C161" i="2"/>
  <c r="C171" i="7"/>
  <c r="C160" i="7"/>
  <c r="C155" i="2"/>
  <c r="C177" i="7"/>
  <c r="C175" i="7"/>
  <c r="C210" i="8"/>
  <c r="C164" i="2"/>
  <c r="C156" i="7"/>
  <c r="C183" i="2"/>
  <c r="C217" i="8"/>
  <c r="C169" i="2"/>
  <c r="C212" i="2"/>
  <c r="C214" i="7"/>
  <c r="C184" i="7"/>
  <c r="C179" i="7"/>
  <c r="C209" i="8"/>
  <c r="C219" i="8"/>
  <c r="C211" i="8"/>
  <c r="C171" i="2"/>
  <c r="C220" i="8"/>
  <c r="C215" i="2"/>
  <c r="C220" i="7"/>
  <c r="C218" i="7"/>
  <c r="C208" i="2"/>
  <c r="C180" i="2"/>
  <c r="C178" i="2"/>
  <c r="C181" i="2"/>
  <c r="C185" i="2"/>
  <c r="C182" i="7"/>
  <c r="C159" i="2"/>
  <c r="C212" i="8"/>
  <c r="C216" i="2"/>
  <c r="C221" i="7"/>
  <c r="C214" i="2"/>
  <c r="C204" i="2"/>
  <c r="C219" i="7"/>
  <c r="C210" i="2"/>
  <c r="C207" i="2"/>
  <c r="C160" i="2"/>
  <c r="C170" i="7"/>
  <c r="C184" i="2"/>
  <c r="C181" i="7"/>
  <c r="C177" i="2"/>
  <c r="C182" i="2"/>
  <c r="C158" i="2"/>
  <c r="C166" i="2"/>
  <c r="C167" i="2"/>
  <c r="C210" i="7"/>
  <c r="C213" i="2"/>
  <c r="C208" i="7"/>
  <c r="C211" i="7"/>
  <c r="C216" i="7"/>
  <c r="C213" i="7"/>
  <c r="C209" i="2"/>
  <c r="C211" i="2"/>
  <c r="C162" i="7"/>
  <c r="C168" i="7"/>
  <c r="C186" i="2"/>
  <c r="C186" i="7"/>
  <c r="C185" i="7"/>
  <c r="C158" i="7"/>
  <c r="C172" i="2"/>
  <c r="C156" i="2"/>
  <c r="C175" i="2"/>
  <c r="C173" i="2"/>
  <c r="C179" i="2"/>
  <c r="C176" i="2"/>
  <c r="C216" i="8"/>
  <c r="C221" i="8"/>
  <c r="C213" i="8"/>
  <c r="C168" i="2"/>
  <c r="C165" i="2"/>
  <c r="C203" i="2"/>
  <c r="C202" i="2"/>
  <c r="C205" i="2"/>
  <c r="C164" i="7"/>
  <c r="C215" i="7"/>
  <c r="C217" i="7"/>
  <c r="C206" i="2"/>
  <c r="C172" i="7"/>
  <c r="C187" i="7"/>
  <c r="C159" i="7"/>
  <c r="C157" i="2"/>
  <c r="C173" i="7"/>
  <c r="C157" i="7"/>
  <c r="C176" i="7"/>
  <c r="C174" i="7"/>
  <c r="C180" i="7"/>
  <c r="C178" i="7"/>
  <c r="C183" i="7"/>
  <c r="C215" i="8"/>
  <c r="C222" i="8"/>
  <c r="C218" i="8"/>
  <c r="C214" i="8"/>
  <c r="C167" i="7"/>
  <c r="C209" i="7"/>
  <c r="C163" i="2"/>
  <c r="C162" i="2"/>
  <c r="C163" i="7"/>
  <c r="C212" i="7"/>
  <c r="C169" i="7"/>
  <c r="C154" i="2"/>
  <c r="C174" i="2"/>
  <c r="C15" i="2"/>
  <c r="C28" i="17"/>
  <c r="C183" i="17"/>
  <c r="C184" i="17"/>
  <c r="C189" i="17"/>
  <c r="C38" i="16"/>
  <c r="C199" i="15"/>
  <c r="C172" i="16"/>
  <c r="C23" i="13"/>
  <c r="C155" i="13"/>
  <c r="C164" i="14"/>
  <c r="C106" i="15"/>
  <c r="C23" i="12"/>
  <c r="C44" i="17"/>
  <c r="C194" i="17"/>
  <c r="C195" i="17"/>
  <c r="C187" i="17"/>
  <c r="C209" i="16"/>
  <c r="C38" i="17"/>
  <c r="C171" i="13"/>
  <c r="C181" i="16"/>
  <c r="C23" i="16"/>
  <c r="C165" i="15"/>
  <c r="C168" i="14"/>
  <c r="C166" i="11"/>
  <c r="C166" i="14"/>
  <c r="C170" i="13"/>
  <c r="C164" i="11"/>
  <c r="C165" i="13"/>
  <c r="C29" i="11"/>
  <c r="C164" i="8"/>
  <c r="C40" i="17"/>
  <c r="C180" i="17"/>
  <c r="C167" i="15"/>
  <c r="C29" i="15"/>
  <c r="C188" i="17"/>
  <c r="C182" i="16"/>
  <c r="C23" i="15"/>
  <c r="C29" i="13"/>
  <c r="C179" i="16"/>
  <c r="C28" i="14"/>
  <c r="C169" i="14"/>
  <c r="C196" i="12"/>
  <c r="C167" i="14"/>
  <c r="C161" i="13"/>
  <c r="C23" i="17"/>
  <c r="C26" i="17"/>
  <c r="C196" i="17"/>
  <c r="C192" i="17"/>
  <c r="C29" i="17"/>
  <c r="C164" i="15"/>
  <c r="C175" i="16"/>
  <c r="C29" i="14"/>
  <c r="C26" i="16"/>
  <c r="C196" i="14"/>
  <c r="C28" i="16"/>
  <c r="C183" i="16"/>
  <c r="C195" i="13"/>
  <c r="C197" i="14"/>
  <c r="C168" i="13"/>
  <c r="C153" i="12"/>
  <c r="C153" i="13"/>
  <c r="C28" i="10"/>
  <c r="C38" i="10"/>
  <c r="C104" i="10"/>
  <c r="C195" i="11"/>
  <c r="C171" i="12"/>
  <c r="C168" i="10"/>
  <c r="C163" i="8"/>
  <c r="C167" i="9"/>
  <c r="C210" i="16"/>
  <c r="C196" i="13"/>
  <c r="C180" i="16"/>
  <c r="C198" i="14"/>
  <c r="C172" i="15"/>
  <c r="C26" i="15"/>
  <c r="C198" i="15"/>
  <c r="C28" i="15"/>
  <c r="C178" i="16"/>
  <c r="C26" i="10"/>
  <c r="C190" i="17"/>
  <c r="C29" i="16"/>
  <c r="C194" i="12"/>
  <c r="C167" i="13"/>
  <c r="C105" i="13"/>
  <c r="C28" i="12"/>
  <c r="C39" i="12"/>
  <c r="C105" i="12"/>
  <c r="C163" i="11"/>
  <c r="C185" i="17"/>
  <c r="C197" i="17"/>
  <c r="C191" i="17"/>
  <c r="C154" i="14"/>
  <c r="C39" i="14"/>
  <c r="C194" i="8"/>
  <c r="C156" i="15"/>
  <c r="C177" i="16"/>
  <c r="C165" i="14"/>
  <c r="C170" i="15"/>
  <c r="C166" i="13"/>
  <c r="C182" i="17"/>
  <c r="C193" i="17"/>
  <c r="C196" i="15"/>
  <c r="C40" i="16"/>
  <c r="C166" i="15"/>
  <c r="C186" i="17"/>
  <c r="C173" i="15"/>
  <c r="C168" i="15"/>
  <c r="C174" i="16"/>
  <c r="C176" i="16"/>
  <c r="C171" i="15"/>
  <c r="C39" i="15"/>
  <c r="C162" i="15"/>
  <c r="C106" i="14"/>
  <c r="C197" i="15"/>
  <c r="C26" i="14"/>
  <c r="C167" i="11"/>
  <c r="C28" i="13"/>
  <c r="C171" i="14"/>
  <c r="C169" i="11"/>
  <c r="C197" i="13"/>
  <c r="C193" i="11"/>
  <c r="C23" i="10"/>
  <c r="C161" i="12"/>
  <c r="C162" i="11"/>
  <c r="C169" i="12"/>
  <c r="C192" i="8"/>
  <c r="C167" i="8"/>
  <c r="C166" i="8"/>
  <c r="C162" i="8"/>
  <c r="C154" i="15"/>
  <c r="C169" i="15"/>
  <c r="C165" i="9"/>
  <c r="C26" i="13"/>
  <c r="C170" i="14"/>
  <c r="C162" i="14"/>
  <c r="C165" i="12"/>
  <c r="C194" i="13"/>
  <c r="C172" i="14"/>
  <c r="C169" i="13"/>
  <c r="C195" i="12"/>
  <c r="C168" i="11"/>
  <c r="C165" i="11"/>
  <c r="C164" i="10"/>
  <c r="C167" i="10"/>
  <c r="C164" i="9"/>
  <c r="C155" i="12"/>
  <c r="C169" i="10"/>
  <c r="C166" i="12"/>
  <c r="C161" i="10"/>
  <c r="C194" i="11"/>
  <c r="C162" i="9"/>
  <c r="C165" i="8"/>
  <c r="C168" i="8"/>
  <c r="C170" i="11"/>
  <c r="C166" i="9"/>
  <c r="C163" i="13"/>
  <c r="C39" i="11"/>
  <c r="C167" i="12"/>
  <c r="C194" i="10"/>
  <c r="C169" i="9"/>
  <c r="C39" i="13"/>
  <c r="C170" i="12"/>
  <c r="C156" i="14"/>
  <c r="C163" i="12"/>
  <c r="C28" i="11"/>
  <c r="C193" i="8"/>
  <c r="C165" i="10"/>
  <c r="C26" i="12"/>
  <c r="C105" i="11"/>
  <c r="C162" i="10"/>
  <c r="C163" i="9"/>
  <c r="C195" i="14"/>
  <c r="C192" i="10"/>
  <c r="C197" i="12"/>
  <c r="C168" i="12"/>
  <c r="C166" i="10"/>
  <c r="C163" i="10"/>
  <c r="C26" i="11"/>
  <c r="C29" i="10"/>
  <c r="C164" i="12"/>
  <c r="C193" i="10"/>
  <c r="C192" i="9"/>
  <c r="C168" i="9"/>
  <c r="C23" i="11"/>
  <c r="C29" i="12"/>
  <c r="C164" i="13"/>
  <c r="C23" i="14"/>
  <c r="C191" i="8"/>
  <c r="C25" i="17"/>
  <c r="C25" i="10"/>
  <c r="C25" i="16"/>
  <c r="C25" i="12"/>
  <c r="C25" i="15"/>
  <c r="C25" i="11"/>
  <c r="C25" i="14"/>
  <c r="C25" i="13"/>
  <c r="C207" i="16"/>
  <c r="C36" i="15"/>
  <c r="C199" i="14"/>
  <c r="C36" i="14"/>
  <c r="C36" i="12"/>
  <c r="C216" i="17"/>
  <c r="C212" i="16"/>
  <c r="C201" i="15"/>
  <c r="C198" i="13"/>
  <c r="C36" i="13"/>
  <c r="C36" i="11"/>
  <c r="C193" i="9"/>
  <c r="C196" i="10"/>
  <c r="C199" i="12"/>
  <c r="C195" i="10"/>
  <c r="C36" i="17"/>
  <c r="C211" i="16"/>
  <c r="C200" i="15"/>
  <c r="C198" i="12"/>
  <c r="C197" i="11"/>
  <c r="C200" i="14"/>
  <c r="C196" i="11"/>
  <c r="C36" i="16"/>
  <c r="C199" i="13"/>
  <c r="C36" i="10"/>
  <c r="C194" i="9"/>
  <c r="C33" i="17"/>
  <c r="C143" i="17"/>
  <c r="C49" i="17"/>
  <c r="C34" i="17"/>
  <c r="C205" i="16"/>
  <c r="C171" i="9"/>
  <c r="C131" i="10"/>
  <c r="C120" i="12"/>
  <c r="C171" i="11"/>
  <c r="C173" i="14"/>
  <c r="C99" i="17"/>
  <c r="C43" i="13"/>
  <c r="C155" i="14"/>
  <c r="C130" i="11"/>
  <c r="C177" i="15"/>
  <c r="C179" i="13"/>
  <c r="C176" i="10"/>
  <c r="C127" i="10"/>
  <c r="C80" i="10"/>
  <c r="C177" i="12"/>
  <c r="C107" i="15"/>
  <c r="C62" i="10"/>
  <c r="C47" i="15"/>
  <c r="C174" i="10"/>
  <c r="C122" i="17"/>
  <c r="C83" i="17"/>
  <c r="C200" i="17"/>
  <c r="C112" i="12"/>
  <c r="C154" i="17"/>
  <c r="C62" i="17"/>
  <c r="C181" i="17"/>
  <c r="C178" i="17"/>
  <c r="C141" i="17"/>
  <c r="C125" i="17"/>
  <c r="C48" i="17"/>
  <c r="C76" i="17"/>
  <c r="C101" i="17"/>
  <c r="C90" i="17"/>
  <c r="C19" i="17"/>
  <c r="C41" i="17"/>
  <c r="C37" i="17"/>
  <c r="C20" i="17"/>
  <c r="C193" i="14"/>
  <c r="C170" i="8"/>
  <c r="C132" i="11"/>
  <c r="C120" i="11"/>
  <c r="C169" i="8"/>
  <c r="C150" i="17"/>
  <c r="C89" i="17"/>
  <c r="C174" i="17"/>
  <c r="C118" i="17"/>
  <c r="C173" i="10"/>
  <c r="C180" i="15"/>
  <c r="C65" i="16"/>
  <c r="C81" i="13"/>
  <c r="C178" i="14"/>
  <c r="C107" i="14"/>
  <c r="C63" i="15"/>
  <c r="C46" i="10"/>
  <c r="C178" i="15"/>
  <c r="C103" i="10"/>
  <c r="C45" i="17"/>
  <c r="C176" i="15"/>
  <c r="C173" i="11"/>
  <c r="C113" i="15"/>
  <c r="C146" i="17"/>
  <c r="C54" i="17"/>
  <c r="C55" i="17"/>
  <c r="C164" i="17"/>
  <c r="C157" i="17"/>
  <c r="C126" i="17"/>
  <c r="C131" i="17"/>
  <c r="C91" i="17"/>
  <c r="C81" i="17"/>
  <c r="C75" i="17"/>
  <c r="C206" i="17"/>
  <c r="C134" i="17"/>
  <c r="C169" i="17"/>
  <c r="C43" i="17"/>
  <c r="C27" i="17"/>
  <c r="C22" i="17"/>
  <c r="C31" i="17"/>
  <c r="C192" i="13"/>
  <c r="C172" i="11"/>
  <c r="C132" i="12"/>
  <c r="C77" i="14"/>
  <c r="C131" i="13"/>
  <c r="C43" i="14"/>
  <c r="C149" i="17"/>
  <c r="C117" i="17"/>
  <c r="C174" i="11"/>
  <c r="C147" i="17"/>
  <c r="C63" i="10"/>
  <c r="C81" i="12"/>
  <c r="C176" i="11"/>
  <c r="C106" i="12"/>
  <c r="C63" i="11"/>
  <c r="C47" i="12"/>
  <c r="C175" i="11"/>
  <c r="C104" i="12"/>
  <c r="C174" i="13"/>
  <c r="C133" i="12"/>
  <c r="C113" i="14"/>
  <c r="C103" i="17"/>
  <c r="C46" i="17"/>
  <c r="C86" i="17"/>
  <c r="C163" i="17"/>
  <c r="C97" i="17"/>
  <c r="C96" i="17"/>
  <c r="C53" i="17"/>
  <c r="C87" i="17"/>
  <c r="C59" i="17"/>
  <c r="C93" i="16"/>
  <c r="C107" i="16"/>
  <c r="C157" i="16"/>
  <c r="C155" i="16"/>
  <c r="C199" i="16"/>
  <c r="C213" i="16"/>
  <c r="C165" i="16"/>
  <c r="C190" i="16"/>
  <c r="C146" i="16"/>
  <c r="C125" i="16"/>
  <c r="C102" i="16"/>
  <c r="C81" i="16"/>
  <c r="C60" i="16"/>
  <c r="C42" i="16"/>
  <c r="C104" i="15"/>
  <c r="C88" i="15"/>
  <c r="C191" i="9"/>
  <c r="C149" i="16"/>
  <c r="C128" i="16"/>
  <c r="C110" i="16"/>
  <c r="C84" i="16"/>
  <c r="C69" i="16"/>
  <c r="C51" i="16"/>
  <c r="C27" i="16"/>
  <c r="C32" i="17"/>
  <c r="C74" i="17"/>
  <c r="C112" i="17"/>
  <c r="C168" i="17"/>
  <c r="C129" i="17"/>
  <c r="C199" i="17"/>
  <c r="C173" i="12"/>
  <c r="C144" i="17"/>
  <c r="C77" i="12"/>
  <c r="C92" i="15"/>
  <c r="C170" i="10"/>
  <c r="C130" i="10"/>
  <c r="C44" i="16"/>
  <c r="C155" i="15"/>
  <c r="C129" i="10"/>
  <c r="C201" i="17"/>
  <c r="C176" i="14"/>
  <c r="C129" i="15"/>
  <c r="C64" i="12"/>
  <c r="C81" i="15"/>
  <c r="C179" i="15"/>
  <c r="C85" i="17"/>
  <c r="C63" i="12"/>
  <c r="C176" i="12"/>
  <c r="C105" i="15"/>
  <c r="C174" i="12"/>
  <c r="C133" i="11"/>
  <c r="C112" i="13"/>
  <c r="C127" i="17"/>
  <c r="C63" i="17"/>
  <c r="C136" i="17"/>
  <c r="C73" i="17"/>
  <c r="C72" i="17"/>
  <c r="C161" i="17"/>
  <c r="C208" i="17"/>
  <c r="C105" i="17"/>
  <c r="C211" i="17"/>
  <c r="C65" i="17"/>
  <c r="C93" i="17"/>
  <c r="C107" i="17"/>
  <c r="C162" i="17"/>
  <c r="C160" i="17"/>
  <c r="C209" i="17"/>
  <c r="C170" i="16"/>
  <c r="C188" i="15"/>
  <c r="C145" i="15"/>
  <c r="C124" i="15"/>
  <c r="C101" i="15"/>
  <c r="C80" i="15"/>
  <c r="C59" i="15"/>
  <c r="C41" i="15"/>
  <c r="C195" i="16"/>
  <c r="C100" i="16"/>
  <c r="C190" i="8"/>
  <c r="C148" i="15"/>
  <c r="C127" i="15"/>
  <c r="C109" i="15"/>
  <c r="C83" i="15"/>
  <c r="C68" i="15"/>
  <c r="C50" i="15"/>
  <c r="C27" i="15"/>
  <c r="C161" i="8"/>
  <c r="C140" i="16"/>
  <c r="C118" i="16"/>
  <c r="C87" i="16"/>
  <c r="C70" i="16"/>
  <c r="C54" i="16"/>
  <c r="C33" i="16"/>
  <c r="C103" i="15"/>
  <c r="C160" i="15"/>
  <c r="C159" i="11"/>
  <c r="C138" i="15"/>
  <c r="C117" i="16"/>
  <c r="C92" i="16"/>
  <c r="C67" i="16"/>
  <c r="C49" i="16"/>
  <c r="C22" i="16"/>
  <c r="C182" i="14"/>
  <c r="C141" i="14"/>
  <c r="C119" i="14"/>
  <c r="C94" i="14"/>
  <c r="C75" i="14"/>
  <c r="C55" i="14"/>
  <c r="C35" i="14"/>
  <c r="C100" i="14"/>
  <c r="C18" i="17"/>
  <c r="C39" i="17"/>
  <c r="C113" i="17"/>
  <c r="C215" i="17"/>
  <c r="C120" i="17"/>
  <c r="C171" i="10"/>
  <c r="C175" i="15"/>
  <c r="C121" i="14"/>
  <c r="C77" i="15"/>
  <c r="C92" i="14"/>
  <c r="C170" i="9"/>
  <c r="C132" i="15"/>
  <c r="C43" i="15"/>
  <c r="C152" i="10"/>
  <c r="C130" i="12"/>
  <c r="C172" i="8"/>
  <c r="C175" i="12"/>
  <c r="C178" i="13"/>
  <c r="C128" i="13"/>
  <c r="C64" i="15"/>
  <c r="C81" i="14"/>
  <c r="C105" i="10"/>
  <c r="C78" i="16"/>
  <c r="C47" i="14"/>
  <c r="C173" i="8"/>
  <c r="C104" i="13"/>
  <c r="C172" i="9"/>
  <c r="C134" i="14"/>
  <c r="C112" i="11"/>
  <c r="C88" i="17"/>
  <c r="C142" i="17"/>
  <c r="C79" i="17"/>
  <c r="C78" i="17"/>
  <c r="C133" i="17"/>
  <c r="C167" i="17"/>
  <c r="C214" i="17"/>
  <c r="C111" i="17"/>
  <c r="C217" i="17"/>
  <c r="C51" i="17"/>
  <c r="C200" i="16"/>
  <c r="C106" i="16"/>
  <c r="C82" i="16"/>
  <c r="C169" i="16"/>
  <c r="C168" i="16"/>
  <c r="C185" i="16"/>
  <c r="C142" i="16"/>
  <c r="C120" i="16"/>
  <c r="C95" i="16"/>
  <c r="C76" i="16"/>
  <c r="C56" i="16"/>
  <c r="C35" i="16"/>
  <c r="C193" i="15"/>
  <c r="C99" i="15"/>
  <c r="C189" i="16"/>
  <c r="C145" i="16"/>
  <c r="C124" i="16"/>
  <c r="C98" i="16"/>
  <c r="C80" i="16"/>
  <c r="C63" i="16"/>
  <c r="C46" i="16"/>
  <c r="C20" i="16"/>
  <c r="C177" i="17"/>
  <c r="C24" i="17"/>
  <c r="C148" i="17"/>
  <c r="C35" i="17"/>
  <c r="C166" i="17"/>
  <c r="C212" i="17"/>
  <c r="C100" i="17"/>
  <c r="C218" i="17"/>
  <c r="C132" i="13"/>
  <c r="C121" i="15"/>
  <c r="C77" i="11"/>
  <c r="C174" i="15"/>
  <c r="C131" i="12"/>
  <c r="C42" i="10"/>
  <c r="C154" i="12"/>
  <c r="C131" i="15"/>
  <c r="C173" i="9"/>
  <c r="C180" i="14"/>
  <c r="C179" i="14"/>
  <c r="C128" i="11"/>
  <c r="C64" i="11"/>
  <c r="C81" i="11"/>
  <c r="C203" i="17"/>
  <c r="C106" i="11"/>
  <c r="C63" i="13"/>
  <c r="C47" i="13"/>
  <c r="C176" i="13"/>
  <c r="C104" i="11"/>
  <c r="C175" i="14"/>
  <c r="C133" i="13"/>
  <c r="C111" i="10"/>
  <c r="C50" i="17"/>
  <c r="C153" i="17"/>
  <c r="C52" i="17"/>
  <c r="C124" i="17"/>
  <c r="C58" i="17"/>
  <c r="C109" i="17"/>
  <c r="C173" i="17"/>
  <c r="C204" i="17"/>
  <c r="C66" i="17"/>
  <c r="C110" i="17"/>
  <c r="C139" i="17"/>
  <c r="C92" i="17"/>
  <c r="C170" i="17"/>
  <c r="C152" i="17"/>
  <c r="C159" i="17"/>
  <c r="C158" i="17"/>
  <c r="C205" i="17"/>
  <c r="C106" i="17"/>
  <c r="C82" i="17"/>
  <c r="C171" i="17"/>
  <c r="C201" i="16"/>
  <c r="C173" i="16"/>
  <c r="C156" i="16"/>
  <c r="C198" i="9"/>
  <c r="C183" i="15"/>
  <c r="C141" i="15"/>
  <c r="C119" i="15"/>
  <c r="C94" i="15"/>
  <c r="C75" i="15"/>
  <c r="C55" i="15"/>
  <c r="C35" i="15"/>
  <c r="C189" i="10"/>
  <c r="C160" i="16"/>
  <c r="C187" i="15"/>
  <c r="C144" i="15"/>
  <c r="C123" i="15"/>
  <c r="C97" i="15"/>
  <c r="C79" i="15"/>
  <c r="C62" i="15"/>
  <c r="C45" i="15"/>
  <c r="C20" i="15"/>
  <c r="C190" i="15"/>
  <c r="C152" i="16"/>
  <c r="C136" i="16"/>
  <c r="C113" i="16"/>
  <c r="C83" i="16"/>
  <c r="C68" i="16"/>
  <c r="C50" i="16"/>
  <c r="C24" i="16"/>
  <c r="C42" i="17"/>
  <c r="C114" i="17"/>
  <c r="C21" i="17"/>
  <c r="C60" i="17"/>
  <c r="C194" i="15"/>
  <c r="C174" i="14"/>
  <c r="C133" i="15"/>
  <c r="C120" i="13"/>
  <c r="C77" i="13"/>
  <c r="C172" i="13"/>
  <c r="C132" i="14"/>
  <c r="C43" i="12"/>
  <c r="C154" i="13"/>
  <c r="C130" i="13"/>
  <c r="C181" i="15"/>
  <c r="C178" i="12"/>
  <c r="C129" i="14"/>
  <c r="C64" i="13"/>
  <c r="C175" i="10"/>
  <c r="C106" i="13"/>
  <c r="C63" i="14"/>
  <c r="C48" i="16"/>
  <c r="C202" i="17"/>
  <c r="C177" i="14"/>
  <c r="C105" i="14"/>
  <c r="C104" i="17"/>
  <c r="C171" i="8"/>
  <c r="C134" i="15"/>
  <c r="C121" i="17"/>
  <c r="C132" i="17"/>
  <c r="C68" i="17"/>
  <c r="C64" i="17"/>
  <c r="C115" i="17"/>
  <c r="C179" i="17"/>
  <c r="C210" i="17"/>
  <c r="C56" i="17"/>
  <c r="C116" i="17"/>
  <c r="C71" i="17"/>
  <c r="C98" i="17"/>
  <c r="C176" i="17"/>
  <c r="C140" i="17"/>
  <c r="C165" i="17"/>
  <c r="C128" i="17"/>
  <c r="C108" i="16"/>
  <c r="C202" i="16"/>
  <c r="C133" i="16"/>
  <c r="C132" i="16"/>
  <c r="C130" i="16"/>
  <c r="C206" i="16"/>
  <c r="C122" i="16"/>
  <c r="C30" i="17"/>
  <c r="C57" i="17"/>
  <c r="C95" i="17"/>
  <c r="C213" i="17"/>
  <c r="C145" i="17"/>
  <c r="C192" i="12"/>
  <c r="C173" i="13"/>
  <c r="C133" i="14"/>
  <c r="C119" i="10"/>
  <c r="C76" i="10"/>
  <c r="C198" i="17"/>
  <c r="C172" i="12"/>
  <c r="C131" i="11"/>
  <c r="C43" i="11"/>
  <c r="C153" i="11"/>
  <c r="C131" i="14"/>
  <c r="C175" i="13"/>
  <c r="C179" i="12"/>
  <c r="C177" i="11"/>
  <c r="C128" i="12"/>
  <c r="C64" i="14"/>
  <c r="C177" i="13"/>
  <c r="C123" i="17"/>
  <c r="C64" i="16"/>
  <c r="C47" i="11"/>
  <c r="C174" i="9"/>
  <c r="C84" i="17"/>
  <c r="C172" i="10"/>
  <c r="C132" i="10"/>
  <c r="C61" i="17"/>
  <c r="C102" i="17"/>
  <c r="C156" i="17"/>
  <c r="C67" i="17"/>
  <c r="C175" i="17"/>
  <c r="C172" i="17"/>
  <c r="C135" i="17"/>
  <c r="C155" i="17"/>
  <c r="C47" i="17"/>
  <c r="C94" i="17"/>
  <c r="C77" i="17"/>
  <c r="C70" i="17"/>
  <c r="C130" i="17"/>
  <c r="C151" i="17"/>
  <c r="C80" i="17"/>
  <c r="C108" i="17"/>
  <c r="C207" i="17"/>
  <c r="C138" i="17"/>
  <c r="C137" i="17"/>
  <c r="C203" i="16"/>
  <c r="C199" i="11"/>
  <c r="C153" i="15"/>
  <c r="C137" i="15"/>
  <c r="C115" i="15"/>
  <c r="C90" i="15"/>
  <c r="C71" i="15"/>
  <c r="C51" i="15"/>
  <c r="C30" i="15"/>
  <c r="C101" i="16"/>
  <c r="C193" i="16"/>
  <c r="C158" i="16"/>
  <c r="C195" i="15"/>
  <c r="C182" i="15"/>
  <c r="C140" i="15"/>
  <c r="C118" i="15"/>
  <c r="C93" i="15"/>
  <c r="C75" i="16"/>
  <c r="C59" i="16"/>
  <c r="C40" i="15"/>
  <c r="C186" i="15"/>
  <c r="C148" i="16"/>
  <c r="C127" i="16"/>
  <c r="C109" i="16"/>
  <c r="C79" i="16"/>
  <c r="C62" i="16"/>
  <c r="C45" i="16"/>
  <c r="C19" i="16"/>
  <c r="C31" i="16"/>
  <c r="C87" i="15"/>
  <c r="C186" i="16"/>
  <c r="C147" i="16"/>
  <c r="C126" i="16"/>
  <c r="C103" i="16"/>
  <c r="C77" i="16"/>
  <c r="C57" i="16"/>
  <c r="C37" i="16"/>
  <c r="C201" i="14"/>
  <c r="C149" i="14"/>
  <c r="C128" i="14"/>
  <c r="C110" i="14"/>
  <c r="C84" i="14"/>
  <c r="C65" i="14"/>
  <c r="C46" i="14"/>
  <c r="C21" i="14"/>
  <c r="C192" i="14"/>
  <c r="C159" i="14"/>
  <c r="C181" i="14"/>
  <c r="C140" i="14"/>
  <c r="C118" i="14"/>
  <c r="C93" i="14"/>
  <c r="C74" i="14"/>
  <c r="C58" i="14"/>
  <c r="C40" i="14"/>
  <c r="C196" i="16"/>
  <c r="C163" i="16"/>
  <c r="C154" i="16"/>
  <c r="C110" i="15"/>
  <c r="C47" i="16"/>
  <c r="C157" i="15"/>
  <c r="C192" i="11"/>
  <c r="C115" i="16"/>
  <c r="C58" i="15"/>
  <c r="C161" i="11"/>
  <c r="C126" i="15"/>
  <c r="C86" i="15"/>
  <c r="C58" i="16"/>
  <c r="C24" i="15"/>
  <c r="C187" i="16"/>
  <c r="C161" i="16"/>
  <c r="C151" i="16"/>
  <c r="C125" i="15"/>
  <c r="C95" i="15"/>
  <c r="C61" i="16"/>
  <c r="C37" i="15"/>
  <c r="C186" i="13"/>
  <c r="C137" i="14"/>
  <c r="C109" i="13"/>
  <c r="C80" i="13"/>
  <c r="C51" i="14"/>
  <c r="C21" i="13"/>
  <c r="C189" i="13"/>
  <c r="C194" i="14"/>
  <c r="C147" i="13"/>
  <c r="C123" i="14"/>
  <c r="C96" i="13"/>
  <c r="C74" i="13"/>
  <c r="C54" i="13"/>
  <c r="C34" i="13"/>
  <c r="C184" i="13"/>
  <c r="C142" i="13"/>
  <c r="C121" i="13"/>
  <c r="C95" i="13"/>
  <c r="C73" i="13"/>
  <c r="C57" i="13"/>
  <c r="C38" i="13"/>
  <c r="C190" i="13"/>
  <c r="C157" i="13"/>
  <c r="C182" i="13"/>
  <c r="C141" i="13"/>
  <c r="C119" i="13"/>
  <c r="C94" i="13"/>
  <c r="C72" i="13"/>
  <c r="C52" i="13"/>
  <c r="C32" i="13"/>
  <c r="C181" i="12"/>
  <c r="C126" i="10"/>
  <c r="C109" i="11"/>
  <c r="C75" i="11"/>
  <c r="C40" i="10"/>
  <c r="C155" i="10"/>
  <c r="C147" i="11"/>
  <c r="C116" i="10"/>
  <c r="C92" i="11"/>
  <c r="C68" i="12"/>
  <c r="C39" i="10"/>
  <c r="C160" i="11"/>
  <c r="C125" i="12"/>
  <c r="C81" i="10"/>
  <c r="C67" i="11"/>
  <c r="C38" i="11"/>
  <c r="C101" i="10"/>
  <c r="C157" i="11"/>
  <c r="C144" i="10"/>
  <c r="C124" i="11"/>
  <c r="C91" i="11"/>
  <c r="C55" i="10"/>
  <c r="C37" i="11"/>
  <c r="C151" i="10"/>
  <c r="C136" i="11"/>
  <c r="C134" i="16"/>
  <c r="C135" i="16"/>
  <c r="C150" i="16"/>
  <c r="C91" i="16"/>
  <c r="C46" i="15"/>
  <c r="C184" i="16"/>
  <c r="C114" i="15"/>
  <c r="C55" i="16"/>
  <c r="C160" i="10"/>
  <c r="C122" i="15"/>
  <c r="C82" i="15"/>
  <c r="C57" i="15"/>
  <c r="C19" i="15"/>
  <c r="C185" i="15"/>
  <c r="C159" i="16"/>
  <c r="C150" i="15"/>
  <c r="C121" i="16"/>
  <c r="C91" i="15"/>
  <c r="C60" i="15"/>
  <c r="C32" i="16"/>
  <c r="C181" i="13"/>
  <c r="C136" i="13"/>
  <c r="C101" i="14"/>
  <c r="C75" i="13"/>
  <c r="C51" i="13"/>
  <c r="C88" i="14"/>
  <c r="C193" i="13"/>
  <c r="C144" i="14"/>
  <c r="C122" i="13"/>
  <c r="C92" i="13"/>
  <c r="C70" i="13"/>
  <c r="C54" i="14"/>
  <c r="C27" i="14"/>
  <c r="C163" i="14"/>
  <c r="C139" i="14"/>
  <c r="C117" i="14"/>
  <c r="C86" i="14"/>
  <c r="C69" i="14"/>
  <c r="C53" i="14"/>
  <c r="C33" i="14"/>
  <c r="C31" i="14"/>
  <c r="C87" i="14"/>
  <c r="C161" i="14"/>
  <c r="C138" i="14"/>
  <c r="C116" i="14"/>
  <c r="C91" i="14"/>
  <c r="C66" i="14"/>
  <c r="C48" i="14"/>
  <c r="C22" i="14"/>
  <c r="C179" i="11"/>
  <c r="C127" i="12"/>
  <c r="C92" i="10"/>
  <c r="C75" i="12"/>
  <c r="C41" i="12"/>
  <c r="C158" i="12"/>
  <c r="C147" i="12"/>
  <c r="C117" i="12"/>
  <c r="C82" i="10"/>
  <c r="C68" i="11"/>
  <c r="C40" i="12"/>
  <c r="C145" i="10"/>
  <c r="C125" i="11"/>
  <c r="C82" i="12"/>
  <c r="C56" i="10"/>
  <c r="C24" i="10"/>
  <c r="C102" i="12"/>
  <c r="C167" i="16"/>
  <c r="C166" i="16"/>
  <c r="C149" i="15"/>
  <c r="C85" i="16"/>
  <c r="C30" i="16"/>
  <c r="C100" i="15"/>
  <c r="C153" i="16"/>
  <c r="C94" i="16"/>
  <c r="C54" i="15"/>
  <c r="C151" i="15"/>
  <c r="C123" i="16"/>
  <c r="C78" i="15"/>
  <c r="C53" i="15"/>
  <c r="C104" i="16"/>
  <c r="C158" i="15"/>
  <c r="C191" i="16"/>
  <c r="C146" i="15"/>
  <c r="C120" i="15"/>
  <c r="C86" i="16"/>
  <c r="C56" i="15"/>
  <c r="C32" i="15"/>
  <c r="C153" i="14"/>
  <c r="C127" i="13"/>
  <c r="C100" i="13"/>
  <c r="C71" i="14"/>
  <c r="C46" i="13"/>
  <c r="C88" i="13"/>
  <c r="C186" i="14"/>
  <c r="C143" i="13"/>
  <c r="C117" i="13"/>
  <c r="C89" i="14"/>
  <c r="C70" i="14"/>
  <c r="C50" i="14"/>
  <c r="C27" i="13"/>
  <c r="C162" i="13"/>
  <c r="C138" i="13"/>
  <c r="C116" i="13"/>
  <c r="C86" i="13"/>
  <c r="C69" i="13"/>
  <c r="C53" i="13"/>
  <c r="C33" i="13"/>
  <c r="C31" i="13"/>
  <c r="C87" i="13"/>
  <c r="C160" i="13"/>
  <c r="C137" i="13"/>
  <c r="C115" i="13"/>
  <c r="C91" i="13"/>
  <c r="C66" i="13"/>
  <c r="C48" i="13"/>
  <c r="C22" i="13"/>
  <c r="C147" i="10"/>
  <c r="C127" i="11"/>
  <c r="C93" i="12"/>
  <c r="C58" i="10"/>
  <c r="C41" i="11"/>
  <c r="C156" i="11"/>
  <c r="C193" i="12"/>
  <c r="C138" i="10"/>
  <c r="C117" i="11"/>
  <c r="C83" i="11"/>
  <c r="C57" i="10"/>
  <c r="C40" i="11"/>
  <c r="C146" i="12"/>
  <c r="C115" i="10"/>
  <c r="C82" i="11"/>
  <c r="C57" i="12"/>
  <c r="C24" i="12"/>
  <c r="C102" i="11"/>
  <c r="C145" i="11"/>
  <c r="C115" i="12"/>
  <c r="C71" i="10"/>
  <c r="C56" i="11"/>
  <c r="C22" i="12"/>
  <c r="C152" i="11"/>
  <c r="C123" i="12"/>
  <c r="C89" i="10"/>
  <c r="C71" i="11"/>
  <c r="C114" i="16"/>
  <c r="C208" i="16"/>
  <c r="C171" i="16"/>
  <c r="C138" i="16"/>
  <c r="C84" i="15"/>
  <c r="C21" i="16"/>
  <c r="C105" i="16"/>
  <c r="C152" i="15"/>
  <c r="C90" i="16"/>
  <c r="C41" i="16"/>
  <c r="C147" i="15"/>
  <c r="C117" i="15"/>
  <c r="C74" i="16"/>
  <c r="C49" i="15"/>
  <c r="C194" i="16"/>
  <c r="C189" i="15"/>
  <c r="C143" i="16"/>
  <c r="C116" i="15"/>
  <c r="C85" i="15"/>
  <c r="C53" i="16"/>
  <c r="C22" i="15"/>
  <c r="C152" i="13"/>
  <c r="C124" i="14"/>
  <c r="C93" i="13"/>
  <c r="C71" i="13"/>
  <c r="C41" i="14"/>
  <c r="C99" i="13"/>
  <c r="C99" i="14"/>
  <c r="C185" i="13"/>
  <c r="C139" i="13"/>
  <c r="C114" i="14"/>
  <c r="C89" i="13"/>
  <c r="C68" i="14"/>
  <c r="C50" i="13"/>
  <c r="C20" i="14"/>
  <c r="C151" i="14"/>
  <c r="C135" i="14"/>
  <c r="C112" i="14"/>
  <c r="C82" i="14"/>
  <c r="C67" i="14"/>
  <c r="C49" i="14"/>
  <c r="C24" i="14"/>
  <c r="C184" i="14"/>
  <c r="C98" i="14"/>
  <c r="C150" i="14"/>
  <c r="C130" i="14"/>
  <c r="C111" i="14"/>
  <c r="C85" i="14"/>
  <c r="C60" i="14"/>
  <c r="C42" i="14"/>
  <c r="C18" i="14"/>
  <c r="C148" i="12"/>
  <c r="C117" i="10"/>
  <c r="C93" i="11"/>
  <c r="C59" i="12"/>
  <c r="C30" i="10"/>
  <c r="C191" i="12"/>
  <c r="C191" i="11"/>
  <c r="C139" i="11"/>
  <c r="C107" i="10"/>
  <c r="C83" i="12"/>
  <c r="C58" i="12"/>
  <c r="C27" i="10"/>
  <c r="C146" i="11"/>
  <c r="C116" i="12"/>
  <c r="C72" i="10"/>
  <c r="C57" i="11"/>
  <c r="C24" i="11"/>
  <c r="C86" i="10"/>
  <c r="C184" i="10"/>
  <c r="C136" i="10"/>
  <c r="C115" i="11"/>
  <c r="C72" i="12"/>
  <c r="C47" i="10"/>
  <c r="C22" i="11"/>
  <c r="C143" i="10"/>
  <c r="C123" i="11"/>
  <c r="C90" i="12"/>
  <c r="C64" i="10"/>
  <c r="C46" i="11"/>
  <c r="C99" i="11"/>
  <c r="C87" i="10"/>
  <c r="C150" i="10"/>
  <c r="C135" i="11"/>
  <c r="C96" i="12"/>
  <c r="C69" i="10"/>
  <c r="C54" i="11"/>
  <c r="C20" i="12"/>
  <c r="C149" i="10"/>
  <c r="C134" i="11"/>
  <c r="C95" i="12"/>
  <c r="C68" i="10"/>
  <c r="C53" i="11"/>
  <c r="C19" i="11"/>
  <c r="C31" i="12"/>
  <c r="C154" i="10"/>
  <c r="C148" i="10"/>
  <c r="C129" i="11"/>
  <c r="C94" i="12"/>
  <c r="C59" i="10"/>
  <c r="C42" i="11"/>
  <c r="C69" i="17"/>
  <c r="C119" i="17"/>
  <c r="C129" i="16"/>
  <c r="C72" i="16"/>
  <c r="C21" i="15"/>
  <c r="C190" i="11"/>
  <c r="C141" i="16"/>
  <c r="C89" i="15"/>
  <c r="C34" i="16"/>
  <c r="C192" i="16"/>
  <c r="C144" i="16"/>
  <c r="C112" i="15"/>
  <c r="C73" i="15"/>
  <c r="C44" i="15"/>
  <c r="C192" i="15"/>
  <c r="C184" i="15"/>
  <c r="C142" i="15"/>
  <c r="C112" i="16"/>
  <c r="C76" i="15"/>
  <c r="C52" i="15"/>
  <c r="C18" i="16"/>
  <c r="C148" i="13"/>
  <c r="C123" i="13"/>
  <c r="C90" i="14"/>
  <c r="C65" i="13"/>
  <c r="C41" i="13"/>
  <c r="C104" i="14"/>
  <c r="C98" i="13"/>
  <c r="C180" i="13"/>
  <c r="C136" i="14"/>
  <c r="C113" i="13"/>
  <c r="C83" i="14"/>
  <c r="C68" i="13"/>
  <c r="C45" i="14"/>
  <c r="C20" i="13"/>
  <c r="C150" i="13"/>
  <c r="C134" i="13"/>
  <c r="C111" i="13"/>
  <c r="C82" i="13"/>
  <c r="C67" i="13"/>
  <c r="C49" i="13"/>
  <c r="C24" i="13"/>
  <c r="C183" i="13"/>
  <c r="C97" i="13"/>
  <c r="C149" i="13"/>
  <c r="C129" i="13"/>
  <c r="C110" i="13"/>
  <c r="C85" i="13"/>
  <c r="C60" i="13"/>
  <c r="C42" i="13"/>
  <c r="C18" i="13"/>
  <c r="C148" i="11"/>
  <c r="C118" i="12"/>
  <c r="C83" i="10"/>
  <c r="C59" i="11"/>
  <c r="C30" i="12"/>
  <c r="C189" i="11"/>
  <c r="C177" i="10"/>
  <c r="C139" i="12"/>
  <c r="C108" i="12"/>
  <c r="C73" i="10"/>
  <c r="C58" i="11"/>
  <c r="C27" i="11"/>
  <c r="C185" i="10"/>
  <c r="C137" i="10"/>
  <c r="C116" i="11"/>
  <c r="C73" i="12"/>
  <c r="C48" i="10"/>
  <c r="C87" i="12"/>
  <c r="C185" i="11"/>
  <c r="C137" i="12"/>
  <c r="C100" i="10"/>
  <c r="C72" i="11"/>
  <c r="C48" i="12"/>
  <c r="C144" i="12"/>
  <c r="C113" i="10"/>
  <c r="C90" i="11"/>
  <c r="C65" i="12"/>
  <c r="C35" i="10"/>
  <c r="C99" i="12"/>
  <c r="C88" i="12"/>
  <c r="C151" i="12"/>
  <c r="C121" i="10"/>
  <c r="C96" i="11"/>
  <c r="C70" i="12"/>
  <c r="C204" i="16"/>
  <c r="C128" i="15"/>
  <c r="C66" i="16"/>
  <c r="C191" i="15"/>
  <c r="C137" i="16"/>
  <c r="C74" i="15"/>
  <c r="C34" i="15"/>
  <c r="C188" i="16"/>
  <c r="C143" i="15"/>
  <c r="C108" i="15"/>
  <c r="C69" i="15"/>
  <c r="C39" i="16"/>
  <c r="C88" i="16"/>
  <c r="C162" i="16"/>
  <c r="C139" i="16"/>
  <c r="C111" i="15"/>
  <c r="C73" i="16"/>
  <c r="C48" i="15"/>
  <c r="C18" i="15"/>
  <c r="C145" i="14"/>
  <c r="C118" i="13"/>
  <c r="C90" i="13"/>
  <c r="C59" i="14"/>
  <c r="C35" i="13"/>
  <c r="C103" i="13"/>
  <c r="C158" i="13"/>
  <c r="C152" i="14"/>
  <c r="C135" i="13"/>
  <c r="C109" i="14"/>
  <c r="C83" i="13"/>
  <c r="C62" i="14"/>
  <c r="C45" i="13"/>
  <c r="C189" i="14"/>
  <c r="C147" i="14"/>
  <c r="C126" i="14"/>
  <c r="C108" i="14"/>
  <c r="C78" i="14"/>
  <c r="C61" i="14"/>
  <c r="C44" i="14"/>
  <c r="C19" i="14"/>
  <c r="C103" i="14"/>
  <c r="C160" i="14"/>
  <c r="C188" i="14"/>
  <c r="C146" i="14"/>
  <c r="C125" i="14"/>
  <c r="C102" i="14"/>
  <c r="C76" i="14"/>
  <c r="C56" i="14"/>
  <c r="C37" i="14"/>
  <c r="C200" i="12"/>
  <c r="C139" i="10"/>
  <c r="C118" i="11"/>
  <c r="C84" i="12"/>
  <c r="C50" i="10"/>
  <c r="C30" i="11"/>
  <c r="C97" i="10"/>
  <c r="C180" i="12"/>
  <c r="C125" i="10"/>
  <c r="C108" i="11"/>
  <c r="C74" i="12"/>
  <c r="C49" i="10"/>
  <c r="C27" i="12"/>
  <c r="C188" i="12"/>
  <c r="C138" i="12"/>
  <c r="C106" i="10"/>
  <c r="C73" i="11"/>
  <c r="C49" i="12"/>
  <c r="C180" i="10"/>
  <c r="C87" i="11"/>
  <c r="C187" i="12"/>
  <c r="C137" i="11"/>
  <c r="C101" i="12"/>
  <c r="C65" i="10"/>
  <c r="C48" i="11"/>
  <c r="C183" i="10"/>
  <c r="C144" i="11"/>
  <c r="C114" i="12"/>
  <c r="C79" i="10"/>
  <c r="C65" i="11"/>
  <c r="C35" i="11"/>
  <c r="C102" i="10"/>
  <c r="C88" i="11"/>
  <c r="C151" i="11"/>
  <c r="C198" i="10"/>
  <c r="C116" i="16"/>
  <c r="C65" i="15"/>
  <c r="C89" i="16"/>
  <c r="C197" i="16"/>
  <c r="C136" i="15"/>
  <c r="C71" i="16"/>
  <c r="C164" i="16"/>
  <c r="C139" i="15"/>
  <c r="C97" i="16"/>
  <c r="C67" i="15"/>
  <c r="C38" i="15"/>
  <c r="C99" i="16"/>
  <c r="C161" i="15"/>
  <c r="C131" i="16"/>
  <c r="C102" i="15"/>
  <c r="C72" i="15"/>
  <c r="C42" i="15"/>
  <c r="C200" i="13"/>
  <c r="C144" i="13"/>
  <c r="C115" i="14"/>
  <c r="C84" i="13"/>
  <c r="C59" i="13"/>
  <c r="C30" i="14"/>
  <c r="C191" i="13"/>
  <c r="C157" i="14"/>
  <c r="C151" i="13"/>
  <c r="C127" i="14"/>
  <c r="C108" i="13"/>
  <c r="C79" i="14"/>
  <c r="C62" i="13"/>
  <c r="C40" i="13"/>
  <c r="C188" i="13"/>
  <c r="C146" i="13"/>
  <c r="C125" i="13"/>
  <c r="C107" i="13"/>
  <c r="C78" i="13"/>
  <c r="C61" i="13"/>
  <c r="C44" i="13"/>
  <c r="C19" i="13"/>
  <c r="C102" i="13"/>
  <c r="C159" i="13"/>
  <c r="C187" i="13"/>
  <c r="C145" i="13"/>
  <c r="C124" i="13"/>
  <c r="C101" i="13"/>
  <c r="C76" i="13"/>
  <c r="C56" i="13"/>
  <c r="C37" i="13"/>
  <c r="C198" i="11"/>
  <c r="C140" i="12"/>
  <c r="C108" i="10"/>
  <c r="C84" i="11"/>
  <c r="C51" i="12"/>
  <c r="C98" i="12"/>
  <c r="C178" i="11"/>
  <c r="C126" i="12"/>
  <c r="C91" i="10"/>
  <c r="C74" i="11"/>
  <c r="C50" i="12"/>
  <c r="C186" i="11"/>
  <c r="C138" i="11"/>
  <c r="C107" i="11"/>
  <c r="C66" i="10"/>
  <c r="C49" i="11"/>
  <c r="C183" i="12"/>
  <c r="C156" i="10"/>
  <c r="C160" i="12"/>
  <c r="C123" i="10"/>
  <c r="C101" i="11"/>
  <c r="C66" i="12"/>
  <c r="C37" i="10"/>
  <c r="C186" i="12"/>
  <c r="C135" i="10"/>
  <c r="C114" i="11"/>
  <c r="C80" i="12"/>
  <c r="C54" i="10"/>
  <c r="C198" i="16"/>
  <c r="C202" i="15"/>
  <c r="C111" i="16"/>
  <c r="C52" i="16"/>
  <c r="C159" i="15"/>
  <c r="C191" i="10"/>
  <c r="C119" i="16"/>
  <c r="C70" i="15"/>
  <c r="C163" i="15"/>
  <c r="C135" i="15"/>
  <c r="C96" i="15"/>
  <c r="C61" i="15"/>
  <c r="C33" i="15"/>
  <c r="C31" i="15"/>
  <c r="C98" i="15"/>
  <c r="C158" i="10"/>
  <c r="C130" i="15"/>
  <c r="C96" i="16"/>
  <c r="C66" i="15"/>
  <c r="C43" i="16"/>
  <c r="C187" i="14"/>
  <c r="C140" i="13"/>
  <c r="C114" i="13"/>
  <c r="C80" i="14"/>
  <c r="C55" i="13"/>
  <c r="C30" i="13"/>
  <c r="C190" i="14"/>
  <c r="C156" i="13"/>
  <c r="C148" i="14"/>
  <c r="C126" i="13"/>
  <c r="C97" i="14"/>
  <c r="C79" i="13"/>
  <c r="C58" i="13"/>
  <c r="C34" i="14"/>
  <c r="C185" i="14"/>
  <c r="C143" i="14"/>
  <c r="C122" i="14"/>
  <c r="C96" i="14"/>
  <c r="C73" i="14"/>
  <c r="C57" i="14"/>
  <c r="C38" i="14"/>
  <c r="C191" i="14"/>
  <c r="C158" i="14"/>
  <c r="C183" i="14"/>
  <c r="C142" i="14"/>
  <c r="C120" i="14"/>
  <c r="C95" i="14"/>
  <c r="C72" i="14"/>
  <c r="C52" i="14"/>
  <c r="C32" i="14"/>
  <c r="C178" i="10"/>
  <c r="C140" i="11"/>
  <c r="C109" i="12"/>
  <c r="C74" i="10"/>
  <c r="C51" i="11"/>
  <c r="C98" i="11"/>
  <c r="C146" i="10"/>
  <c r="C126" i="11"/>
  <c r="C92" i="12"/>
  <c r="C67" i="10"/>
  <c r="C50" i="11"/>
  <c r="C162" i="12"/>
  <c r="C124" i="10"/>
  <c r="C107" i="12"/>
  <c r="C67" i="12"/>
  <c r="C38" i="12"/>
  <c r="C181" i="11"/>
  <c r="C159" i="12"/>
  <c r="C158" i="11"/>
  <c r="C124" i="12"/>
  <c r="C90" i="10"/>
  <c r="C66" i="11"/>
  <c r="C37" i="12"/>
  <c r="C184" i="11"/>
  <c r="C136" i="12"/>
  <c r="C99" i="10"/>
  <c r="C80" i="11"/>
  <c r="C55" i="12"/>
  <c r="C21" i="10"/>
  <c r="C103" i="11"/>
  <c r="C156" i="12"/>
  <c r="C143" i="12"/>
  <c r="C112" i="10"/>
  <c r="C89" i="11"/>
  <c r="C62" i="12"/>
  <c r="C34" i="10"/>
  <c r="C142" i="12"/>
  <c r="C110" i="10"/>
  <c r="C86" i="11"/>
  <c r="C61" i="12"/>
  <c r="C33" i="10"/>
  <c r="C188" i="11"/>
  <c r="C141" i="12"/>
  <c r="C109" i="10"/>
  <c r="C85" i="11"/>
  <c r="C52" i="12"/>
  <c r="C18" i="10"/>
  <c r="C189" i="8"/>
  <c r="C152" i="12"/>
  <c r="C46" i="12"/>
  <c r="C187" i="11"/>
  <c r="C135" i="12"/>
  <c r="C78" i="10"/>
  <c r="C44" i="10"/>
  <c r="C142" i="11"/>
  <c r="C94" i="10"/>
  <c r="C69" i="11"/>
  <c r="C33" i="12"/>
  <c r="C157" i="12"/>
  <c r="C149" i="11"/>
  <c r="C110" i="12"/>
  <c r="C76" i="11"/>
  <c r="C32" i="12"/>
  <c r="C190" i="10"/>
  <c r="C189" i="9"/>
  <c r="C159" i="9"/>
  <c r="C187" i="8"/>
  <c r="C195" i="9"/>
  <c r="C180" i="8"/>
  <c r="C183" i="8"/>
  <c r="C179" i="9"/>
  <c r="C185" i="9"/>
  <c r="C122" i="10"/>
  <c r="C35" i="12"/>
  <c r="C153" i="10"/>
  <c r="C122" i="12"/>
  <c r="C79" i="12"/>
  <c r="C45" i="12"/>
  <c r="C133" i="10"/>
  <c r="C95" i="11"/>
  <c r="C60" i="10"/>
  <c r="C33" i="11"/>
  <c r="C31" i="10"/>
  <c r="C155" i="11"/>
  <c r="C140" i="10"/>
  <c r="C110" i="11"/>
  <c r="C60" i="12"/>
  <c r="C32" i="11"/>
  <c r="C190" i="9"/>
  <c r="C187" i="9"/>
  <c r="C178" i="8"/>
  <c r="C184" i="8"/>
  <c r="C145" i="12"/>
  <c r="C100" i="12"/>
  <c r="C21" i="12"/>
  <c r="C154" i="11"/>
  <c r="C182" i="10"/>
  <c r="C122" i="11"/>
  <c r="C79" i="11"/>
  <c r="C45" i="11"/>
  <c r="C181" i="10"/>
  <c r="C134" i="12"/>
  <c r="C85" i="10"/>
  <c r="C61" i="11"/>
  <c r="C19" i="10"/>
  <c r="C31" i="11"/>
  <c r="C141" i="11"/>
  <c r="C93" i="10"/>
  <c r="C60" i="11"/>
  <c r="C18" i="12"/>
  <c r="C159" i="10"/>
  <c r="C157" i="8"/>
  <c r="C186" i="8"/>
  <c r="C186" i="9"/>
  <c r="C184" i="9"/>
  <c r="C114" i="10"/>
  <c r="C100" i="11"/>
  <c r="C21" i="11"/>
  <c r="C185" i="12"/>
  <c r="C113" i="12"/>
  <c r="C70" i="11"/>
  <c r="C34" i="12"/>
  <c r="C184" i="12"/>
  <c r="C120" i="10"/>
  <c r="C86" i="12"/>
  <c r="C52" i="10"/>
  <c r="C19" i="12"/>
  <c r="C187" i="10"/>
  <c r="C128" i="10"/>
  <c r="C94" i="11"/>
  <c r="C51" i="10"/>
  <c r="C18" i="11"/>
  <c r="C160" i="8"/>
  <c r="C157" i="10"/>
  <c r="C175" i="9"/>
  <c r="C183" i="9"/>
  <c r="C176" i="9"/>
  <c r="C185" i="8"/>
  <c r="C91" i="12"/>
  <c r="C70" i="10"/>
  <c r="C98" i="10"/>
  <c r="C183" i="11"/>
  <c r="C113" i="11"/>
  <c r="C61" i="10"/>
  <c r="C34" i="11"/>
  <c r="C182" i="11"/>
  <c r="C121" i="12"/>
  <c r="C77" i="10"/>
  <c r="C53" i="12"/>
  <c r="C190" i="12"/>
  <c r="C179" i="10"/>
  <c r="C129" i="12"/>
  <c r="C84" i="10"/>
  <c r="C52" i="11"/>
  <c r="C196" i="9"/>
  <c r="C174" i="8"/>
  <c r="C182" i="8"/>
  <c r="C175" i="8"/>
  <c r="C177" i="9"/>
  <c r="C56" i="12"/>
  <c r="C71" i="12"/>
  <c r="C103" i="12"/>
  <c r="C142" i="10"/>
  <c r="C95" i="10"/>
  <c r="C62" i="11"/>
  <c r="C20" i="10"/>
  <c r="C150" i="12"/>
  <c r="C121" i="11"/>
  <c r="C78" i="12"/>
  <c r="C43" i="10"/>
  <c r="C96" i="10"/>
  <c r="C182" i="12"/>
  <c r="C118" i="10"/>
  <c r="C85" i="12"/>
  <c r="C41" i="10"/>
  <c r="C197" i="9"/>
  <c r="C182" i="9"/>
  <c r="C180" i="9"/>
  <c r="C176" i="8"/>
  <c r="C22" i="10"/>
  <c r="C55" i="11"/>
  <c r="C186" i="10"/>
  <c r="C143" i="11"/>
  <c r="C88" i="10"/>
  <c r="C53" i="10"/>
  <c r="C20" i="11"/>
  <c r="C150" i="11"/>
  <c r="C111" i="12"/>
  <c r="C78" i="11"/>
  <c r="C44" i="12"/>
  <c r="C97" i="12"/>
  <c r="C180" i="11"/>
  <c r="C119" i="12"/>
  <c r="C75" i="10"/>
  <c r="C42" i="12"/>
  <c r="C160" i="9"/>
  <c r="C197" i="10"/>
  <c r="C159" i="8"/>
  <c r="C158" i="8"/>
  <c r="C178" i="9"/>
  <c r="C181" i="8"/>
  <c r="C179" i="8"/>
  <c r="C45" i="10"/>
  <c r="C189" i="12"/>
  <c r="C134" i="10"/>
  <c r="C89" i="12"/>
  <c r="C54" i="12"/>
  <c r="C141" i="10"/>
  <c r="C111" i="11"/>
  <c r="C69" i="12"/>
  <c r="C44" i="11"/>
  <c r="C97" i="11"/>
  <c r="C149" i="12"/>
  <c r="C119" i="11"/>
  <c r="C76" i="12"/>
  <c r="C32" i="10"/>
  <c r="C188" i="10"/>
  <c r="C188" i="8"/>
  <c r="C188" i="9"/>
  <c r="C177" i="8"/>
  <c r="C161" i="9"/>
  <c r="C181" i="9"/>
  <c r="C15" i="9"/>
  <c r="C103" i="9"/>
  <c r="C158" i="9"/>
  <c r="C24" i="9"/>
  <c r="C149" i="9"/>
  <c r="C151" i="9"/>
  <c r="C31" i="7"/>
  <c r="C152" i="9"/>
  <c r="C147" i="8"/>
  <c r="C149" i="8"/>
  <c r="C30" i="2"/>
  <c r="C41" i="9"/>
  <c r="C150" i="8"/>
  <c r="C137" i="2"/>
  <c r="C39" i="7"/>
  <c r="C143" i="7"/>
  <c r="C145" i="7"/>
  <c r="C32" i="9"/>
  <c r="C39" i="8"/>
  <c r="C135" i="2"/>
  <c r="C31" i="8"/>
  <c r="C17" i="17"/>
  <c r="C15" i="16"/>
  <c r="C17" i="15"/>
  <c r="C15" i="14"/>
  <c r="C17" i="13"/>
  <c r="C15" i="12"/>
  <c r="C17" i="11"/>
  <c r="C15" i="10"/>
  <c r="C16" i="16"/>
  <c r="C16" i="14"/>
  <c r="C16" i="12"/>
  <c r="C16" i="10"/>
  <c r="C15" i="17"/>
  <c r="C17" i="16"/>
  <c r="C15" i="15"/>
  <c r="C17" i="14"/>
  <c r="C15" i="13"/>
  <c r="C17" i="12"/>
  <c r="C15" i="11"/>
  <c r="C17" i="10"/>
  <c r="C150" i="2"/>
  <c r="C16" i="17"/>
  <c r="C16" i="15"/>
  <c r="C16" i="13"/>
  <c r="C16" i="11"/>
  <c r="C135" i="9"/>
  <c r="C81" i="9"/>
  <c r="C132" i="9"/>
  <c r="C138" i="7"/>
  <c r="C52" i="2"/>
  <c r="C22" i="2"/>
  <c r="C155" i="8"/>
  <c r="C141" i="8"/>
  <c r="C132" i="8"/>
  <c r="C120" i="8"/>
  <c r="C112" i="8"/>
  <c r="C104" i="8"/>
  <c r="C97" i="8"/>
  <c r="C79" i="7"/>
  <c r="C71" i="7"/>
  <c r="C63" i="7"/>
  <c r="C55" i="8"/>
  <c r="C47" i="8"/>
  <c r="C38" i="7"/>
  <c r="C30" i="7"/>
  <c r="C21" i="7"/>
  <c r="C154" i="8"/>
  <c r="C140" i="8"/>
  <c r="C127" i="8"/>
  <c r="C115" i="7"/>
  <c r="C107" i="7"/>
  <c r="C103" i="8"/>
  <c r="C97" i="9"/>
  <c r="C86" i="8"/>
  <c r="C78" i="8"/>
  <c r="C70" i="8"/>
  <c r="C62" i="8"/>
  <c r="C54" i="8"/>
  <c r="C46" i="8"/>
  <c r="C29" i="7"/>
  <c r="C20" i="8"/>
  <c r="C133" i="8"/>
  <c r="C80" i="8"/>
  <c r="C156" i="8"/>
  <c r="C130" i="8"/>
  <c r="C144" i="9"/>
  <c r="C56" i="8"/>
  <c r="C22" i="9"/>
  <c r="C88" i="8"/>
  <c r="C150" i="7"/>
  <c r="C137" i="7"/>
  <c r="C128" i="7"/>
  <c r="C116" i="7"/>
  <c r="C108" i="7"/>
  <c r="C96" i="2"/>
  <c r="C96" i="7"/>
  <c r="C75" i="2"/>
  <c r="C67" i="2"/>
  <c r="C59" i="2"/>
  <c r="C51" i="2"/>
  <c r="C43" i="2"/>
  <c r="C35" i="2"/>
  <c r="C29" i="2"/>
  <c r="C21" i="2"/>
  <c r="C149" i="7"/>
  <c r="C128" i="2"/>
  <c r="C123" i="7"/>
  <c r="C119" i="8"/>
  <c r="C111" i="8"/>
  <c r="C102" i="7"/>
  <c r="C95" i="7"/>
  <c r="C86" i="7"/>
  <c r="C78" i="7"/>
  <c r="C70" i="7"/>
  <c r="C62" i="7"/>
  <c r="C50" i="2"/>
  <c r="C46" i="7"/>
  <c r="C29" i="8"/>
  <c r="C20" i="7"/>
  <c r="C129" i="7"/>
  <c r="C80" i="7"/>
  <c r="C151" i="7"/>
  <c r="C126" i="7"/>
  <c r="C142" i="8"/>
  <c r="C57" i="9"/>
  <c r="C22" i="8"/>
  <c r="C89" i="9"/>
  <c r="C142" i="2"/>
  <c r="C129" i="2"/>
  <c r="C121" i="2"/>
  <c r="C109" i="2"/>
  <c r="C101" i="2"/>
  <c r="C103" i="7"/>
  <c r="C80" i="9"/>
  <c r="C71" i="8"/>
  <c r="C64" i="9"/>
  <c r="C56" i="9"/>
  <c r="C48" i="9"/>
  <c r="C40" i="9"/>
  <c r="C31" i="9"/>
  <c r="C21" i="9"/>
  <c r="C141" i="2"/>
  <c r="C136" i="7"/>
  <c r="C116" i="2"/>
  <c r="C108" i="2"/>
  <c r="C100" i="2"/>
  <c r="C95" i="2"/>
  <c r="C89" i="2"/>
  <c r="C82" i="2"/>
  <c r="C74" i="2"/>
  <c r="C66" i="2"/>
  <c r="C58" i="2"/>
  <c r="C54" i="7"/>
  <c r="C42" i="2"/>
  <c r="C28" i="2"/>
  <c r="C20" i="2"/>
  <c r="C122" i="2"/>
  <c r="C56" i="7"/>
  <c r="C157" i="9"/>
  <c r="C114" i="9"/>
  <c r="C72" i="9"/>
  <c r="C38" i="8"/>
  <c r="C156" i="9"/>
  <c r="C113" i="9"/>
  <c r="C79" i="9"/>
  <c r="C47" i="9"/>
  <c r="C83" i="2"/>
  <c r="C152" i="7"/>
  <c r="C127" i="7"/>
  <c r="C98" i="8"/>
  <c r="C72" i="8"/>
  <c r="C40" i="7"/>
  <c r="C153" i="8"/>
  <c r="C139" i="8"/>
  <c r="C126" i="8"/>
  <c r="C118" i="8"/>
  <c r="C110" i="8"/>
  <c r="C102" i="8"/>
  <c r="C95" i="8"/>
  <c r="C85" i="7"/>
  <c r="C77" i="7"/>
  <c r="C69" i="8"/>
  <c r="C61" i="8"/>
  <c r="C53" i="8"/>
  <c r="C45" i="7"/>
  <c r="C37" i="7"/>
  <c r="C28" i="7"/>
  <c r="C19" i="8"/>
  <c r="C76" i="2"/>
  <c r="C119" i="2"/>
  <c r="C22" i="7"/>
  <c r="C143" i="9"/>
  <c r="C106" i="9"/>
  <c r="C63" i="8"/>
  <c r="C30" i="8"/>
  <c r="C142" i="9"/>
  <c r="C105" i="9"/>
  <c r="C71" i="9"/>
  <c r="C30" i="9"/>
  <c r="C90" i="9"/>
  <c r="C133" i="9"/>
  <c r="C97" i="7"/>
  <c r="C72" i="7"/>
  <c r="C36" i="2"/>
  <c r="C148" i="7"/>
  <c r="C135" i="7"/>
  <c r="C115" i="2"/>
  <c r="C107" i="2"/>
  <c r="C99" i="2"/>
  <c r="C101" i="7"/>
  <c r="C94" i="7"/>
  <c r="C81" i="2"/>
  <c r="C73" i="2"/>
  <c r="C65" i="2"/>
  <c r="C57" i="2"/>
  <c r="C49" i="2"/>
  <c r="C41" i="2"/>
  <c r="C34" i="2"/>
  <c r="C27" i="2"/>
  <c r="C19" i="2"/>
  <c r="C134" i="9"/>
  <c r="C98" i="9"/>
  <c r="C55" i="7"/>
  <c r="C21" i="8"/>
  <c r="C129" i="9"/>
  <c r="C96" i="8"/>
  <c r="C63" i="9"/>
  <c r="C20" i="9"/>
  <c r="C89" i="8"/>
  <c r="C131" i="8"/>
  <c r="C90" i="2"/>
  <c r="C68" i="2"/>
  <c r="C140" i="2"/>
  <c r="C127" i="2"/>
  <c r="C122" i="7"/>
  <c r="C114" i="7"/>
  <c r="C106" i="7"/>
  <c r="C94" i="2"/>
  <c r="C86" i="9"/>
  <c r="C78" i="9"/>
  <c r="C70" i="9"/>
  <c r="C62" i="9"/>
  <c r="C54" i="9"/>
  <c r="C46" i="9"/>
  <c r="C38" i="9"/>
  <c r="C29" i="9"/>
  <c r="C19" i="9"/>
  <c r="C143" i="2"/>
  <c r="C87" i="9"/>
  <c r="C120" i="2"/>
  <c r="C99" i="9"/>
  <c r="C155" i="9"/>
  <c r="C112" i="9"/>
  <c r="C77" i="8"/>
  <c r="C45" i="8"/>
  <c r="C26" i="8"/>
  <c r="C145" i="2"/>
  <c r="C102" i="2"/>
  <c r="C148" i="9"/>
  <c r="C154" i="9"/>
  <c r="C139" i="9"/>
  <c r="C127" i="9"/>
  <c r="C119" i="9"/>
  <c r="C111" i="9"/>
  <c r="C95" i="9"/>
  <c r="C85" i="9"/>
  <c r="C77" i="9"/>
  <c r="C69" i="9"/>
  <c r="C61" i="9"/>
  <c r="C53" i="9"/>
  <c r="C45" i="9"/>
  <c r="C37" i="9"/>
  <c r="C28" i="9"/>
  <c r="C18" i="9"/>
  <c r="C90" i="8"/>
  <c r="C144" i="8"/>
  <c r="C124" i="7"/>
  <c r="C122" i="9"/>
  <c r="C55" i="9"/>
  <c r="C88" i="7"/>
  <c r="C73" i="9"/>
  <c r="C141" i="9"/>
  <c r="C104" i="9"/>
  <c r="C69" i="7"/>
  <c r="C37" i="8"/>
  <c r="C26" i="7"/>
  <c r="C154" i="7"/>
  <c r="C115" i="9"/>
  <c r="C146" i="8"/>
  <c r="C152" i="8"/>
  <c r="C137" i="8"/>
  <c r="C121" i="7"/>
  <c r="C117" i="8"/>
  <c r="C109" i="8"/>
  <c r="C93" i="7"/>
  <c r="C84" i="8"/>
  <c r="C76" i="8"/>
  <c r="C68" i="8"/>
  <c r="C60" i="8"/>
  <c r="C52" i="8"/>
  <c r="C44" i="7"/>
  <c r="C36" i="8"/>
  <c r="C27" i="8"/>
  <c r="C18" i="8"/>
  <c r="C89" i="7"/>
  <c r="C140" i="7"/>
  <c r="C153" i="7"/>
  <c r="C117" i="2"/>
  <c r="C130" i="2"/>
  <c r="C79" i="8"/>
  <c r="C144" i="2"/>
  <c r="C40" i="8"/>
  <c r="C128" i="9"/>
  <c r="C96" i="9"/>
  <c r="C61" i="7"/>
  <c r="C28" i="8"/>
  <c r="C113" i="8"/>
  <c r="C142" i="7"/>
  <c r="C147" i="7"/>
  <c r="C133" i="7"/>
  <c r="C114" i="2"/>
  <c r="C113" i="7"/>
  <c r="C105" i="7"/>
  <c r="C94" i="8"/>
  <c r="C80" i="2"/>
  <c r="C76" i="7"/>
  <c r="C68" i="7"/>
  <c r="C56" i="2"/>
  <c r="C48" i="2"/>
  <c r="C44" i="8"/>
  <c r="C36" i="7"/>
  <c r="C27" i="7"/>
  <c r="C18" i="7"/>
  <c r="C84" i="2"/>
  <c r="C132" i="2"/>
  <c r="C130" i="9"/>
  <c r="C120" i="9"/>
  <c r="C153" i="2"/>
  <c r="C106" i="2"/>
  <c r="C72" i="2"/>
  <c r="C40" i="2"/>
  <c r="C110" i="2"/>
  <c r="C44" i="2"/>
  <c r="C153" i="9"/>
  <c r="C138" i="9"/>
  <c r="C126" i="9"/>
  <c r="C118" i="9"/>
  <c r="C110" i="9"/>
  <c r="C100" i="7"/>
  <c r="C92" i="7"/>
  <c r="C83" i="7"/>
  <c r="C71" i="2"/>
  <c r="C67" i="7"/>
  <c r="C59" i="7"/>
  <c r="C51" i="7"/>
  <c r="C39" i="2"/>
  <c r="C35" i="7"/>
  <c r="C25" i="7"/>
  <c r="C104" i="7"/>
  <c r="C64" i="7"/>
  <c r="C32" i="7"/>
  <c r="C150" i="9"/>
  <c r="C137" i="9"/>
  <c r="C125" i="9"/>
  <c r="C117" i="9"/>
  <c r="C109" i="9"/>
  <c r="C100" i="8"/>
  <c r="C91" i="7"/>
  <c r="C82" i="7"/>
  <c r="C74" i="7"/>
  <c r="C66" i="7"/>
  <c r="C58" i="7"/>
  <c r="C50" i="7"/>
  <c r="C42" i="7"/>
  <c r="C34" i="7"/>
  <c r="C24" i="2"/>
  <c r="C133" i="2"/>
  <c r="C147" i="2"/>
  <c r="C131" i="9"/>
  <c r="C143" i="8"/>
  <c r="C134" i="8"/>
  <c r="C122" i="8"/>
  <c r="C114" i="8"/>
  <c r="C106" i="8"/>
  <c r="C91" i="2"/>
  <c r="C85" i="2"/>
  <c r="C77" i="2"/>
  <c r="C69" i="2"/>
  <c r="C65" i="7"/>
  <c r="C53" i="2"/>
  <c r="C45" i="2"/>
  <c r="C37" i="2"/>
  <c r="C23" i="9"/>
  <c r="C85" i="8"/>
  <c r="C109" i="7"/>
  <c r="C139" i="2"/>
  <c r="C98" i="2"/>
  <c r="C64" i="2"/>
  <c r="C33" i="2"/>
  <c r="C91" i="9"/>
  <c r="C128" i="8"/>
  <c r="C123" i="9"/>
  <c r="C49" i="9"/>
  <c r="C151" i="8"/>
  <c r="C136" i="8"/>
  <c r="C124" i="8"/>
  <c r="C116" i="8"/>
  <c r="C108" i="8"/>
  <c r="C93" i="2"/>
  <c r="C87" i="2"/>
  <c r="C79" i="2"/>
  <c r="C75" i="8"/>
  <c r="C63" i="2"/>
  <c r="C55" i="2"/>
  <c r="C47" i="2"/>
  <c r="C43" i="7"/>
  <c r="C32" i="2"/>
  <c r="C25" i="2"/>
  <c r="C155" i="7"/>
  <c r="C148" i="2"/>
  <c r="C97" i="2"/>
  <c r="C60" i="2"/>
  <c r="C31" i="2"/>
  <c r="C148" i="8"/>
  <c r="C135" i="8"/>
  <c r="C123" i="8"/>
  <c r="C115" i="8"/>
  <c r="C107" i="8"/>
  <c r="C92" i="2"/>
  <c r="C86" i="2"/>
  <c r="C78" i="2"/>
  <c r="C70" i="2"/>
  <c r="C62" i="2"/>
  <c r="C54" i="2"/>
  <c r="C46" i="2"/>
  <c r="C38" i="2"/>
  <c r="C24" i="8"/>
  <c r="C147" i="9"/>
  <c r="C88" i="9"/>
  <c r="C129" i="8"/>
  <c r="C139" i="7"/>
  <c r="C123" i="2"/>
  <c r="C47" i="7"/>
  <c r="C53" i="7"/>
  <c r="C27" i="9"/>
  <c r="C126" i="2"/>
  <c r="C88" i="2"/>
  <c r="C60" i="7"/>
  <c r="C26" i="2"/>
  <c r="C146" i="9"/>
  <c r="C121" i="8"/>
  <c r="C48" i="8"/>
  <c r="C152" i="2"/>
  <c r="C146" i="7"/>
  <c r="C132" i="7"/>
  <c r="C120" i="7"/>
  <c r="C112" i="7"/>
  <c r="C102" i="9"/>
  <c r="C94" i="9"/>
  <c r="C84" i="9"/>
  <c r="C76" i="9"/>
  <c r="C68" i="9"/>
  <c r="C60" i="9"/>
  <c r="C52" i="9"/>
  <c r="C44" i="9"/>
  <c r="C36" i="9"/>
  <c r="C26" i="9"/>
  <c r="C146" i="2"/>
  <c r="C107" i="9"/>
  <c r="C64" i="8"/>
  <c r="C32" i="8"/>
  <c r="C136" i="2"/>
  <c r="C131" i="7"/>
  <c r="C112" i="2"/>
  <c r="C104" i="2"/>
  <c r="C101" i="9"/>
  <c r="C93" i="9"/>
  <c r="C83" i="9"/>
  <c r="C75" i="9"/>
  <c r="C67" i="9"/>
  <c r="C59" i="9"/>
  <c r="C51" i="9"/>
  <c r="C43" i="9"/>
  <c r="C35" i="9"/>
  <c r="C25" i="9"/>
  <c r="C145" i="8"/>
  <c r="C87" i="8"/>
  <c r="C125" i="7"/>
  <c r="C149" i="2"/>
  <c r="C131" i="2"/>
  <c r="C130" i="7"/>
  <c r="C111" i="2"/>
  <c r="C103" i="2"/>
  <c r="C99" i="8"/>
  <c r="C91" i="8"/>
  <c r="C81" i="8"/>
  <c r="C73" i="8"/>
  <c r="C65" i="8"/>
  <c r="C57" i="8"/>
  <c r="C49" i="8"/>
  <c r="C41" i="8"/>
  <c r="C33" i="8"/>
  <c r="C23" i="7"/>
  <c r="C18" i="2"/>
  <c r="C48" i="7"/>
  <c r="C138" i="2"/>
  <c r="C101" i="8"/>
  <c r="C67" i="8"/>
  <c r="C35" i="8"/>
  <c r="C33" i="9"/>
  <c r="C119" i="7"/>
  <c r="C82" i="8"/>
  <c r="C50" i="8"/>
  <c r="C136" i="9"/>
  <c r="C110" i="7"/>
  <c r="C92" i="9"/>
  <c r="C74" i="9"/>
  <c r="C58" i="9"/>
  <c r="C42" i="9"/>
  <c r="C23" i="8"/>
  <c r="C138" i="8"/>
  <c r="C134" i="2"/>
  <c r="C75" i="7"/>
  <c r="C65" i="9"/>
  <c r="C58" i="8"/>
  <c r="C145" i="9"/>
  <c r="C81" i="7"/>
  <c r="C33" i="7"/>
  <c r="C140" i="9"/>
  <c r="C121" i="9"/>
  <c r="C125" i="8"/>
  <c r="C125" i="2"/>
  <c r="C93" i="8"/>
  <c r="C59" i="8"/>
  <c r="C25" i="8"/>
  <c r="C151" i="2"/>
  <c r="C111" i="7"/>
  <c r="C74" i="8"/>
  <c r="C42" i="8"/>
  <c r="C87" i="7"/>
  <c r="C124" i="9"/>
  <c r="C108" i="9"/>
  <c r="C90" i="7"/>
  <c r="C73" i="7"/>
  <c r="C57" i="7"/>
  <c r="C41" i="7"/>
  <c r="C23" i="2"/>
  <c r="C134" i="7"/>
  <c r="C19" i="7"/>
  <c r="C117" i="7"/>
  <c r="C105" i="2"/>
  <c r="C92" i="8"/>
  <c r="C98" i="7"/>
  <c r="C49" i="7"/>
  <c r="C84" i="7"/>
  <c r="C113" i="2"/>
  <c r="C83" i="8"/>
  <c r="C51" i="8"/>
  <c r="C105" i="8"/>
  <c r="C144" i="7"/>
  <c r="C99" i="7"/>
  <c r="C66" i="8"/>
  <c r="C34" i="8"/>
  <c r="C141" i="7"/>
  <c r="C118" i="2"/>
  <c r="C118" i="7"/>
  <c r="C100" i="9"/>
  <c r="C82" i="9"/>
  <c r="C66" i="9"/>
  <c r="C50" i="9"/>
  <c r="C34" i="9"/>
  <c r="C39" i="9"/>
  <c r="C52" i="7"/>
  <c r="C43" i="8"/>
  <c r="C124" i="2"/>
  <c r="C24" i="7"/>
  <c r="C116" i="9"/>
  <c r="C61" i="2"/>
  <c r="C17" i="7"/>
  <c r="C17" i="2"/>
  <c r="C17" i="8"/>
  <c r="C16" i="7"/>
  <c r="C16" i="2"/>
  <c r="C16" i="8"/>
  <c r="C15" i="8"/>
  <c r="C15" i="7"/>
  <c r="D102" i="23" l="1"/>
  <c r="D66" i="23" s="1"/>
  <c r="D109" i="23" l="1"/>
  <c r="D105" i="23"/>
  <c r="D104" i="23" l="1"/>
  <c r="D36" i="18"/>
  <c r="H15" i="28" l="1"/>
  <c r="H16" i="28"/>
  <c r="H17" i="28"/>
  <c r="F12" i="28" l="1"/>
  <c r="F12" i="1"/>
  <c r="F10" i="1" l="1"/>
  <c r="S15" i="28"/>
  <c r="S16" i="28"/>
  <c r="S17" i="28"/>
  <c r="R15" i="28"/>
  <c r="R16" i="28"/>
  <c r="R17" i="28"/>
  <c r="Q15" i="28"/>
  <c r="Q16" i="28"/>
  <c r="Q17" i="28"/>
  <c r="P15" i="28"/>
  <c r="P16" i="28"/>
  <c r="P17" i="28"/>
  <c r="O15" i="28"/>
  <c r="O16" i="28"/>
  <c r="O17" i="28"/>
  <c r="N15" i="28"/>
  <c r="N16" i="28"/>
  <c r="N17" i="28"/>
  <c r="M15" i="28"/>
  <c r="M16" i="28"/>
  <c r="M17" i="28"/>
  <c r="L15" i="28"/>
  <c r="L16" i="28"/>
  <c r="L17" i="28"/>
  <c r="K15" i="28"/>
  <c r="K16" i="28"/>
  <c r="K17" i="28"/>
  <c r="J15" i="28"/>
  <c r="J16" i="28"/>
  <c r="J17" i="28"/>
  <c r="I15" i="28"/>
  <c r="I16" i="28"/>
  <c r="I17" i="28"/>
  <c r="P28" i="30" l="1"/>
  <c r="H28" i="30"/>
  <c r="L12" i="30"/>
  <c r="P7" i="30"/>
  <c r="H7" i="30"/>
  <c r="G7" i="30"/>
  <c r="K7" i="30"/>
  <c r="F12" i="30"/>
  <c r="E12" i="30"/>
  <c r="O28" i="30"/>
  <c r="G28" i="30"/>
  <c r="K12" i="30"/>
  <c r="O7" i="30"/>
  <c r="G12" i="30"/>
  <c r="I28" i="30"/>
  <c r="N28" i="30"/>
  <c r="F28" i="30"/>
  <c r="J12" i="30"/>
  <c r="N7" i="30"/>
  <c r="F7" i="30"/>
  <c r="N12" i="30"/>
  <c r="M28" i="30"/>
  <c r="E28" i="30"/>
  <c r="I12" i="30"/>
  <c r="M7" i="30"/>
  <c r="E7" i="30"/>
  <c r="K28" i="30"/>
  <c r="J28" i="30"/>
  <c r="J7" i="30"/>
  <c r="I7" i="30"/>
  <c r="L28" i="30"/>
  <c r="P12" i="30"/>
  <c r="H12" i="30"/>
  <c r="L7" i="30"/>
  <c r="O12" i="30"/>
  <c r="M12" i="30"/>
  <c r="P33" i="30"/>
  <c r="O19" i="30"/>
  <c r="O22" i="30"/>
  <c r="N33" i="30"/>
  <c r="M19" i="30"/>
  <c r="M22" i="30"/>
  <c r="L33" i="30"/>
  <c r="K19" i="30"/>
  <c r="K22" i="30"/>
  <c r="J20" i="30"/>
  <c r="J6" i="30"/>
  <c r="J17" i="30"/>
  <c r="I33" i="30"/>
  <c r="H34" i="30"/>
  <c r="H18" i="30"/>
  <c r="H21" i="30"/>
  <c r="G17" i="30"/>
  <c r="G20" i="30"/>
  <c r="G6" i="30"/>
  <c r="F34" i="30"/>
  <c r="F18" i="30"/>
  <c r="F21" i="30"/>
  <c r="E17" i="30"/>
  <c r="E20" i="30"/>
  <c r="E6" i="30"/>
  <c r="P22" i="30"/>
  <c r="P19" i="30"/>
  <c r="O18" i="30"/>
  <c r="O21" i="30"/>
  <c r="O34" i="30"/>
  <c r="N22" i="30"/>
  <c r="N19" i="30"/>
  <c r="M18" i="30"/>
  <c r="M21" i="30"/>
  <c r="M34" i="30"/>
  <c r="L22" i="30"/>
  <c r="L19" i="30"/>
  <c r="K18" i="30"/>
  <c r="K21" i="30"/>
  <c r="K34" i="30"/>
  <c r="J33" i="30"/>
  <c r="I19" i="30"/>
  <c r="I22" i="30"/>
  <c r="H20" i="30"/>
  <c r="H6" i="30"/>
  <c r="H17" i="30"/>
  <c r="G33" i="30"/>
  <c r="F20" i="30"/>
  <c r="F6" i="30"/>
  <c r="F17" i="30"/>
  <c r="E33" i="30"/>
  <c r="P34" i="30"/>
  <c r="P18" i="30"/>
  <c r="P21" i="30"/>
  <c r="O17" i="30"/>
  <c r="O20" i="30"/>
  <c r="O6" i="30"/>
  <c r="N34" i="30"/>
  <c r="N18" i="30"/>
  <c r="N21" i="30"/>
  <c r="M17" i="30"/>
  <c r="M20" i="30"/>
  <c r="M6" i="30"/>
  <c r="L34" i="30"/>
  <c r="L18" i="30"/>
  <c r="L21" i="30"/>
  <c r="K17" i="30"/>
  <c r="K20" i="30"/>
  <c r="K6" i="30"/>
  <c r="J22" i="30"/>
  <c r="J19" i="30"/>
  <c r="I18" i="30"/>
  <c r="I21" i="30"/>
  <c r="I34" i="30"/>
  <c r="H33" i="30"/>
  <c r="G19" i="30"/>
  <c r="G22" i="30"/>
  <c r="F33" i="30"/>
  <c r="E19" i="30"/>
  <c r="E22" i="30"/>
  <c r="P20" i="30"/>
  <c r="P6" i="30"/>
  <c r="P17" i="30"/>
  <c r="O33" i="30"/>
  <c r="N20" i="30"/>
  <c r="N6" i="30"/>
  <c r="N17" i="30"/>
  <c r="M33" i="30"/>
  <c r="L20" i="30"/>
  <c r="L6" i="30"/>
  <c r="L17" i="30"/>
  <c r="K33" i="30"/>
  <c r="J34" i="30"/>
  <c r="J18" i="30"/>
  <c r="J21" i="30"/>
  <c r="I17" i="30"/>
  <c r="I20" i="30"/>
  <c r="I6" i="30"/>
  <c r="H22" i="30"/>
  <c r="H19" i="30"/>
  <c r="G18" i="30"/>
  <c r="G21" i="30"/>
  <c r="G34" i="30"/>
  <c r="F22" i="30"/>
  <c r="F19" i="30"/>
  <c r="E18" i="30"/>
  <c r="E21" i="30"/>
  <c r="E34" i="30"/>
  <c r="S12" i="28"/>
  <c r="R12" i="28"/>
  <c r="I12" i="28"/>
  <c r="H12" i="28"/>
  <c r="P12" i="28"/>
  <c r="O12" i="28"/>
  <c r="N12" i="28"/>
  <c r="M12" i="28"/>
  <c r="L12" i="28"/>
  <c r="K12" i="28"/>
  <c r="J12" i="28"/>
  <c r="Q12" i="28"/>
  <c r="K32" i="30" l="1"/>
  <c r="L9" i="30"/>
  <c r="P9" i="30"/>
  <c r="H32" i="30"/>
  <c r="N9" i="30"/>
  <c r="O32" i="30"/>
  <c r="N32" i="30"/>
  <c r="E32" i="30"/>
  <c r="J32" i="30"/>
  <c r="P32" i="30"/>
  <c r="M32" i="30"/>
  <c r="G32" i="30"/>
  <c r="L32" i="30"/>
  <c r="F32" i="30"/>
  <c r="I32" i="30"/>
  <c r="F9" i="30"/>
  <c r="M9" i="30"/>
  <c r="H9" i="30"/>
  <c r="O9" i="30"/>
  <c r="G9" i="30"/>
  <c r="I9" i="30"/>
  <c r="J9" i="30"/>
  <c r="P16" i="30"/>
  <c r="M16" i="30"/>
  <c r="I16" i="30"/>
  <c r="H16" i="30"/>
  <c r="E16" i="30"/>
  <c r="K16" i="30"/>
  <c r="F16" i="30"/>
  <c r="N16" i="30"/>
  <c r="J16" i="30"/>
  <c r="L16" i="30"/>
  <c r="O16" i="30"/>
  <c r="G16" i="30"/>
  <c r="E9" i="30"/>
  <c r="K9" i="30"/>
  <c r="D28" i="30"/>
  <c r="D7" i="30"/>
  <c r="D12" i="30"/>
  <c r="D19" i="30"/>
  <c r="D21" i="30"/>
  <c r="D18" i="30"/>
  <c r="D20" i="30"/>
  <c r="D6" i="30"/>
  <c r="D33" i="30"/>
  <c r="D22" i="30"/>
  <c r="D17" i="30"/>
  <c r="D34" i="30"/>
  <c r="D32" i="30" l="1"/>
  <c r="D16" i="30"/>
  <c r="D9" i="30"/>
  <c r="E14" i="30"/>
  <c r="E24" i="30" l="1"/>
  <c r="E26" i="30" l="1"/>
  <c r="E30" i="30" s="1"/>
  <c r="D55" i="23" l="1"/>
  <c r="D40" i="23"/>
  <c r="D21" i="23"/>
  <c r="D31" i="18"/>
  <c r="D20" i="18"/>
  <c r="D8" i="18"/>
  <c r="F15" i="2"/>
  <c r="G15" i="2" s="1"/>
  <c r="F16" i="2"/>
  <c r="G16" i="2" s="1"/>
  <c r="F17" i="2"/>
  <c r="G17" i="2" s="1"/>
  <c r="R12" i="27"/>
  <c r="Q12" i="27"/>
  <c r="N12" i="27"/>
  <c r="M12" i="27"/>
  <c r="J12" i="27"/>
  <c r="I12" i="27"/>
  <c r="D35" i="18" l="1"/>
  <c r="F12" i="2"/>
  <c r="G12" i="2"/>
  <c r="O12" i="27"/>
  <c r="H12" i="27"/>
  <c r="P12" i="27"/>
  <c r="K12" i="27"/>
  <c r="S12" i="27"/>
  <c r="L12" i="27"/>
  <c r="L15" i="1" l="1"/>
  <c r="M15" i="1"/>
  <c r="N15" i="1"/>
  <c r="O15" i="1"/>
  <c r="P15" i="1"/>
  <c r="Q15" i="1"/>
  <c r="R15" i="1"/>
  <c r="L16" i="1"/>
  <c r="M16" i="1"/>
  <c r="N16" i="1"/>
  <c r="O16" i="1"/>
  <c r="M20" i="33" s="1"/>
  <c r="P16" i="1"/>
  <c r="Q16" i="1"/>
  <c r="R16" i="1"/>
  <c r="L17" i="1"/>
  <c r="J15" i="33" s="1"/>
  <c r="M17" i="1"/>
  <c r="K15" i="33" s="1"/>
  <c r="N17" i="1"/>
  <c r="L15" i="33" s="1"/>
  <c r="O17" i="1"/>
  <c r="M15" i="33" s="1"/>
  <c r="P17" i="1"/>
  <c r="N15" i="33" s="1"/>
  <c r="Q17" i="1"/>
  <c r="O15" i="33" s="1"/>
  <c r="R17" i="1"/>
  <c r="P15" i="33" s="1"/>
  <c r="K11" i="33" l="1"/>
  <c r="K20" i="33"/>
  <c r="J11" i="33"/>
  <c r="J20" i="33"/>
  <c r="P20" i="33"/>
  <c r="P11" i="33"/>
  <c r="Q20" i="33"/>
  <c r="O11" i="33"/>
  <c r="O6" i="33"/>
  <c r="P6" i="33"/>
  <c r="N20" i="33"/>
  <c r="N11" i="33"/>
  <c r="N6" i="33"/>
  <c r="O20" i="33"/>
  <c r="L20" i="33"/>
  <c r="L11" i="33"/>
  <c r="M6" i="33"/>
  <c r="M11" i="33"/>
  <c r="L6" i="33"/>
  <c r="S16" i="1"/>
  <c r="S17" i="1"/>
  <c r="Q15" i="33" s="1"/>
  <c r="Q11" i="33" l="1"/>
  <c r="Q6" i="33"/>
  <c r="N12" i="17"/>
  <c r="M12" i="17"/>
  <c r="L12" i="17"/>
  <c r="K12" i="17"/>
  <c r="N12" i="16"/>
  <c r="M12" i="16"/>
  <c r="L12" i="16"/>
  <c r="K12" i="16"/>
  <c r="N12" i="15"/>
  <c r="O12" i="15"/>
  <c r="M12" i="15"/>
  <c r="L12" i="15"/>
  <c r="K12" i="15"/>
  <c r="N12" i="14"/>
  <c r="M12" i="14"/>
  <c r="L12" i="14"/>
  <c r="K12" i="14"/>
  <c r="N12" i="13"/>
  <c r="O12" i="13"/>
  <c r="M12" i="13"/>
  <c r="L12" i="13"/>
  <c r="K12" i="13"/>
  <c r="N12" i="12"/>
  <c r="O12" i="12"/>
  <c r="M12" i="12"/>
  <c r="L12" i="12"/>
  <c r="K12" i="12"/>
  <c r="N12" i="11"/>
  <c r="M12" i="11"/>
  <c r="L12" i="11"/>
  <c r="K12" i="11"/>
  <c r="N12" i="10"/>
  <c r="O12" i="10"/>
  <c r="M12" i="10"/>
  <c r="L12" i="10"/>
  <c r="K12" i="10"/>
  <c r="N12" i="9"/>
  <c r="M12" i="9"/>
  <c r="L12" i="9"/>
  <c r="K12" i="9"/>
  <c r="N12" i="8"/>
  <c r="M12" i="8"/>
  <c r="L12" i="8"/>
  <c r="K12" i="8"/>
  <c r="N12" i="7"/>
  <c r="M12" i="7"/>
  <c r="L12" i="7"/>
  <c r="K12" i="7"/>
  <c r="L12" i="2"/>
  <c r="M12" i="2"/>
  <c r="O12" i="2"/>
  <c r="N12" i="2"/>
  <c r="K12" i="2"/>
  <c r="B12" i="1" l="1"/>
  <c r="D39" i="23"/>
  <c r="F15" i="17" l="1"/>
  <c r="F16" i="17"/>
  <c r="G16" i="17" s="1"/>
  <c r="F17" i="17"/>
  <c r="G17" i="17" s="1"/>
  <c r="F15" i="16"/>
  <c r="F16" i="16"/>
  <c r="G16" i="16" s="1"/>
  <c r="F17" i="16"/>
  <c r="G17" i="16" s="1"/>
  <c r="F15" i="15"/>
  <c r="F16" i="15"/>
  <c r="G16" i="15" s="1"/>
  <c r="F17" i="15"/>
  <c r="G17" i="15" s="1"/>
  <c r="F15" i="14"/>
  <c r="F16" i="14"/>
  <c r="G16" i="14" s="1"/>
  <c r="F17" i="14"/>
  <c r="G17" i="14" s="1"/>
  <c r="F15" i="13"/>
  <c r="G15" i="13" s="1"/>
  <c r="F16" i="13"/>
  <c r="G16" i="13" s="1"/>
  <c r="F17" i="13"/>
  <c r="G17" i="13" s="1"/>
  <c r="F15" i="12"/>
  <c r="G15" i="12" s="1"/>
  <c r="F16" i="12"/>
  <c r="G16" i="12" s="1"/>
  <c r="F17" i="12"/>
  <c r="G17" i="12" s="1"/>
  <c r="F15" i="11"/>
  <c r="G15" i="11" s="1"/>
  <c r="F16" i="11"/>
  <c r="G16" i="11" s="1"/>
  <c r="F17" i="11"/>
  <c r="G17" i="11" s="1"/>
  <c r="F17" i="10"/>
  <c r="G17" i="10" s="1"/>
  <c r="F16" i="10"/>
  <c r="G16" i="10" s="1"/>
  <c r="F15" i="10"/>
  <c r="F15" i="9"/>
  <c r="G15" i="9" s="1"/>
  <c r="F16" i="9"/>
  <c r="G16" i="9" s="1"/>
  <c r="F17" i="9"/>
  <c r="G17" i="9" s="1"/>
  <c r="F15" i="8"/>
  <c r="F16" i="8"/>
  <c r="G16" i="8" s="1"/>
  <c r="F17" i="8"/>
  <c r="G17" i="8" s="1"/>
  <c r="F15" i="7"/>
  <c r="G15" i="7" s="1"/>
  <c r="F16" i="7"/>
  <c r="G16" i="7" s="1"/>
  <c r="F17" i="7"/>
  <c r="G17" i="7" s="1"/>
  <c r="G15" i="14" l="1"/>
  <c r="G12" i="14" s="1"/>
  <c r="F12" i="14"/>
  <c r="G15" i="17"/>
  <c r="G12" i="17" s="1"/>
  <c r="F12" i="17"/>
  <c r="G15" i="16"/>
  <c r="G12" i="16" s="1"/>
  <c r="F12" i="16"/>
  <c r="G15" i="15"/>
  <c r="G12" i="15" s="1"/>
  <c r="F12" i="15"/>
  <c r="G12" i="13"/>
  <c r="F12" i="13"/>
  <c r="G12" i="12"/>
  <c r="F12" i="12"/>
  <c r="G12" i="11"/>
  <c r="F12" i="11"/>
  <c r="G15" i="10"/>
  <c r="G12" i="10" s="1"/>
  <c r="F12" i="10"/>
  <c r="G12" i="9"/>
  <c r="F12" i="9"/>
  <c r="G15" i="8"/>
  <c r="G12" i="8" s="1"/>
  <c r="F12" i="8"/>
  <c r="G12" i="7"/>
  <c r="F12" i="7"/>
  <c r="S15" i="1" l="1"/>
  <c r="E16" i="17"/>
  <c r="E17" i="17"/>
  <c r="E16" i="16"/>
  <c r="E17" i="16"/>
  <c r="E16" i="15"/>
  <c r="E17" i="15"/>
  <c r="E16" i="14"/>
  <c r="E17" i="14"/>
  <c r="E16" i="13"/>
  <c r="E17" i="13"/>
  <c r="E16" i="12"/>
  <c r="E17" i="12"/>
  <c r="E16" i="11"/>
  <c r="E17" i="11"/>
  <c r="E16" i="10"/>
  <c r="E17" i="10"/>
  <c r="E16" i="9"/>
  <c r="E17" i="9"/>
  <c r="E16" i="8"/>
  <c r="E17" i="8"/>
  <c r="E16" i="7"/>
  <c r="E17" i="7"/>
  <c r="H12" i="1" l="1"/>
  <c r="I12" i="1"/>
  <c r="J12" i="1"/>
  <c r="K12" i="1"/>
  <c r="L12" i="1"/>
  <c r="M12" i="1"/>
  <c r="N12" i="1"/>
  <c r="O12" i="1"/>
  <c r="P12" i="1"/>
  <c r="Q12" i="1"/>
  <c r="R12" i="1"/>
  <c r="S12" i="1"/>
  <c r="E16" i="2"/>
  <c r="E17" i="2"/>
  <c r="D7" i="23" l="1"/>
  <c r="D125" i="23"/>
  <c r="D111" i="23"/>
  <c r="D30" i="18"/>
  <c r="D98" i="18"/>
  <c r="D54" i="23"/>
  <c r="D19" i="18"/>
  <c r="D46" i="18"/>
  <c r="D20" i="23"/>
  <c r="D15" i="23"/>
  <c r="D58" i="23"/>
  <c r="D7" i="18"/>
  <c r="D91" i="18" l="1"/>
  <c r="D122" i="23"/>
  <c r="D63" i="23"/>
  <c r="D129" i="23" l="1"/>
  <c r="D102" i="18" l="1"/>
  <c r="D158" i="18" s="1"/>
  <c r="D160" i="18" l="1"/>
  <c r="E146" i="18" l="1"/>
  <c r="E32" i="18"/>
  <c r="E95" i="18"/>
  <c r="E69" i="18"/>
  <c r="E121" i="18"/>
  <c r="E123" i="18"/>
  <c r="E124" i="18"/>
  <c r="E125" i="18"/>
  <c r="E122" i="18"/>
  <c r="E126" i="18"/>
  <c r="E11" i="18"/>
  <c r="E12" i="18"/>
  <c r="E13" i="18"/>
  <c r="E14" i="18"/>
  <c r="E15" i="18"/>
  <c r="E16" i="18"/>
  <c r="E109" i="18"/>
  <c r="E112" i="18"/>
  <c r="E108" i="18"/>
  <c r="E111" i="18"/>
  <c r="E113" i="18"/>
  <c r="E110" i="18"/>
  <c r="E114" i="18"/>
  <c r="E142" i="18"/>
  <c r="E143" i="18"/>
  <c r="E144" i="18"/>
  <c r="E145" i="18"/>
  <c r="E132" i="18"/>
  <c r="E133" i="18"/>
  <c r="E134" i="18"/>
  <c r="E135" i="18"/>
  <c r="E141" i="18"/>
  <c r="E137" i="18"/>
  <c r="E138" i="18"/>
  <c r="E139" i="18"/>
  <c r="E140" i="18"/>
  <c r="E155" i="18"/>
  <c r="E154" i="18"/>
  <c r="E156" i="18"/>
  <c r="E120" i="18"/>
  <c r="E119" i="18"/>
  <c r="E78" i="18"/>
  <c r="E86" i="18"/>
  <c r="E77" i="18"/>
  <c r="E82" i="18"/>
  <c r="E76" i="18"/>
  <c r="E84" i="18"/>
  <c r="E80" i="18"/>
  <c r="E87" i="18"/>
  <c r="E83" i="18"/>
  <c r="E88" i="18"/>
  <c r="E79" i="18"/>
  <c r="E85" i="18"/>
  <c r="E89" i="18"/>
  <c r="E81" i="18"/>
  <c r="E39" i="18"/>
  <c r="E40" i="18"/>
  <c r="E44" i="18"/>
  <c r="E41" i="18"/>
  <c r="E37" i="18"/>
  <c r="E43" i="18"/>
  <c r="E42" i="18"/>
  <c r="E38" i="18"/>
  <c r="E22" i="18"/>
  <c r="E23" i="18"/>
  <c r="E24" i="18"/>
  <c r="E21" i="18"/>
  <c r="E25" i="18"/>
  <c r="E26" i="18"/>
  <c r="E17" i="18"/>
  <c r="E57" i="18"/>
  <c r="E58" i="18"/>
  <c r="E106" i="18"/>
  <c r="E107" i="18"/>
  <c r="E115" i="18"/>
  <c r="E105" i="18"/>
  <c r="E104" i="18"/>
  <c r="E63" i="18"/>
  <c r="E56" i="18"/>
  <c r="E62" i="18"/>
  <c r="E64" i="18"/>
  <c r="E27" i="18"/>
  <c r="E53" i="18"/>
  <c r="E51" i="18"/>
  <c r="E54" i="18"/>
  <c r="E52" i="18"/>
  <c r="E70" i="18"/>
  <c r="E48" i="18"/>
  <c r="E49" i="18"/>
  <c r="E153" i="18"/>
  <c r="E136" i="18"/>
  <c r="E131" i="18"/>
  <c r="E50" i="18"/>
  <c r="E147" i="18"/>
  <c r="E10" i="18"/>
  <c r="E129" i="18"/>
  <c r="E130" i="18"/>
  <c r="E72" i="18"/>
  <c r="E71" i="18"/>
  <c r="E68" i="18"/>
  <c r="E61" i="18"/>
  <c r="E65" i="18"/>
  <c r="E75" i="18"/>
  <c r="E74" i="18"/>
  <c r="E60" i="18"/>
  <c r="E94" i="18"/>
  <c r="E91" i="18"/>
  <c r="E99" i="18"/>
  <c r="E100" i="18"/>
  <c r="E96" i="18"/>
  <c r="E47" i="18"/>
  <c r="E55" i="18"/>
  <c r="E103" i="18"/>
  <c r="E158" i="18"/>
  <c r="E9" i="18"/>
  <c r="E30" i="18"/>
  <c r="E98" i="18"/>
  <c r="E20" i="18"/>
  <c r="E8" i="18"/>
  <c r="E33" i="18"/>
  <c r="E7" i="18"/>
  <c r="E28" i="18"/>
  <c r="E160" i="18"/>
  <c r="E31" i="18"/>
  <c r="E19" i="18"/>
  <c r="E36" i="18"/>
  <c r="E118" i="18"/>
  <c r="E46" i="18"/>
  <c r="E35" i="18"/>
  <c r="D14" i="30" l="1"/>
  <c r="D24" i="30" l="1"/>
  <c r="D26" i="30" s="1"/>
  <c r="D30" i="30" l="1"/>
  <c r="D40" i="30" s="1"/>
  <c r="P14" i="30"/>
  <c r="I14" i="30"/>
  <c r="F14" i="30"/>
  <c r="L14" i="30"/>
  <c r="G14" i="30"/>
  <c r="N14" i="30"/>
  <c r="M14" i="30"/>
  <c r="H14" i="30"/>
  <c r="J14" i="30"/>
  <c r="O14" i="30"/>
  <c r="K14" i="30"/>
  <c r="H24" i="30" l="1"/>
  <c r="L24" i="30"/>
  <c r="K24" i="30"/>
  <c r="N24" i="30"/>
  <c r="P24" i="30"/>
  <c r="P26" i="30" s="1"/>
  <c r="J24" i="30"/>
  <c r="I24" i="30"/>
  <c r="G24" i="30"/>
  <c r="G26" i="30" s="1"/>
  <c r="O24" i="30"/>
  <c r="O26" i="30" s="1"/>
  <c r="F24" i="30"/>
  <c r="M24" i="30"/>
  <c r="M26" i="30" s="1"/>
  <c r="I26" i="30" l="1"/>
  <c r="I30" i="30" s="1"/>
  <c r="N26" i="30"/>
  <c r="N30" i="30" s="1"/>
  <c r="J26" i="30"/>
  <c r="J30" i="30" s="1"/>
  <c r="K26" i="30"/>
  <c r="K30" i="30" s="1"/>
  <c r="F26" i="30"/>
  <c r="F30" i="30" s="1"/>
  <c r="L26" i="30"/>
  <c r="L30" i="30" s="1"/>
  <c r="H26" i="30"/>
  <c r="H30" i="30" s="1"/>
  <c r="M30" i="30"/>
  <c r="P30" i="30"/>
  <c r="G30" i="30"/>
  <c r="O30" i="30"/>
  <c r="K40" i="30" l="1"/>
  <c r="H40" i="30"/>
  <c r="G40" i="30"/>
  <c r="J40" i="30"/>
  <c r="F40" i="30"/>
  <c r="N40" i="30"/>
  <c r="P40" i="30"/>
  <c r="E40" i="30"/>
  <c r="I40" i="30"/>
  <c r="O40" i="30"/>
  <c r="M40" i="30"/>
  <c r="L40" i="30"/>
  <c r="R143" i="32" l="1"/>
  <c r="O143" i="32"/>
  <c r="AJ143" i="32"/>
  <c r="L143" i="32"/>
  <c r="AA143" i="32"/>
  <c r="AD143" i="32"/>
  <c r="F143" i="32"/>
  <c r="U143" i="32"/>
  <c r="D143" i="32"/>
  <c r="X143" i="32"/>
  <c r="AG143" i="32"/>
  <c r="I143" i="32"/>
  <c r="K143" i="32" l="1"/>
  <c r="H143" i="32"/>
  <c r="AI143" i="32"/>
  <c r="AC143" i="32"/>
  <c r="W143" i="32"/>
  <c r="Z143" i="32"/>
  <c r="AF143" i="32"/>
  <c r="T143" i="32"/>
  <c r="AL143" i="32"/>
  <c r="N143" i="32"/>
  <c r="Q143" i="32"/>
  <c r="N25" i="23" l="1"/>
  <c r="Q25" i="23"/>
  <c r="Q62" i="18"/>
  <c r="N62" i="18"/>
  <c r="T62" i="18"/>
  <c r="T25" i="23"/>
  <c r="U16" i="25" l="1"/>
  <c r="V16" i="25" s="1"/>
  <c r="T25" i="25"/>
  <c r="S16" i="25"/>
  <c r="T16" i="25" s="1"/>
  <c r="R171" i="32"/>
  <c r="O80" i="23"/>
  <c r="I205" i="32"/>
  <c r="L57" i="18"/>
  <c r="R54" i="18"/>
  <c r="F156" i="29"/>
  <c r="I55" i="23"/>
  <c r="AJ77" i="32"/>
  <c r="L132" i="18"/>
  <c r="M6" i="11"/>
  <c r="AD135" i="18"/>
  <c r="F168" i="32"/>
  <c r="F33" i="32"/>
  <c r="I118" i="32"/>
  <c r="L7" i="2"/>
  <c r="O83" i="23"/>
  <c r="AA105" i="32"/>
  <c r="I3" i="28"/>
  <c r="AA28" i="29"/>
  <c r="AJ60" i="23"/>
  <c r="L50" i="23"/>
  <c r="AJ119" i="18"/>
  <c r="K2" i="10"/>
  <c r="I83" i="18"/>
  <c r="F131" i="23"/>
  <c r="G6" i="15"/>
  <c r="S6" i="1"/>
  <c r="AG7" i="32"/>
  <c r="O221" i="32"/>
  <c r="O136" i="23"/>
  <c r="O78" i="32"/>
  <c r="AM141" i="18"/>
  <c r="L85" i="18"/>
  <c r="U112" i="32"/>
  <c r="O7" i="17"/>
  <c r="AA45" i="23"/>
  <c r="X126" i="32"/>
  <c r="AJ25" i="23"/>
  <c r="F124" i="32"/>
  <c r="AM26" i="23"/>
  <c r="D106" i="32"/>
  <c r="F40" i="23"/>
  <c r="L7" i="11"/>
  <c r="O28" i="29"/>
  <c r="K7" i="11"/>
  <c r="F23" i="18"/>
  <c r="AG102" i="23"/>
  <c r="AA82" i="32"/>
  <c r="AJ87" i="23"/>
  <c r="I45" i="23"/>
  <c r="AJ136" i="18"/>
  <c r="X50" i="23"/>
  <c r="I83" i="23"/>
  <c r="AD77" i="32"/>
  <c r="AD199" i="32"/>
  <c r="O55" i="23"/>
  <c r="K2" i="17"/>
  <c r="U158" i="32"/>
  <c r="N3" i="15"/>
  <c r="AD133" i="18"/>
  <c r="R134" i="18"/>
  <c r="AD12" i="32"/>
  <c r="X91" i="23"/>
  <c r="K2" i="14"/>
  <c r="AD119" i="32"/>
  <c r="U32" i="32"/>
  <c r="F86" i="18"/>
  <c r="AJ12" i="32"/>
  <c r="O143" i="18"/>
  <c r="U50" i="18"/>
  <c r="AD43" i="18"/>
  <c r="X207" i="32"/>
  <c r="L41" i="32"/>
  <c r="AD201" i="29"/>
  <c r="R3" i="27"/>
  <c r="L47" i="23"/>
  <c r="AM12" i="23"/>
  <c r="R69" i="32"/>
  <c r="AJ12" i="23"/>
  <c r="H2" i="28"/>
  <c r="AD150" i="29"/>
  <c r="D163" i="32"/>
  <c r="R71" i="32"/>
  <c r="AJ69" i="32"/>
  <c r="L7" i="14"/>
  <c r="F204" i="32"/>
  <c r="X134" i="23"/>
  <c r="R99" i="23"/>
  <c r="F21" i="25"/>
  <c r="U31" i="18"/>
  <c r="AG155" i="29"/>
  <c r="R129" i="18"/>
  <c r="AJ107" i="18"/>
  <c r="I51" i="18"/>
  <c r="AD205" i="29"/>
  <c r="X74" i="23"/>
  <c r="X127" i="23"/>
  <c r="AA109" i="23"/>
  <c r="F57" i="18"/>
  <c r="F6" i="10"/>
  <c r="AA151" i="29"/>
  <c r="AD69" i="32"/>
  <c r="AJ63" i="18"/>
  <c r="AM142" i="23"/>
  <c r="AA42" i="23"/>
  <c r="R115" i="18"/>
  <c r="U197" i="32"/>
  <c r="F8" i="18"/>
  <c r="R187" i="29"/>
  <c r="AG23" i="18"/>
  <c r="AG10" i="18"/>
  <c r="AA147" i="18"/>
  <c r="M2" i="8"/>
  <c r="K3" i="11"/>
  <c r="AJ221" i="32"/>
  <c r="O71" i="18"/>
  <c r="O106" i="23"/>
  <c r="F120" i="32"/>
  <c r="M16" i="25"/>
  <c r="AD58" i="18"/>
  <c r="U42" i="23"/>
  <c r="L134" i="23"/>
  <c r="L67" i="32"/>
  <c r="AD111" i="32"/>
  <c r="O105" i="23"/>
  <c r="R120" i="23"/>
  <c r="D31" i="25"/>
  <c r="AA108" i="23"/>
  <c r="AD202" i="29"/>
  <c r="AD139" i="18"/>
  <c r="X72" i="18"/>
  <c r="R190" i="29"/>
  <c r="G2" i="10"/>
  <c r="X106" i="18"/>
  <c r="AM77" i="18"/>
  <c r="L155" i="29"/>
  <c r="AD107" i="23"/>
  <c r="R3" i="28"/>
  <c r="AG64" i="32"/>
  <c r="AA89" i="18"/>
  <c r="D82" i="32"/>
  <c r="AM8" i="18"/>
  <c r="U93" i="23"/>
  <c r="I109" i="23"/>
  <c r="X40" i="23"/>
  <c r="U106" i="23"/>
  <c r="S26" i="25"/>
  <c r="U23" i="23"/>
  <c r="O85" i="23"/>
  <c r="O120" i="23"/>
  <c r="AJ50" i="23"/>
  <c r="O114" i="32"/>
  <c r="F49" i="18"/>
  <c r="D203" i="32"/>
  <c r="AD188" i="29"/>
  <c r="F74" i="32"/>
  <c r="AA73" i="32"/>
  <c r="U84" i="32"/>
  <c r="I83" i="32"/>
  <c r="O171" i="32"/>
  <c r="AD39" i="18"/>
  <c r="R138" i="18"/>
  <c r="O83" i="18"/>
  <c r="U102" i="32"/>
  <c r="X73" i="23"/>
  <c r="X32" i="32"/>
  <c r="L91" i="23"/>
  <c r="U156" i="29"/>
  <c r="L49" i="23"/>
  <c r="AD183" i="32"/>
  <c r="U116" i="32"/>
  <c r="P6" i="1"/>
  <c r="O70" i="18"/>
  <c r="X42" i="23"/>
  <c r="I21" i="18"/>
  <c r="R126" i="32"/>
  <c r="O149" i="29"/>
  <c r="AJ151" i="29"/>
  <c r="G7" i="7"/>
  <c r="X138" i="29"/>
  <c r="AJ70" i="23"/>
  <c r="X60" i="23"/>
  <c r="X61" i="18"/>
  <c r="R204" i="32"/>
  <c r="I10" i="32"/>
  <c r="O184" i="29"/>
  <c r="R96" i="23"/>
  <c r="AJ51" i="23"/>
  <c r="F142" i="18"/>
  <c r="R17" i="18"/>
  <c r="M7" i="28"/>
  <c r="X218" i="32"/>
  <c r="F69" i="23"/>
  <c r="X119" i="32"/>
  <c r="AG78" i="18"/>
  <c r="L130" i="23"/>
  <c r="I117" i="32"/>
  <c r="L33" i="18"/>
  <c r="I134" i="18"/>
  <c r="AJ153" i="18"/>
  <c r="I26" i="23"/>
  <c r="H7" i="28"/>
  <c r="AG163" i="32"/>
  <c r="AD76" i="18"/>
  <c r="X109" i="18"/>
  <c r="X159" i="32"/>
  <c r="U104" i="32"/>
  <c r="F138" i="18"/>
  <c r="X93" i="23"/>
  <c r="O6" i="14"/>
  <c r="I85" i="18"/>
  <c r="O6" i="2"/>
  <c r="X130" i="23"/>
  <c r="L118" i="18"/>
  <c r="L119" i="23"/>
  <c r="AD47" i="23"/>
  <c r="O103" i="18"/>
  <c r="AJ71" i="18"/>
  <c r="AM55" i="18"/>
  <c r="U28" i="29"/>
  <c r="R100" i="18"/>
  <c r="AJ139" i="18"/>
  <c r="AG57" i="18"/>
  <c r="P2" i="1"/>
  <c r="AA62" i="18"/>
  <c r="AM105" i="23"/>
  <c r="O105" i="32"/>
  <c r="S19" i="25"/>
  <c r="X222" i="32"/>
  <c r="X119" i="18"/>
  <c r="F103" i="18"/>
  <c r="O40" i="23"/>
  <c r="F134" i="18"/>
  <c r="D108" i="32"/>
  <c r="AA116" i="32"/>
  <c r="AG98" i="23"/>
  <c r="I184" i="29"/>
  <c r="AD124" i="32"/>
  <c r="U61" i="29"/>
  <c r="F135" i="23"/>
  <c r="L75" i="32"/>
  <c r="AA191" i="29"/>
  <c r="AM9" i="23"/>
  <c r="H2" i="1"/>
  <c r="O3" i="17"/>
  <c r="AD42" i="18"/>
  <c r="O7" i="8"/>
  <c r="AA83" i="18"/>
  <c r="AA103" i="32"/>
  <c r="AJ9" i="23"/>
  <c r="R127" i="32"/>
  <c r="AA86" i="23"/>
  <c r="O156" i="29"/>
  <c r="AA58" i="18"/>
  <c r="AA83" i="23"/>
  <c r="S2" i="1"/>
  <c r="AG69" i="32"/>
  <c r="U188" i="29"/>
  <c r="J7" i="1"/>
  <c r="O135" i="18"/>
  <c r="I137" i="23"/>
  <c r="U68" i="23"/>
  <c r="AD75" i="18"/>
  <c r="I84" i="32"/>
  <c r="AD44" i="18"/>
  <c r="AJ72" i="18"/>
  <c r="U17" i="18"/>
  <c r="AJ101" i="23"/>
  <c r="AJ143" i="18"/>
  <c r="U26" i="23"/>
  <c r="F50" i="18"/>
  <c r="X39" i="29"/>
  <c r="AM24" i="18"/>
  <c r="I71" i="18"/>
  <c r="O9" i="23"/>
  <c r="F3" i="9"/>
  <c r="AG115" i="23"/>
  <c r="I2" i="28"/>
  <c r="AG49" i="18"/>
  <c r="R130" i="23"/>
  <c r="D70" i="32"/>
  <c r="AJ80" i="18"/>
  <c r="AJ137" i="23"/>
  <c r="AG109" i="32"/>
  <c r="L207" i="32"/>
  <c r="O154" i="18"/>
  <c r="AD79" i="32"/>
  <c r="F109" i="18"/>
  <c r="L127" i="32"/>
  <c r="AJ133" i="18"/>
  <c r="U96" i="23"/>
  <c r="Q6" i="1"/>
  <c r="X191" i="29"/>
  <c r="AJ142" i="23"/>
  <c r="M6" i="14"/>
  <c r="AJ71" i="32"/>
  <c r="L78" i="32"/>
  <c r="D161" i="29"/>
  <c r="I48" i="18"/>
  <c r="O174" i="32"/>
  <c r="L116" i="23"/>
  <c r="R104" i="32"/>
  <c r="U135" i="18"/>
  <c r="AM10" i="23"/>
  <c r="AG115" i="32"/>
  <c r="I11" i="32"/>
  <c r="U69" i="23"/>
  <c r="L110" i="32"/>
  <c r="AG60" i="23"/>
  <c r="X89" i="23"/>
  <c r="AA221" i="32"/>
  <c r="AG127" i="23"/>
  <c r="L78" i="23"/>
  <c r="K6" i="7"/>
  <c r="O155" i="29"/>
  <c r="F154" i="18"/>
  <c r="AD40" i="18"/>
  <c r="H6" i="1"/>
  <c r="AG132" i="18"/>
  <c r="I157" i="32"/>
  <c r="X122" i="32"/>
  <c r="R120" i="18"/>
  <c r="AM38" i="18"/>
  <c r="AA42" i="18"/>
  <c r="L115" i="18"/>
  <c r="AA68" i="32"/>
  <c r="AD68" i="23"/>
  <c r="O150" i="29"/>
  <c r="AA11" i="23"/>
  <c r="AG47" i="18"/>
  <c r="O7" i="13"/>
  <c r="R107" i="32"/>
  <c r="R155" i="29"/>
  <c r="X137" i="23"/>
  <c r="F18" i="25"/>
  <c r="X48" i="23"/>
  <c r="U89" i="23"/>
  <c r="F99" i="23"/>
  <c r="AM40" i="23"/>
  <c r="AJ49" i="18"/>
  <c r="F67" i="32"/>
  <c r="AD61" i="18"/>
  <c r="L55" i="23"/>
  <c r="I60" i="23"/>
  <c r="I22" i="18"/>
  <c r="X84" i="32"/>
  <c r="AM49" i="18"/>
  <c r="AD57" i="18"/>
  <c r="D168" i="32"/>
  <c r="AJ116" i="23"/>
  <c r="O7" i="11"/>
  <c r="L75" i="23"/>
  <c r="AJ43" i="18"/>
  <c r="D31" i="29"/>
  <c r="R7" i="28"/>
  <c r="G3" i="16"/>
  <c r="O9" i="32"/>
  <c r="K2" i="15"/>
  <c r="R135" i="23"/>
  <c r="I56" i="18"/>
  <c r="AA121" i="32"/>
  <c r="F130" i="23"/>
  <c r="I203" i="32"/>
  <c r="M7" i="14"/>
  <c r="AG32" i="29"/>
  <c r="D158" i="29"/>
  <c r="R52" i="18"/>
  <c r="AA24" i="23"/>
  <c r="U114" i="32"/>
  <c r="S7" i="28"/>
  <c r="N6" i="14"/>
  <c r="D98" i="29"/>
  <c r="S2" i="28"/>
  <c r="R60" i="23"/>
  <c r="AM73" i="23"/>
  <c r="AG41" i="23"/>
  <c r="AG74" i="23"/>
  <c r="X79" i="32"/>
  <c r="I107" i="32"/>
  <c r="L163" i="32"/>
  <c r="I107" i="18"/>
  <c r="F7" i="2"/>
  <c r="D168" i="29"/>
  <c r="R7" i="1"/>
  <c r="L105" i="32"/>
  <c r="R95" i="23"/>
  <c r="R9" i="23"/>
  <c r="AA70" i="18"/>
  <c r="AG106" i="23"/>
  <c r="O25" i="18"/>
  <c r="I3" i="27"/>
  <c r="AM138" i="18"/>
  <c r="AJ40" i="23"/>
  <c r="U72" i="18"/>
  <c r="AJ8" i="23"/>
  <c r="F3" i="13"/>
  <c r="AJ72" i="23"/>
  <c r="L218" i="32"/>
  <c r="AA27" i="18"/>
  <c r="X29" i="29"/>
  <c r="U85" i="23"/>
  <c r="M2" i="15"/>
  <c r="F196" i="32"/>
  <c r="O217" i="32"/>
  <c r="M2" i="7"/>
  <c r="U205" i="29"/>
  <c r="D29" i="29"/>
  <c r="AD67" i="23"/>
  <c r="X107" i="23"/>
  <c r="L117" i="32"/>
  <c r="J3" i="28"/>
  <c r="D207" i="32"/>
  <c r="X103" i="32"/>
  <c r="AA67" i="23"/>
  <c r="F17" i="18"/>
  <c r="F48" i="23"/>
  <c r="X55" i="23"/>
  <c r="AJ76" i="18"/>
  <c r="O2" i="7"/>
  <c r="O6" i="8"/>
  <c r="O58" i="18"/>
  <c r="D16" i="25"/>
  <c r="R162" i="32"/>
  <c r="M7" i="12"/>
  <c r="D204" i="32"/>
  <c r="U64" i="18"/>
  <c r="I104" i="32"/>
  <c r="L90" i="23"/>
  <c r="AG96" i="18"/>
  <c r="AG45" i="23"/>
  <c r="I135" i="18"/>
  <c r="L72" i="23"/>
  <c r="D33" i="32"/>
  <c r="F2" i="12"/>
  <c r="I84" i="18"/>
  <c r="AG104" i="18"/>
  <c r="X217" i="32"/>
  <c r="U39" i="29"/>
  <c r="U80" i="18"/>
  <c r="AM47" i="23"/>
  <c r="O27" i="18"/>
  <c r="M6" i="2"/>
  <c r="L64" i="18"/>
  <c r="L7" i="27"/>
  <c r="L197" i="32"/>
  <c r="F36" i="18"/>
  <c r="D124" i="32"/>
  <c r="M3" i="1"/>
  <c r="X116" i="23"/>
  <c r="R93" i="23"/>
  <c r="R83" i="32"/>
  <c r="U21" i="18"/>
  <c r="AA36" i="18"/>
  <c r="D68" i="32"/>
  <c r="L109" i="32"/>
  <c r="O89" i="18"/>
  <c r="O24" i="23"/>
  <c r="AJ218" i="32"/>
  <c r="S6" i="28"/>
  <c r="X154" i="18"/>
  <c r="L2" i="12"/>
  <c r="L3" i="28"/>
  <c r="R11" i="32"/>
  <c r="R81" i="18"/>
  <c r="AD76" i="32"/>
  <c r="F28" i="25"/>
  <c r="X202" i="29"/>
  <c r="AA55" i="23"/>
  <c r="F7" i="7"/>
  <c r="R108" i="23"/>
  <c r="AG157" i="29"/>
  <c r="F30" i="25"/>
  <c r="AA31" i="18"/>
  <c r="AD20" i="18"/>
  <c r="X205" i="29"/>
  <c r="O32" i="32"/>
  <c r="AA222" i="32"/>
  <c r="I53" i="18"/>
  <c r="X12" i="23"/>
  <c r="AM27" i="18"/>
  <c r="D57" i="32"/>
  <c r="D170" i="32"/>
  <c r="O52" i="18"/>
  <c r="I28" i="29"/>
  <c r="AD70" i="32"/>
  <c r="X96" i="18"/>
  <c r="L82" i="18"/>
  <c r="I96" i="18"/>
  <c r="AD206" i="32"/>
  <c r="R42" i="23"/>
  <c r="AJ65" i="32"/>
  <c r="I180" i="29"/>
  <c r="AD70" i="18"/>
  <c r="N2" i="2"/>
  <c r="AJ171" i="32"/>
  <c r="O3" i="27"/>
  <c r="L24" i="23"/>
  <c r="I102" i="32"/>
  <c r="X86" i="23"/>
  <c r="R56" i="23"/>
  <c r="R72" i="32"/>
  <c r="O2" i="15"/>
  <c r="I98" i="23"/>
  <c r="AA142" i="23"/>
  <c r="R81" i="23"/>
  <c r="AM127" i="23"/>
  <c r="R111" i="32"/>
  <c r="F106" i="23"/>
  <c r="R108" i="32"/>
  <c r="AG104" i="32"/>
  <c r="O6" i="28"/>
  <c r="I52" i="23"/>
  <c r="U112" i="23"/>
  <c r="R33" i="32"/>
  <c r="AM104" i="18"/>
  <c r="U55" i="18"/>
  <c r="O72" i="23"/>
  <c r="L41" i="18"/>
  <c r="O31" i="29"/>
  <c r="L22" i="23"/>
  <c r="U88" i="18"/>
  <c r="I154" i="18"/>
  <c r="X197" i="32"/>
  <c r="AJ26" i="18"/>
  <c r="R205" i="29"/>
  <c r="K7" i="27"/>
  <c r="AM70" i="18"/>
  <c r="R119" i="23"/>
  <c r="R21" i="18"/>
  <c r="AA106" i="18"/>
  <c r="AG168" i="29"/>
  <c r="F142" i="23"/>
  <c r="O3" i="12"/>
  <c r="AJ10" i="32"/>
  <c r="AM106" i="18"/>
  <c r="D205" i="29"/>
  <c r="AD147" i="18"/>
  <c r="L26" i="18"/>
  <c r="R140" i="18"/>
  <c r="F125" i="32"/>
  <c r="F25" i="18"/>
  <c r="I160" i="32"/>
  <c r="AD69" i="23"/>
  <c r="O140" i="18"/>
  <c r="N7" i="1"/>
  <c r="N7" i="28"/>
  <c r="N7" i="11"/>
  <c r="L191" i="29"/>
  <c r="O10" i="32"/>
  <c r="R154" i="29"/>
  <c r="AA158" i="29"/>
  <c r="G6" i="11"/>
  <c r="X90" i="23"/>
  <c r="U101" i="23"/>
  <c r="AM59" i="23"/>
  <c r="AG131" i="18"/>
  <c r="AA155" i="29"/>
  <c r="AA69" i="23"/>
  <c r="O46" i="23"/>
  <c r="F87" i="23"/>
  <c r="AA39" i="18"/>
  <c r="AJ149" i="29"/>
  <c r="R202" i="29"/>
  <c r="AA105" i="23"/>
  <c r="D149" i="29"/>
  <c r="AM33" i="18"/>
  <c r="AJ129" i="18"/>
  <c r="G7" i="2"/>
  <c r="AD28" i="18"/>
  <c r="L79" i="23"/>
  <c r="AD23" i="18"/>
  <c r="O70" i="32"/>
  <c r="M3" i="7"/>
  <c r="G7" i="17"/>
  <c r="AG96" i="23"/>
  <c r="AM9" i="18"/>
  <c r="AJ25" i="18"/>
  <c r="O199" i="32"/>
  <c r="R10" i="18"/>
  <c r="X69" i="32"/>
  <c r="K7" i="7"/>
  <c r="R119" i="18"/>
  <c r="I33" i="18"/>
  <c r="U54" i="18"/>
  <c r="AD103" i="32"/>
  <c r="AD26" i="18"/>
  <c r="X110" i="32"/>
  <c r="L2" i="10"/>
  <c r="L184" i="29"/>
  <c r="L6" i="9"/>
  <c r="AJ51" i="18"/>
  <c r="O2" i="11"/>
  <c r="AM86" i="23"/>
  <c r="O133" i="18"/>
  <c r="Q2" i="1"/>
  <c r="AJ41" i="18"/>
  <c r="U143" i="18"/>
  <c r="AG106" i="32"/>
  <c r="AG123" i="32"/>
  <c r="AG42" i="18"/>
  <c r="X52" i="23"/>
  <c r="U126" i="32"/>
  <c r="U85" i="18"/>
  <c r="AM132" i="18"/>
  <c r="O21" i="23"/>
  <c r="J2" i="1"/>
  <c r="L103" i="18"/>
  <c r="AA65" i="18"/>
  <c r="AM102" i="23"/>
  <c r="F115" i="32"/>
  <c r="AG9" i="23"/>
  <c r="AG125" i="32"/>
  <c r="AG17" i="18"/>
  <c r="F80" i="32"/>
  <c r="X108" i="32"/>
  <c r="X135" i="18"/>
  <c r="AJ100" i="23"/>
  <c r="AM48" i="18"/>
  <c r="AG158" i="32"/>
  <c r="D28" i="25"/>
  <c r="R130" i="18"/>
  <c r="L7" i="9"/>
  <c r="X188" i="29"/>
  <c r="AG32" i="32"/>
  <c r="I147" i="18"/>
  <c r="AG157" i="32"/>
  <c r="L88" i="23"/>
  <c r="AM67" i="23"/>
  <c r="L59" i="23"/>
  <c r="R29" i="29"/>
  <c r="AD110" i="32"/>
  <c r="U106" i="32"/>
  <c r="O157" i="32"/>
  <c r="AD65" i="32"/>
  <c r="K3" i="12"/>
  <c r="O118" i="18"/>
  <c r="R87" i="23"/>
  <c r="AA40" i="23"/>
  <c r="AA109" i="18"/>
  <c r="L157" i="32"/>
  <c r="F12" i="23"/>
  <c r="D174" i="32"/>
  <c r="R76" i="23"/>
  <c r="AM55" i="23"/>
  <c r="L221" i="32"/>
  <c r="AG53" i="18"/>
  <c r="L6" i="28"/>
  <c r="R69" i="23"/>
  <c r="L206" i="32"/>
  <c r="AA168" i="32"/>
  <c r="O43" i="18"/>
  <c r="U98" i="29"/>
  <c r="AG83" i="18"/>
  <c r="M2" i="28"/>
  <c r="AM98" i="23"/>
  <c r="AD162" i="32"/>
  <c r="F116" i="23"/>
  <c r="AJ84" i="23"/>
  <c r="U24" i="18"/>
  <c r="N2" i="7"/>
  <c r="U133" i="18"/>
  <c r="AA69" i="32"/>
  <c r="AD136" i="23"/>
  <c r="I120" i="23"/>
  <c r="AJ78" i="23"/>
  <c r="AD101" i="23"/>
  <c r="O11" i="23"/>
  <c r="O64" i="18"/>
  <c r="R7" i="29"/>
  <c r="X203" i="32"/>
  <c r="O136" i="18"/>
  <c r="AG141" i="18"/>
  <c r="F118" i="18"/>
  <c r="G7" i="9"/>
  <c r="J2" i="28"/>
  <c r="Q6" i="27"/>
  <c r="S7" i="27"/>
  <c r="R109" i="18"/>
  <c r="R8" i="18"/>
  <c r="O201" i="29"/>
  <c r="AA80" i="32"/>
  <c r="D114" i="32"/>
  <c r="U40" i="23"/>
  <c r="K7" i="9"/>
  <c r="R107" i="18"/>
  <c r="U168" i="29"/>
  <c r="F7" i="32"/>
  <c r="L100" i="23"/>
  <c r="N7" i="12"/>
  <c r="AJ200" i="32"/>
  <c r="AG162" i="32"/>
  <c r="L6" i="7"/>
  <c r="O7" i="7"/>
  <c r="D75" i="32"/>
  <c r="I68" i="23"/>
  <c r="AD187" i="29"/>
  <c r="AM83" i="18"/>
  <c r="F28" i="29"/>
  <c r="AG80" i="23"/>
  <c r="R75" i="18"/>
  <c r="R68" i="32"/>
  <c r="AM92" i="23"/>
  <c r="F7" i="10"/>
  <c r="F7" i="16"/>
  <c r="AD88" i="18"/>
  <c r="X53" i="18"/>
  <c r="L158" i="29"/>
  <c r="AM116" i="23"/>
  <c r="AD155" i="18"/>
  <c r="O69" i="23"/>
  <c r="AG158" i="29"/>
  <c r="X80" i="18"/>
  <c r="AG55" i="23"/>
  <c r="AM22" i="23"/>
  <c r="AD41" i="32"/>
  <c r="R131" i="23"/>
  <c r="O10" i="18"/>
  <c r="O44" i="18"/>
  <c r="AG121" i="32"/>
  <c r="AG107" i="23"/>
  <c r="R117" i="32"/>
  <c r="O6" i="10"/>
  <c r="L28" i="29"/>
  <c r="AD94" i="23"/>
  <c r="AA134" i="23"/>
  <c r="R78" i="23"/>
  <c r="AD11" i="32"/>
  <c r="AD95" i="23"/>
  <c r="AA50" i="23"/>
  <c r="R121" i="32"/>
  <c r="AD156" i="29"/>
  <c r="U69" i="32"/>
  <c r="AA97" i="23"/>
  <c r="M14" i="25"/>
  <c r="AG79" i="32"/>
  <c r="AJ155" i="29"/>
  <c r="R199" i="32"/>
  <c r="S3" i="1"/>
  <c r="AA161" i="29"/>
  <c r="AJ68" i="32"/>
  <c r="AA40" i="32"/>
  <c r="F77" i="18"/>
  <c r="F93" i="23"/>
  <c r="O131" i="18"/>
  <c r="O84" i="23"/>
  <c r="L102" i="32"/>
  <c r="I104" i="18"/>
  <c r="AJ127" i="32"/>
  <c r="AM130" i="23"/>
  <c r="N3" i="27"/>
  <c r="Q3" i="27"/>
  <c r="X126" i="23"/>
  <c r="F20" i="18"/>
  <c r="O158" i="29"/>
  <c r="O78" i="23"/>
  <c r="I3" i="1"/>
  <c r="AG65" i="18"/>
  <c r="L8" i="18"/>
  <c r="O161" i="32"/>
  <c r="L44" i="23"/>
  <c r="R134" i="23"/>
  <c r="F79" i="18"/>
  <c r="AG217" i="32"/>
  <c r="I134" i="23"/>
  <c r="L180" i="29"/>
  <c r="I118" i="18"/>
  <c r="N6" i="11"/>
  <c r="R137" i="18"/>
  <c r="F29" i="25"/>
  <c r="M7" i="11"/>
  <c r="F113" i="32"/>
  <c r="L92" i="23"/>
  <c r="O29" i="29"/>
  <c r="F22" i="23"/>
  <c r="P6" i="27"/>
  <c r="K36" i="25"/>
  <c r="L74" i="23"/>
  <c r="F2" i="10"/>
  <c r="O79" i="18"/>
  <c r="AG100" i="23"/>
  <c r="O106" i="32"/>
  <c r="F42" i="23"/>
  <c r="F2" i="17"/>
  <c r="L32" i="29"/>
  <c r="D27" i="25"/>
  <c r="K6" i="8"/>
  <c r="F202" i="29"/>
  <c r="U88" i="23"/>
  <c r="L3" i="16"/>
  <c r="F3" i="12"/>
  <c r="U33" i="18"/>
  <c r="I75" i="32"/>
  <c r="O65" i="18"/>
  <c r="L217" i="32"/>
  <c r="AJ59" i="23"/>
  <c r="R49" i="18"/>
  <c r="O205" i="29"/>
  <c r="L86" i="23"/>
  <c r="X103" i="18"/>
  <c r="AA102" i="32"/>
  <c r="K2" i="7"/>
  <c r="AM54" i="18"/>
  <c r="AG86" i="18"/>
  <c r="R169" i="32"/>
  <c r="AA180" i="29"/>
  <c r="L10" i="23"/>
  <c r="O113" i="32"/>
  <c r="O2" i="27"/>
  <c r="O81" i="23"/>
  <c r="F155" i="18"/>
  <c r="AA137" i="18"/>
  <c r="R106" i="32"/>
  <c r="AG190" i="29"/>
  <c r="F75" i="23"/>
  <c r="D9" i="32"/>
  <c r="F7" i="13"/>
  <c r="AA88" i="18"/>
  <c r="AD96" i="23"/>
  <c r="AA100" i="18"/>
  <c r="AJ197" i="32"/>
  <c r="L82" i="32"/>
  <c r="D201" i="29"/>
  <c r="F88" i="23"/>
  <c r="O167" i="29"/>
  <c r="R92" i="23"/>
  <c r="AD65" i="18"/>
  <c r="U120" i="32"/>
  <c r="R36" i="18"/>
  <c r="AG67" i="32"/>
  <c r="L122" i="32"/>
  <c r="AG102" i="32"/>
  <c r="F120" i="23"/>
  <c r="AM28" i="18"/>
  <c r="N7" i="15"/>
  <c r="U13" i="23"/>
  <c r="F104" i="32"/>
  <c r="F206" i="29"/>
  <c r="U161" i="29"/>
  <c r="F70" i="23"/>
  <c r="AG72" i="23"/>
  <c r="L109" i="23"/>
  <c r="AG109" i="23"/>
  <c r="AG138" i="29"/>
  <c r="X106" i="32"/>
  <c r="U150" i="29"/>
  <c r="O95" i="23"/>
  <c r="AM135" i="18"/>
  <c r="X37" i="18"/>
  <c r="O61" i="18"/>
  <c r="AA22" i="18"/>
  <c r="L80" i="23"/>
  <c r="F65" i="18"/>
  <c r="F108" i="18"/>
  <c r="D17" i="25"/>
  <c r="X161" i="32"/>
  <c r="AD89" i="18"/>
  <c r="AA48" i="23"/>
  <c r="I11" i="23"/>
  <c r="AA21" i="18"/>
  <c r="F51" i="18"/>
  <c r="AD16" i="23"/>
  <c r="F33" i="18"/>
  <c r="O115" i="23"/>
  <c r="AA33" i="18"/>
  <c r="AD174" i="32"/>
  <c r="AA23" i="23"/>
  <c r="U158" i="29"/>
  <c r="I131" i="18"/>
  <c r="O98" i="29"/>
  <c r="O75" i="23"/>
  <c r="AA92" i="23"/>
  <c r="R200" i="32"/>
  <c r="AJ150" i="29"/>
  <c r="AM137" i="23"/>
  <c r="O41" i="23"/>
  <c r="I162" i="32"/>
  <c r="L20" i="18"/>
  <c r="F63" i="18"/>
  <c r="AA187" i="29"/>
  <c r="AD116" i="32"/>
  <c r="X24" i="18"/>
  <c r="L77" i="32"/>
  <c r="L7" i="10"/>
  <c r="R2" i="1"/>
  <c r="R139" i="18"/>
  <c r="AD75" i="23"/>
  <c r="R41" i="18"/>
  <c r="AD106" i="23"/>
  <c r="X40" i="32"/>
  <c r="L190" i="29"/>
  <c r="F190" i="29"/>
  <c r="AM130" i="18"/>
  <c r="L145" i="18"/>
  <c r="AJ8" i="18"/>
  <c r="R41" i="23"/>
  <c r="M3" i="10"/>
  <c r="U144" i="18"/>
  <c r="S24" i="25"/>
  <c r="AD66" i="32"/>
  <c r="U199" i="32"/>
  <c r="AJ113" i="32"/>
  <c r="AD72" i="32"/>
  <c r="R65" i="32"/>
  <c r="AA13" i="23"/>
  <c r="L167" i="32"/>
  <c r="N6" i="12"/>
  <c r="AJ154" i="18"/>
  <c r="O8" i="18"/>
  <c r="X180" i="29"/>
  <c r="AD55" i="18"/>
  <c r="X64" i="18"/>
  <c r="AG145" i="18"/>
  <c r="AD22" i="18"/>
  <c r="F114" i="32"/>
  <c r="I206" i="32"/>
  <c r="X31" i="29"/>
  <c r="AG12" i="23"/>
  <c r="L56" i="18"/>
  <c r="X133" i="18"/>
  <c r="L55" i="18"/>
  <c r="AD84" i="23"/>
  <c r="F170" i="32"/>
  <c r="AJ76" i="32"/>
  <c r="X162" i="32"/>
  <c r="AA149" i="29"/>
  <c r="AM112" i="23"/>
  <c r="S3" i="27"/>
  <c r="AJ131" i="18"/>
  <c r="AG106" i="18"/>
  <c r="L79" i="18"/>
  <c r="O11" i="32"/>
  <c r="AA25" i="18"/>
  <c r="AJ86" i="18"/>
  <c r="F222" i="32"/>
  <c r="M3" i="16"/>
  <c r="L105" i="23"/>
  <c r="I80" i="23"/>
  <c r="X11" i="23"/>
  <c r="X63" i="18"/>
  <c r="AA206" i="29"/>
  <c r="L158" i="32"/>
  <c r="L109" i="18"/>
  <c r="U47" i="23"/>
  <c r="U130" i="23"/>
  <c r="K6" i="17"/>
  <c r="D118" i="32"/>
  <c r="AD161" i="32"/>
  <c r="O61" i="23"/>
  <c r="AJ52" i="18"/>
  <c r="L89" i="23"/>
  <c r="O168" i="29"/>
  <c r="R86" i="18"/>
  <c r="N2" i="1"/>
  <c r="O75" i="18"/>
  <c r="R70" i="23"/>
  <c r="AJ90" i="23"/>
  <c r="AA154" i="18"/>
  <c r="AD120" i="32"/>
  <c r="AG126" i="32"/>
  <c r="AJ125" i="32"/>
  <c r="L68" i="32"/>
  <c r="AJ207" i="32"/>
  <c r="I61" i="18"/>
  <c r="G7" i="11"/>
  <c r="AJ140" i="18"/>
  <c r="AG171" i="32"/>
  <c r="AJ56" i="18"/>
  <c r="F83" i="18"/>
  <c r="AM156" i="18"/>
  <c r="K7" i="12"/>
  <c r="L162" i="32"/>
  <c r="AA28" i="18"/>
  <c r="D190" i="29"/>
  <c r="O97" i="23"/>
  <c r="O56" i="18"/>
  <c r="AM40" i="18"/>
  <c r="R217" i="32"/>
  <c r="AJ24" i="23"/>
  <c r="I91" i="23"/>
  <c r="AG196" i="32"/>
  <c r="O90" i="23"/>
  <c r="AA158" i="32"/>
  <c r="I133" i="18"/>
  <c r="AM90" i="23"/>
  <c r="X72" i="32"/>
  <c r="AA153" i="18"/>
  <c r="L112" i="32"/>
  <c r="X41" i="23"/>
  <c r="I7" i="27"/>
  <c r="I17" i="18"/>
  <c r="U73" i="23"/>
  <c r="U136" i="18"/>
  <c r="AG207" i="32"/>
  <c r="I156" i="29"/>
  <c r="D156" i="29"/>
  <c r="AG187" i="29"/>
  <c r="J6" i="28"/>
  <c r="D138" i="29"/>
  <c r="U77" i="18"/>
  <c r="D11" i="32"/>
  <c r="U142" i="23"/>
  <c r="AM50" i="23"/>
  <c r="O93" i="23"/>
  <c r="AA57" i="32"/>
  <c r="U200" i="32"/>
  <c r="AJ98" i="23"/>
  <c r="R57" i="18"/>
  <c r="AA107" i="18"/>
  <c r="O2" i="13"/>
  <c r="O72" i="32"/>
  <c r="R74" i="32"/>
  <c r="AD127" i="32"/>
  <c r="AD164" i="32"/>
  <c r="I119" i="18"/>
  <c r="AD119" i="18"/>
  <c r="F7" i="11"/>
  <c r="AJ106" i="32"/>
  <c r="X205" i="32"/>
  <c r="L133" i="18"/>
  <c r="AJ114" i="32"/>
  <c r="F47" i="23"/>
  <c r="AM72" i="18"/>
  <c r="O80" i="32"/>
  <c r="K3" i="16"/>
  <c r="U98" i="23"/>
  <c r="I111" i="32"/>
  <c r="F44" i="23"/>
  <c r="L108" i="23"/>
  <c r="U206" i="32"/>
  <c r="S35" i="25"/>
  <c r="L49" i="18"/>
  <c r="L205" i="29"/>
  <c r="R77" i="18"/>
  <c r="F168" i="29"/>
  <c r="AD85" i="23"/>
  <c r="G2" i="15"/>
  <c r="I54" i="18"/>
  <c r="I9" i="18"/>
  <c r="R22" i="23"/>
  <c r="AA188" i="29"/>
  <c r="AJ46" i="23"/>
  <c r="I72" i="32"/>
  <c r="O6" i="7"/>
  <c r="G3" i="15"/>
  <c r="I74" i="23"/>
  <c r="AD108" i="18"/>
  <c r="I81" i="32"/>
  <c r="AJ81" i="32"/>
  <c r="N7" i="10"/>
  <c r="X21" i="18"/>
  <c r="R155" i="18"/>
  <c r="U78" i="18"/>
  <c r="L111" i="32"/>
  <c r="R158" i="32"/>
  <c r="R126" i="23"/>
  <c r="U106" i="18"/>
  <c r="F78" i="23"/>
  <c r="AA77" i="32"/>
  <c r="AD61" i="29"/>
  <c r="X101" i="23"/>
  <c r="I79" i="23"/>
  <c r="U12" i="32"/>
  <c r="AG221" i="32"/>
  <c r="K2" i="11"/>
  <c r="R80" i="32"/>
  <c r="O76" i="32"/>
  <c r="X130" i="18"/>
  <c r="L6" i="14"/>
  <c r="L124" i="32"/>
  <c r="X144" i="18"/>
  <c r="AD108" i="32"/>
  <c r="I187" i="29"/>
  <c r="AA133" i="18"/>
  <c r="F53" i="18"/>
  <c r="F55" i="18"/>
  <c r="M3" i="11"/>
  <c r="L171" i="32"/>
  <c r="O124" i="32"/>
  <c r="AG81" i="18"/>
  <c r="R12" i="32"/>
  <c r="I167" i="32"/>
  <c r="I76" i="32"/>
  <c r="AA21" i="23"/>
  <c r="AA65" i="32"/>
  <c r="AJ183" i="32"/>
  <c r="AD38" i="18"/>
  <c r="I164" i="32"/>
  <c r="R158" i="29"/>
  <c r="O188" i="29"/>
  <c r="AA64" i="32"/>
  <c r="L23" i="18"/>
  <c r="O16" i="23"/>
  <c r="I68" i="32"/>
  <c r="I48" i="23"/>
  <c r="AA107" i="32"/>
  <c r="L164" i="32"/>
  <c r="L40" i="18"/>
  <c r="AJ147" i="18"/>
  <c r="I46" i="23"/>
  <c r="AM43" i="23"/>
  <c r="O79" i="32"/>
  <c r="F95" i="23"/>
  <c r="M2" i="17"/>
  <c r="R206" i="32"/>
  <c r="O7" i="14"/>
  <c r="U8" i="18"/>
  <c r="AD222" i="32"/>
  <c r="F88" i="18"/>
  <c r="O112" i="23"/>
  <c r="AM101" i="23"/>
  <c r="AA9" i="23"/>
  <c r="U155" i="18"/>
  <c r="M2" i="12"/>
  <c r="F117" i="32"/>
  <c r="I123" i="32"/>
  <c r="AA156" i="18"/>
  <c r="AG126" i="23"/>
  <c r="AD137" i="18"/>
  <c r="I32" i="29"/>
  <c r="AD155" i="29"/>
  <c r="R28" i="18"/>
  <c r="AJ109" i="32"/>
  <c r="AM41" i="18"/>
  <c r="AA135" i="23"/>
  <c r="F101" i="23"/>
  <c r="AG120" i="18"/>
  <c r="AA131" i="18"/>
  <c r="L12" i="32"/>
  <c r="AA119" i="23"/>
  <c r="AA127" i="32"/>
  <c r="AJ61" i="29"/>
  <c r="I44" i="18"/>
  <c r="AJ138" i="18"/>
  <c r="I188" i="29"/>
  <c r="AM65" i="18"/>
  <c r="F3" i="10"/>
  <c r="AA120" i="32"/>
  <c r="F218" i="32"/>
  <c r="F6" i="8"/>
  <c r="X31" i="18"/>
  <c r="R115" i="32"/>
  <c r="O169" i="32"/>
  <c r="AJ157" i="29"/>
  <c r="AJ37" i="18"/>
  <c r="L7" i="8"/>
  <c r="X153" i="18"/>
  <c r="D80" i="32"/>
  <c r="AM21" i="18"/>
  <c r="AG206" i="32"/>
  <c r="G3" i="7"/>
  <c r="L114" i="32"/>
  <c r="L84" i="18"/>
  <c r="AJ20" i="18"/>
  <c r="AD41" i="23"/>
  <c r="R26" i="18"/>
  <c r="I119" i="23"/>
  <c r="U109" i="32"/>
  <c r="AD151" i="29"/>
  <c r="AD140" i="18"/>
  <c r="X76" i="32"/>
  <c r="AD167" i="29"/>
  <c r="U190" i="29"/>
  <c r="AD32" i="32"/>
  <c r="I80" i="32"/>
  <c r="F10" i="23"/>
  <c r="AD71" i="32"/>
  <c r="F153" i="18"/>
  <c r="U102" i="23"/>
  <c r="U105" i="32"/>
  <c r="F76" i="18"/>
  <c r="AJ120" i="32"/>
  <c r="L154" i="18"/>
  <c r="H6" i="27"/>
  <c r="D41" i="32"/>
  <c r="X108" i="23"/>
  <c r="O17" i="23"/>
  <c r="K14" i="25"/>
  <c r="O7" i="10"/>
  <c r="L112" i="23"/>
  <c r="R133" i="18"/>
  <c r="O161" i="29"/>
  <c r="U125" i="32"/>
  <c r="AM97" i="23"/>
  <c r="U149" i="29"/>
  <c r="AJ104" i="18"/>
  <c r="L2" i="11"/>
  <c r="L93" i="23"/>
  <c r="U67" i="32"/>
  <c r="O115" i="18"/>
  <c r="AJ24" i="18"/>
  <c r="AJ67" i="23"/>
  <c r="R73" i="23"/>
  <c r="L147" i="18"/>
  <c r="R110" i="32"/>
  <c r="F129" i="18"/>
  <c r="U83" i="23"/>
  <c r="I151" i="29"/>
  <c r="AA38" i="18"/>
  <c r="AM81" i="23"/>
  <c r="X85" i="18"/>
  <c r="U27" i="25"/>
  <c r="D105" i="32"/>
  <c r="AA140" i="18"/>
  <c r="AA203" i="32"/>
  <c r="U56" i="23"/>
  <c r="AA131" i="23"/>
  <c r="I108" i="23"/>
  <c r="AD117" i="32"/>
  <c r="I138" i="29"/>
  <c r="O163" i="32"/>
  <c r="L31" i="18"/>
  <c r="X86" i="18"/>
  <c r="AA60" i="23"/>
  <c r="O96" i="18"/>
  <c r="M2" i="11"/>
  <c r="I105" i="18"/>
  <c r="L99" i="23"/>
  <c r="AM46" i="23"/>
  <c r="AG105" i="18"/>
  <c r="AJ145" i="18"/>
  <c r="AG127" i="32"/>
  <c r="O110" i="32"/>
  <c r="F76" i="32"/>
  <c r="U115" i="32"/>
  <c r="F157" i="32"/>
  <c r="I199" i="32"/>
  <c r="AG119" i="23"/>
  <c r="L81" i="32"/>
  <c r="U80" i="32"/>
  <c r="AD119" i="23"/>
  <c r="U164" i="32"/>
  <c r="AG10" i="23"/>
  <c r="R16" i="23"/>
  <c r="X41" i="32"/>
  <c r="D65" i="32"/>
  <c r="AG54" i="18"/>
  <c r="X168" i="29"/>
  <c r="AJ31" i="18"/>
  <c r="AD78" i="23"/>
  <c r="AA118" i="32"/>
  <c r="AJ85" i="23"/>
  <c r="AG31" i="18"/>
  <c r="I131" i="23"/>
  <c r="D127" i="32"/>
  <c r="F7" i="17"/>
  <c r="D189" i="29"/>
  <c r="I218" i="32"/>
  <c r="AJ132" i="18"/>
  <c r="AJ91" i="23"/>
  <c r="AM36" i="18"/>
  <c r="U56" i="18"/>
  <c r="G3" i="12"/>
  <c r="AG114" i="32"/>
  <c r="L100" i="18"/>
  <c r="AM71" i="23"/>
  <c r="X118" i="32"/>
  <c r="X43" i="18"/>
  <c r="X75" i="18"/>
  <c r="L156" i="18"/>
  <c r="AD10" i="23"/>
  <c r="F74" i="23"/>
  <c r="AG112" i="32"/>
  <c r="AM48" i="23"/>
  <c r="U74" i="23"/>
  <c r="D167" i="32"/>
  <c r="I158" i="32"/>
  <c r="M7" i="8"/>
  <c r="M7" i="9"/>
  <c r="AD131" i="18"/>
  <c r="AA73" i="23"/>
  <c r="AA10" i="23"/>
  <c r="AJ85" i="18"/>
  <c r="I207" i="32"/>
  <c r="R116" i="32"/>
  <c r="AD88" i="23"/>
  <c r="AJ92" i="23"/>
  <c r="L167" i="29"/>
  <c r="AG41" i="18"/>
  <c r="G2" i="14"/>
  <c r="F2" i="9"/>
  <c r="J3" i="27"/>
  <c r="F140" i="18"/>
  <c r="U74" i="32"/>
  <c r="AG110" i="32"/>
  <c r="AG80" i="18"/>
  <c r="L3" i="14"/>
  <c r="AA99" i="18"/>
  <c r="R161" i="32"/>
  <c r="L3" i="12"/>
  <c r="I23" i="23"/>
  <c r="AA135" i="18"/>
  <c r="X20" i="18"/>
  <c r="O135" i="23"/>
  <c r="L25" i="18"/>
  <c r="AM145" i="18"/>
  <c r="I6" i="28"/>
  <c r="AJ116" i="32"/>
  <c r="AG23" i="23"/>
  <c r="AA22" i="23"/>
  <c r="X109" i="32"/>
  <c r="R167" i="29"/>
  <c r="AA47" i="18"/>
  <c r="O2" i="12"/>
  <c r="AD81" i="32"/>
  <c r="I142" i="18"/>
  <c r="AG97" i="23"/>
  <c r="AD190" i="29"/>
  <c r="L61" i="18"/>
  <c r="AA207" i="32"/>
  <c r="F119" i="18"/>
  <c r="AD31" i="29"/>
  <c r="AD99" i="18"/>
  <c r="AA81" i="18"/>
  <c r="D76" i="32"/>
  <c r="AA99" i="23"/>
  <c r="F96" i="18"/>
  <c r="AA89" i="23"/>
  <c r="X44" i="23"/>
  <c r="U119" i="32"/>
  <c r="R53" i="18"/>
  <c r="AD56" i="18"/>
  <c r="AA71" i="18"/>
  <c r="I86" i="23"/>
  <c r="R109" i="32"/>
  <c r="U180" i="29"/>
  <c r="AD50" i="18"/>
  <c r="F2" i="16"/>
  <c r="AA64" i="18"/>
  <c r="AG57" i="32"/>
  <c r="H3" i="28"/>
  <c r="D119" i="32"/>
  <c r="I139" i="18"/>
  <c r="L17" i="18"/>
  <c r="F167" i="29"/>
  <c r="X23" i="23"/>
  <c r="AG160" i="32"/>
  <c r="AA51" i="23"/>
  <c r="AG120" i="32"/>
  <c r="AA79" i="18"/>
  <c r="U187" i="29"/>
  <c r="L107" i="18"/>
  <c r="R96" i="18"/>
  <c r="AA41" i="23"/>
  <c r="AA144" i="18"/>
  <c r="F115" i="23"/>
  <c r="X71" i="23"/>
  <c r="U145" i="18"/>
  <c r="L136" i="23"/>
  <c r="N2" i="8"/>
  <c r="R180" i="29"/>
  <c r="AJ161" i="32"/>
  <c r="AD32" i="29"/>
  <c r="O26" i="18"/>
  <c r="AG8" i="23"/>
  <c r="AD23" i="23"/>
  <c r="F97" i="23"/>
  <c r="U22" i="23"/>
  <c r="AG84" i="32"/>
  <c r="AG180" i="29"/>
  <c r="K15" i="25"/>
  <c r="O84" i="18"/>
  <c r="X184" i="29"/>
  <c r="F159" i="32"/>
  <c r="L123" i="32"/>
  <c r="K34" i="25"/>
  <c r="L11" i="23"/>
  <c r="X61" i="23"/>
  <c r="U59" i="23"/>
  <c r="U119" i="18"/>
  <c r="F60" i="23"/>
  <c r="U86" i="23"/>
  <c r="D74" i="32"/>
  <c r="I32" i="32"/>
  <c r="F57" i="32"/>
  <c r="I24" i="18"/>
  <c r="X25" i="18"/>
  <c r="AG82" i="18"/>
  <c r="X56" i="18"/>
  <c r="R61" i="18"/>
  <c r="X106" i="23"/>
  <c r="U45" i="23"/>
  <c r="AJ109" i="23"/>
  <c r="I77" i="32"/>
  <c r="AJ40" i="18"/>
  <c r="U47" i="18"/>
  <c r="L30" i="29"/>
  <c r="AD82" i="32"/>
  <c r="O68" i="23"/>
  <c r="F72" i="23"/>
  <c r="F31" i="18"/>
  <c r="F82" i="23"/>
  <c r="X36" i="18"/>
  <c r="L174" i="32"/>
  <c r="AD84" i="18"/>
  <c r="AJ75" i="18"/>
  <c r="L7" i="16"/>
  <c r="D121" i="32"/>
  <c r="U139" i="18"/>
  <c r="F71" i="18"/>
  <c r="R56" i="18"/>
  <c r="AM80" i="18"/>
  <c r="AD78" i="32"/>
  <c r="F149" i="29"/>
  <c r="X9" i="32"/>
  <c r="L46" i="23"/>
  <c r="AG113" i="32"/>
  <c r="O2" i="8"/>
  <c r="R78" i="18"/>
  <c r="AD28" i="29"/>
  <c r="AM88" i="23"/>
  <c r="AJ41" i="32"/>
  <c r="F6" i="2"/>
  <c r="I168" i="29"/>
  <c r="F26" i="25"/>
  <c r="AG112" i="23"/>
  <c r="U68" i="32"/>
  <c r="F127" i="23"/>
  <c r="X167" i="32"/>
  <c r="L96" i="18"/>
  <c r="U50" i="23"/>
  <c r="U76" i="18"/>
  <c r="N7" i="17"/>
  <c r="F85" i="18"/>
  <c r="I79" i="32"/>
  <c r="U87" i="23"/>
  <c r="AD64" i="18"/>
  <c r="U103" i="18"/>
  <c r="AG184" i="29"/>
  <c r="O39" i="18"/>
  <c r="AJ174" i="32"/>
  <c r="O142" i="23"/>
  <c r="F217" i="32"/>
  <c r="AG137" i="23"/>
  <c r="F62" i="18"/>
  <c r="AJ79" i="18"/>
  <c r="X155" i="29"/>
  <c r="N6" i="8"/>
  <c r="M3" i="2"/>
  <c r="U142" i="18"/>
  <c r="I100" i="18"/>
  <c r="F132" i="18"/>
  <c r="X70" i="18"/>
  <c r="I93" i="23"/>
  <c r="AD112" i="23"/>
  <c r="K35" i="25"/>
  <c r="I47" i="18"/>
  <c r="F107" i="32"/>
  <c r="AM134" i="23"/>
  <c r="X43" i="23"/>
  <c r="AG55" i="18"/>
  <c r="F151" i="29"/>
  <c r="R26" i="23"/>
  <c r="AM134" i="18"/>
  <c r="X49" i="18"/>
  <c r="AG50" i="23"/>
  <c r="AG206" i="29"/>
  <c r="AJ187" i="29"/>
  <c r="F81" i="18"/>
  <c r="O3" i="10"/>
  <c r="U79" i="18"/>
  <c r="U78" i="32"/>
  <c r="X131" i="23"/>
  <c r="AD118" i="18"/>
  <c r="I191" i="29"/>
  <c r="R61" i="23"/>
  <c r="R153" i="18"/>
  <c r="L138" i="18"/>
  <c r="O47" i="23"/>
  <c r="AG50" i="18"/>
  <c r="D154" i="29"/>
  <c r="X198" i="32"/>
  <c r="F20" i="25"/>
  <c r="AJ47" i="18"/>
  <c r="X21" i="23"/>
  <c r="X105" i="23"/>
  <c r="AD105" i="32"/>
  <c r="I155" i="18"/>
  <c r="AD13" i="23"/>
  <c r="AA217" i="32"/>
  <c r="X155" i="18"/>
  <c r="D161" i="32"/>
  <c r="AA87" i="23"/>
  <c r="AG103" i="32"/>
  <c r="F75" i="18"/>
  <c r="F82" i="32"/>
  <c r="O67" i="32"/>
  <c r="L189" i="29"/>
  <c r="AD45" i="23"/>
  <c r="G3" i="9"/>
  <c r="AG83" i="23"/>
  <c r="O44" i="23"/>
  <c r="AA78" i="18"/>
  <c r="AA16" i="23"/>
  <c r="AM43" i="18"/>
  <c r="D164" i="32"/>
  <c r="R142" i="18"/>
  <c r="F82" i="18"/>
  <c r="I108" i="32"/>
  <c r="X115" i="23"/>
  <c r="AM89" i="23"/>
  <c r="AJ11" i="32"/>
  <c r="I163" i="32"/>
  <c r="U138" i="29"/>
  <c r="X9" i="23"/>
  <c r="F169" i="32"/>
  <c r="AG49" i="23"/>
  <c r="L140" i="18"/>
  <c r="L2" i="14"/>
  <c r="AA61" i="23"/>
  <c r="AG46" i="23"/>
  <c r="AD50" i="23"/>
  <c r="O100" i="18"/>
  <c r="X22" i="23"/>
  <c r="R197" i="32"/>
  <c r="L43" i="18"/>
  <c r="H2" i="27"/>
  <c r="AA139" i="18"/>
  <c r="D81" i="32"/>
  <c r="O67" i="23"/>
  <c r="AJ56" i="23"/>
  <c r="X190" i="29"/>
  <c r="AD83" i="18"/>
  <c r="K6" i="27"/>
  <c r="S7" i="1"/>
  <c r="D162" i="32"/>
  <c r="L168" i="29"/>
  <c r="F110" i="32"/>
  <c r="AD39" i="29"/>
  <c r="AA115" i="18"/>
  <c r="AJ70" i="32"/>
  <c r="AG105" i="23"/>
  <c r="G6" i="9"/>
  <c r="D29" i="25"/>
  <c r="AD98" i="29"/>
  <c r="M3" i="17"/>
  <c r="F64" i="18"/>
  <c r="AD31" i="18"/>
  <c r="F107" i="18"/>
  <c r="AJ119" i="23"/>
  <c r="U204" i="32"/>
  <c r="O60" i="23"/>
  <c r="O145" i="18"/>
  <c r="G3" i="8"/>
  <c r="L83" i="23"/>
  <c r="U52" i="23"/>
  <c r="AJ33" i="32"/>
  <c r="L142" i="18"/>
  <c r="F2" i="14"/>
  <c r="X71" i="32"/>
  <c r="AG98" i="29"/>
  <c r="AM41" i="23"/>
  <c r="AG87" i="18"/>
  <c r="O45" i="23"/>
  <c r="AJ75" i="23"/>
  <c r="AJ115" i="18"/>
  <c r="I158" i="29"/>
  <c r="O3" i="13"/>
  <c r="L7" i="7"/>
  <c r="AG116" i="32"/>
  <c r="L168" i="32"/>
  <c r="L81" i="23"/>
  <c r="AG144" i="18"/>
  <c r="I88" i="18"/>
  <c r="O115" i="32"/>
  <c r="X164" i="32"/>
  <c r="L9" i="23"/>
  <c r="N2" i="15"/>
  <c r="AA66" i="32"/>
  <c r="L77" i="18"/>
  <c r="X157" i="32"/>
  <c r="AA137" i="23"/>
  <c r="R3" i="1"/>
  <c r="I79" i="18"/>
  <c r="AG61" i="29"/>
  <c r="U120" i="18"/>
  <c r="O91" i="23"/>
  <c r="R82" i="32"/>
  <c r="R120" i="32"/>
  <c r="U36" i="25"/>
  <c r="L131" i="18"/>
  <c r="AJ161" i="29"/>
  <c r="U118" i="32"/>
  <c r="O206" i="29"/>
  <c r="L206" i="29"/>
  <c r="AG43" i="23"/>
  <c r="R144" i="18"/>
  <c r="AA33" i="32"/>
  <c r="O196" i="32"/>
  <c r="O55" i="18"/>
  <c r="L48" i="23"/>
  <c r="AD115" i="32"/>
  <c r="AJ144" i="18"/>
  <c r="AM49" i="23"/>
  <c r="R59" i="23"/>
  <c r="X67" i="23"/>
  <c r="AJ109" i="18"/>
  <c r="I157" i="29"/>
  <c r="F23" i="23"/>
  <c r="AA52" i="23"/>
  <c r="AJ78" i="18"/>
  <c r="I29" i="29"/>
  <c r="D7" i="32"/>
  <c r="AA98" i="29"/>
  <c r="AG26" i="23"/>
  <c r="U161" i="32"/>
  <c r="AD47" i="18"/>
  <c r="AG72" i="32"/>
  <c r="AD217" i="32"/>
  <c r="L108" i="32"/>
  <c r="AJ201" i="29"/>
  <c r="U80" i="23"/>
  <c r="X107" i="32"/>
  <c r="AM71" i="18"/>
  <c r="AA126" i="32"/>
  <c r="D83" i="32"/>
  <c r="K3" i="8"/>
  <c r="U141" i="18"/>
  <c r="K6" i="9"/>
  <c r="L37" i="18"/>
  <c r="K3" i="17"/>
  <c r="X96" i="23"/>
  <c r="F13" i="23"/>
  <c r="F174" i="32"/>
  <c r="M7" i="2"/>
  <c r="I7" i="29"/>
  <c r="AJ82" i="23"/>
  <c r="O88" i="18"/>
  <c r="S27" i="25"/>
  <c r="K3" i="1"/>
  <c r="AM119" i="18"/>
  <c r="M3" i="12"/>
  <c r="F99" i="18"/>
  <c r="U51" i="18"/>
  <c r="AM76" i="23"/>
  <c r="L22" i="18"/>
  <c r="O147" i="18"/>
  <c r="AG111" i="32"/>
  <c r="F197" i="32"/>
  <c r="F86" i="23"/>
  <c r="L105" i="18"/>
  <c r="AD21" i="18"/>
  <c r="F72" i="18"/>
  <c r="O3" i="7"/>
  <c r="AG11" i="32"/>
  <c r="R157" i="32"/>
  <c r="L103" i="32"/>
  <c r="R105" i="18"/>
  <c r="AD126" i="32"/>
  <c r="AG218" i="32"/>
  <c r="AG131" i="23"/>
  <c r="F10" i="32"/>
  <c r="AG80" i="32"/>
  <c r="AJ97" i="23"/>
  <c r="AA162" i="32"/>
  <c r="R7" i="32"/>
  <c r="K6" i="12"/>
  <c r="AM87" i="23"/>
  <c r="X75" i="32"/>
  <c r="N7" i="13"/>
  <c r="AG77" i="32"/>
  <c r="AJ157" i="32"/>
  <c r="F22" i="18"/>
  <c r="R67" i="23"/>
  <c r="R198" i="32"/>
  <c r="AA156" i="29"/>
  <c r="L29" i="29"/>
  <c r="F116" i="32"/>
  <c r="U77" i="32"/>
  <c r="AM120" i="23"/>
  <c r="X46" i="23"/>
  <c r="F144" i="18"/>
  <c r="U135" i="23"/>
  <c r="N7" i="9"/>
  <c r="I74" i="32"/>
  <c r="AJ23" i="18"/>
  <c r="O84" i="32"/>
  <c r="U22" i="18"/>
  <c r="I167" i="29"/>
  <c r="AD205" i="32"/>
  <c r="AD9" i="18"/>
  <c r="X72" i="23"/>
  <c r="O116" i="32"/>
  <c r="L76" i="23"/>
  <c r="I27" i="18"/>
  <c r="L161" i="29"/>
  <c r="I2" i="1"/>
  <c r="L31" i="29"/>
  <c r="I58" i="18"/>
  <c r="O120" i="18"/>
  <c r="I94" i="23"/>
  <c r="U157" i="29"/>
  <c r="AJ167" i="32"/>
  <c r="K7" i="16"/>
  <c r="AJ138" i="29"/>
  <c r="U82" i="23"/>
  <c r="O202" i="29"/>
  <c r="O158" i="32"/>
  <c r="AA109" i="32"/>
  <c r="L9" i="18"/>
  <c r="F108" i="23"/>
  <c r="AG90" i="23"/>
  <c r="AA77" i="18"/>
  <c r="R83" i="18"/>
  <c r="X33" i="32"/>
  <c r="AG76" i="32"/>
  <c r="AJ158" i="29"/>
  <c r="AM108" i="23"/>
  <c r="O153" i="18"/>
  <c r="I49" i="23"/>
  <c r="AJ87" i="18"/>
  <c r="L7" i="29"/>
  <c r="X100" i="18"/>
  <c r="U24" i="25"/>
  <c r="AJ36" i="18"/>
  <c r="AD168" i="32"/>
  <c r="AJ160" i="32"/>
  <c r="AD98" i="23"/>
  <c r="L12" i="23"/>
  <c r="L6" i="11"/>
  <c r="AD84" i="32"/>
  <c r="R167" i="32"/>
  <c r="I122" i="32"/>
  <c r="I57" i="18"/>
  <c r="K6" i="1"/>
  <c r="AD62" i="18"/>
  <c r="X81" i="32"/>
  <c r="R6" i="27"/>
  <c r="O131" i="23"/>
  <c r="F26" i="23"/>
  <c r="AD109" i="18"/>
  <c r="F3" i="7"/>
  <c r="F184" i="29"/>
  <c r="AA44" i="23"/>
  <c r="AJ81" i="23"/>
  <c r="O119" i="32"/>
  <c r="AD92" i="23"/>
  <c r="AD135" i="23"/>
  <c r="K2" i="1"/>
  <c r="AG85" i="18"/>
  <c r="L69" i="32"/>
  <c r="D64" i="32"/>
  <c r="AG63" i="18"/>
  <c r="I206" i="29"/>
  <c r="AA91" i="23"/>
  <c r="AA44" i="18"/>
  <c r="X51" i="23"/>
  <c r="R39" i="18"/>
  <c r="K3" i="27"/>
  <c r="D79" i="32"/>
  <c r="F109" i="23"/>
  <c r="U167" i="29"/>
  <c r="O6" i="15"/>
  <c r="AJ156" i="18"/>
  <c r="F156" i="18"/>
  <c r="I107" i="23"/>
  <c r="L127" i="23"/>
  <c r="AM143" i="18"/>
  <c r="AJ103" i="18"/>
  <c r="AG71" i="23"/>
  <c r="R31" i="29"/>
  <c r="I78" i="32"/>
  <c r="X109" i="23"/>
  <c r="U70" i="23"/>
  <c r="AA108" i="32"/>
  <c r="AG31" i="29"/>
  <c r="O190" i="29"/>
  <c r="X142" i="23"/>
  <c r="AD157" i="32"/>
  <c r="F9" i="32"/>
  <c r="I41" i="23"/>
  <c r="F2" i="15"/>
  <c r="AG204" i="32"/>
  <c r="K6" i="15"/>
  <c r="X81" i="23"/>
  <c r="L48" i="18"/>
  <c r="L106" i="23"/>
  <c r="F43" i="23"/>
  <c r="U130" i="18"/>
  <c r="AA159" i="32"/>
  <c r="AJ170" i="32"/>
  <c r="AJ50" i="18"/>
  <c r="AM105" i="18"/>
  <c r="O51" i="23"/>
  <c r="R58" i="18"/>
  <c r="AD83" i="23"/>
  <c r="F38" i="18"/>
  <c r="H3" i="1"/>
  <c r="G2" i="17"/>
  <c r="AG161" i="32"/>
  <c r="O6" i="12"/>
  <c r="AG56" i="18"/>
  <c r="R161" i="29"/>
  <c r="I10" i="23"/>
  <c r="O40" i="32"/>
  <c r="AA25" i="23"/>
  <c r="G7" i="14"/>
  <c r="AD104" i="32"/>
  <c r="K3" i="7"/>
  <c r="R174" i="32"/>
  <c r="AJ96" i="18"/>
  <c r="AD136" i="18"/>
  <c r="X82" i="32"/>
  <c r="O205" i="32"/>
  <c r="AG151" i="29"/>
  <c r="R157" i="29"/>
  <c r="P2" i="27"/>
  <c r="U103" i="32"/>
  <c r="O107" i="23"/>
  <c r="O33" i="18"/>
  <c r="U46" i="23"/>
  <c r="AA31" i="29"/>
  <c r="AJ119" i="32"/>
  <c r="D167" i="29"/>
  <c r="AA76" i="18"/>
  <c r="R118" i="32"/>
  <c r="D160" i="32"/>
  <c r="U7" i="29"/>
  <c r="R156" i="29"/>
  <c r="O2" i="2"/>
  <c r="AG134" i="23"/>
  <c r="AD85" i="18"/>
  <c r="AM100" i="18"/>
  <c r="AD130" i="18"/>
  <c r="I41" i="18"/>
  <c r="F6" i="12"/>
  <c r="I20" i="18"/>
  <c r="D71" i="32"/>
  <c r="AJ130" i="18"/>
  <c r="AD53" i="18"/>
  <c r="AG85" i="23"/>
  <c r="I153" i="18"/>
  <c r="I189" i="29"/>
  <c r="AG84" i="23"/>
  <c r="AJ11" i="23"/>
  <c r="AJ100" i="18"/>
  <c r="AJ77" i="18"/>
  <c r="O6" i="1"/>
  <c r="F96" i="23"/>
  <c r="K6" i="10"/>
  <c r="D171" i="32"/>
  <c r="I78" i="18"/>
  <c r="AM10" i="18"/>
  <c r="I43" i="23"/>
  <c r="R159" i="32"/>
  <c r="U42" i="18"/>
  <c r="AA129" i="18"/>
  <c r="R137" i="23"/>
  <c r="AJ88" i="18"/>
  <c r="X76" i="23"/>
  <c r="F107" i="23"/>
  <c r="AJ156" i="29"/>
  <c r="O81" i="32"/>
  <c r="F50" i="23"/>
  <c r="L7" i="32"/>
  <c r="D122" i="32"/>
  <c r="AA8" i="18"/>
  <c r="O116" i="23"/>
  <c r="AA10" i="32"/>
  <c r="L42" i="23"/>
  <c r="I72" i="18"/>
  <c r="AG188" i="29"/>
  <c r="AG21" i="23"/>
  <c r="I78" i="23"/>
  <c r="G3" i="11"/>
  <c r="AA17" i="18"/>
  <c r="U29" i="29"/>
  <c r="U20" i="18"/>
  <c r="AG21" i="18"/>
  <c r="M2" i="14"/>
  <c r="AG189" i="29"/>
  <c r="AA84" i="23"/>
  <c r="L74" i="32"/>
  <c r="X7" i="29"/>
  <c r="AD81" i="23"/>
  <c r="L67" i="23"/>
  <c r="X77" i="32"/>
  <c r="AG75" i="32"/>
  <c r="L57" i="32"/>
  <c r="I114" i="32"/>
  <c r="AA168" i="29"/>
  <c r="R119" i="32"/>
  <c r="O22" i="23"/>
  <c r="AG81" i="32"/>
  <c r="M29" i="25"/>
  <c r="U36" i="18"/>
  <c r="I67" i="23"/>
  <c r="AJ39" i="18"/>
  <c r="AJ205" i="29"/>
  <c r="N3" i="28"/>
  <c r="R105" i="23"/>
  <c r="I6" i="27"/>
  <c r="O77" i="18"/>
  <c r="AD99" i="23"/>
  <c r="D217" i="32"/>
  <c r="AG164" i="32"/>
  <c r="X196" i="32"/>
  <c r="AG108" i="32"/>
  <c r="O50" i="18"/>
  <c r="AA126" i="23"/>
  <c r="R163" i="32"/>
  <c r="AA95" i="23"/>
  <c r="AG139" i="18"/>
  <c r="M28" i="25"/>
  <c r="D28" i="29"/>
  <c r="AD160" i="32"/>
  <c r="AD137" i="23"/>
  <c r="X33" i="18"/>
  <c r="I196" i="32"/>
  <c r="U53" i="18"/>
  <c r="R44" i="23"/>
  <c r="AG116" i="23"/>
  <c r="N6" i="16"/>
  <c r="AM42" i="18"/>
  <c r="L87" i="18"/>
  <c r="F39" i="18"/>
  <c r="AA81" i="23"/>
  <c r="AD127" i="23"/>
  <c r="R112" i="32"/>
  <c r="O82" i="18"/>
  <c r="R40" i="18"/>
  <c r="L85" i="23"/>
  <c r="AJ58" i="18"/>
  <c r="AM85" i="23"/>
  <c r="R101" i="23"/>
  <c r="F3" i="2"/>
  <c r="R131" i="18"/>
  <c r="I105" i="23"/>
  <c r="O102" i="32"/>
  <c r="AA130" i="23"/>
  <c r="G2" i="9"/>
  <c r="AA77" i="23"/>
  <c r="O71" i="32"/>
  <c r="AD76" i="23"/>
  <c r="F80" i="18"/>
  <c r="F39" i="29"/>
  <c r="U43" i="18"/>
  <c r="R147" i="18"/>
  <c r="X161" i="29"/>
  <c r="M7" i="27"/>
  <c r="X92" i="23"/>
  <c r="F73" i="32"/>
  <c r="F102" i="32"/>
  <c r="AM44" i="23"/>
  <c r="X64" i="32"/>
  <c r="AG91" i="23"/>
  <c r="AA56" i="18"/>
  <c r="AG48" i="18"/>
  <c r="AG117" i="32"/>
  <c r="AD27" i="18"/>
  <c r="F8" i="23"/>
  <c r="O6" i="9"/>
  <c r="M2" i="9"/>
  <c r="I61" i="23"/>
  <c r="L135" i="18"/>
  <c r="AD142" i="18"/>
  <c r="G2" i="2"/>
  <c r="I103" i="18"/>
  <c r="I40" i="18"/>
  <c r="AD200" i="32"/>
  <c r="AJ167" i="29"/>
  <c r="AD218" i="32"/>
  <c r="AA78" i="23"/>
  <c r="AG68" i="32"/>
  <c r="AA49" i="23"/>
  <c r="AD82" i="18"/>
  <c r="U43" i="23"/>
  <c r="AD74" i="32"/>
  <c r="N6" i="28"/>
  <c r="R72" i="23"/>
  <c r="AJ13" i="23"/>
  <c r="L101" i="23"/>
  <c r="O108" i="32"/>
  <c r="L65" i="18"/>
  <c r="AA114" i="32"/>
  <c r="F94" i="23"/>
  <c r="AD125" i="32"/>
  <c r="R2" i="28"/>
  <c r="AG62" i="18"/>
  <c r="AM61" i="18"/>
  <c r="AG70" i="18"/>
  <c r="L106" i="18"/>
  <c r="R81" i="32"/>
  <c r="X78" i="18"/>
  <c r="F69" i="32"/>
  <c r="U35" i="25"/>
  <c r="M7" i="16"/>
  <c r="F164" i="32"/>
  <c r="I130" i="18"/>
  <c r="O138" i="29"/>
  <c r="U119" i="23"/>
  <c r="X160" i="32"/>
  <c r="AA61" i="29"/>
  <c r="AA48" i="18"/>
  <c r="K7" i="2"/>
  <c r="O3" i="1"/>
  <c r="U23" i="18"/>
  <c r="L161" i="32"/>
  <c r="X183" i="32"/>
  <c r="U84" i="18"/>
  <c r="F147" i="18"/>
  <c r="R72" i="18"/>
  <c r="L138" i="29"/>
  <c r="K3" i="28"/>
  <c r="I156" i="18"/>
  <c r="AD36" i="18"/>
  <c r="F183" i="32"/>
  <c r="R46" i="23"/>
  <c r="I71" i="23"/>
  <c r="L150" i="29"/>
  <c r="I69" i="23"/>
  <c r="G2" i="11"/>
  <c r="D126" i="32"/>
  <c r="O59" i="23"/>
  <c r="L83" i="18"/>
  <c r="AG40" i="32"/>
  <c r="U81" i="32"/>
  <c r="U48" i="18"/>
  <c r="R132" i="18"/>
  <c r="R70" i="18"/>
  <c r="R47" i="23"/>
  <c r="D84" i="32"/>
  <c r="F199" i="32"/>
  <c r="AD184" i="29"/>
  <c r="X168" i="32"/>
  <c r="I126" i="23"/>
  <c r="X71" i="18"/>
  <c r="X116" i="32"/>
  <c r="X206" i="29"/>
  <c r="AM86" i="18"/>
  <c r="O37" i="18"/>
  <c r="AJ154" i="29"/>
  <c r="AJ115" i="23"/>
  <c r="N3" i="12"/>
  <c r="L199" i="32"/>
  <c r="R183" i="32"/>
  <c r="AA30" i="29"/>
  <c r="F40" i="32"/>
  <c r="N2" i="10"/>
  <c r="R84" i="32"/>
  <c r="AA50" i="18"/>
  <c r="J6" i="1"/>
  <c r="AG20" i="18"/>
  <c r="R82" i="18"/>
  <c r="O17" i="18"/>
  <c r="R30" i="29"/>
  <c r="I81" i="18"/>
  <c r="R99" i="18"/>
  <c r="F7" i="14"/>
  <c r="AJ188" i="29"/>
  <c r="U108" i="18"/>
  <c r="D117" i="32"/>
  <c r="AJ7" i="32"/>
  <c r="R74" i="23"/>
  <c r="U44" i="18"/>
  <c r="F126" i="23"/>
  <c r="O6" i="13"/>
  <c r="AJ84" i="18"/>
  <c r="M6" i="10"/>
  <c r="AG143" i="18"/>
  <c r="I171" i="32"/>
  <c r="M6" i="17"/>
  <c r="X26" i="23"/>
  <c r="L75" i="18"/>
  <c r="L102" i="23"/>
  <c r="U12" i="23"/>
  <c r="O71" i="23"/>
  <c r="F31" i="25"/>
  <c r="G7" i="10"/>
  <c r="R80" i="18"/>
  <c r="I71" i="32"/>
  <c r="N3" i="7"/>
  <c r="G3" i="2"/>
  <c r="AD83" i="32"/>
  <c r="AJ130" i="23"/>
  <c r="AJ29" i="29"/>
  <c r="L139" i="18"/>
  <c r="AD43" i="23"/>
  <c r="AG22" i="23"/>
  <c r="I132" i="18"/>
  <c r="AD103" i="18"/>
  <c r="I135" i="23"/>
  <c r="AD191" i="29"/>
  <c r="AD25" i="23"/>
  <c r="AD149" i="29"/>
  <c r="I55" i="18"/>
  <c r="X67" i="32"/>
  <c r="AD46" i="23"/>
  <c r="O156" i="18"/>
  <c r="AG136" i="23"/>
  <c r="P3" i="27"/>
  <c r="L202" i="29"/>
  <c r="AJ205" i="32"/>
  <c r="O57" i="18"/>
  <c r="AA93" i="23"/>
  <c r="L72" i="32"/>
  <c r="R85" i="23"/>
  <c r="D110" i="32"/>
  <c r="AD44" i="23"/>
  <c r="AA157" i="29"/>
  <c r="F123" i="32"/>
  <c r="AM51" i="23"/>
  <c r="AG22" i="18"/>
  <c r="H7" i="1"/>
  <c r="AG40" i="23"/>
  <c r="X123" i="32"/>
  <c r="N3" i="2"/>
  <c r="U123" i="32"/>
  <c r="L27" i="18"/>
  <c r="X108" i="18"/>
  <c r="O49" i="23"/>
  <c r="AM88" i="18"/>
  <c r="O86" i="23"/>
  <c r="AA124" i="32"/>
  <c r="N7" i="16"/>
  <c r="F78" i="32"/>
  <c r="AA183" i="32"/>
  <c r="AM50" i="18"/>
  <c r="AA12" i="32"/>
  <c r="O28" i="18"/>
  <c r="X77" i="18"/>
  <c r="AA107" i="23"/>
  <c r="M2" i="16"/>
  <c r="F163" i="32"/>
  <c r="R160" i="32"/>
  <c r="O74" i="32"/>
  <c r="R23" i="18"/>
  <c r="O2" i="28"/>
  <c r="AM131" i="18"/>
  <c r="AD42" i="23"/>
  <c r="F42" i="18"/>
  <c r="I40" i="23"/>
  <c r="O7" i="2"/>
  <c r="AA57" i="18"/>
  <c r="U90" i="23"/>
  <c r="L2" i="2"/>
  <c r="AJ72" i="32"/>
  <c r="L60" i="23"/>
  <c r="AG135" i="18"/>
  <c r="U157" i="32"/>
  <c r="I33" i="32"/>
  <c r="U70" i="32"/>
  <c r="I69" i="32"/>
  <c r="AA70" i="23"/>
  <c r="AD11" i="23"/>
  <c r="AD80" i="32"/>
  <c r="R191" i="29"/>
  <c r="L77" i="23"/>
  <c r="AJ42" i="23"/>
  <c r="O75" i="32"/>
  <c r="U107" i="32"/>
  <c r="I138" i="18"/>
  <c r="AA112" i="23"/>
  <c r="O20" i="18"/>
  <c r="F98" i="23"/>
  <c r="X62" i="18"/>
  <c r="O2" i="16"/>
  <c r="P3" i="28"/>
  <c r="X156" i="18"/>
  <c r="R55" i="18"/>
  <c r="L130" i="18"/>
  <c r="L81" i="18"/>
  <c r="F154" i="29"/>
  <c r="M2" i="27"/>
  <c r="AJ105" i="18"/>
  <c r="F61" i="29"/>
  <c r="AD207" i="32"/>
  <c r="F131" i="18"/>
  <c r="AJ73" i="32"/>
  <c r="F52" i="18"/>
  <c r="K6" i="28"/>
  <c r="D102" i="32"/>
  <c r="L3" i="27"/>
  <c r="F161" i="29"/>
  <c r="AJ79" i="32"/>
  <c r="X84" i="23"/>
  <c r="D109" i="32"/>
  <c r="AJ55" i="23"/>
  <c r="R142" i="23"/>
  <c r="AD106" i="18"/>
  <c r="AG82" i="23"/>
  <c r="AD7" i="29"/>
  <c r="U41" i="23"/>
  <c r="AD51" i="23"/>
  <c r="D200" i="32"/>
  <c r="AA24" i="18"/>
  <c r="R88" i="18"/>
  <c r="AD167" i="32"/>
  <c r="O85" i="18"/>
  <c r="U207" i="32"/>
  <c r="X26" i="18"/>
  <c r="AD163" i="32"/>
  <c r="D199" i="32"/>
  <c r="AA76" i="23"/>
  <c r="O111" i="32"/>
  <c r="M3" i="15"/>
  <c r="AD171" i="32"/>
  <c r="AA59" i="23"/>
  <c r="AJ115" i="32"/>
  <c r="U117" i="32"/>
  <c r="AG38" i="18"/>
  <c r="I222" i="32"/>
  <c r="AD24" i="18"/>
  <c r="U162" i="32"/>
  <c r="AD79" i="18"/>
  <c r="I7" i="28"/>
  <c r="O72" i="18"/>
  <c r="AD55" i="23"/>
  <c r="L106" i="32"/>
  <c r="N6" i="9"/>
  <c r="U30" i="29"/>
  <c r="AD78" i="18"/>
  <c r="U33" i="32"/>
  <c r="AG64" i="18"/>
  <c r="R23" i="23"/>
  <c r="X199" i="32"/>
  <c r="AM47" i="18"/>
  <c r="AG156" i="29"/>
  <c r="S6" i="27"/>
  <c r="O7" i="12"/>
  <c r="AA103" i="18"/>
  <c r="S29" i="25"/>
  <c r="AJ73" i="23"/>
  <c r="L71" i="32"/>
  <c r="L61" i="29"/>
  <c r="U25" i="25"/>
  <c r="AD9" i="32"/>
  <c r="F11" i="32"/>
  <c r="I92" i="23"/>
  <c r="AA174" i="32"/>
  <c r="AG70" i="32"/>
  <c r="F61" i="18"/>
  <c r="K19" i="25"/>
  <c r="X85" i="23"/>
  <c r="R6" i="28"/>
  <c r="Q6" i="28"/>
  <c r="U58" i="18"/>
  <c r="AD71" i="23"/>
  <c r="AJ82" i="18"/>
  <c r="U97" i="23"/>
  <c r="O105" i="18"/>
  <c r="I36" i="18"/>
  <c r="I150" i="29"/>
  <c r="U184" i="29"/>
  <c r="AJ41" i="23"/>
  <c r="L2" i="13"/>
  <c r="AD80" i="23"/>
  <c r="X48" i="18"/>
  <c r="L201" i="29"/>
  <c r="AM153" i="18"/>
  <c r="F191" i="29"/>
  <c r="F2" i="13"/>
  <c r="O77" i="23"/>
  <c r="R106" i="18"/>
  <c r="AJ48" i="23"/>
  <c r="F115" i="18"/>
  <c r="L159" i="32"/>
  <c r="AG33" i="32"/>
  <c r="M6" i="7"/>
  <c r="R145" i="18"/>
  <c r="X83" i="18"/>
  <c r="I125" i="32"/>
  <c r="M17" i="25"/>
  <c r="N2" i="11"/>
  <c r="AA102" i="23"/>
  <c r="I50" i="23"/>
  <c r="X102" i="32"/>
  <c r="AM147" i="18"/>
  <c r="L6" i="13"/>
  <c r="N3" i="16"/>
  <c r="L96" i="23"/>
  <c r="U154" i="29"/>
  <c r="I63" i="18"/>
  <c r="I108" i="18"/>
  <c r="O92" i="23"/>
  <c r="F24" i="23"/>
  <c r="AG107" i="32"/>
  <c r="AA119" i="32"/>
  <c r="AJ168" i="29"/>
  <c r="AD100" i="23"/>
  <c r="I102" i="23"/>
  <c r="X113" i="32"/>
  <c r="R115" i="23"/>
  <c r="AG88" i="18"/>
  <c r="AD120" i="18"/>
  <c r="F70" i="32"/>
  <c r="I97" i="23"/>
  <c r="AG17" i="23"/>
  <c r="I141" i="18"/>
  <c r="AD107" i="18"/>
  <c r="R52" i="23"/>
  <c r="AJ198" i="32"/>
  <c r="Q7" i="1"/>
  <c r="AA75" i="18"/>
  <c r="AM44" i="18"/>
  <c r="AA8" i="23"/>
  <c r="U171" i="32"/>
  <c r="K26" i="25"/>
  <c r="R82" i="23"/>
  <c r="L97" i="23"/>
  <c r="X150" i="29"/>
  <c r="D61" i="29"/>
  <c r="R196" i="32"/>
  <c r="F2" i="11"/>
  <c r="L116" i="32"/>
  <c r="K2" i="28"/>
  <c r="U100" i="23"/>
  <c r="AA196" i="32"/>
  <c r="AJ117" i="32"/>
  <c r="AD7" i="32"/>
  <c r="AM115" i="23"/>
  <c r="AJ74" i="32"/>
  <c r="I25" i="18"/>
  <c r="O151" i="29"/>
  <c r="U91" i="23"/>
  <c r="AA29" i="29"/>
  <c r="AM91" i="23"/>
  <c r="L79" i="32"/>
  <c r="AJ137" i="18"/>
  <c r="O2" i="1"/>
  <c r="AG7" i="29"/>
  <c r="U94" i="23"/>
  <c r="I56" i="23"/>
  <c r="U27" i="18"/>
  <c r="I109" i="32"/>
  <c r="K27" i="25"/>
  <c r="U217" i="32"/>
  <c r="F180" i="29"/>
  <c r="X97" i="23"/>
  <c r="X10" i="23"/>
  <c r="F7" i="8"/>
  <c r="F16" i="25"/>
  <c r="O104" i="32"/>
  <c r="X121" i="32"/>
  <c r="I149" i="29"/>
  <c r="R122" i="32"/>
  <c r="AJ54" i="18"/>
  <c r="AM100" i="23"/>
  <c r="D7" i="29"/>
  <c r="AJ38" i="18"/>
  <c r="AG122" i="32"/>
  <c r="F188" i="29"/>
  <c r="F3" i="16"/>
  <c r="AD144" i="18"/>
  <c r="AD196" i="32"/>
  <c r="AA49" i="18"/>
  <c r="I145" i="18"/>
  <c r="L2" i="8"/>
  <c r="D206" i="29"/>
  <c r="L89" i="18"/>
  <c r="X82" i="18"/>
  <c r="F6" i="17"/>
  <c r="F79" i="23"/>
  <c r="AM45" i="23"/>
  <c r="AG72" i="18"/>
  <c r="AA85" i="23"/>
  <c r="M6" i="15"/>
  <c r="O3" i="28"/>
  <c r="AM99" i="23"/>
  <c r="U72" i="23"/>
  <c r="X127" i="32"/>
  <c r="X55" i="18"/>
  <c r="X81" i="18"/>
  <c r="X201" i="29"/>
  <c r="M15" i="25"/>
  <c r="AJ76" i="23"/>
  <c r="G6" i="13"/>
  <c r="R168" i="32"/>
  <c r="F187" i="29"/>
  <c r="O157" i="29"/>
  <c r="F221" i="32"/>
  <c r="AJ67" i="32"/>
  <c r="L6" i="16"/>
  <c r="D169" i="32"/>
  <c r="U137" i="18"/>
  <c r="AA9" i="18"/>
  <c r="U169" i="32"/>
  <c r="U55" i="23"/>
  <c r="AG92" i="23"/>
  <c r="AM74" i="23"/>
  <c r="O130" i="18"/>
  <c r="AD158" i="32"/>
  <c r="AG197" i="32"/>
  <c r="F67" i="23"/>
  <c r="O53" i="18"/>
  <c r="U131" i="18"/>
  <c r="AD56" i="23"/>
  <c r="AA106" i="23"/>
  <c r="F61" i="23"/>
  <c r="M3" i="9"/>
  <c r="AA130" i="18"/>
  <c r="L70" i="32"/>
  <c r="AG140" i="18"/>
  <c r="K6" i="16"/>
  <c r="AD68" i="32"/>
  <c r="D104" i="32"/>
  <c r="L32" i="32"/>
  <c r="X82" i="23"/>
  <c r="X83" i="23"/>
  <c r="K3" i="10"/>
  <c r="O6" i="16"/>
  <c r="I40" i="32"/>
  <c r="AD67" i="32"/>
  <c r="L183" i="32"/>
  <c r="O155" i="18"/>
  <c r="AD33" i="32"/>
  <c r="U49" i="23"/>
  <c r="L47" i="18"/>
  <c r="O42" i="23"/>
  <c r="L144" i="18"/>
  <c r="X13" i="23"/>
  <c r="X94" i="23"/>
  <c r="X10" i="32"/>
  <c r="AD180" i="29"/>
  <c r="F32" i="29"/>
  <c r="I9" i="23"/>
  <c r="AA40" i="18"/>
  <c r="AA111" i="32"/>
  <c r="U52" i="18"/>
  <c r="O104" i="18"/>
  <c r="AM82" i="23"/>
  <c r="AG89" i="23"/>
  <c r="AD48" i="23"/>
  <c r="R55" i="23"/>
  <c r="AD93" i="23"/>
  <c r="O109" i="23"/>
  <c r="AD156" i="18"/>
  <c r="AA11" i="32"/>
  <c r="AG8" i="18"/>
  <c r="AJ126" i="23"/>
  <c r="G6" i="14"/>
  <c r="N2" i="28"/>
  <c r="AA132" i="18"/>
  <c r="AA43" i="18"/>
  <c r="X124" i="32"/>
  <c r="F7" i="12"/>
  <c r="R64" i="32"/>
  <c r="X145" i="18"/>
  <c r="AD21" i="23"/>
  <c r="O7" i="1"/>
  <c r="R48" i="18"/>
  <c r="K7" i="17"/>
  <c r="M6" i="8"/>
  <c r="U124" i="32"/>
  <c r="F122" i="32"/>
  <c r="L41" i="23"/>
  <c r="R37" i="18"/>
  <c r="X98" i="29"/>
  <c r="R189" i="29"/>
  <c r="L196" i="32"/>
  <c r="N3" i="8"/>
  <c r="AD24" i="23"/>
  <c r="R6" i="1"/>
  <c r="AJ102" i="23"/>
  <c r="R109" i="23"/>
  <c r="AJ78" i="32"/>
  <c r="I200" i="32"/>
  <c r="AA54" i="18"/>
  <c r="D221" i="32"/>
  <c r="AJ71" i="23"/>
  <c r="AA68" i="23"/>
  <c r="I81" i="23"/>
  <c r="I9" i="32"/>
  <c r="AA72" i="23"/>
  <c r="D188" i="29"/>
  <c r="L155" i="18"/>
  <c r="AJ217" i="32"/>
  <c r="F89" i="23"/>
  <c r="L160" i="32"/>
  <c r="R102" i="23"/>
  <c r="O120" i="32"/>
  <c r="AD52" i="23"/>
  <c r="X111" i="32"/>
  <c r="R20" i="18"/>
  <c r="R84" i="18"/>
  <c r="G6" i="7"/>
  <c r="L2" i="7"/>
  <c r="U132" i="18"/>
  <c r="AM39" i="18"/>
  <c r="L143" i="18"/>
  <c r="U108" i="23"/>
  <c r="AG200" i="32"/>
  <c r="D30" i="25"/>
  <c r="F27" i="18"/>
  <c r="AG81" i="23"/>
  <c r="M35" i="25"/>
  <c r="L69" i="23"/>
  <c r="U70" i="18"/>
  <c r="AM155" i="18"/>
  <c r="X68" i="23"/>
  <c r="AG48" i="23"/>
  <c r="K3" i="9"/>
  <c r="AJ127" i="23"/>
  <c r="U81" i="23"/>
  <c r="AA26" i="23"/>
  <c r="L3" i="15"/>
  <c r="D30" i="29"/>
  <c r="O23" i="23"/>
  <c r="U196" i="32"/>
  <c r="AD102" i="32"/>
  <c r="G3" i="10"/>
  <c r="AD77" i="23"/>
  <c r="I21" i="23"/>
  <c r="X100" i="23"/>
  <c r="U71" i="18"/>
  <c r="AM25" i="18"/>
  <c r="K7" i="13"/>
  <c r="O218" i="32"/>
  <c r="R89" i="23"/>
  <c r="AM81" i="18"/>
  <c r="F160" i="32"/>
  <c r="AG88" i="23"/>
  <c r="L21" i="23"/>
  <c r="AD26" i="23"/>
  <c r="AJ33" i="18"/>
  <c r="AD59" i="23"/>
  <c r="AG16" i="23"/>
  <c r="L136" i="18"/>
  <c r="U111" i="32"/>
  <c r="U105" i="23"/>
  <c r="O162" i="32"/>
  <c r="L6" i="17"/>
  <c r="AM64" i="18"/>
  <c r="O134" i="18"/>
  <c r="R221" i="32"/>
  <c r="L94" i="23"/>
  <c r="U39" i="18"/>
  <c r="O64" i="32"/>
  <c r="F205" i="29"/>
  <c r="D222" i="32"/>
  <c r="R107" i="23"/>
  <c r="AG79" i="18"/>
  <c r="AA120" i="18"/>
  <c r="F120" i="18"/>
  <c r="N3" i="13"/>
  <c r="AJ105" i="23"/>
  <c r="AD134" i="23"/>
  <c r="AA204" i="32"/>
  <c r="AM137" i="18"/>
  <c r="AM140" i="18"/>
  <c r="F150" i="29"/>
  <c r="O112" i="32"/>
  <c r="AJ83" i="18"/>
  <c r="F207" i="32"/>
  <c r="AD86" i="23"/>
  <c r="I52" i="18"/>
  <c r="I39" i="29"/>
  <c r="AD109" i="23"/>
  <c r="G3" i="13"/>
  <c r="I205" i="29"/>
  <c r="AA115" i="32"/>
  <c r="AM16" i="23"/>
  <c r="U221" i="32"/>
  <c r="N2" i="9"/>
  <c r="AG73" i="32"/>
  <c r="O6" i="11"/>
  <c r="U41" i="18"/>
  <c r="AD116" i="23"/>
  <c r="AA100" i="23"/>
  <c r="I66" i="32"/>
  <c r="O127" i="23"/>
  <c r="D32" i="29"/>
  <c r="O203" i="32"/>
  <c r="AD71" i="18"/>
  <c r="AA160" i="32"/>
  <c r="F100" i="23"/>
  <c r="AJ189" i="29"/>
  <c r="AA218" i="32"/>
  <c r="I80" i="18"/>
  <c r="N6" i="17"/>
  <c r="U183" i="32"/>
  <c r="M7" i="15"/>
  <c r="U82" i="32"/>
  <c r="L51" i="23"/>
  <c r="AG51" i="23"/>
  <c r="N3" i="11"/>
  <c r="U151" i="29"/>
  <c r="M6" i="13"/>
  <c r="O63" i="18"/>
  <c r="AJ61" i="23"/>
  <c r="L151" i="29"/>
  <c r="K3" i="2"/>
  <c r="AG83" i="32"/>
  <c r="N6" i="15"/>
  <c r="L3" i="13"/>
  <c r="X140" i="18"/>
  <c r="X51" i="18"/>
  <c r="AG124" i="32"/>
  <c r="P6" i="28"/>
  <c r="D26" i="25"/>
  <c r="F75" i="32"/>
  <c r="L82" i="23"/>
  <c r="O102" i="23"/>
  <c r="O88" i="23"/>
  <c r="D113" i="32"/>
  <c r="AM60" i="23"/>
  <c r="AM68" i="23"/>
  <c r="U126" i="23"/>
  <c r="U107" i="18"/>
  <c r="AD12" i="23"/>
  <c r="L107" i="32"/>
  <c r="X52" i="18"/>
  <c r="AA55" i="18"/>
  <c r="O200" i="32"/>
  <c r="L119" i="32"/>
  <c r="X89" i="18"/>
  <c r="X45" i="23"/>
  <c r="AG135" i="23"/>
  <c r="O103" i="32"/>
  <c r="AM76" i="18"/>
  <c r="AD52" i="18"/>
  <c r="AJ104" i="32"/>
  <c r="D158" i="32"/>
  <c r="R31" i="18"/>
  <c r="O77" i="32"/>
  <c r="X42" i="18"/>
  <c r="U134" i="23"/>
  <c r="F206" i="32"/>
  <c r="AG76" i="18"/>
  <c r="AG170" i="32"/>
  <c r="N7" i="7"/>
  <c r="F81" i="32"/>
  <c r="AA78" i="32"/>
  <c r="I65" i="18"/>
  <c r="L65" i="32"/>
  <c r="AM120" i="18"/>
  <c r="X149" i="29"/>
  <c r="I13" i="23"/>
  <c r="F6" i="9"/>
  <c r="R104" i="18"/>
  <c r="I23" i="18"/>
  <c r="R90" i="23"/>
  <c r="AD33" i="18"/>
  <c r="AG71" i="18"/>
  <c r="U38" i="18"/>
  <c r="R98" i="29"/>
  <c r="F7" i="29"/>
  <c r="AJ135" i="23"/>
  <c r="O94" i="23"/>
  <c r="G2" i="12"/>
  <c r="L21" i="18"/>
  <c r="M7" i="7"/>
  <c r="AD198" i="32"/>
  <c r="R75" i="23"/>
  <c r="L135" i="23"/>
  <c r="AD79" i="23"/>
  <c r="I110" i="32"/>
  <c r="D15" i="25"/>
  <c r="AA171" i="32"/>
  <c r="O52" i="23"/>
  <c r="X12" i="32"/>
  <c r="D10" i="32"/>
  <c r="I115" i="18"/>
  <c r="L118" i="32"/>
  <c r="AA127" i="23"/>
  <c r="X167" i="29"/>
  <c r="D206" i="32"/>
  <c r="I30" i="29"/>
  <c r="R118" i="18"/>
  <c r="X142" i="18"/>
  <c r="I100" i="23"/>
  <c r="O187" i="29"/>
  <c r="I64" i="32"/>
  <c r="AG156" i="18"/>
  <c r="O74" i="23"/>
  <c r="D157" i="32"/>
  <c r="K6" i="14"/>
  <c r="L80" i="18"/>
  <c r="AA70" i="32"/>
  <c r="AG161" i="29"/>
  <c r="F55" i="23"/>
  <c r="O31" i="18"/>
  <c r="I72" i="23"/>
  <c r="N3" i="1"/>
  <c r="U168" i="32"/>
  <c r="R84" i="23"/>
  <c r="X151" i="29"/>
  <c r="X83" i="32"/>
  <c r="F7" i="9"/>
  <c r="AA200" i="32"/>
  <c r="L188" i="29"/>
  <c r="AA90" i="23"/>
  <c r="X88" i="18"/>
  <c r="O2" i="9"/>
  <c r="U28" i="25"/>
  <c r="F137" i="18"/>
  <c r="L2" i="15"/>
  <c r="X24" i="23"/>
  <c r="N2" i="27"/>
  <c r="AA125" i="32"/>
  <c r="R83" i="23"/>
  <c r="K17" i="25"/>
  <c r="F104" i="18"/>
  <c r="I190" i="29"/>
  <c r="O87" i="23"/>
  <c r="K7" i="15"/>
  <c r="AJ83" i="23"/>
  <c r="X10" i="18"/>
  <c r="U41" i="32"/>
  <c r="AJ74" i="23"/>
  <c r="O126" i="23"/>
  <c r="O222" i="32"/>
  <c r="I89" i="18"/>
  <c r="U203" i="32"/>
  <c r="L2" i="27"/>
  <c r="I113" i="32"/>
  <c r="D40" i="32"/>
  <c r="AG9" i="32"/>
  <c r="I77" i="23"/>
  <c r="X129" i="18"/>
  <c r="G6" i="10"/>
  <c r="AM95" i="23"/>
  <c r="AG26" i="18"/>
  <c r="X135" i="23"/>
  <c r="L78" i="18"/>
  <c r="L43" i="23"/>
  <c r="I159" i="32"/>
  <c r="D39" i="29"/>
  <c r="X39" i="18"/>
  <c r="AD170" i="32"/>
  <c r="I87" i="23"/>
  <c r="P7" i="27"/>
  <c r="AJ62" i="18"/>
  <c r="AA43" i="23"/>
  <c r="Q3" i="1"/>
  <c r="AA81" i="32"/>
  <c r="AM136" i="18"/>
  <c r="D21" i="25"/>
  <c r="AJ17" i="23"/>
  <c r="I109" i="18"/>
  <c r="X73" i="32"/>
  <c r="R87" i="18"/>
  <c r="AJ68" i="23"/>
  <c r="I136" i="23"/>
  <c r="R65" i="18"/>
  <c r="O81" i="18"/>
  <c r="O41" i="18"/>
  <c r="AG36" i="18"/>
  <c r="X120" i="32"/>
  <c r="AM83" i="23"/>
  <c r="F162" i="32"/>
  <c r="F133" i="18"/>
  <c r="O168" i="32"/>
  <c r="K6" i="2"/>
  <c r="D123" i="32"/>
  <c r="X38" i="18"/>
  <c r="AA197" i="32"/>
  <c r="I67" i="32"/>
  <c r="AD9" i="23"/>
  <c r="AJ203" i="32"/>
  <c r="G6" i="8"/>
  <c r="O70" i="23"/>
  <c r="AD74" i="23"/>
  <c r="F37" i="18"/>
  <c r="F16" i="23"/>
  <c r="L3" i="8"/>
  <c r="X47" i="18"/>
  <c r="M34" i="25"/>
  <c r="AM118" i="18"/>
  <c r="AG28" i="18"/>
  <c r="O3" i="16"/>
  <c r="F15" i="25"/>
  <c r="AD105" i="23"/>
  <c r="L170" i="32"/>
  <c r="O87" i="18"/>
  <c r="F105" i="18"/>
  <c r="AG77" i="23"/>
  <c r="AD203" i="32"/>
  <c r="L134" i="18"/>
  <c r="AA155" i="18"/>
  <c r="U100" i="18"/>
  <c r="AA79" i="23"/>
  <c r="AA120" i="23"/>
  <c r="AD123" i="32"/>
  <c r="O167" i="32"/>
  <c r="U25" i="18"/>
  <c r="AD100" i="18"/>
  <c r="U163" i="32"/>
  <c r="I8" i="23"/>
  <c r="AA136" i="18"/>
  <c r="AJ108" i="18"/>
  <c r="R88" i="23"/>
  <c r="M26" i="25"/>
  <c r="AD60" i="23"/>
  <c r="F46" i="23"/>
  <c r="I12" i="32"/>
  <c r="U155" i="29"/>
  <c r="R106" i="23"/>
  <c r="H6" i="28"/>
  <c r="X65" i="18"/>
  <c r="R32" i="32"/>
  <c r="AG86" i="23"/>
  <c r="AJ26" i="23"/>
  <c r="AA143" i="18"/>
  <c r="O189" i="29"/>
  <c r="AM52" i="23"/>
  <c r="F27" i="25"/>
  <c r="I85" i="23"/>
  <c r="U110" i="32"/>
  <c r="X77" i="23"/>
  <c r="X49" i="23"/>
  <c r="I161" i="29"/>
  <c r="AG174" i="32"/>
  <c r="X131" i="18"/>
  <c r="O2" i="17"/>
  <c r="F68" i="23"/>
  <c r="AG95" i="23"/>
  <c r="AA37" i="18"/>
  <c r="U11" i="23"/>
  <c r="AD54" i="18"/>
  <c r="R78" i="32"/>
  <c r="F45" i="23"/>
  <c r="AM85" i="18"/>
  <c r="AM23" i="18"/>
  <c r="L2" i="16"/>
  <c r="AD86" i="18"/>
  <c r="U65" i="32"/>
  <c r="R21" i="23"/>
  <c r="AA164" i="32"/>
  <c r="R9" i="32"/>
  <c r="K7" i="10"/>
  <c r="L36" i="18"/>
  <c r="R164" i="32"/>
  <c r="AA138" i="18"/>
  <c r="AG142" i="23"/>
  <c r="N2" i="12"/>
  <c r="R79" i="18"/>
  <c r="AG29" i="29"/>
  <c r="O48" i="18"/>
  <c r="AD73" i="23"/>
  <c r="AD114" i="32"/>
  <c r="U26" i="25"/>
  <c r="I154" i="29"/>
  <c r="L38" i="18"/>
  <c r="S3" i="28"/>
  <c r="I126" i="32"/>
  <c r="X189" i="29"/>
  <c r="AJ204" i="32"/>
  <c r="AD8" i="18"/>
  <c r="AD115" i="18"/>
  <c r="U61" i="18"/>
  <c r="I202" i="29"/>
  <c r="G2" i="16"/>
  <c r="AD22" i="23"/>
  <c r="I144" i="18"/>
  <c r="F189" i="29"/>
  <c r="F43" i="18"/>
  <c r="D202" i="29"/>
  <c r="AA72" i="18"/>
  <c r="G6" i="16"/>
  <c r="AM52" i="18"/>
  <c r="O7" i="29"/>
  <c r="AM109" i="18"/>
  <c r="AJ169" i="32"/>
  <c r="AA7" i="29"/>
  <c r="G3" i="14"/>
  <c r="AJ31" i="29"/>
  <c r="AD80" i="18"/>
  <c r="AM23" i="23"/>
  <c r="AM20" i="18"/>
  <c r="U9" i="32"/>
  <c r="M3" i="13"/>
  <c r="AD129" i="18"/>
  <c r="AJ77" i="23"/>
  <c r="O96" i="23"/>
  <c r="O108" i="23"/>
  <c r="L6" i="8"/>
  <c r="AD81" i="18"/>
  <c r="I95" i="23"/>
  <c r="D32" i="32"/>
  <c r="AA98" i="23"/>
  <c r="X157" i="29"/>
  <c r="L76" i="18"/>
  <c r="R76" i="32"/>
  <c r="AJ83" i="32"/>
  <c r="AJ9" i="18"/>
  <c r="U40" i="18"/>
  <c r="G2" i="13"/>
  <c r="R11" i="23"/>
  <c r="X78" i="23"/>
  <c r="R184" i="29"/>
  <c r="AG142" i="18"/>
  <c r="X95" i="23"/>
  <c r="L56" i="23"/>
  <c r="K29" i="25"/>
  <c r="K7" i="8"/>
  <c r="AA163" i="32"/>
  <c r="AJ120" i="23"/>
  <c r="AG28" i="29"/>
  <c r="AJ16" i="23"/>
  <c r="M30" i="25"/>
  <c r="R138" i="29"/>
  <c r="R32" i="29"/>
  <c r="O164" i="32"/>
  <c r="X9" i="18"/>
  <c r="K2" i="12"/>
  <c r="R124" i="32"/>
  <c r="AD77" i="18"/>
  <c r="AG82" i="32"/>
  <c r="L7" i="15"/>
  <c r="O30" i="29"/>
  <c r="M6" i="12"/>
  <c r="R8" i="23"/>
  <c r="R10" i="32"/>
  <c r="U73" i="32"/>
  <c r="M36" i="25"/>
  <c r="R42" i="18"/>
  <c r="F112" i="23"/>
  <c r="X120" i="18"/>
  <c r="U127" i="32"/>
  <c r="AD153" i="18"/>
  <c r="R24" i="23"/>
  <c r="R48" i="23"/>
  <c r="AD159" i="32"/>
  <c r="AA108" i="18"/>
  <c r="J2" i="27"/>
  <c r="L87" i="23"/>
  <c r="X32" i="29"/>
  <c r="AM142" i="18"/>
  <c r="U63" i="18"/>
  <c r="AA88" i="23"/>
  <c r="AG129" i="18"/>
  <c r="R63" i="18"/>
  <c r="O118" i="32"/>
  <c r="R39" i="29"/>
  <c r="F79" i="32"/>
  <c r="AM11" i="23"/>
  <c r="D191" i="29"/>
  <c r="O134" i="23"/>
  <c r="J7" i="27"/>
  <c r="R143" i="18"/>
  <c r="N6" i="27"/>
  <c r="X120" i="23"/>
  <c r="AG87" i="23"/>
  <c r="AG109" i="18"/>
  <c r="O107" i="18"/>
  <c r="L51" i="18"/>
  <c r="AJ158" i="32"/>
  <c r="I90" i="23"/>
  <c r="L119" i="18"/>
  <c r="AA39" i="29"/>
  <c r="AG138" i="18"/>
  <c r="AA80" i="18"/>
  <c r="AJ95" i="23"/>
  <c r="X158" i="32"/>
  <c r="AJ106" i="23"/>
  <c r="AM25" i="23"/>
  <c r="F2" i="8"/>
  <c r="AM80" i="23"/>
  <c r="AA7" i="32"/>
  <c r="AD189" i="29"/>
  <c r="L73" i="32"/>
  <c r="AG76" i="23"/>
  <c r="AG205" i="29"/>
  <c r="L39" i="29"/>
  <c r="U67" i="23"/>
  <c r="I43" i="18"/>
  <c r="U120" i="23"/>
  <c r="I143" i="18"/>
  <c r="L40" i="32"/>
  <c r="R205" i="32"/>
  <c r="R2" i="27"/>
  <c r="N6" i="2"/>
  <c r="R51" i="23"/>
  <c r="I24" i="23"/>
  <c r="U118" i="18"/>
  <c r="I112" i="23"/>
  <c r="F106" i="18"/>
  <c r="F145" i="18"/>
  <c r="AD63" i="18"/>
  <c r="F2" i="7"/>
  <c r="AM24" i="23"/>
  <c r="L7" i="13"/>
  <c r="U17" i="23"/>
  <c r="AA23" i="18"/>
  <c r="F76" i="23"/>
  <c r="AA202" i="29"/>
  <c r="F85" i="23"/>
  <c r="F171" i="32"/>
  <c r="O3" i="2"/>
  <c r="I129" i="18"/>
  <c r="AA61" i="18"/>
  <c r="AG39" i="29"/>
  <c r="L84" i="32"/>
  <c r="AA94" i="23"/>
  <c r="L42" i="18"/>
  <c r="F200" i="32"/>
  <c r="L2" i="17"/>
  <c r="AJ99" i="23"/>
  <c r="L107" i="23"/>
  <c r="P3" i="1"/>
  <c r="X75" i="23"/>
  <c r="I75" i="18"/>
  <c r="AM131" i="23"/>
  <c r="AA115" i="23"/>
  <c r="AA105" i="18"/>
  <c r="F21" i="18"/>
  <c r="I136" i="18"/>
  <c r="O32" i="29"/>
  <c r="R206" i="29"/>
  <c r="AA75" i="23"/>
  <c r="O117" i="32"/>
  <c r="U105" i="18"/>
  <c r="AD145" i="18"/>
  <c r="AD17" i="18"/>
  <c r="AG27" i="18"/>
  <c r="X170" i="32"/>
  <c r="U16" i="23"/>
  <c r="AA123" i="32"/>
  <c r="X80" i="32"/>
  <c r="I70" i="18"/>
  <c r="L11" i="32"/>
  <c r="F87" i="18"/>
  <c r="U189" i="29"/>
  <c r="AA167" i="32"/>
  <c r="F10" i="18"/>
  <c r="AD197" i="32"/>
  <c r="AJ155" i="18"/>
  <c r="AJ80" i="32"/>
  <c r="X57" i="18"/>
  <c r="R105" i="32"/>
  <c r="L3" i="2"/>
  <c r="M6" i="28"/>
  <c r="F78" i="18"/>
  <c r="AJ21" i="18"/>
  <c r="AA154" i="29"/>
  <c r="AA46" i="23"/>
  <c r="F118" i="32"/>
  <c r="AA170" i="32"/>
  <c r="O126" i="32"/>
  <c r="R7" i="27"/>
  <c r="F112" i="32"/>
  <c r="D157" i="29"/>
  <c r="AA32" i="32"/>
  <c r="AG68" i="23"/>
  <c r="AJ48" i="18"/>
  <c r="I140" i="18"/>
  <c r="AJ93" i="23"/>
  <c r="AJ75" i="32"/>
  <c r="L149" i="29"/>
  <c r="X70" i="32"/>
  <c r="AA136" i="23"/>
  <c r="F40" i="18"/>
  <c r="I10" i="18"/>
  <c r="X28" i="29"/>
  <c r="AD91" i="23"/>
  <c r="AJ103" i="32"/>
  <c r="U170" i="32"/>
  <c r="L45" i="23"/>
  <c r="L126" i="23"/>
  <c r="I2" i="27"/>
  <c r="X158" i="29"/>
  <c r="I204" i="32"/>
  <c r="O80" i="18"/>
  <c r="F6" i="14"/>
  <c r="G7" i="15"/>
  <c r="AG103" i="18"/>
  <c r="AG78" i="23"/>
  <c r="F130" i="18"/>
  <c r="D159" i="32"/>
  <c r="AJ121" i="32"/>
  <c r="X78" i="32"/>
  <c r="AJ22" i="23"/>
  <c r="X59" i="23"/>
  <c r="U156" i="18"/>
  <c r="R85" i="18"/>
  <c r="AM89" i="18"/>
  <c r="AJ22" i="18"/>
  <c r="I84" i="23"/>
  <c r="F21" i="23"/>
  <c r="AA84" i="32"/>
  <c r="X169" i="32"/>
  <c r="O204" i="32"/>
  <c r="AD17" i="23"/>
  <c r="AG105" i="32"/>
  <c r="U10" i="23"/>
  <c r="O40" i="18"/>
  <c r="AG52" i="23"/>
  <c r="I76" i="18"/>
  <c r="O109" i="32"/>
  <c r="O61" i="29"/>
  <c r="L13" i="23"/>
  <c r="AA118" i="18"/>
  <c r="AD168" i="29"/>
  <c r="I61" i="29"/>
  <c r="AJ39" i="29"/>
  <c r="AD112" i="32"/>
  <c r="X136" i="18"/>
  <c r="F65" i="32"/>
  <c r="AG37" i="18"/>
  <c r="U72" i="32"/>
  <c r="U79" i="23"/>
  <c r="U71" i="23"/>
  <c r="U7" i="32"/>
  <c r="AD106" i="32"/>
  <c r="AD82" i="23"/>
  <c r="D18" i="25"/>
  <c r="U205" i="32"/>
  <c r="AD87" i="23"/>
  <c r="U57" i="18"/>
  <c r="AJ191" i="29"/>
  <c r="AM82" i="18"/>
  <c r="AM37" i="18"/>
  <c r="U115" i="23"/>
  <c r="O38" i="18"/>
  <c r="AA82" i="18"/>
  <c r="AJ57" i="32"/>
  <c r="I174" i="32"/>
  <c r="U222" i="32"/>
  <c r="I26" i="18"/>
  <c r="M3" i="8"/>
  <c r="AJ89" i="23"/>
  <c r="F64" i="32"/>
  <c r="AD72" i="23"/>
  <c r="D73" i="32"/>
  <c r="AJ21" i="23"/>
  <c r="N3" i="10"/>
  <c r="AA12" i="23"/>
  <c r="I31" i="29"/>
  <c r="L2" i="1"/>
  <c r="AJ40" i="32"/>
  <c r="U109" i="18"/>
  <c r="L70" i="23"/>
  <c r="X143" i="18"/>
  <c r="R13" i="23"/>
  <c r="I103" i="32"/>
  <c r="AG59" i="23"/>
  <c r="AD134" i="18"/>
  <c r="F100" i="18"/>
  <c r="AM84" i="18"/>
  <c r="I50" i="18"/>
  <c r="AM56" i="18"/>
  <c r="X40" i="18"/>
  <c r="AA104" i="18"/>
  <c r="D218" i="32"/>
  <c r="D120" i="32"/>
  <c r="D196" i="32"/>
  <c r="AG159" i="32"/>
  <c r="AD121" i="32"/>
  <c r="O49" i="18"/>
  <c r="F143" i="18"/>
  <c r="AD115" i="23"/>
  <c r="M7" i="10"/>
  <c r="K3" i="14"/>
  <c r="F14" i="25"/>
  <c r="I70" i="32"/>
  <c r="AG25" i="18"/>
  <c r="N7" i="27"/>
  <c r="AJ163" i="32"/>
  <c r="AG198" i="32"/>
  <c r="AD10" i="18"/>
  <c r="F7" i="15"/>
  <c r="AM75" i="18"/>
  <c r="O130" i="23"/>
  <c r="I217" i="32"/>
  <c r="AD107" i="32"/>
  <c r="O22" i="18"/>
  <c r="F59" i="23"/>
  <c r="AA142" i="18"/>
  <c r="AJ96" i="23"/>
  <c r="R17" i="23"/>
  <c r="F3" i="17"/>
  <c r="R38" i="18"/>
  <c r="AA52" i="18"/>
  <c r="L200" i="32"/>
  <c r="AG10" i="32"/>
  <c r="AA101" i="23"/>
  <c r="AA96" i="23"/>
  <c r="AM84" i="23"/>
  <c r="U201" i="29"/>
  <c r="F72" i="32"/>
  <c r="L205" i="32"/>
  <c r="D12" i="32"/>
  <c r="AD25" i="18"/>
  <c r="AG66" i="32"/>
  <c r="AD57" i="32"/>
  <c r="AG119" i="32"/>
  <c r="AA56" i="23"/>
  <c r="D78" i="32"/>
  <c r="L39" i="18"/>
  <c r="I16" i="23"/>
  <c r="M3" i="27"/>
  <c r="AA184" i="29"/>
  <c r="AG69" i="23"/>
  <c r="U107" i="23"/>
  <c r="X171" i="32"/>
  <c r="U29" i="25"/>
  <c r="U153" i="18"/>
  <c r="AA26" i="18"/>
  <c r="I99" i="23"/>
  <c r="L108" i="18"/>
  <c r="N2" i="14"/>
  <c r="O125" i="32"/>
  <c r="O7" i="16"/>
  <c r="R79" i="23"/>
  <c r="AA167" i="29"/>
  <c r="AA113" i="32"/>
  <c r="X44" i="18"/>
  <c r="L7" i="12"/>
  <c r="O83" i="32"/>
  <c r="AM93" i="23"/>
  <c r="U191" i="29"/>
  <c r="L115" i="23"/>
  <c r="I201" i="29"/>
  <c r="L8" i="23"/>
  <c r="D103" i="32"/>
  <c r="AA79" i="32"/>
  <c r="K2" i="13"/>
  <c r="AD122" i="32"/>
  <c r="AM78" i="23"/>
  <c r="AM51" i="18"/>
  <c r="F3" i="11"/>
  <c r="L120" i="32"/>
  <c r="O8" i="23"/>
  <c r="X221" i="32"/>
  <c r="Q7" i="28"/>
  <c r="AJ126" i="32"/>
  <c r="F201" i="29"/>
  <c r="AD96" i="18"/>
  <c r="O78" i="18"/>
  <c r="AJ44" i="18"/>
  <c r="O106" i="18"/>
  <c r="AM109" i="23"/>
  <c r="X88" i="23"/>
  <c r="AG40" i="18"/>
  <c r="AG136" i="18"/>
  <c r="F54" i="18"/>
  <c r="K6" i="11"/>
  <c r="AJ196" i="32"/>
  <c r="X8" i="18"/>
  <c r="F68" i="32"/>
  <c r="D111" i="32"/>
  <c r="I75" i="23"/>
  <c r="AA71" i="32"/>
  <c r="U115" i="18"/>
  <c r="X17" i="23"/>
  <c r="R67" i="32"/>
  <c r="S36" i="25"/>
  <c r="AD142" i="23"/>
  <c r="O86" i="18"/>
  <c r="AM72" i="23"/>
  <c r="F135" i="18"/>
  <c r="F138" i="29"/>
  <c r="AA106" i="32"/>
  <c r="M7" i="1"/>
  <c r="I37" i="18"/>
  <c r="AD143" i="18"/>
  <c r="I106" i="18"/>
  <c r="AA75" i="32"/>
  <c r="R97" i="23"/>
  <c r="I116" i="32"/>
  <c r="I59" i="23"/>
  <c r="I82" i="32"/>
  <c r="O48" i="23"/>
  <c r="AM107" i="18"/>
  <c r="O7" i="27"/>
  <c r="Q2" i="27"/>
  <c r="O82" i="23"/>
  <c r="U77" i="23"/>
  <c r="G6" i="17"/>
  <c r="U109" i="23"/>
  <c r="F6" i="7"/>
  <c r="AD206" i="29"/>
  <c r="I51" i="23"/>
  <c r="O119" i="18"/>
  <c r="O9" i="18"/>
  <c r="AM21" i="23"/>
  <c r="O197" i="32"/>
  <c r="O89" i="23"/>
  <c r="AD64" i="32"/>
  <c r="I47" i="23"/>
  <c r="F47" i="18"/>
  <c r="U92" i="23"/>
  <c r="K7" i="1"/>
  <c r="AM63" i="18"/>
  <c r="AA82" i="23"/>
  <c r="U31" i="29"/>
  <c r="AD29" i="29"/>
  <c r="R28" i="29"/>
  <c r="N2" i="16"/>
  <c r="U198" i="32"/>
  <c r="AD109" i="32"/>
  <c r="L3" i="1"/>
  <c r="F136" i="23"/>
  <c r="AJ222" i="32"/>
  <c r="L3" i="11"/>
  <c r="X112" i="23"/>
  <c r="R94" i="23"/>
  <c r="P7" i="1"/>
  <c r="AM129" i="18"/>
  <c r="L10" i="32"/>
  <c r="AM31" i="18"/>
  <c r="R75" i="32"/>
  <c r="M2" i="10"/>
  <c r="AD89" i="23"/>
  <c r="D180" i="29"/>
  <c r="AM135" i="23"/>
  <c r="L61" i="23"/>
  <c r="AM79" i="18"/>
  <c r="AG44" i="18"/>
  <c r="AJ94" i="23"/>
  <c r="L33" i="32"/>
  <c r="U10" i="32"/>
  <c r="I7" i="1"/>
  <c r="U10" i="18"/>
  <c r="U8" i="23"/>
  <c r="L16" i="23"/>
  <c r="AJ10" i="23"/>
  <c r="R43" i="18"/>
  <c r="AM70" i="23"/>
  <c r="L10" i="18"/>
  <c r="L187" i="29"/>
  <c r="I116" i="23"/>
  <c r="O198" i="32"/>
  <c r="O41" i="32"/>
  <c r="U30" i="25"/>
  <c r="M6" i="16"/>
  <c r="AD41" i="18"/>
  <c r="R43" i="23"/>
  <c r="U49" i="18"/>
  <c r="R89" i="18"/>
  <c r="I44" i="23"/>
  <c r="U75" i="18"/>
  <c r="AJ10" i="18"/>
  <c r="X102" i="23"/>
  <c r="L52" i="23"/>
  <c r="AA9" i="32"/>
  <c r="U160" i="32"/>
  <c r="R150" i="29"/>
  <c r="AG199" i="32"/>
  <c r="AG115" i="18"/>
  <c r="AG167" i="29"/>
  <c r="D116" i="32"/>
  <c r="O183" i="32"/>
  <c r="AG120" i="23"/>
  <c r="AA63" i="18"/>
  <c r="O65" i="32"/>
  <c r="L71" i="18"/>
  <c r="K3" i="13"/>
  <c r="AA199" i="32"/>
  <c r="AM8" i="23"/>
  <c r="AJ159" i="32"/>
  <c r="U96" i="18"/>
  <c r="O10" i="23"/>
  <c r="AA53" i="18"/>
  <c r="AD126" i="23"/>
  <c r="X136" i="23"/>
  <c r="U19" i="25"/>
  <c r="AM56" i="23"/>
  <c r="X76" i="18"/>
  <c r="G7" i="12"/>
  <c r="X74" i="32"/>
  <c r="AJ79" i="23"/>
  <c r="AD141" i="18"/>
  <c r="AG84" i="18"/>
  <c r="AJ190" i="29"/>
  <c r="L154" i="29"/>
  <c r="X11" i="32"/>
  <c r="L17" i="23"/>
  <c r="F30" i="29"/>
  <c r="X206" i="32"/>
  <c r="X61" i="29"/>
  <c r="X17" i="18"/>
  <c r="O108" i="18"/>
  <c r="F102" i="23"/>
  <c r="AD73" i="32"/>
  <c r="F41" i="32"/>
  <c r="AD105" i="18"/>
  <c r="X8" i="23"/>
  <c r="AA116" i="23"/>
  <c r="AG150" i="29"/>
  <c r="L153" i="18"/>
  <c r="R79" i="32"/>
  <c r="X105" i="32"/>
  <c r="L6" i="10"/>
  <c r="U64" i="32"/>
  <c r="K7" i="28"/>
  <c r="F3" i="15"/>
  <c r="U131" i="23"/>
  <c r="I77" i="18"/>
  <c r="L204" i="32"/>
  <c r="O109" i="18"/>
  <c r="AD132" i="18"/>
  <c r="F51" i="23"/>
  <c r="L137" i="18"/>
  <c r="U24" i="23"/>
  <c r="F105" i="32"/>
  <c r="R151" i="29"/>
  <c r="F106" i="32"/>
  <c r="AA47" i="23"/>
  <c r="I76" i="23"/>
  <c r="O138" i="18"/>
  <c r="AJ123" i="32"/>
  <c r="L76" i="32"/>
  <c r="O100" i="23"/>
  <c r="F6" i="13"/>
  <c r="F2" i="2"/>
  <c r="AA83" i="32"/>
  <c r="AJ30" i="29"/>
  <c r="AD49" i="18"/>
  <c r="U79" i="32"/>
  <c r="L115" i="32"/>
  <c r="O66" i="32"/>
  <c r="U11" i="32"/>
  <c r="AA51" i="18"/>
  <c r="G7" i="8"/>
  <c r="X114" i="32"/>
  <c r="F103" i="32"/>
  <c r="L222" i="32"/>
  <c r="AJ112" i="23"/>
  <c r="AG75" i="23"/>
  <c r="R25" i="18"/>
  <c r="R47" i="18"/>
  <c r="AG89" i="18"/>
  <c r="R136" i="23"/>
  <c r="AM62" i="18"/>
  <c r="F111" i="32"/>
  <c r="O180" i="29"/>
  <c r="X54" i="18"/>
  <c r="M3" i="14"/>
  <c r="AA87" i="18"/>
  <c r="F77" i="32"/>
  <c r="F17" i="25"/>
  <c r="AA84" i="18"/>
  <c r="F203" i="32"/>
  <c r="U76" i="23"/>
  <c r="D67" i="32"/>
  <c r="X69" i="23"/>
  <c r="K2" i="27"/>
  <c r="I161" i="32"/>
  <c r="R70" i="32"/>
  <c r="F3" i="14"/>
  <c r="X28" i="18"/>
  <c r="AG94" i="23"/>
  <c r="R22" i="18"/>
  <c r="AJ88" i="23"/>
  <c r="AG41" i="32"/>
  <c r="AD221" i="32"/>
  <c r="AG202" i="29"/>
  <c r="AG33" i="18"/>
  <c r="M7" i="17"/>
  <c r="L40" i="23"/>
  <c r="F91" i="23"/>
  <c r="L73" i="23"/>
  <c r="O2" i="14"/>
  <c r="I12" i="23"/>
  <c r="AJ52" i="23"/>
  <c r="F24" i="18"/>
  <c r="L203" i="32"/>
  <c r="D155" i="29"/>
  <c r="X99" i="18"/>
  <c r="R112" i="23"/>
  <c r="I198" i="32"/>
  <c r="D183" i="32"/>
  <c r="AG134" i="18"/>
  <c r="O7" i="28"/>
  <c r="X204" i="32"/>
  <c r="X41" i="18"/>
  <c r="AM77" i="23"/>
  <c r="L9" i="32"/>
  <c r="S30" i="25"/>
  <c r="AM96" i="23"/>
  <c r="AJ106" i="18"/>
  <c r="AG147" i="18"/>
  <c r="F109" i="32"/>
  <c r="AD30" i="29"/>
  <c r="O129" i="18"/>
  <c r="AG99" i="18"/>
  <c r="I73" i="23"/>
  <c r="AJ23" i="23"/>
  <c r="I137" i="18"/>
  <c r="AA206" i="32"/>
  <c r="AD61" i="23"/>
  <c r="K2" i="16"/>
  <c r="AD154" i="29"/>
  <c r="AM126" i="23"/>
  <c r="AJ9" i="32"/>
  <c r="I115" i="32"/>
  <c r="R136" i="18"/>
  <c r="M6" i="1"/>
  <c r="L141" i="18"/>
  <c r="AM13" i="23"/>
  <c r="AM17" i="18"/>
  <c r="D72" i="32"/>
  <c r="L6" i="15"/>
  <c r="F25" i="23"/>
  <c r="AJ120" i="18"/>
  <c r="U60" i="23"/>
  <c r="AG130" i="23"/>
  <c r="M6" i="9"/>
  <c r="AJ43" i="23"/>
  <c r="AD90" i="23"/>
  <c r="AJ27" i="18"/>
  <c r="AJ32" i="29"/>
  <c r="X56" i="23"/>
  <c r="O137" i="23"/>
  <c r="AA190" i="29"/>
  <c r="AG154" i="29"/>
  <c r="O21" i="18"/>
  <c r="AA32" i="29"/>
  <c r="I183" i="32"/>
  <c r="M18" i="25"/>
  <c r="L28" i="18"/>
  <c r="L121" i="32"/>
  <c r="AM53" i="18"/>
  <c r="X105" i="18"/>
  <c r="AG67" i="23"/>
  <c r="I169" i="32"/>
  <c r="X117" i="32"/>
  <c r="L70" i="18"/>
  <c r="M27" i="25"/>
  <c r="X141" i="18"/>
  <c r="O6" i="17"/>
  <c r="R24" i="18"/>
  <c r="R73" i="32"/>
  <c r="X163" i="32"/>
  <c r="L3" i="9"/>
  <c r="F90" i="23"/>
  <c r="L63" i="18"/>
  <c r="L44" i="18"/>
  <c r="AM119" i="23"/>
  <c r="N2" i="17"/>
  <c r="L6" i="1"/>
  <c r="AG75" i="18"/>
  <c r="O7" i="15"/>
  <c r="AJ168" i="32"/>
  <c r="U44" i="23"/>
  <c r="AG47" i="23"/>
  <c r="I38" i="18"/>
  <c r="AG79" i="23"/>
  <c r="M2" i="13"/>
  <c r="O3" i="15"/>
  <c r="O101" i="23"/>
  <c r="O39" i="29"/>
  <c r="L120" i="23"/>
  <c r="AD113" i="32"/>
  <c r="AJ84" i="32"/>
  <c r="AG169" i="32"/>
  <c r="AJ111" i="32"/>
  <c r="X87" i="18"/>
  <c r="AG51" i="18"/>
  <c r="N3" i="14"/>
  <c r="F41" i="18"/>
  <c r="AJ134" i="23"/>
  <c r="AM42" i="23"/>
  <c r="X138" i="18"/>
  <c r="U21" i="23"/>
  <c r="F49" i="23"/>
  <c r="F6" i="15"/>
  <c r="AG52" i="18"/>
  <c r="O76" i="18"/>
  <c r="AA10" i="18"/>
  <c r="D184" i="29"/>
  <c r="AA72" i="32"/>
  <c r="F139" i="18"/>
  <c r="I17" i="23"/>
  <c r="AJ81" i="18"/>
  <c r="AM58" i="18"/>
  <c r="U65" i="18"/>
  <c r="R49" i="23"/>
  <c r="U122" i="32"/>
  <c r="L157" i="29"/>
  <c r="U75" i="23"/>
  <c r="I142" i="23"/>
  <c r="R201" i="29"/>
  <c r="AM61" i="23"/>
  <c r="AG24" i="23"/>
  <c r="R188" i="29"/>
  <c r="R100" i="23"/>
  <c r="X125" i="32"/>
  <c r="O13" i="23"/>
  <c r="F56" i="23"/>
  <c r="L3" i="17"/>
  <c r="AG154" i="18"/>
  <c r="AG133" i="18"/>
  <c r="I49" i="18"/>
  <c r="AD157" i="29"/>
  <c r="AM139" i="18"/>
  <c r="L3" i="7"/>
  <c r="AG30" i="29"/>
  <c r="AA74" i="32"/>
  <c r="R91" i="23"/>
  <c r="AG100" i="18"/>
  <c r="O73" i="23"/>
  <c r="F198" i="32"/>
  <c r="L68" i="23"/>
  <c r="AA76" i="32"/>
  <c r="AA117" i="32"/>
  <c r="X107" i="18"/>
  <c r="I82" i="23"/>
  <c r="F6" i="11"/>
  <c r="X139" i="18"/>
  <c r="L53" i="18"/>
  <c r="F44" i="18"/>
  <c r="U9" i="18"/>
  <c r="I155" i="29"/>
  <c r="F31" i="29"/>
  <c r="L120" i="18"/>
  <c r="L137" i="23"/>
  <c r="I28" i="18"/>
  <c r="I70" i="23"/>
  <c r="R127" i="23"/>
  <c r="AM106" i="23"/>
  <c r="I88" i="23"/>
  <c r="R12" i="23"/>
  <c r="K28" i="25"/>
  <c r="O82" i="32"/>
  <c r="L84" i="23"/>
  <c r="I105" i="32"/>
  <c r="AJ162" i="32"/>
  <c r="R71" i="18"/>
  <c r="M2" i="2"/>
  <c r="I101" i="23"/>
  <c r="R102" i="32"/>
  <c r="J3" i="1"/>
  <c r="O54" i="18"/>
  <c r="AD72" i="18"/>
  <c r="L95" i="23"/>
  <c r="R156" i="18"/>
  <c r="F56" i="18"/>
  <c r="I8" i="18"/>
  <c r="O56" i="23"/>
  <c r="L72" i="18"/>
  <c r="AA138" i="29"/>
  <c r="R50" i="18"/>
  <c r="AA150" i="29"/>
  <c r="R71" i="23"/>
  <c r="R123" i="32"/>
  <c r="AG65" i="32"/>
  <c r="AJ184" i="29"/>
  <c r="AD102" i="23"/>
  <c r="R86" i="23"/>
  <c r="O139" i="18"/>
  <c r="F108" i="32"/>
  <c r="J7" i="28"/>
  <c r="AG108" i="18"/>
  <c r="K7" i="14"/>
  <c r="F12" i="32"/>
  <c r="R77" i="23"/>
  <c r="F158" i="29"/>
  <c r="F119" i="32"/>
  <c r="O137" i="18"/>
  <c r="AG61" i="18"/>
  <c r="AG12" i="32"/>
  <c r="AM87" i="18"/>
  <c r="U218" i="32"/>
  <c r="O24" i="18"/>
  <c r="O160" i="32"/>
  <c r="F121" i="32"/>
  <c r="N7" i="2"/>
  <c r="O57" i="32"/>
  <c r="U32" i="29"/>
  <c r="AD70" i="23"/>
  <c r="I41" i="32"/>
  <c r="O142" i="18"/>
  <c r="U82" i="18"/>
  <c r="AJ131" i="23"/>
  <c r="X57" i="32"/>
  <c r="AJ118" i="18"/>
  <c r="AD40" i="23"/>
  <c r="AA74" i="23"/>
  <c r="AG205" i="32"/>
  <c r="F41" i="23"/>
  <c r="R9" i="18"/>
  <c r="AA169" i="32"/>
  <c r="F80" i="23"/>
  <c r="K2" i="2"/>
  <c r="AG9" i="18"/>
  <c r="AD120" i="23"/>
  <c r="U140" i="18"/>
  <c r="H3" i="27"/>
  <c r="AJ64" i="18"/>
  <c r="AD75" i="32"/>
  <c r="U78" i="23"/>
  <c r="M19" i="25"/>
  <c r="G7" i="13"/>
  <c r="O7" i="9"/>
  <c r="O127" i="32"/>
  <c r="F3" i="8"/>
  <c r="AG167" i="32"/>
  <c r="U9" i="23"/>
  <c r="AA189" i="29"/>
  <c r="U40" i="32"/>
  <c r="O43" i="23"/>
  <c r="AD8" i="23"/>
  <c r="AA71" i="23"/>
  <c r="X79" i="18"/>
  <c r="O6" i="27"/>
  <c r="G6" i="2"/>
  <c r="L98" i="29"/>
  <c r="F167" i="32"/>
  <c r="R203" i="32"/>
  <c r="O207" i="32"/>
  <c r="AJ61" i="18"/>
  <c r="U99" i="18"/>
  <c r="O119" i="23"/>
  <c r="AJ164" i="32"/>
  <c r="R61" i="29"/>
  <c r="R76" i="18"/>
  <c r="L129" i="18"/>
  <c r="AM136" i="23"/>
  <c r="AG155" i="18"/>
  <c r="L7" i="28"/>
  <c r="F84" i="23"/>
  <c r="L99" i="18"/>
  <c r="AJ112" i="32"/>
  <c r="AG42" i="23"/>
  <c r="AJ89" i="18"/>
  <c r="U108" i="32"/>
  <c r="O12" i="23"/>
  <c r="AJ124" i="32"/>
  <c r="I96" i="23"/>
  <c r="I119" i="32"/>
  <c r="N6" i="13"/>
  <c r="F71" i="23"/>
  <c r="O144" i="18"/>
  <c r="AG56" i="23"/>
  <c r="I121" i="32"/>
  <c r="O50" i="23"/>
  <c r="AM26" i="18"/>
  <c r="G6" i="12"/>
  <c r="L83" i="32"/>
  <c r="O121" i="32"/>
  <c r="I65" i="32"/>
  <c r="L2" i="9"/>
  <c r="R50" i="23"/>
  <c r="U147" i="18"/>
  <c r="U99" i="23"/>
  <c r="L86" i="18"/>
  <c r="X50" i="18"/>
  <c r="F136" i="18"/>
  <c r="R27" i="18"/>
  <c r="G3" i="17"/>
  <c r="X79" i="23"/>
  <c r="AA134" i="18"/>
  <c r="AJ64" i="32"/>
  <c r="N6" i="1"/>
  <c r="R68" i="23"/>
  <c r="AG74" i="32"/>
  <c r="U81" i="18"/>
  <c r="U104" i="18"/>
  <c r="AD108" i="23"/>
  <c r="AJ55" i="18"/>
  <c r="I42" i="18"/>
  <c r="N7" i="14"/>
  <c r="AJ108" i="23"/>
  <c r="AA122" i="32"/>
  <c r="AD131" i="23"/>
  <c r="X115" i="32"/>
  <c r="X66" i="32"/>
  <c r="F83" i="32"/>
  <c r="AM75" i="23"/>
  <c r="O98" i="23"/>
  <c r="U76" i="32"/>
  <c r="AA157" i="32"/>
  <c r="AM154" i="18"/>
  <c r="O7" i="32"/>
  <c r="U113" i="32"/>
  <c r="AG153" i="18"/>
  <c r="AJ86" i="23"/>
  <c r="L80" i="32"/>
  <c r="K3" i="15"/>
  <c r="AJ42" i="18"/>
  <c r="L2" i="28"/>
  <c r="N3" i="9"/>
  <c r="U159" i="32"/>
  <c r="AJ17" i="18"/>
  <c r="AG73" i="23"/>
  <c r="U26" i="18"/>
  <c r="AG183" i="32"/>
  <c r="F32" i="32"/>
  <c r="R114" i="32"/>
  <c r="AJ107" i="23"/>
  <c r="AA41" i="32"/>
  <c r="Q3" i="28"/>
  <c r="K30" i="25"/>
  <c r="O191" i="29"/>
  <c r="AJ98" i="29"/>
  <c r="I89" i="23"/>
  <c r="R103" i="18"/>
  <c r="X7" i="32"/>
  <c r="AD40" i="32"/>
  <c r="O107" i="32"/>
  <c r="F157" i="29"/>
  <c r="N7" i="8"/>
  <c r="F9" i="18"/>
  <c r="AJ28" i="18"/>
  <c r="U206" i="29"/>
  <c r="AG77" i="18"/>
  <c r="F28" i="18"/>
  <c r="AA141" i="18"/>
  <c r="U84" i="23"/>
  <c r="L71" i="23"/>
  <c r="R45" i="23"/>
  <c r="N2" i="13"/>
  <c r="L126" i="32"/>
  <c r="AG118" i="32"/>
  <c r="U95" i="23"/>
  <c r="I106" i="32"/>
  <c r="O68" i="32"/>
  <c r="X25" i="23"/>
  <c r="D198" i="32"/>
  <c r="U66" i="32"/>
  <c r="AJ99" i="18"/>
  <c r="F83" i="23"/>
  <c r="U129" i="18"/>
  <c r="L3" i="10"/>
  <c r="X58" i="18"/>
  <c r="AG39" i="18"/>
  <c r="AJ122" i="32"/>
  <c r="I73" i="32"/>
  <c r="F71" i="32"/>
  <c r="X27" i="18"/>
  <c r="D205" i="32"/>
  <c r="O3" i="14"/>
  <c r="F119" i="23"/>
  <c r="AJ82" i="32"/>
  <c r="X68" i="32"/>
  <c r="AJ53" i="18"/>
  <c r="I7" i="32"/>
  <c r="I98" i="29"/>
  <c r="I57" i="32"/>
  <c r="S2" i="27"/>
  <c r="AD158" i="29"/>
  <c r="X22" i="18"/>
  <c r="AJ199" i="32"/>
  <c r="X134" i="18"/>
  <c r="U167" i="32"/>
  <c r="X115" i="18"/>
  <c r="O33" i="32"/>
  <c r="AA86" i="18"/>
  <c r="I31" i="18"/>
  <c r="F98" i="29"/>
  <c r="R141" i="18"/>
  <c r="R113" i="32"/>
  <c r="AG93" i="23"/>
  <c r="G2" i="7"/>
  <c r="AG222" i="32"/>
  <c r="AA96" i="18"/>
  <c r="F19" i="25"/>
  <c r="H7" i="27"/>
  <c r="L156" i="29"/>
  <c r="AM99" i="18"/>
  <c r="AM144" i="18"/>
  <c r="I99" i="18"/>
  <c r="AG101" i="23"/>
  <c r="I120" i="32"/>
  <c r="AM103" i="18"/>
  <c r="AA67" i="32"/>
  <c r="U25" i="23"/>
  <c r="U83" i="32"/>
  <c r="I120" i="18"/>
  <c r="L88" i="18"/>
  <c r="F89" i="18"/>
  <c r="U121" i="32"/>
  <c r="O2" i="10"/>
  <c r="AG130" i="18"/>
  <c r="R116" i="23"/>
  <c r="M3" i="28"/>
  <c r="G2" i="8"/>
  <c r="R66" i="32"/>
  <c r="U127" i="23"/>
  <c r="O159" i="32"/>
  <c r="X119" i="23"/>
  <c r="L24" i="18"/>
  <c r="AG44" i="23"/>
  <c r="F9" i="23"/>
  <c r="F158" i="32"/>
  <c r="O12" i="32"/>
  <c r="M6" i="27"/>
  <c r="J6" i="27"/>
  <c r="R154" i="18"/>
  <c r="AG107" i="18"/>
  <c r="D187" i="29"/>
  <c r="R125" i="32"/>
  <c r="AM69" i="23"/>
  <c r="L142" i="23"/>
  <c r="AM94" i="23"/>
  <c r="X118" i="18"/>
  <c r="AD169" i="32"/>
  <c r="AJ32" i="32"/>
  <c r="AD130" i="23"/>
  <c r="AM17" i="23"/>
  <c r="AG70" i="23"/>
  <c r="O3" i="9"/>
  <c r="AD37" i="18"/>
  <c r="X132" i="18"/>
  <c r="U28" i="18"/>
  <c r="AJ7" i="29"/>
  <c r="I170" i="32"/>
  <c r="U83" i="18"/>
  <c r="AD161" i="29"/>
  <c r="F17" i="23"/>
  <c r="F48" i="18"/>
  <c r="AA205" i="29"/>
  <c r="AJ108" i="32"/>
  <c r="D115" i="32"/>
  <c r="AA205" i="32"/>
  <c r="L6" i="2"/>
  <c r="I39" i="18"/>
  <c r="O26" i="23"/>
  <c r="AA17" i="23"/>
  <c r="X112" i="32"/>
  <c r="AJ107" i="32"/>
  <c r="L198" i="32"/>
  <c r="AD48" i="18"/>
  <c r="D151" i="29"/>
  <c r="X98" i="23"/>
  <c r="I6" i="1"/>
  <c r="AJ110" i="32"/>
  <c r="AJ136" i="23"/>
  <c r="AG203" i="32"/>
  <c r="X30" i="29"/>
  <c r="F92" i="23"/>
  <c r="F70" i="18"/>
  <c r="D69" i="32"/>
  <c r="R103" i="32"/>
  <c r="AD104" i="18"/>
  <c r="F137" i="23"/>
  <c r="U48" i="23"/>
  <c r="AA20" i="18"/>
  <c r="K18" i="25"/>
  <c r="O154" i="29"/>
  <c r="I124" i="32"/>
  <c r="AD118" i="32"/>
  <c r="L52" i="18"/>
  <c r="AG108" i="23"/>
  <c r="R222" i="32"/>
  <c r="X147" i="18"/>
  <c r="F84" i="18"/>
  <c r="L64" i="32"/>
  <c r="U71" i="32"/>
  <c r="AM79" i="23"/>
  <c r="I64" i="18"/>
  <c r="F161" i="32"/>
  <c r="AM108" i="18"/>
  <c r="AG149" i="29"/>
  <c r="X23" i="18"/>
  <c r="U137" i="23"/>
  <c r="AJ102" i="32"/>
  <c r="F155" i="29"/>
  <c r="L104" i="18"/>
  <c r="X200" i="32"/>
  <c r="I42" i="23"/>
  <c r="S28" i="25"/>
  <c r="AG168" i="32"/>
  <c r="AG119" i="18"/>
  <c r="U62" i="18"/>
  <c r="U75" i="32"/>
  <c r="F77" i="23"/>
  <c r="O3" i="11"/>
  <c r="L6" i="27"/>
  <c r="K2" i="9"/>
  <c r="AJ28" i="29"/>
  <c r="L131" i="23"/>
  <c r="U51" i="23"/>
  <c r="I112" i="32"/>
  <c r="AJ57" i="18"/>
  <c r="R33" i="18"/>
  <c r="AA161" i="32"/>
  <c r="X187" i="29"/>
  <c r="AJ49" i="23"/>
  <c r="U138" i="18"/>
  <c r="L7" i="17"/>
  <c r="AJ70" i="18"/>
  <c r="P2" i="28"/>
  <c r="AG191" i="29"/>
  <c r="U37" i="18"/>
  <c r="F26" i="18"/>
  <c r="F29" i="29"/>
  <c r="R218" i="32"/>
  <c r="O206" i="32"/>
  <c r="AG25" i="23"/>
  <c r="X137" i="18"/>
  <c r="AG43" i="18"/>
  <c r="X99" i="23"/>
  <c r="AM133" i="18"/>
  <c r="AM115" i="18"/>
  <c r="I82" i="18"/>
  <c r="L98" i="23"/>
  <c r="D125" i="32"/>
  <c r="R98" i="23"/>
  <c r="AG24" i="18"/>
  <c r="R10" i="23"/>
  <c r="AD154" i="18"/>
  <c r="AJ141" i="18"/>
  <c r="I130" i="23"/>
  <c r="U89" i="18"/>
  <c r="AD51" i="18"/>
  <c r="X174" i="32"/>
  <c r="F141" i="18"/>
  <c r="AJ206" i="29"/>
  <c r="L104" i="32"/>
  <c r="L125" i="32"/>
  <c r="AA112" i="32"/>
  <c r="F81" i="23"/>
  <c r="X156" i="29"/>
  <c r="O23" i="18"/>
  <c r="AM22" i="18"/>
  <c r="AJ47" i="23"/>
  <c r="F6" i="16"/>
  <c r="M7" i="13"/>
  <c r="AA201" i="29"/>
  <c r="O141" i="18"/>
  <c r="I168" i="32"/>
  <c r="L54" i="18"/>
  <c r="R149" i="29"/>
  <c r="L50" i="18"/>
  <c r="N3" i="17"/>
  <c r="AJ206" i="32"/>
  <c r="U174" i="32"/>
  <c r="G7" i="16"/>
  <c r="AG61" i="23"/>
  <c r="I106" i="23"/>
  <c r="AG71" i="32"/>
  <c r="AD97" i="23"/>
  <c r="U202" i="29"/>
  <c r="AG78" i="32"/>
  <c r="L6" i="12"/>
  <c r="X65" i="32"/>
  <c r="U116" i="23"/>
  <c r="R40" i="23"/>
  <c r="R135" i="18"/>
  <c r="AJ142" i="18"/>
  <c r="F127" i="32"/>
  <c r="AA80" i="23"/>
  <c r="L169" i="32"/>
  <c r="R51" i="18"/>
  <c r="X87" i="23"/>
  <c r="U61" i="23"/>
  <c r="O76" i="23"/>
  <c r="R44" i="18"/>
  <c r="R40" i="32"/>
  <c r="AJ105" i="32"/>
  <c r="O47" i="18"/>
  <c r="O51" i="18"/>
  <c r="AA119" i="18"/>
  <c r="O99" i="23"/>
  <c r="F73" i="23"/>
  <c r="AA198" i="32"/>
  <c r="AG11" i="23"/>
  <c r="O122" i="32"/>
  <c r="R77" i="32"/>
  <c r="Q7" i="27"/>
  <c r="AA104" i="32"/>
  <c r="F58" i="18"/>
  <c r="X104" i="18"/>
  <c r="I22" i="23"/>
  <c r="U57" i="32"/>
  <c r="R64" i="18"/>
  <c r="AG201" i="29"/>
  <c r="R80" i="23"/>
  <c r="N6" i="7"/>
  <c r="O170" i="32"/>
  <c r="M2" i="1"/>
  <c r="R57" i="32"/>
  <c r="R207" i="32"/>
  <c r="X84" i="18"/>
  <c r="AG58" i="18"/>
  <c r="I115" i="23"/>
  <c r="U134" i="18"/>
  <c r="L7" i="1"/>
  <c r="O123" i="32"/>
  <c r="X16" i="23"/>
  <c r="AD49" i="23"/>
  <c r="O3" i="8"/>
  <c r="AJ202" i="29"/>
  <c r="D197" i="32"/>
  <c r="AA145" i="18"/>
  <c r="L58" i="18"/>
  <c r="U154" i="18"/>
  <c r="O69" i="32"/>
  <c r="X104" i="32"/>
  <c r="F134" i="23"/>
  <c r="X47" i="23"/>
  <c r="AD10" i="32"/>
  <c r="L113" i="32"/>
  <c r="N6" i="10"/>
  <c r="X80" i="23"/>
  <c r="P7" i="28"/>
  <c r="AD204" i="32"/>
  <c r="AJ66" i="32"/>
  <c r="F105" i="23"/>
  <c r="D66" i="32"/>
  <c r="AJ135" i="18"/>
  <c r="F84" i="32"/>
  <c r="X154" i="29"/>
  <c r="O99" i="18"/>
  <c r="O132" i="18"/>
  <c r="X70" i="23"/>
  <c r="AA85" i="18"/>
  <c r="R170" i="32"/>
  <c r="F126" i="32"/>
  <c r="U86" i="18"/>
  <c r="U87" i="18"/>
  <c r="AJ134" i="18"/>
  <c r="I221" i="32"/>
  <c r="F66" i="32"/>
  <c r="I86" i="18"/>
  <c r="D77" i="32"/>
  <c r="AJ80" i="23"/>
  <c r="L66" i="32"/>
  <c r="F205" i="32"/>
  <c r="AA41" i="18"/>
  <c r="AM57" i="18"/>
  <c r="O73" i="32"/>
  <c r="AD87" i="18"/>
  <c r="AG13" i="23"/>
  <c r="AJ65" i="18"/>
  <c r="U136" i="23"/>
  <c r="AM107" i="23"/>
  <c r="AM78" i="18"/>
  <c r="K2" i="8"/>
  <c r="F11" i="23"/>
  <c r="L23" i="23"/>
  <c r="AJ69" i="23"/>
  <c r="O36" i="18"/>
  <c r="K6" i="13"/>
  <c r="F52" i="23"/>
  <c r="AD138" i="18"/>
  <c r="D112" i="32"/>
  <c r="I127" i="23"/>
  <c r="I127" i="32"/>
  <c r="AG99" i="23"/>
  <c r="AM96" i="18"/>
  <c r="AA110" i="32"/>
  <c r="O42" i="18"/>
  <c r="O79" i="23"/>
  <c r="D150" i="29"/>
  <c r="R108" i="18"/>
  <c r="D107" i="32"/>
  <c r="I197" i="32"/>
  <c r="AD138" i="29"/>
  <c r="AJ118" i="32"/>
  <c r="AG137" i="18"/>
  <c r="AI137" i="18" l="1"/>
  <c r="AL118" i="32"/>
  <c r="AF138" i="29"/>
  <c r="AD137" i="29"/>
  <c r="K197" i="32"/>
  <c r="T108" i="18"/>
  <c r="Q79" i="23"/>
  <c r="Q42" i="18"/>
  <c r="AC110" i="32"/>
  <c r="AO96" i="18"/>
  <c r="AM94" i="18"/>
  <c r="AI99" i="23"/>
  <c r="K127" i="32"/>
  <c r="K127" i="23"/>
  <c r="AF138" i="18"/>
  <c r="H52" i="23"/>
  <c r="K8" i="13"/>
  <c r="Q36" i="18"/>
  <c r="O35" i="18"/>
  <c r="AL69" i="23"/>
  <c r="N23" i="23"/>
  <c r="H11" i="23"/>
  <c r="K4" i="8"/>
  <c r="AO78" i="18"/>
  <c r="AO107" i="23"/>
  <c r="W136" i="23"/>
  <c r="AL65" i="18"/>
  <c r="AI13" i="23"/>
  <c r="AF87" i="18"/>
  <c r="Q73" i="32"/>
  <c r="AO57" i="18"/>
  <c r="AC41" i="18"/>
  <c r="H205" i="32"/>
  <c r="N66" i="32"/>
  <c r="AL80" i="23"/>
  <c r="K86" i="18"/>
  <c r="H66" i="32"/>
  <c r="K221" i="32"/>
  <c r="I220" i="32"/>
  <c r="AL134" i="18"/>
  <c r="W87" i="18"/>
  <c r="W86" i="18"/>
  <c r="H126" i="32"/>
  <c r="T170" i="32"/>
  <c r="AC85" i="18"/>
  <c r="Z70" i="23"/>
  <c r="Q132" i="18"/>
  <c r="Q99" i="18"/>
  <c r="O98" i="18"/>
  <c r="X153" i="29"/>
  <c r="Z154" i="29"/>
  <c r="H84" i="32"/>
  <c r="AL135" i="18"/>
  <c r="H105" i="23"/>
  <c r="F104" i="23"/>
  <c r="AL66" i="32"/>
  <c r="AF204" i="32"/>
  <c r="Z80" i="23"/>
  <c r="N8" i="10"/>
  <c r="N113" i="32"/>
  <c r="AF10" i="32"/>
  <c r="Z47" i="23"/>
  <c r="H134" i="23"/>
  <c r="Z104" i="32"/>
  <c r="Q69" i="32"/>
  <c r="W154" i="18"/>
  <c r="N58" i="18"/>
  <c r="AC145" i="18"/>
  <c r="AL202" i="29"/>
  <c r="AF49" i="23"/>
  <c r="X15" i="23"/>
  <c r="Z16" i="23"/>
  <c r="Q123" i="32"/>
  <c r="W134" i="18"/>
  <c r="I114" i="23"/>
  <c r="K115" i="23"/>
  <c r="AI58" i="18"/>
  <c r="Z84" i="18"/>
  <c r="T207" i="32"/>
  <c r="T57" i="32"/>
  <c r="M4" i="1"/>
  <c r="Q170" i="32"/>
  <c r="N8" i="7"/>
  <c r="T80" i="23"/>
  <c r="AG200" i="29"/>
  <c r="AI201" i="29"/>
  <c r="T64" i="18"/>
  <c r="W57" i="32"/>
  <c r="K22" i="23"/>
  <c r="Z104" i="18"/>
  <c r="H58" i="18"/>
  <c r="AC104" i="32"/>
  <c r="T77" i="32"/>
  <c r="Q122" i="32"/>
  <c r="AI11" i="23"/>
  <c r="AC198" i="32"/>
  <c r="H73" i="23"/>
  <c r="Q99" i="23"/>
  <c r="AC119" i="18"/>
  <c r="Q51" i="18"/>
  <c r="Q47" i="18"/>
  <c r="O46" i="18"/>
  <c r="AL105" i="32"/>
  <c r="R39" i="32"/>
  <c r="T40" i="32"/>
  <c r="T44" i="18"/>
  <c r="Q76" i="23"/>
  <c r="W61" i="23"/>
  <c r="Z87" i="23"/>
  <c r="T51" i="18"/>
  <c r="N169" i="32"/>
  <c r="AC80" i="23"/>
  <c r="H127" i="32"/>
  <c r="AL142" i="18"/>
  <c r="T135" i="18"/>
  <c r="R66" i="23"/>
  <c r="T40" i="23"/>
  <c r="R39" i="23"/>
  <c r="W116" i="23"/>
  <c r="Z65" i="32"/>
  <c r="L8" i="12"/>
  <c r="AI78" i="32"/>
  <c r="W202" i="29"/>
  <c r="AF97" i="23"/>
  <c r="AI71" i="32"/>
  <c r="K106" i="23"/>
  <c r="AI61" i="23"/>
  <c r="U173" i="32"/>
  <c r="W174" i="32"/>
  <c r="AL206" i="32"/>
  <c r="N50" i="18"/>
  <c r="R148" i="29"/>
  <c r="T149" i="29"/>
  <c r="N54" i="18"/>
  <c r="K168" i="32"/>
  <c r="Q141" i="18"/>
  <c r="AC201" i="29"/>
  <c r="AA200" i="29"/>
  <c r="F8" i="16"/>
  <c r="AL47" i="23"/>
  <c r="AO22" i="18"/>
  <c r="Q23" i="18"/>
  <c r="Z156" i="29"/>
  <c r="H81" i="23"/>
  <c r="AC112" i="32"/>
  <c r="N125" i="32"/>
  <c r="N104" i="32"/>
  <c r="AL206" i="29"/>
  <c r="H141" i="18"/>
  <c r="Z174" i="32"/>
  <c r="X173" i="32"/>
  <c r="AF51" i="18"/>
  <c r="W89" i="18"/>
  <c r="K130" i="23"/>
  <c r="I129" i="23"/>
  <c r="AL141" i="18"/>
  <c r="AF154" i="18"/>
  <c r="T10" i="23"/>
  <c r="AI24" i="18"/>
  <c r="T98" i="23"/>
  <c r="N98" i="23"/>
  <c r="K82" i="18"/>
  <c r="AO115" i="18"/>
  <c r="AO133" i="18"/>
  <c r="Z99" i="23"/>
  <c r="AI43" i="18"/>
  <c r="Z137" i="18"/>
  <c r="AI25" i="23"/>
  <c r="Q206" i="32"/>
  <c r="T218" i="32"/>
  <c r="H29" i="29"/>
  <c r="H26" i="18"/>
  <c r="W37" i="18"/>
  <c r="AI191" i="29"/>
  <c r="P4" i="28"/>
  <c r="AL70" i="18"/>
  <c r="W138" i="18"/>
  <c r="AL49" i="23"/>
  <c r="Z187" i="29"/>
  <c r="X186" i="29"/>
  <c r="AC161" i="32"/>
  <c r="T33" i="18"/>
  <c r="AL57" i="18"/>
  <c r="K112" i="32"/>
  <c r="W51" i="23"/>
  <c r="N131" i="23"/>
  <c r="AJ27" i="29"/>
  <c r="AL28" i="29"/>
  <c r="K4" i="9"/>
  <c r="L8" i="27"/>
  <c r="H77" i="23"/>
  <c r="W75" i="32"/>
  <c r="W62" i="18"/>
  <c r="AI119" i="18"/>
  <c r="AG117" i="18"/>
  <c r="AI168" i="32"/>
  <c r="T28" i="25"/>
  <c r="K42" i="23"/>
  <c r="Z200" i="32"/>
  <c r="N104" i="18"/>
  <c r="H155" i="29"/>
  <c r="AL102" i="32"/>
  <c r="AJ101" i="32"/>
  <c r="W137" i="23"/>
  <c r="Z23" i="18"/>
  <c r="AG148" i="29"/>
  <c r="AI149" i="29"/>
  <c r="AO108" i="18"/>
  <c r="H161" i="32"/>
  <c r="K64" i="18"/>
  <c r="AO79" i="23"/>
  <c r="W71" i="32"/>
  <c r="N64" i="32"/>
  <c r="L63" i="32"/>
  <c r="H84" i="18"/>
  <c r="Z147" i="18"/>
  <c r="T222" i="32"/>
  <c r="AI108" i="23"/>
  <c r="N52" i="18"/>
  <c r="AF118" i="32"/>
  <c r="K124" i="32"/>
  <c r="Q154" i="29"/>
  <c r="O153" i="29"/>
  <c r="AA19" i="18"/>
  <c r="AC20" i="18"/>
  <c r="W48" i="23"/>
  <c r="H137" i="23"/>
  <c r="AF104" i="18"/>
  <c r="T103" i="32"/>
  <c r="H70" i="18"/>
  <c r="H92" i="23"/>
  <c r="Z30" i="29"/>
  <c r="AI203" i="32"/>
  <c r="AG202" i="32"/>
  <c r="AL136" i="23"/>
  <c r="AL110" i="32"/>
  <c r="I8" i="1"/>
  <c r="Z98" i="23"/>
  <c r="AF48" i="18"/>
  <c r="N198" i="32"/>
  <c r="AL107" i="32"/>
  <c r="Z112" i="32"/>
  <c r="AC17" i="23"/>
  <c r="Q26" i="23"/>
  <c r="K39" i="18"/>
  <c r="L8" i="2"/>
  <c r="AC205" i="32"/>
  <c r="AL108" i="32"/>
  <c r="AA204" i="29"/>
  <c r="AC205" i="29"/>
  <c r="H48" i="18"/>
  <c r="H17" i="23"/>
  <c r="AD160" i="29"/>
  <c r="AF161" i="29"/>
  <c r="W83" i="18"/>
  <c r="K170" i="32"/>
  <c r="AJ6" i="29"/>
  <c r="AL7" i="29"/>
  <c r="W28" i="18"/>
  <c r="Z132" i="18"/>
  <c r="AF37" i="18"/>
  <c r="AI70" i="23"/>
  <c r="AO17" i="23"/>
  <c r="AF130" i="23"/>
  <c r="AD129" i="23"/>
  <c r="AL32" i="32"/>
  <c r="AJ25" i="32"/>
  <c r="AF169" i="32"/>
  <c r="Z118" i="18"/>
  <c r="X117" i="18"/>
  <c r="AO94" i="23"/>
  <c r="N142" i="23"/>
  <c r="AO69" i="23"/>
  <c r="T125" i="32"/>
  <c r="D186" i="29"/>
  <c r="AI107" i="18"/>
  <c r="T154" i="18"/>
  <c r="J8" i="27"/>
  <c r="M8" i="27"/>
  <c r="Q12" i="32"/>
  <c r="H158" i="32"/>
  <c r="H9" i="23"/>
  <c r="AI44" i="23"/>
  <c r="AL44" i="23"/>
  <c r="N24" i="18"/>
  <c r="Z119" i="23"/>
  <c r="X118" i="23"/>
  <c r="Q159" i="32"/>
  <c r="W127" i="23"/>
  <c r="T66" i="32"/>
  <c r="G4" i="8"/>
  <c r="T116" i="23"/>
  <c r="AI130" i="18"/>
  <c r="O4" i="10"/>
  <c r="W121" i="32"/>
  <c r="H89" i="18"/>
  <c r="N88" i="18"/>
  <c r="K120" i="18"/>
  <c r="W83" i="32"/>
  <c r="W25" i="23"/>
  <c r="AC67" i="32"/>
  <c r="AM102" i="18"/>
  <c r="AO103" i="18"/>
  <c r="K120" i="32"/>
  <c r="AI101" i="23"/>
  <c r="K99" i="18"/>
  <c r="I98" i="18"/>
  <c r="AO144" i="18"/>
  <c r="AO99" i="18"/>
  <c r="AM98" i="18"/>
  <c r="N156" i="29"/>
  <c r="AA94" i="18"/>
  <c r="AC96" i="18"/>
  <c r="AI222" i="32"/>
  <c r="G4" i="7"/>
  <c r="AI93" i="23"/>
  <c r="T113" i="32"/>
  <c r="T141" i="18"/>
  <c r="F97" i="29"/>
  <c r="H98" i="29"/>
  <c r="K31" i="18"/>
  <c r="I30" i="18"/>
  <c r="AC86" i="18"/>
  <c r="Q33" i="32"/>
  <c r="Z115" i="18"/>
  <c r="U166" i="32"/>
  <c r="W167" i="32"/>
  <c r="Z134" i="18"/>
  <c r="AL199" i="32"/>
  <c r="Z22" i="18"/>
  <c r="AF158" i="29"/>
  <c r="S4" i="27"/>
  <c r="K57" i="32"/>
  <c r="I97" i="29"/>
  <c r="K98" i="29"/>
  <c r="I6" i="32"/>
  <c r="J11" i="32" s="1"/>
  <c r="K7" i="32"/>
  <c r="AL53" i="18"/>
  <c r="Z68" i="32"/>
  <c r="AL82" i="32"/>
  <c r="H119" i="23"/>
  <c r="F118" i="23"/>
  <c r="Z27" i="18"/>
  <c r="H71" i="32"/>
  <c r="K73" i="32"/>
  <c r="AL122" i="32"/>
  <c r="AI39" i="18"/>
  <c r="Z58" i="18"/>
  <c r="W129" i="18"/>
  <c r="U128" i="18"/>
  <c r="H83" i="23"/>
  <c r="AJ98" i="18"/>
  <c r="AL99" i="18"/>
  <c r="W66" i="32"/>
  <c r="Z25" i="23"/>
  <c r="Q68" i="32"/>
  <c r="K106" i="32"/>
  <c r="W95" i="23"/>
  <c r="AI118" i="32"/>
  <c r="N126" i="32"/>
  <c r="N4" i="13"/>
  <c r="T45" i="23"/>
  <c r="N71" i="23"/>
  <c r="W84" i="23"/>
  <c r="AC141" i="18"/>
  <c r="H28" i="18"/>
  <c r="AI77" i="18"/>
  <c r="W206" i="29"/>
  <c r="AL28" i="18"/>
  <c r="H9" i="18"/>
  <c r="H157" i="29"/>
  <c r="Q107" i="32"/>
  <c r="AF40" i="32"/>
  <c r="AD39" i="32"/>
  <c r="Z7" i="32"/>
  <c r="X6" i="32"/>
  <c r="Y183" i="32" s="1"/>
  <c r="R102" i="18"/>
  <c r="T103" i="18"/>
  <c r="K89" i="23"/>
  <c r="AJ97" i="29"/>
  <c r="AL98" i="29"/>
  <c r="Q191" i="29"/>
  <c r="Q4" i="28"/>
  <c r="AC41" i="32"/>
  <c r="AL107" i="23"/>
  <c r="T114" i="32"/>
  <c r="H32" i="32"/>
  <c r="F25" i="32"/>
  <c r="AI183" i="32"/>
  <c r="AG182" i="32"/>
  <c r="W26" i="18"/>
  <c r="AI73" i="23"/>
  <c r="AL17" i="18"/>
  <c r="W159" i="32"/>
  <c r="L4" i="28"/>
  <c r="AL42" i="18"/>
  <c r="N80" i="32"/>
  <c r="AL86" i="23"/>
  <c r="AI153" i="18"/>
  <c r="AG152" i="18"/>
  <c r="W113" i="32"/>
  <c r="O6" i="32"/>
  <c r="P126" i="32" s="1"/>
  <c r="Q7" i="32"/>
  <c r="AO154" i="18"/>
  <c r="AC157" i="32"/>
  <c r="AA156" i="32"/>
  <c r="W76" i="32"/>
  <c r="Q98" i="23"/>
  <c r="AO75" i="23"/>
  <c r="H83" i="32"/>
  <c r="Z66" i="32"/>
  <c r="Z115" i="32"/>
  <c r="AF131" i="23"/>
  <c r="AC122" i="32"/>
  <c r="AL108" i="23"/>
  <c r="K42" i="18"/>
  <c r="AL55" i="18"/>
  <c r="AF108" i="23"/>
  <c r="W104" i="18"/>
  <c r="W81" i="18"/>
  <c r="AI74" i="32"/>
  <c r="T68" i="23"/>
  <c r="N8" i="1"/>
  <c r="AJ63" i="32"/>
  <c r="AL64" i="32"/>
  <c r="AC134" i="18"/>
  <c r="Z79" i="23"/>
  <c r="T27" i="18"/>
  <c r="H136" i="18"/>
  <c r="Z50" i="18"/>
  <c r="N86" i="18"/>
  <c r="W99" i="23"/>
  <c r="W147" i="18"/>
  <c r="T50" i="23"/>
  <c r="L4" i="9"/>
  <c r="K65" i="32"/>
  <c r="Q121" i="32"/>
  <c r="N83" i="32"/>
  <c r="G8" i="12"/>
  <c r="AO26" i="18"/>
  <c r="Q50" i="23"/>
  <c r="K121" i="32"/>
  <c r="AI56" i="23"/>
  <c r="Q144" i="18"/>
  <c r="H71" i="23"/>
  <c r="N8" i="13"/>
  <c r="K119" i="32"/>
  <c r="K96" i="23"/>
  <c r="AL124" i="32"/>
  <c r="Q12" i="23"/>
  <c r="W108" i="32"/>
  <c r="AL89" i="18"/>
  <c r="AI42" i="23"/>
  <c r="AL112" i="32"/>
  <c r="N99" i="18"/>
  <c r="L98" i="18"/>
  <c r="H84" i="23"/>
  <c r="AI155" i="18"/>
  <c r="AO136" i="23"/>
  <c r="L128" i="18"/>
  <c r="N129" i="18"/>
  <c r="T76" i="18"/>
  <c r="R60" i="29"/>
  <c r="T61" i="29"/>
  <c r="AL164" i="32"/>
  <c r="O118" i="23"/>
  <c r="Q119" i="23"/>
  <c r="W99" i="18"/>
  <c r="U98" i="18"/>
  <c r="AJ60" i="18"/>
  <c r="AL61" i="18"/>
  <c r="Q207" i="32"/>
  <c r="R202" i="32"/>
  <c r="T203" i="32"/>
  <c r="H167" i="32"/>
  <c r="F166" i="32"/>
  <c r="L97" i="29"/>
  <c r="N98" i="29"/>
  <c r="G8" i="2"/>
  <c r="O8" i="27"/>
  <c r="Z79" i="18"/>
  <c r="AC71" i="23"/>
  <c r="AD7" i="23"/>
  <c r="AF8" i="23"/>
  <c r="Q43" i="23"/>
  <c r="U39" i="32"/>
  <c r="W40" i="32"/>
  <c r="AC189" i="29"/>
  <c r="W9" i="23"/>
  <c r="AI167" i="32"/>
  <c r="AG166" i="32"/>
  <c r="Q127" i="32"/>
  <c r="W78" i="23"/>
  <c r="AF75" i="32"/>
  <c r="AL64" i="18"/>
  <c r="W140" i="18"/>
  <c r="AF120" i="23"/>
  <c r="AI9" i="18"/>
  <c r="K4" i="2"/>
  <c r="H80" i="23"/>
  <c r="AC169" i="32"/>
  <c r="T9" i="18"/>
  <c r="H41" i="23"/>
  <c r="AI205" i="32"/>
  <c r="AC74" i="23"/>
  <c r="AF40" i="23"/>
  <c r="AD39" i="23"/>
  <c r="AD66" i="23"/>
  <c r="AL118" i="18"/>
  <c r="AJ117" i="18"/>
  <c r="Z57" i="32"/>
  <c r="AL131" i="23"/>
  <c r="W82" i="18"/>
  <c r="Q142" i="18"/>
  <c r="K41" i="32"/>
  <c r="AF70" i="23"/>
  <c r="W32" i="29"/>
  <c r="Q57" i="32"/>
  <c r="H121" i="32"/>
  <c r="Q160" i="32"/>
  <c r="Q24" i="18"/>
  <c r="W218" i="32"/>
  <c r="AO87" i="18"/>
  <c r="AI12" i="32"/>
  <c r="AI61" i="18"/>
  <c r="AG60" i="18"/>
  <c r="Q137" i="18"/>
  <c r="H119" i="32"/>
  <c r="H158" i="29"/>
  <c r="T77" i="23"/>
  <c r="H12" i="32"/>
  <c r="AI108" i="18"/>
  <c r="H108" i="32"/>
  <c r="Q139" i="18"/>
  <c r="T86" i="23"/>
  <c r="AF102" i="23"/>
  <c r="AL184" i="29"/>
  <c r="AI65" i="32"/>
  <c r="T123" i="32"/>
  <c r="T71" i="23"/>
  <c r="AC150" i="29"/>
  <c r="T50" i="18"/>
  <c r="AA137" i="29"/>
  <c r="AC138" i="29"/>
  <c r="N72" i="18"/>
  <c r="Q56" i="23"/>
  <c r="K8" i="18"/>
  <c r="I7" i="18"/>
  <c r="H56" i="18"/>
  <c r="T156" i="18"/>
  <c r="N95" i="23"/>
  <c r="AF72" i="18"/>
  <c r="Q54" i="18"/>
  <c r="R101" i="32"/>
  <c r="T102" i="32"/>
  <c r="K101" i="23"/>
  <c r="M4" i="2"/>
  <c r="T71" i="18"/>
  <c r="R68" i="18"/>
  <c r="AL162" i="32"/>
  <c r="K105" i="32"/>
  <c r="N84" i="23"/>
  <c r="Q82" i="32"/>
  <c r="T12" i="23"/>
  <c r="K88" i="23"/>
  <c r="AO106" i="23"/>
  <c r="T127" i="23"/>
  <c r="K70" i="23"/>
  <c r="K28" i="18"/>
  <c r="N137" i="23"/>
  <c r="N120" i="18"/>
  <c r="H31" i="29"/>
  <c r="K155" i="29"/>
  <c r="W9" i="18"/>
  <c r="H44" i="18"/>
  <c r="N53" i="18"/>
  <c r="Z139" i="18"/>
  <c r="F8" i="11"/>
  <c r="K82" i="23"/>
  <c r="Z107" i="18"/>
  <c r="AC117" i="32"/>
  <c r="AC76" i="32"/>
  <c r="N68" i="23"/>
  <c r="H198" i="32"/>
  <c r="Q73" i="23"/>
  <c r="AI100" i="18"/>
  <c r="T91" i="23"/>
  <c r="AC74" i="32"/>
  <c r="AI30" i="29"/>
  <c r="AO139" i="18"/>
  <c r="AF157" i="29"/>
  <c r="K49" i="18"/>
  <c r="AI133" i="18"/>
  <c r="AI154" i="18"/>
  <c r="H56" i="23"/>
  <c r="Q13" i="23"/>
  <c r="Z125" i="32"/>
  <c r="T100" i="23"/>
  <c r="T188" i="29"/>
  <c r="AI24" i="23"/>
  <c r="AO61" i="23"/>
  <c r="R200" i="29"/>
  <c r="T201" i="29"/>
  <c r="K142" i="23"/>
  <c r="W75" i="23"/>
  <c r="N157" i="29"/>
  <c r="W122" i="32"/>
  <c r="T49" i="23"/>
  <c r="W65" i="18"/>
  <c r="AO58" i="18"/>
  <c r="AL81" i="18"/>
  <c r="K17" i="23"/>
  <c r="H139" i="18"/>
  <c r="AC72" i="32"/>
  <c r="AC10" i="18"/>
  <c r="Q76" i="18"/>
  <c r="AI52" i="18"/>
  <c r="F8" i="15"/>
  <c r="H49" i="23"/>
  <c r="U20" i="23"/>
  <c r="W21" i="23"/>
  <c r="Z138" i="18"/>
  <c r="AO42" i="23"/>
  <c r="AJ133" i="23"/>
  <c r="AL134" i="23"/>
  <c r="H41" i="18"/>
  <c r="AI51" i="18"/>
  <c r="Z87" i="18"/>
  <c r="AL111" i="32"/>
  <c r="AI169" i="32"/>
  <c r="AL84" i="32"/>
  <c r="AF113" i="32"/>
  <c r="N120" i="23"/>
  <c r="Q39" i="29"/>
  <c r="O38" i="29"/>
  <c r="Q101" i="23"/>
  <c r="M4" i="13"/>
  <c r="AI79" i="23"/>
  <c r="K38" i="18"/>
  <c r="AI47" i="23"/>
  <c r="W44" i="23"/>
  <c r="AL168" i="32"/>
  <c r="AG74" i="18"/>
  <c r="AI75" i="18"/>
  <c r="L8" i="1"/>
  <c r="N4" i="17"/>
  <c r="AO119" i="23"/>
  <c r="AM118" i="23"/>
  <c r="N44" i="18"/>
  <c r="N63" i="18"/>
  <c r="H90" i="23"/>
  <c r="Z163" i="32"/>
  <c r="T73" i="32"/>
  <c r="T24" i="18"/>
  <c r="O8" i="17"/>
  <c r="Z141" i="18"/>
  <c r="N70" i="18"/>
  <c r="Z117" i="32"/>
  <c r="K169" i="32"/>
  <c r="AI67" i="23"/>
  <c r="Z105" i="18"/>
  <c r="AO53" i="18"/>
  <c r="N121" i="32"/>
  <c r="N28" i="18"/>
  <c r="I182" i="32"/>
  <c r="K183" i="32"/>
  <c r="AC32" i="29"/>
  <c r="Q21" i="18"/>
  <c r="AG153" i="29"/>
  <c r="AI154" i="29"/>
  <c r="AC190" i="29"/>
  <c r="Q137" i="23"/>
  <c r="Z56" i="23"/>
  <c r="AL32" i="29"/>
  <c r="AL27" i="18"/>
  <c r="AF90" i="23"/>
  <c r="AL43" i="23"/>
  <c r="M8" i="9"/>
  <c r="AI130" i="23"/>
  <c r="AG129" i="23"/>
  <c r="W60" i="23"/>
  <c r="AL120" i="18"/>
  <c r="K25" i="23"/>
  <c r="H25" i="23"/>
  <c r="L8" i="15"/>
  <c r="AO17" i="18"/>
  <c r="AO13" i="23"/>
  <c r="N141" i="18"/>
  <c r="M8" i="1"/>
  <c r="T136" i="18"/>
  <c r="K115" i="32"/>
  <c r="AL9" i="32"/>
  <c r="AO126" i="23"/>
  <c r="AM125" i="23"/>
  <c r="AF154" i="29"/>
  <c r="AD153" i="29"/>
  <c r="K4" i="16"/>
  <c r="AF61" i="23"/>
  <c r="AC206" i="32"/>
  <c r="K137" i="18"/>
  <c r="AL23" i="23"/>
  <c r="K73" i="23"/>
  <c r="AG98" i="18"/>
  <c r="AI99" i="18"/>
  <c r="O128" i="18"/>
  <c r="Q129" i="18"/>
  <c r="AF30" i="29"/>
  <c r="H109" i="32"/>
  <c r="AI147" i="18"/>
  <c r="AL106" i="18"/>
  <c r="AO96" i="23"/>
  <c r="T30" i="25"/>
  <c r="N9" i="32"/>
  <c r="AO77" i="23"/>
  <c r="Z41" i="18"/>
  <c r="Z204" i="32"/>
  <c r="AI134" i="18"/>
  <c r="D182" i="32"/>
  <c r="K198" i="32"/>
  <c r="T112" i="23"/>
  <c r="R111" i="23"/>
  <c r="Z99" i="18"/>
  <c r="X98" i="18"/>
  <c r="N203" i="32"/>
  <c r="L202" i="32"/>
  <c r="H24" i="18"/>
  <c r="AL52" i="23"/>
  <c r="K12" i="23"/>
  <c r="O4" i="14"/>
  <c r="N73" i="23"/>
  <c r="H91" i="23"/>
  <c r="L66" i="23"/>
  <c r="L39" i="23"/>
  <c r="N40" i="23"/>
  <c r="AI33" i="18"/>
  <c r="AI202" i="29"/>
  <c r="AF221" i="32"/>
  <c r="AD220" i="32"/>
  <c r="AI41" i="32"/>
  <c r="AL88" i="23"/>
  <c r="T22" i="18"/>
  <c r="AI94" i="23"/>
  <c r="Z28" i="18"/>
  <c r="T70" i="32"/>
  <c r="K161" i="32"/>
  <c r="K4" i="27"/>
  <c r="Z69" i="23"/>
  <c r="W76" i="23"/>
  <c r="H203" i="32"/>
  <c r="F202" i="32"/>
  <c r="AC84" i="18"/>
  <c r="E11" i="31"/>
  <c r="H77" i="32"/>
  <c r="AC87" i="18"/>
  <c r="Z54" i="18"/>
  <c r="Q180" i="29"/>
  <c r="O179" i="29"/>
  <c r="H111" i="32"/>
  <c r="AO62" i="18"/>
  <c r="T136" i="23"/>
  <c r="AI89" i="18"/>
  <c r="R46" i="18"/>
  <c r="T47" i="18"/>
  <c r="T25" i="18"/>
  <c r="AI75" i="23"/>
  <c r="AL112" i="23"/>
  <c r="AJ111" i="23"/>
  <c r="N222" i="32"/>
  <c r="H103" i="32"/>
  <c r="Z114" i="32"/>
  <c r="AC51" i="18"/>
  <c r="W11" i="32"/>
  <c r="Q66" i="32"/>
  <c r="N115" i="32"/>
  <c r="W79" i="32"/>
  <c r="AF49" i="18"/>
  <c r="AL30" i="29"/>
  <c r="AC83" i="32"/>
  <c r="F4" i="2"/>
  <c r="F8" i="13"/>
  <c r="Q100" i="23"/>
  <c r="N76" i="32"/>
  <c r="AL123" i="32"/>
  <c r="Q138" i="18"/>
  <c r="K76" i="23"/>
  <c r="AC47" i="23"/>
  <c r="H106" i="32"/>
  <c r="T151" i="29"/>
  <c r="H105" i="32"/>
  <c r="W24" i="23"/>
  <c r="N137" i="18"/>
  <c r="H51" i="23"/>
  <c r="AF132" i="18"/>
  <c r="Q109" i="18"/>
  <c r="N204" i="32"/>
  <c r="K77" i="18"/>
  <c r="W131" i="23"/>
  <c r="U63" i="32"/>
  <c r="W64" i="32"/>
  <c r="L8" i="10"/>
  <c r="Z105" i="32"/>
  <c r="T79" i="32"/>
  <c r="L152" i="18"/>
  <c r="N153" i="18"/>
  <c r="AI150" i="29"/>
  <c r="AC116" i="23"/>
  <c r="X7" i="23"/>
  <c r="Z8" i="23"/>
  <c r="AF105" i="18"/>
  <c r="H41" i="32"/>
  <c r="AF73" i="32"/>
  <c r="H102" i="23"/>
  <c r="Q108" i="18"/>
  <c r="Z17" i="18"/>
  <c r="Z61" i="29"/>
  <c r="X60" i="29"/>
  <c r="Z206" i="32"/>
  <c r="H30" i="29"/>
  <c r="N17" i="23"/>
  <c r="Z11" i="32"/>
  <c r="N154" i="29"/>
  <c r="L153" i="29"/>
  <c r="AL190" i="29"/>
  <c r="AI84" i="18"/>
  <c r="AF141" i="18"/>
  <c r="AL79" i="23"/>
  <c r="Z74" i="32"/>
  <c r="Z76" i="18"/>
  <c r="AO56" i="23"/>
  <c r="U18" i="25"/>
  <c r="E13" i="31" s="1"/>
  <c r="V19" i="25"/>
  <c r="Z136" i="23"/>
  <c r="AF126" i="23"/>
  <c r="AD125" i="23"/>
  <c r="AC53" i="18"/>
  <c r="Q10" i="23"/>
  <c r="U94" i="18"/>
  <c r="W96" i="18"/>
  <c r="AL159" i="32"/>
  <c r="AM7" i="23"/>
  <c r="AO8" i="23"/>
  <c r="AC199" i="32"/>
  <c r="N71" i="18"/>
  <c r="L68" i="18"/>
  <c r="Q65" i="32"/>
  <c r="AC63" i="18"/>
  <c r="AI120" i="23"/>
  <c r="O182" i="32"/>
  <c r="Q183" i="32"/>
  <c r="AI167" i="29"/>
  <c r="AG166" i="29"/>
  <c r="AI115" i="18"/>
  <c r="AI199" i="32"/>
  <c r="T150" i="29"/>
  <c r="W160" i="32"/>
  <c r="AC9" i="32"/>
  <c r="N52" i="23"/>
  <c r="Z102" i="23"/>
  <c r="AL10" i="18"/>
  <c r="U74" i="18"/>
  <c r="W75" i="18"/>
  <c r="K44" i="23"/>
  <c r="T89" i="18"/>
  <c r="W49" i="18"/>
  <c r="T43" i="23"/>
  <c r="AF41" i="18"/>
  <c r="M8" i="16"/>
  <c r="V30" i="25"/>
  <c r="T41" i="32"/>
  <c r="Q41" i="32"/>
  <c r="Q198" i="32"/>
  <c r="K116" i="23"/>
  <c r="L186" i="29"/>
  <c r="N187" i="29"/>
  <c r="N10" i="18"/>
  <c r="AO70" i="23"/>
  <c r="T43" i="18"/>
  <c r="AL10" i="23"/>
  <c r="N16" i="23"/>
  <c r="L15" i="23"/>
  <c r="U7" i="23"/>
  <c r="W8" i="23"/>
  <c r="W10" i="18"/>
  <c r="W10" i="32"/>
  <c r="N33" i="32"/>
  <c r="AL94" i="23"/>
  <c r="AI44" i="18"/>
  <c r="AO79" i="18"/>
  <c r="N61" i="23"/>
  <c r="AO135" i="23"/>
  <c r="D179" i="29"/>
  <c r="AF89" i="23"/>
  <c r="M4" i="10"/>
  <c r="T75" i="32"/>
  <c r="AM30" i="18"/>
  <c r="AO31" i="18"/>
  <c r="N10" i="32"/>
  <c r="AO129" i="18"/>
  <c r="AM128" i="18"/>
  <c r="T94" i="23"/>
  <c r="Z112" i="23"/>
  <c r="X111" i="23"/>
  <c r="AL222" i="32"/>
  <c r="H136" i="23"/>
  <c r="AF109" i="32"/>
  <c r="W198" i="32"/>
  <c r="N4" i="16"/>
  <c r="R27" i="29"/>
  <c r="T28" i="29"/>
  <c r="AF29" i="29"/>
  <c r="W31" i="29"/>
  <c r="AC82" i="23"/>
  <c r="AO63" i="18"/>
  <c r="W92" i="23"/>
  <c r="H47" i="18"/>
  <c r="F46" i="18"/>
  <c r="K47" i="23"/>
  <c r="AD63" i="32"/>
  <c r="AF64" i="32"/>
  <c r="Q89" i="23"/>
  <c r="Q197" i="32"/>
  <c r="AM20" i="23"/>
  <c r="AO21" i="23"/>
  <c r="Q9" i="18"/>
  <c r="Q119" i="18"/>
  <c r="K51" i="23"/>
  <c r="AF206" i="29"/>
  <c r="F8" i="7"/>
  <c r="W109" i="23"/>
  <c r="G8" i="17"/>
  <c r="W77" i="23"/>
  <c r="Q82" i="23"/>
  <c r="Q4" i="27"/>
  <c r="AO107" i="18"/>
  <c r="Q48" i="23"/>
  <c r="K82" i="32"/>
  <c r="I58" i="23"/>
  <c r="K59" i="23"/>
  <c r="K116" i="32"/>
  <c r="T97" i="23"/>
  <c r="AC75" i="32"/>
  <c r="K106" i="18"/>
  <c r="AF143" i="18"/>
  <c r="K37" i="18"/>
  <c r="AC106" i="32"/>
  <c r="H138" i="29"/>
  <c r="F137" i="29"/>
  <c r="H135" i="18"/>
  <c r="AO72" i="23"/>
  <c r="Q86" i="18"/>
  <c r="AF142" i="23"/>
  <c r="T36" i="25"/>
  <c r="T67" i="32"/>
  <c r="Z17" i="23"/>
  <c r="W115" i="18"/>
  <c r="AC71" i="32"/>
  <c r="K75" i="23"/>
  <c r="H68" i="32"/>
  <c r="Z8" i="18"/>
  <c r="X7" i="18"/>
  <c r="AL196" i="32"/>
  <c r="AJ195" i="32"/>
  <c r="K8" i="11"/>
  <c r="H54" i="18"/>
  <c r="AI136" i="18"/>
  <c r="AI40" i="18"/>
  <c r="Z88" i="23"/>
  <c r="AO109" i="23"/>
  <c r="Q106" i="18"/>
  <c r="AL44" i="18"/>
  <c r="Q78" i="18"/>
  <c r="AF96" i="18"/>
  <c r="AD94" i="18"/>
  <c r="H201" i="29"/>
  <c r="F200" i="29"/>
  <c r="AL126" i="32"/>
  <c r="Z221" i="32"/>
  <c r="X220" i="32"/>
  <c r="O7" i="23"/>
  <c r="Q8" i="23"/>
  <c r="N120" i="32"/>
  <c r="AO51" i="18"/>
  <c r="AO78" i="23"/>
  <c r="AF122" i="32"/>
  <c r="K4" i="13"/>
  <c r="K10" i="13" s="1"/>
  <c r="AC79" i="32"/>
  <c r="L7" i="23"/>
  <c r="N8" i="23"/>
  <c r="I200" i="29"/>
  <c r="K201" i="29"/>
  <c r="N115" i="23"/>
  <c r="L114" i="23"/>
  <c r="W191" i="29"/>
  <c r="AO93" i="23"/>
  <c r="Q83" i="32"/>
  <c r="Z44" i="18"/>
  <c r="AC113" i="32"/>
  <c r="AC167" i="29"/>
  <c r="AA166" i="29"/>
  <c r="T79" i="23"/>
  <c r="Q125" i="32"/>
  <c r="N4" i="14"/>
  <c r="N108" i="18"/>
  <c r="K99" i="23"/>
  <c r="AC26" i="18"/>
  <c r="W153" i="18"/>
  <c r="U152" i="18"/>
  <c r="V29" i="25"/>
  <c r="Z171" i="32"/>
  <c r="W107" i="23"/>
  <c r="AI69" i="23"/>
  <c r="AC184" i="29"/>
  <c r="K16" i="23"/>
  <c r="I15" i="23"/>
  <c r="N39" i="18"/>
  <c r="AC56" i="23"/>
  <c r="AI119" i="32"/>
  <c r="AF57" i="32"/>
  <c r="AI66" i="32"/>
  <c r="AF25" i="18"/>
  <c r="N205" i="32"/>
  <c r="H72" i="32"/>
  <c r="U200" i="29"/>
  <c r="W201" i="29"/>
  <c r="AO84" i="23"/>
  <c r="AC96" i="23"/>
  <c r="AC101" i="23"/>
  <c r="AI10" i="32"/>
  <c r="N200" i="32"/>
  <c r="AC52" i="18"/>
  <c r="T38" i="18"/>
  <c r="T17" i="23"/>
  <c r="AL96" i="23"/>
  <c r="AC142" i="18"/>
  <c r="F58" i="23"/>
  <c r="H59" i="23"/>
  <c r="Q22" i="18"/>
  <c r="AF107" i="32"/>
  <c r="K217" i="32"/>
  <c r="I216" i="32"/>
  <c r="Q130" i="23"/>
  <c r="O129" i="23"/>
  <c r="AO75" i="18"/>
  <c r="AM74" i="18"/>
  <c r="AF10" i="18"/>
  <c r="AI198" i="32"/>
  <c r="AL163" i="32"/>
  <c r="AI25" i="18"/>
  <c r="K70" i="32"/>
  <c r="F22" i="25"/>
  <c r="AD114" i="23"/>
  <c r="AF115" i="23"/>
  <c r="H143" i="18"/>
  <c r="Q49" i="18"/>
  <c r="AF121" i="32"/>
  <c r="AI159" i="32"/>
  <c r="D195" i="32"/>
  <c r="AC104" i="18"/>
  <c r="Z40" i="18"/>
  <c r="AO56" i="18"/>
  <c r="K50" i="18"/>
  <c r="AO84" i="18"/>
  <c r="H100" i="18"/>
  <c r="AF134" i="18"/>
  <c r="AG58" i="23"/>
  <c r="AI59" i="23"/>
  <c r="K103" i="32"/>
  <c r="T13" i="23"/>
  <c r="Z143" i="18"/>
  <c r="N70" i="23"/>
  <c r="W109" i="18"/>
  <c r="AL40" i="32"/>
  <c r="AJ39" i="32"/>
  <c r="L4" i="1"/>
  <c r="K31" i="29"/>
  <c r="AC12" i="23"/>
  <c r="AJ20" i="23"/>
  <c r="AL21" i="23"/>
  <c r="AF72" i="23"/>
  <c r="H64" i="32"/>
  <c r="F63" i="32"/>
  <c r="AL89" i="23"/>
  <c r="K26" i="18"/>
  <c r="W222" i="32"/>
  <c r="I173" i="32"/>
  <c r="K174" i="32"/>
  <c r="AL57" i="32"/>
  <c r="AC82" i="18"/>
  <c r="Q38" i="18"/>
  <c r="W115" i="23"/>
  <c r="U114" i="23"/>
  <c r="AO37" i="18"/>
  <c r="AO82" i="18"/>
  <c r="AL191" i="29"/>
  <c r="W57" i="18"/>
  <c r="AF87" i="23"/>
  <c r="W205" i="32"/>
  <c r="AF82" i="23"/>
  <c r="AF106" i="32"/>
  <c r="U6" i="32"/>
  <c r="V124" i="32" s="1"/>
  <c r="W7" i="32"/>
  <c r="W71" i="23"/>
  <c r="W79" i="23"/>
  <c r="W72" i="32"/>
  <c r="AI37" i="18"/>
  <c r="H65" i="32"/>
  <c r="Z136" i="18"/>
  <c r="AF112" i="32"/>
  <c r="AL39" i="29"/>
  <c r="AJ38" i="29"/>
  <c r="K61" i="29"/>
  <c r="I60" i="29"/>
  <c r="AF168" i="29"/>
  <c r="AC118" i="18"/>
  <c r="AA117" i="18"/>
  <c r="N13" i="23"/>
  <c r="Q61" i="29"/>
  <c r="O60" i="29"/>
  <c r="Q109" i="32"/>
  <c r="P109" i="32"/>
  <c r="K76" i="18"/>
  <c r="AI52" i="23"/>
  <c r="Q40" i="18"/>
  <c r="W10" i="23"/>
  <c r="AI105" i="32"/>
  <c r="AF17" i="23"/>
  <c r="Q204" i="32"/>
  <c r="P204" i="32"/>
  <c r="Z169" i="32"/>
  <c r="AC84" i="32"/>
  <c r="H21" i="23"/>
  <c r="F20" i="23"/>
  <c r="K84" i="23"/>
  <c r="AL22" i="18"/>
  <c r="AO89" i="18"/>
  <c r="T85" i="18"/>
  <c r="W156" i="18"/>
  <c r="X58" i="23"/>
  <c r="Z59" i="23"/>
  <c r="AL22" i="23"/>
  <c r="Z78" i="32"/>
  <c r="AL121" i="32"/>
  <c r="H130" i="18"/>
  <c r="AI78" i="23"/>
  <c r="AI103" i="18"/>
  <c r="AG102" i="18"/>
  <c r="F8" i="14"/>
  <c r="Q80" i="18"/>
  <c r="K204" i="32"/>
  <c r="Z158" i="29"/>
  <c r="I4" i="27"/>
  <c r="N126" i="23"/>
  <c r="L125" i="23"/>
  <c r="N45" i="23"/>
  <c r="W170" i="32"/>
  <c r="AL103" i="32"/>
  <c r="AF91" i="23"/>
  <c r="X27" i="29"/>
  <c r="Z28" i="29"/>
  <c r="K10" i="18"/>
  <c r="H40" i="18"/>
  <c r="AC136" i="23"/>
  <c r="Z70" i="32"/>
  <c r="N149" i="29"/>
  <c r="L148" i="29"/>
  <c r="AL75" i="32"/>
  <c r="AL93" i="23"/>
  <c r="K140" i="18"/>
  <c r="AL48" i="18"/>
  <c r="AI68" i="23"/>
  <c r="AC32" i="32"/>
  <c r="AA25" i="32"/>
  <c r="H112" i="32"/>
  <c r="Q126" i="32"/>
  <c r="AC170" i="32"/>
  <c r="H118" i="32"/>
  <c r="AC46" i="23"/>
  <c r="AC154" i="29"/>
  <c r="AA153" i="29"/>
  <c r="AL21" i="18"/>
  <c r="H78" i="18"/>
  <c r="M8" i="28"/>
  <c r="T105" i="32"/>
  <c r="Z57" i="18"/>
  <c r="AL80" i="32"/>
  <c r="AL155" i="18"/>
  <c r="AF197" i="32"/>
  <c r="H10" i="18"/>
  <c r="AA166" i="32"/>
  <c r="AC167" i="32"/>
  <c r="W189" i="29"/>
  <c r="K87" i="18"/>
  <c r="H87" i="18"/>
  <c r="N11" i="32"/>
  <c r="K70" i="18"/>
  <c r="Z80" i="32"/>
  <c r="AC123" i="32"/>
  <c r="W16" i="23"/>
  <c r="U15" i="23"/>
  <c r="Z170" i="32"/>
  <c r="AI27" i="18"/>
  <c r="AF17" i="18"/>
  <c r="AF145" i="18"/>
  <c r="W105" i="18"/>
  <c r="Q117" i="32"/>
  <c r="AC75" i="23"/>
  <c r="T206" i="29"/>
  <c r="Q32" i="29"/>
  <c r="K136" i="18"/>
  <c r="H21" i="18"/>
  <c r="AC105" i="18"/>
  <c r="AA114" i="23"/>
  <c r="AC115" i="23"/>
  <c r="AO131" i="23"/>
  <c r="K75" i="18"/>
  <c r="I74" i="18"/>
  <c r="Z75" i="23"/>
  <c r="N107" i="23"/>
  <c r="AL99" i="23"/>
  <c r="L4" i="17"/>
  <c r="H200" i="32"/>
  <c r="N42" i="18"/>
  <c r="AC94" i="23"/>
  <c r="N84" i="32"/>
  <c r="AG38" i="29"/>
  <c r="AI39" i="29"/>
  <c r="AC61" i="18"/>
  <c r="AA60" i="18"/>
  <c r="K129" i="18"/>
  <c r="I128" i="18"/>
  <c r="H171" i="32"/>
  <c r="H85" i="23"/>
  <c r="AC202" i="29"/>
  <c r="H76" i="23"/>
  <c r="AC23" i="18"/>
  <c r="W17" i="23"/>
  <c r="AO24" i="23"/>
  <c r="F4" i="7"/>
  <c r="AF63" i="18"/>
  <c r="H145" i="18"/>
  <c r="H106" i="18"/>
  <c r="I111" i="23"/>
  <c r="K112" i="23"/>
  <c r="U117" i="18"/>
  <c r="W118" i="18"/>
  <c r="K24" i="23"/>
  <c r="T51" i="23"/>
  <c r="N8" i="2"/>
  <c r="R4" i="27"/>
  <c r="T205" i="32"/>
  <c r="L39" i="32"/>
  <c r="N40" i="32"/>
  <c r="K143" i="18"/>
  <c r="W120" i="23"/>
  <c r="K43" i="18"/>
  <c r="U66" i="23"/>
  <c r="W67" i="23"/>
  <c r="N39" i="29"/>
  <c r="L38" i="29"/>
  <c r="AG204" i="29"/>
  <c r="AI205" i="29"/>
  <c r="AI76" i="23"/>
  <c r="N73" i="32"/>
  <c r="AF189" i="29"/>
  <c r="AC7" i="32"/>
  <c r="AA6" i="32"/>
  <c r="AO80" i="23"/>
  <c r="F4" i="8"/>
  <c r="AO25" i="23"/>
  <c r="AL106" i="23"/>
  <c r="Z158" i="32"/>
  <c r="AL95" i="23"/>
  <c r="AC80" i="18"/>
  <c r="AI138" i="18"/>
  <c r="AA38" i="29"/>
  <c r="AC39" i="29"/>
  <c r="N119" i="18"/>
  <c r="K90" i="23"/>
  <c r="AL158" i="32"/>
  <c r="N51" i="18"/>
  <c r="Q107" i="18"/>
  <c r="AI109" i="18"/>
  <c r="AI87" i="23"/>
  <c r="Z120" i="23"/>
  <c r="N8" i="27"/>
  <c r="T143" i="18"/>
  <c r="Q134" i="23"/>
  <c r="AO11" i="23"/>
  <c r="H79" i="32"/>
  <c r="T39" i="29"/>
  <c r="R38" i="29"/>
  <c r="Q118" i="32"/>
  <c r="T63" i="18"/>
  <c r="AG128" i="18"/>
  <c r="AI129" i="18"/>
  <c r="AC88" i="23"/>
  <c r="W63" i="18"/>
  <c r="AO142" i="18"/>
  <c r="Z32" i="29"/>
  <c r="N87" i="23"/>
  <c r="J4" i="27"/>
  <c r="AC108" i="18"/>
  <c r="AF159" i="32"/>
  <c r="T48" i="23"/>
  <c r="T24" i="23"/>
  <c r="AF153" i="18"/>
  <c r="AD152" i="18"/>
  <c r="W127" i="32"/>
  <c r="Z120" i="18"/>
  <c r="F111" i="23"/>
  <c r="H112" i="23"/>
  <c r="T42" i="18"/>
  <c r="W73" i="32"/>
  <c r="T10" i="32"/>
  <c r="R7" i="23"/>
  <c r="T8" i="23"/>
  <c r="M8" i="12"/>
  <c r="Q30" i="29"/>
  <c r="AI82" i="32"/>
  <c r="AF77" i="18"/>
  <c r="T124" i="32"/>
  <c r="K4" i="12"/>
  <c r="Z9" i="18"/>
  <c r="Q164" i="32"/>
  <c r="P164" i="32"/>
  <c r="T32" i="29"/>
  <c r="T138" i="29"/>
  <c r="R137" i="29"/>
  <c r="AL16" i="23"/>
  <c r="AJ15" i="23"/>
  <c r="AI28" i="29"/>
  <c r="AG27" i="29"/>
  <c r="AL120" i="23"/>
  <c r="AC163" i="32"/>
  <c r="N56" i="23"/>
  <c r="Z95" i="23"/>
  <c r="AI142" i="18"/>
  <c r="T184" i="29"/>
  <c r="Z78" i="23"/>
  <c r="T11" i="23"/>
  <c r="G4" i="13"/>
  <c r="W40" i="18"/>
  <c r="AL9" i="18"/>
  <c r="AL83" i="32"/>
  <c r="T76" i="32"/>
  <c r="N76" i="18"/>
  <c r="Z157" i="29"/>
  <c r="AC98" i="23"/>
  <c r="D25" i="32"/>
  <c r="K95" i="23"/>
  <c r="AF81" i="18"/>
  <c r="L8" i="8"/>
  <c r="Q108" i="23"/>
  <c r="Q96" i="23"/>
  <c r="AL77" i="23"/>
  <c r="AD128" i="18"/>
  <c r="AF129" i="18"/>
  <c r="W9" i="32"/>
  <c r="AO20" i="18"/>
  <c r="AM19" i="18"/>
  <c r="AO23" i="23"/>
  <c r="AF80" i="18"/>
  <c r="AL31" i="29"/>
  <c r="AC7" i="29"/>
  <c r="AA6" i="29"/>
  <c r="AL169" i="32"/>
  <c r="AO109" i="18"/>
  <c r="O6" i="29"/>
  <c r="P206" i="29" s="1"/>
  <c r="Q7" i="29"/>
  <c r="AO52" i="18"/>
  <c r="G8" i="16"/>
  <c r="AC72" i="18"/>
  <c r="H43" i="18"/>
  <c r="H189" i="29"/>
  <c r="K144" i="18"/>
  <c r="AF22" i="23"/>
  <c r="G4" i="16"/>
  <c r="K202" i="29"/>
  <c r="W61" i="18"/>
  <c r="U60" i="18"/>
  <c r="AF115" i="18"/>
  <c r="AF8" i="18"/>
  <c r="AD7" i="18"/>
  <c r="AL204" i="32"/>
  <c r="Z189" i="29"/>
  <c r="K126" i="32"/>
  <c r="N38" i="18"/>
  <c r="I153" i="29"/>
  <c r="K154" i="29"/>
  <c r="V26" i="25"/>
  <c r="AF114" i="32"/>
  <c r="AF73" i="23"/>
  <c r="Q48" i="18"/>
  <c r="AI29" i="29"/>
  <c r="T79" i="18"/>
  <c r="N4" i="12"/>
  <c r="AI142" i="23"/>
  <c r="AC138" i="18"/>
  <c r="T164" i="32"/>
  <c r="N36" i="18"/>
  <c r="L35" i="18"/>
  <c r="T9" i="32"/>
  <c r="AC164" i="32"/>
  <c r="T21" i="23"/>
  <c r="R20" i="23"/>
  <c r="W65" i="32"/>
  <c r="AF86" i="18"/>
  <c r="L4" i="16"/>
  <c r="AO23" i="18"/>
  <c r="AO85" i="18"/>
  <c r="H45" i="23"/>
  <c r="T78" i="32"/>
  <c r="AF54" i="18"/>
  <c r="W11" i="23"/>
  <c r="AC37" i="18"/>
  <c r="AI95" i="23"/>
  <c r="H68" i="23"/>
  <c r="O4" i="17"/>
  <c r="Z131" i="18"/>
  <c r="AI174" i="32"/>
  <c r="AG173" i="32"/>
  <c r="K161" i="29"/>
  <c r="I160" i="29"/>
  <c r="Z49" i="23"/>
  <c r="Z77" i="23"/>
  <c r="W110" i="32"/>
  <c r="K85" i="23"/>
  <c r="AO52" i="23"/>
  <c r="Q189" i="29"/>
  <c r="AC143" i="18"/>
  <c r="AL26" i="23"/>
  <c r="AI86" i="23"/>
  <c r="R25" i="32"/>
  <c r="T32" i="32"/>
  <c r="Z65" i="18"/>
  <c r="H8" i="28"/>
  <c r="T106" i="23"/>
  <c r="W155" i="29"/>
  <c r="K12" i="32"/>
  <c r="H46" i="23"/>
  <c r="AF60" i="23"/>
  <c r="M31" i="25"/>
  <c r="T88" i="23"/>
  <c r="AL108" i="18"/>
  <c r="AC136" i="18"/>
  <c r="I7" i="23"/>
  <c r="K8" i="23"/>
  <c r="W163" i="32"/>
  <c r="AF100" i="18"/>
  <c r="W25" i="18"/>
  <c r="Q167" i="32"/>
  <c r="O166" i="32"/>
  <c r="P167" i="32"/>
  <c r="AF123" i="32"/>
  <c r="AC120" i="23"/>
  <c r="AC79" i="23"/>
  <c r="W100" i="18"/>
  <c r="AC155" i="18"/>
  <c r="N134" i="18"/>
  <c r="AF203" i="32"/>
  <c r="AD202" i="32"/>
  <c r="AI77" i="23"/>
  <c r="H105" i="18"/>
  <c r="Q87" i="18"/>
  <c r="N170" i="32"/>
  <c r="AD104" i="23"/>
  <c r="AF105" i="23"/>
  <c r="AI28" i="18"/>
  <c r="AM117" i="18"/>
  <c r="AO118" i="18"/>
  <c r="Z47" i="18"/>
  <c r="X46" i="18"/>
  <c r="F15" i="23"/>
  <c r="H16" i="23"/>
  <c r="H37" i="18"/>
  <c r="AF74" i="23"/>
  <c r="Q70" i="23"/>
  <c r="G8" i="8"/>
  <c r="AL203" i="32"/>
  <c r="AJ202" i="32"/>
  <c r="AF9" i="23"/>
  <c r="K67" i="32"/>
  <c r="AC197" i="32"/>
  <c r="Z38" i="18"/>
  <c r="K8" i="2"/>
  <c r="Q168" i="32"/>
  <c r="H133" i="18"/>
  <c r="H162" i="32"/>
  <c r="AO83" i="23"/>
  <c r="Z120" i="32"/>
  <c r="AI36" i="18"/>
  <c r="AG35" i="18"/>
  <c r="Q41" i="18"/>
  <c r="Q81" i="18"/>
  <c r="T65" i="18"/>
  <c r="K136" i="23"/>
  <c r="AL68" i="23"/>
  <c r="T87" i="18"/>
  <c r="Z73" i="32"/>
  <c r="K109" i="18"/>
  <c r="AL17" i="23"/>
  <c r="AO136" i="18"/>
  <c r="AC81" i="32"/>
  <c r="AC43" i="23"/>
  <c r="AL62" i="18"/>
  <c r="K87" i="23"/>
  <c r="AF170" i="32"/>
  <c r="Z39" i="18"/>
  <c r="D38" i="29"/>
  <c r="K159" i="32"/>
  <c r="N43" i="23"/>
  <c r="N78" i="18"/>
  <c r="Z135" i="23"/>
  <c r="X133" i="23"/>
  <c r="AI26" i="18"/>
  <c r="AO95" i="23"/>
  <c r="G8" i="10"/>
  <c r="X128" i="18"/>
  <c r="Z129" i="18"/>
  <c r="K77" i="23"/>
  <c r="AI9" i="32"/>
  <c r="D39" i="32"/>
  <c r="K113" i="32"/>
  <c r="L4" i="27"/>
  <c r="W203" i="32"/>
  <c r="U202" i="32"/>
  <c r="K89" i="18"/>
  <c r="Q222" i="32"/>
  <c r="P222" i="32"/>
  <c r="O125" i="23"/>
  <c r="Q126" i="23"/>
  <c r="AL74" i="23"/>
  <c r="W41" i="32"/>
  <c r="Z10" i="18"/>
  <c r="AL83" i="23"/>
  <c r="Q87" i="23"/>
  <c r="K190" i="29"/>
  <c r="H104" i="18"/>
  <c r="T83" i="23"/>
  <c r="AC125" i="32"/>
  <c r="N4" i="27"/>
  <c r="Z24" i="23"/>
  <c r="L4" i="15"/>
  <c r="H137" i="18"/>
  <c r="V28" i="25"/>
  <c r="O4" i="9"/>
  <c r="Z88" i="18"/>
  <c r="AC90" i="23"/>
  <c r="N188" i="29"/>
  <c r="AC200" i="32"/>
  <c r="Z83" i="32"/>
  <c r="Z151" i="29"/>
  <c r="T84" i="23"/>
  <c r="W168" i="32"/>
  <c r="K72" i="23"/>
  <c r="O30" i="18"/>
  <c r="Q31" i="18"/>
  <c r="F54" i="23"/>
  <c r="H55" i="23"/>
  <c r="AG160" i="29"/>
  <c r="AI161" i="29"/>
  <c r="AC70" i="32"/>
  <c r="N80" i="18"/>
  <c r="K8" i="14"/>
  <c r="D156" i="32"/>
  <c r="Q74" i="23"/>
  <c r="AI156" i="18"/>
  <c r="I63" i="32"/>
  <c r="K64" i="32"/>
  <c r="O186" i="29"/>
  <c r="Q187" i="29"/>
  <c r="K100" i="23"/>
  <c r="Z142" i="18"/>
  <c r="T118" i="18"/>
  <c r="R117" i="18"/>
  <c r="K30" i="29"/>
  <c r="X166" i="29"/>
  <c r="Z167" i="29"/>
  <c r="AC127" i="23"/>
  <c r="N118" i="32"/>
  <c r="K115" i="18"/>
  <c r="Z12" i="32"/>
  <c r="Q52" i="23"/>
  <c r="AC171" i="32"/>
  <c r="D22" i="25"/>
  <c r="K110" i="32"/>
  <c r="AF79" i="23"/>
  <c r="L133" i="23"/>
  <c r="N135" i="23"/>
  <c r="T75" i="23"/>
  <c r="AF198" i="32"/>
  <c r="N21" i="18"/>
  <c r="G4" i="12"/>
  <c r="Q94" i="23"/>
  <c r="AL135" i="23"/>
  <c r="H7" i="29"/>
  <c r="F6" i="29"/>
  <c r="R97" i="29"/>
  <c r="T98" i="29"/>
  <c r="W38" i="18"/>
  <c r="AI71" i="18"/>
  <c r="AG68" i="18"/>
  <c r="AF33" i="18"/>
  <c r="T90" i="23"/>
  <c r="K23" i="18"/>
  <c r="T104" i="18"/>
  <c r="F8" i="9"/>
  <c r="K13" i="23"/>
  <c r="X148" i="29"/>
  <c r="Z149" i="29"/>
  <c r="AO120" i="18"/>
  <c r="N65" i="32"/>
  <c r="K65" i="18"/>
  <c r="AC78" i="32"/>
  <c r="H81" i="32"/>
  <c r="AI170" i="32"/>
  <c r="AI76" i="18"/>
  <c r="H206" i="32"/>
  <c r="W134" i="23"/>
  <c r="Z42" i="18"/>
  <c r="Q77" i="32"/>
  <c r="P77" i="32"/>
  <c r="R30" i="18"/>
  <c r="T31" i="18"/>
  <c r="AL104" i="32"/>
  <c r="AF52" i="18"/>
  <c r="AO76" i="18"/>
  <c r="Q103" i="32"/>
  <c r="P103" i="32"/>
  <c r="AG133" i="23"/>
  <c r="AI135" i="23"/>
  <c r="Z45" i="23"/>
  <c r="Z89" i="18"/>
  <c r="N119" i="32"/>
  <c r="Q200" i="32"/>
  <c r="P200" i="32"/>
  <c r="AC55" i="18"/>
  <c r="Z52" i="18"/>
  <c r="N107" i="32"/>
  <c r="AF12" i="23"/>
  <c r="W107" i="18"/>
  <c r="W126" i="23"/>
  <c r="U125" i="23"/>
  <c r="AO68" i="23"/>
  <c r="AO60" i="23"/>
  <c r="Q88" i="23"/>
  <c r="Q102" i="23"/>
  <c r="N82" i="23"/>
  <c r="H75" i="32"/>
  <c r="D32" i="25"/>
  <c r="P8" i="28"/>
  <c r="AI124" i="32"/>
  <c r="Z51" i="18"/>
  <c r="Z140" i="18"/>
  <c r="N8" i="15"/>
  <c r="AI83" i="32"/>
  <c r="N151" i="29"/>
  <c r="AL61" i="23"/>
  <c r="Q63" i="18"/>
  <c r="M8" i="13"/>
  <c r="W151" i="29"/>
  <c r="AI51" i="23"/>
  <c r="N51" i="23"/>
  <c r="W82" i="32"/>
  <c r="U182" i="32"/>
  <c r="W183" i="32"/>
  <c r="N8" i="17"/>
  <c r="K80" i="18"/>
  <c r="AC218" i="32"/>
  <c r="AL189" i="29"/>
  <c r="H100" i="23"/>
  <c r="AC160" i="32"/>
  <c r="AF71" i="18"/>
  <c r="AD68" i="18"/>
  <c r="Q203" i="32"/>
  <c r="O202" i="32"/>
  <c r="P203" i="32"/>
  <c r="Q127" i="23"/>
  <c r="K66" i="32"/>
  <c r="AC100" i="23"/>
  <c r="AF116" i="23"/>
  <c r="W41" i="18"/>
  <c r="O8" i="11"/>
  <c r="AI73" i="32"/>
  <c r="N4" i="9"/>
  <c r="W221" i="32"/>
  <c r="U220" i="32"/>
  <c r="AM15" i="23"/>
  <c r="AO16" i="23"/>
  <c r="AC115" i="32"/>
  <c r="I204" i="29"/>
  <c r="K205" i="29"/>
  <c r="AF109" i="23"/>
  <c r="K39" i="29"/>
  <c r="I38" i="29"/>
  <c r="K52" i="18"/>
  <c r="AF86" i="23"/>
  <c r="H207" i="32"/>
  <c r="AL83" i="18"/>
  <c r="Q112" i="32"/>
  <c r="P112" i="32"/>
  <c r="H150" i="29"/>
  <c r="AO140" i="18"/>
  <c r="AO137" i="18"/>
  <c r="AC204" i="32"/>
  <c r="AF134" i="23"/>
  <c r="AL105" i="23"/>
  <c r="AJ104" i="23"/>
  <c r="H120" i="18"/>
  <c r="AC120" i="18"/>
  <c r="AI79" i="18"/>
  <c r="T107" i="23"/>
  <c r="F204" i="29"/>
  <c r="H205" i="29"/>
  <c r="O63" i="32"/>
  <c r="Q64" i="32"/>
  <c r="P64" i="32"/>
  <c r="W39" i="18"/>
  <c r="N94" i="23"/>
  <c r="R220" i="32"/>
  <c r="T221" i="32"/>
  <c r="Q134" i="18"/>
  <c r="AO64" i="18"/>
  <c r="L8" i="17"/>
  <c r="Q162" i="32"/>
  <c r="P162" i="32"/>
  <c r="U104" i="23"/>
  <c r="W105" i="23"/>
  <c r="W111" i="32"/>
  <c r="N136" i="18"/>
  <c r="AG15" i="23"/>
  <c r="AI16" i="23"/>
  <c r="AF59" i="23"/>
  <c r="AD58" i="23"/>
  <c r="AL33" i="18"/>
  <c r="AF26" i="23"/>
  <c r="N21" i="23"/>
  <c r="L20" i="23"/>
  <c r="AI88" i="23"/>
  <c r="H160" i="32"/>
  <c r="AO81" i="18"/>
  <c r="T89" i="23"/>
  <c r="Q218" i="32"/>
  <c r="P218" i="32"/>
  <c r="AO25" i="18"/>
  <c r="U68" i="18"/>
  <c r="W71" i="18"/>
  <c r="Z100" i="23"/>
  <c r="I20" i="23"/>
  <c r="K21" i="23"/>
  <c r="AF77" i="23"/>
  <c r="AF102" i="32"/>
  <c r="AD101" i="32"/>
  <c r="U195" i="32"/>
  <c r="W196" i="32"/>
  <c r="Q23" i="23"/>
  <c r="AC26" i="23"/>
  <c r="W81" i="23"/>
  <c r="AL127" i="23"/>
  <c r="AJ179" i="29"/>
  <c r="AI48" i="23"/>
  <c r="Z68" i="23"/>
  <c r="AO155" i="18"/>
  <c r="W70" i="18"/>
  <c r="N69" i="23"/>
  <c r="AI81" i="23"/>
  <c r="H27" i="18"/>
  <c r="AI200" i="32"/>
  <c r="W108" i="23"/>
  <c r="N143" i="18"/>
  <c r="AO39" i="18"/>
  <c r="W132" i="18"/>
  <c r="L4" i="7"/>
  <c r="G8" i="7"/>
  <c r="T84" i="18"/>
  <c r="T20" i="18"/>
  <c r="R19" i="18"/>
  <c r="Z111" i="32"/>
  <c r="AF52" i="23"/>
  <c r="Q120" i="32"/>
  <c r="P120" i="32"/>
  <c r="T102" i="23"/>
  <c r="N160" i="32"/>
  <c r="H89" i="23"/>
  <c r="AL217" i="32"/>
  <c r="AJ216" i="32"/>
  <c r="N155" i="18"/>
  <c r="AC72" i="23"/>
  <c r="K9" i="32"/>
  <c r="K81" i="23"/>
  <c r="AC68" i="23"/>
  <c r="AL71" i="23"/>
  <c r="D220" i="32"/>
  <c r="AC54" i="18"/>
  <c r="K200" i="32"/>
  <c r="AL78" i="32"/>
  <c r="T109" i="23"/>
  <c r="AL102" i="23"/>
  <c r="R8" i="1"/>
  <c r="AF24" i="23"/>
  <c r="L195" i="32"/>
  <c r="N196" i="32"/>
  <c r="T189" i="29"/>
  <c r="Z98" i="29"/>
  <c r="X97" i="29"/>
  <c r="T37" i="18"/>
  <c r="N41" i="23"/>
  <c r="H122" i="32"/>
  <c r="W124" i="32"/>
  <c r="M8" i="8"/>
  <c r="T48" i="18"/>
  <c r="AF21" i="23"/>
  <c r="AD20" i="23"/>
  <c r="Z145" i="18"/>
  <c r="R63" i="32"/>
  <c r="T64" i="32"/>
  <c r="Z124" i="32"/>
  <c r="AC43" i="18"/>
  <c r="AC132" i="18"/>
  <c r="N4" i="28"/>
  <c r="G8" i="14"/>
  <c r="AL126" i="23"/>
  <c r="AJ125" i="23"/>
  <c r="AI8" i="18"/>
  <c r="AG7" i="18"/>
  <c r="AC11" i="32"/>
  <c r="AF156" i="18"/>
  <c r="Q109" i="23"/>
  <c r="AF93" i="23"/>
  <c r="R54" i="23"/>
  <c r="T55" i="23"/>
  <c r="AF48" i="23"/>
  <c r="AI89" i="23"/>
  <c r="AO82" i="23"/>
  <c r="Q104" i="18"/>
  <c r="W52" i="18"/>
  <c r="AC111" i="32"/>
  <c r="AC40" i="18"/>
  <c r="K9" i="23"/>
  <c r="H32" i="29"/>
  <c r="AF180" i="29"/>
  <c r="AD179" i="29"/>
  <c r="Z10" i="32"/>
  <c r="Z94" i="23"/>
  <c r="Z13" i="23"/>
  <c r="N144" i="18"/>
  <c r="Q42" i="23"/>
  <c r="L46" i="18"/>
  <c r="N47" i="18"/>
  <c r="W49" i="23"/>
  <c r="AF33" i="32"/>
  <c r="Q155" i="18"/>
  <c r="N183" i="32"/>
  <c r="L182" i="32"/>
  <c r="AF67" i="32"/>
  <c r="K40" i="32"/>
  <c r="I39" i="32"/>
  <c r="O8" i="16"/>
  <c r="Z83" i="23"/>
  <c r="Z82" i="23"/>
  <c r="N32" i="32"/>
  <c r="L25" i="32"/>
  <c r="AF68" i="32"/>
  <c r="K8" i="16"/>
  <c r="AI140" i="18"/>
  <c r="N70" i="32"/>
  <c r="AC130" i="18"/>
  <c r="H61" i="23"/>
  <c r="AC106" i="23"/>
  <c r="AF56" i="23"/>
  <c r="W131" i="18"/>
  <c r="Q53" i="18"/>
  <c r="H67" i="23"/>
  <c r="F66" i="23"/>
  <c r="AI197" i="32"/>
  <c r="AF158" i="32"/>
  <c r="Q130" i="18"/>
  <c r="AO74" i="23"/>
  <c r="AI92" i="23"/>
  <c r="W55" i="23"/>
  <c r="U54" i="23"/>
  <c r="W169" i="32"/>
  <c r="AC9" i="18"/>
  <c r="W137" i="18"/>
  <c r="L8" i="16"/>
  <c r="AL67" i="32"/>
  <c r="F220" i="32"/>
  <c r="H221" i="32"/>
  <c r="Q157" i="29"/>
  <c r="H187" i="29"/>
  <c r="F186" i="29"/>
  <c r="T168" i="32"/>
  <c r="G8" i="13"/>
  <c r="AL76" i="23"/>
  <c r="X200" i="29"/>
  <c r="Z201" i="29"/>
  <c r="Z81" i="18"/>
  <c r="Z55" i="18"/>
  <c r="Z127" i="32"/>
  <c r="W72" i="23"/>
  <c r="AO99" i="23"/>
  <c r="M8" i="15"/>
  <c r="AC85" i="23"/>
  <c r="AI72" i="18"/>
  <c r="AO45" i="23"/>
  <c r="H79" i="23"/>
  <c r="F8" i="17"/>
  <c r="Z82" i="18"/>
  <c r="N89" i="18"/>
  <c r="L4" i="8"/>
  <c r="K145" i="18"/>
  <c r="AC49" i="18"/>
  <c r="AF196" i="32"/>
  <c r="AD195" i="32"/>
  <c r="AF144" i="18"/>
  <c r="H188" i="29"/>
  <c r="AI122" i="32"/>
  <c r="AL38" i="18"/>
  <c r="D6" i="29"/>
  <c r="E201" i="29" s="1"/>
  <c r="AO100" i="23"/>
  <c r="AL54" i="18"/>
  <c r="T122" i="32"/>
  <c r="K149" i="29"/>
  <c r="I148" i="29"/>
  <c r="Z121" i="32"/>
  <c r="Q104" i="32"/>
  <c r="P104" i="32"/>
  <c r="E12" i="31"/>
  <c r="Z10" i="23"/>
  <c r="Z97" i="23"/>
  <c r="H180" i="29"/>
  <c r="F179" i="29"/>
  <c r="U216" i="32"/>
  <c r="W217" i="32"/>
  <c r="K109" i="32"/>
  <c r="W27" i="18"/>
  <c r="K56" i="23"/>
  <c r="W94" i="23"/>
  <c r="AI7" i="29"/>
  <c r="AG6" i="29"/>
  <c r="O4" i="1"/>
  <c r="AL137" i="18"/>
  <c r="N79" i="32"/>
  <c r="AO91" i="23"/>
  <c r="AC29" i="29"/>
  <c r="W91" i="23"/>
  <c r="Q151" i="29"/>
  <c r="K25" i="18"/>
  <c r="AL74" i="32"/>
  <c r="AO115" i="23"/>
  <c r="AM114" i="23"/>
  <c r="AD6" i="32"/>
  <c r="AE79" i="32" s="1"/>
  <c r="AF7" i="32"/>
  <c r="AL117" i="32"/>
  <c r="AC196" i="32"/>
  <c r="AA195" i="32"/>
  <c r="W100" i="23"/>
  <c r="K4" i="28"/>
  <c r="N116" i="32"/>
  <c r="F4" i="11"/>
  <c r="R195" i="32"/>
  <c r="T196" i="32"/>
  <c r="D60" i="29"/>
  <c r="Z150" i="29"/>
  <c r="N97" i="23"/>
  <c r="T82" i="23"/>
  <c r="K31" i="25"/>
  <c r="W171" i="32"/>
  <c r="AA7" i="23"/>
  <c r="AC8" i="23"/>
  <c r="AO44" i="18"/>
  <c r="AC75" i="18"/>
  <c r="AA74" i="18"/>
  <c r="AL198" i="32"/>
  <c r="T52" i="23"/>
  <c r="AF107" i="18"/>
  <c r="K141" i="18"/>
  <c r="AI17" i="23"/>
  <c r="K97" i="23"/>
  <c r="H70" i="32"/>
  <c r="AF120" i="18"/>
  <c r="AI88" i="18"/>
  <c r="T115" i="23"/>
  <c r="R114" i="23"/>
  <c r="Z113" i="32"/>
  <c r="K102" i="23"/>
  <c r="AF100" i="23"/>
  <c r="AL168" i="29"/>
  <c r="AC119" i="32"/>
  <c r="AI107" i="32"/>
  <c r="H24" i="23"/>
  <c r="Q92" i="23"/>
  <c r="K108" i="18"/>
  <c r="K63" i="18"/>
  <c r="U153" i="29"/>
  <c r="W154" i="29"/>
  <c r="N96" i="23"/>
  <c r="L8" i="13"/>
  <c r="AO147" i="18"/>
  <c r="X101" i="32"/>
  <c r="Z102" i="32"/>
  <c r="K50" i="23"/>
  <c r="AC102" i="23"/>
  <c r="N4" i="11"/>
  <c r="K125" i="32"/>
  <c r="Z83" i="18"/>
  <c r="T145" i="18"/>
  <c r="M8" i="7"/>
  <c r="AI33" i="32"/>
  <c r="N159" i="32"/>
  <c r="H115" i="18"/>
  <c r="AL48" i="23"/>
  <c r="T106" i="18"/>
  <c r="Q77" i="23"/>
  <c r="F4" i="13"/>
  <c r="H191" i="29"/>
  <c r="AM152" i="18"/>
  <c r="AO153" i="18"/>
  <c r="L200" i="29"/>
  <c r="N201" i="29"/>
  <c r="Z48" i="18"/>
  <c r="AF80" i="23"/>
  <c r="L4" i="13"/>
  <c r="AL41" i="23"/>
  <c r="W184" i="29"/>
  <c r="K150" i="29"/>
  <c r="I35" i="18"/>
  <c r="K36" i="18"/>
  <c r="Q105" i="18"/>
  <c r="W97" i="23"/>
  <c r="AL82" i="18"/>
  <c r="AF71" i="23"/>
  <c r="W58" i="18"/>
  <c r="Q8" i="28"/>
  <c r="R8" i="28"/>
  <c r="Z85" i="23"/>
  <c r="F60" i="18"/>
  <c r="H61" i="18"/>
  <c r="AI70" i="32"/>
  <c r="AC174" i="32"/>
  <c r="AA173" i="32"/>
  <c r="K92" i="23"/>
  <c r="H11" i="32"/>
  <c r="AF9" i="32"/>
  <c r="V25" i="25"/>
  <c r="L60" i="29"/>
  <c r="N61" i="29"/>
  <c r="N71" i="32"/>
  <c r="AL73" i="23"/>
  <c r="T29" i="25"/>
  <c r="AA102" i="18"/>
  <c r="AC103" i="18"/>
  <c r="S8" i="27"/>
  <c r="D141" i="23" s="1"/>
  <c r="AI156" i="29"/>
  <c r="AM46" i="18"/>
  <c r="AO47" i="18"/>
  <c r="Z199" i="32"/>
  <c r="T23" i="23"/>
  <c r="AI64" i="18"/>
  <c r="W33" i="32"/>
  <c r="AF78" i="18"/>
  <c r="W30" i="29"/>
  <c r="N8" i="9"/>
  <c r="N106" i="32"/>
  <c r="AD54" i="23"/>
  <c r="AF55" i="23"/>
  <c r="Q72" i="18"/>
  <c r="AF79" i="18"/>
  <c r="W162" i="32"/>
  <c r="AF24" i="18"/>
  <c r="K222" i="32"/>
  <c r="AI38" i="18"/>
  <c r="W117" i="32"/>
  <c r="AL115" i="32"/>
  <c r="AA58" i="23"/>
  <c r="AC59" i="23"/>
  <c r="AF171" i="32"/>
  <c r="Q111" i="32"/>
  <c r="P111" i="32"/>
  <c r="AC76" i="23"/>
  <c r="AF163" i="32"/>
  <c r="Z26" i="18"/>
  <c r="W207" i="32"/>
  <c r="Q85" i="18"/>
  <c r="AF167" i="32"/>
  <c r="AD166" i="32"/>
  <c r="T88" i="18"/>
  <c r="AC24" i="18"/>
  <c r="AF51" i="23"/>
  <c r="W41" i="23"/>
  <c r="AD6" i="29"/>
  <c r="AF7" i="29"/>
  <c r="AI82" i="23"/>
  <c r="AF106" i="18"/>
  <c r="T142" i="23"/>
  <c r="AJ54" i="23"/>
  <c r="AL55" i="23"/>
  <c r="Z84" i="23"/>
  <c r="AL79" i="32"/>
  <c r="H161" i="29"/>
  <c r="F160" i="29"/>
  <c r="D101" i="32"/>
  <c r="K8" i="28"/>
  <c r="H52" i="18"/>
  <c r="AL73" i="32"/>
  <c r="H131" i="18"/>
  <c r="AF207" i="32"/>
  <c r="H61" i="29"/>
  <c r="F60" i="29"/>
  <c r="AL105" i="18"/>
  <c r="M4" i="27"/>
  <c r="H154" i="29"/>
  <c r="F153" i="29"/>
  <c r="N81" i="18"/>
  <c r="N130" i="18"/>
  <c r="T55" i="18"/>
  <c r="Z156" i="18"/>
  <c r="O4" i="16"/>
  <c r="Z62" i="18"/>
  <c r="H98" i="23"/>
  <c r="Q20" i="18"/>
  <c r="O19" i="18"/>
  <c r="AC112" i="23"/>
  <c r="AA111" i="23"/>
  <c r="K138" i="18"/>
  <c r="W107" i="32"/>
  <c r="Q75" i="32"/>
  <c r="P75" i="32"/>
  <c r="AL42" i="23"/>
  <c r="N77" i="23"/>
  <c r="T191" i="29"/>
  <c r="AF80" i="32"/>
  <c r="AF11" i="23"/>
  <c r="AC70" i="23"/>
  <c r="K69" i="32"/>
  <c r="W70" i="32"/>
  <c r="K33" i="32"/>
  <c r="U156" i="32"/>
  <c r="W157" i="32"/>
  <c r="AI135" i="18"/>
  <c r="N60" i="23"/>
  <c r="AL72" i="32"/>
  <c r="L4" i="2"/>
  <c r="L10" i="2" s="1"/>
  <c r="W90" i="23"/>
  <c r="AC57" i="18"/>
  <c r="I39" i="23"/>
  <c r="K40" i="23"/>
  <c r="H42" i="18"/>
  <c r="AF42" i="23"/>
  <c r="AO131" i="18"/>
  <c r="O4" i="28"/>
  <c r="T23" i="18"/>
  <c r="Q74" i="32"/>
  <c r="P74" i="32"/>
  <c r="T160" i="32"/>
  <c r="H163" i="32"/>
  <c r="M4" i="16"/>
  <c r="AC107" i="23"/>
  <c r="Z77" i="18"/>
  <c r="Q28" i="18"/>
  <c r="AC12" i="32"/>
  <c r="AO50" i="18"/>
  <c r="AA182" i="32"/>
  <c r="AC183" i="32"/>
  <c r="H78" i="32"/>
  <c r="AC124" i="32"/>
  <c r="Q86" i="23"/>
  <c r="AO88" i="18"/>
  <c r="Q49" i="23"/>
  <c r="Z108" i="18"/>
  <c r="N27" i="18"/>
  <c r="U2" i="32"/>
  <c r="W123" i="32"/>
  <c r="Z123" i="32"/>
  <c r="AG39" i="23"/>
  <c r="AI40" i="23"/>
  <c r="AG66" i="23"/>
  <c r="AI22" i="18"/>
  <c r="AO51" i="23"/>
  <c r="H123" i="32"/>
  <c r="AC157" i="29"/>
  <c r="AF44" i="23"/>
  <c r="T85" i="23"/>
  <c r="N72" i="32"/>
  <c r="AC93" i="23"/>
  <c r="Q57" i="18"/>
  <c r="AL205" i="32"/>
  <c r="N202" i="29"/>
  <c r="AI136" i="23"/>
  <c r="Q156" i="18"/>
  <c r="AF46" i="23"/>
  <c r="Z67" i="32"/>
  <c r="K55" i="18"/>
  <c r="AD148" i="29"/>
  <c r="AF149" i="29"/>
  <c r="AF25" i="23"/>
  <c r="AF191" i="29"/>
  <c r="K135" i="23"/>
  <c r="I133" i="23"/>
  <c r="AF103" i="18"/>
  <c r="AD102" i="18"/>
  <c r="K132" i="18"/>
  <c r="AI22" i="23"/>
  <c r="AF43" i="23"/>
  <c r="N139" i="18"/>
  <c r="AL29" i="29"/>
  <c r="AJ129" i="23"/>
  <c r="AL130" i="23"/>
  <c r="AF83" i="32"/>
  <c r="K71" i="32"/>
  <c r="T80" i="18"/>
  <c r="Q71" i="23"/>
  <c r="W12" i="23"/>
  <c r="N102" i="23"/>
  <c r="N75" i="18"/>
  <c r="L74" i="18"/>
  <c r="Z26" i="23"/>
  <c r="M8" i="17"/>
  <c r="K171" i="32"/>
  <c r="AI143" i="18"/>
  <c r="M8" i="10"/>
  <c r="AL84" i="18"/>
  <c r="O8" i="13"/>
  <c r="H126" i="23"/>
  <c r="F125" i="23"/>
  <c r="W44" i="18"/>
  <c r="T74" i="23"/>
  <c r="AJ6" i="32"/>
  <c r="AL7" i="32"/>
  <c r="W108" i="18"/>
  <c r="AL188" i="29"/>
  <c r="R98" i="18"/>
  <c r="T99" i="18"/>
  <c r="K81" i="18"/>
  <c r="T30" i="29"/>
  <c r="Q17" i="18"/>
  <c r="T82" i="18"/>
  <c r="AG19" i="18"/>
  <c r="AI20" i="18"/>
  <c r="J8" i="1"/>
  <c r="AC50" i="18"/>
  <c r="T84" i="32"/>
  <c r="N4" i="10"/>
  <c r="N10" i="10" s="1"/>
  <c r="F39" i="32"/>
  <c r="H40" i="32"/>
  <c r="AC30" i="29"/>
  <c r="R182" i="32"/>
  <c r="T183" i="32"/>
  <c r="N199" i="32"/>
  <c r="AJ114" i="23"/>
  <c r="AL115" i="23"/>
  <c r="AJ153" i="29"/>
  <c r="AL154" i="29"/>
  <c r="Q37" i="18"/>
  <c r="AO86" i="18"/>
  <c r="Z206" i="29"/>
  <c r="Z116" i="32"/>
  <c r="X68" i="18"/>
  <c r="Z71" i="18"/>
  <c r="K126" i="23"/>
  <c r="I125" i="23"/>
  <c r="Z168" i="32"/>
  <c r="AF184" i="29"/>
  <c r="H199" i="32"/>
  <c r="T47" i="23"/>
  <c r="T70" i="18"/>
  <c r="T132" i="18"/>
  <c r="W48" i="18"/>
  <c r="W81" i="32"/>
  <c r="AI40" i="32"/>
  <c r="AG39" i="32"/>
  <c r="N83" i="18"/>
  <c r="O58" i="23"/>
  <c r="Q59" i="23"/>
  <c r="G4" i="11"/>
  <c r="K69" i="23"/>
  <c r="N150" i="29"/>
  <c r="K71" i="23"/>
  <c r="T46" i="23"/>
  <c r="F182" i="32"/>
  <c r="H183" i="32"/>
  <c r="AD35" i="18"/>
  <c r="AF36" i="18"/>
  <c r="K156" i="18"/>
  <c r="L137" i="29"/>
  <c r="N138" i="29"/>
  <c r="T72" i="18"/>
  <c r="H147" i="18"/>
  <c r="W84" i="18"/>
  <c r="X182" i="32"/>
  <c r="Z183" i="32"/>
  <c r="N161" i="32"/>
  <c r="W23" i="18"/>
  <c r="AC48" i="18"/>
  <c r="AC61" i="29"/>
  <c r="AA60" i="29"/>
  <c r="Z160" i="32"/>
  <c r="U118" i="23"/>
  <c r="W119" i="23"/>
  <c r="O137" i="29"/>
  <c r="Q138" i="29"/>
  <c r="K130" i="18"/>
  <c r="H164" i="32"/>
  <c r="V35" i="25"/>
  <c r="U34" i="25"/>
  <c r="V34" i="25" s="1"/>
  <c r="H69" i="32"/>
  <c r="Z78" i="18"/>
  <c r="T81" i="32"/>
  <c r="N106" i="18"/>
  <c r="AI70" i="18"/>
  <c r="AM60" i="18"/>
  <c r="AO61" i="18"/>
  <c r="AI62" i="18"/>
  <c r="R4" i="28"/>
  <c r="AF125" i="32"/>
  <c r="H94" i="23"/>
  <c r="AC114" i="32"/>
  <c r="N65" i="18"/>
  <c r="Q108" i="32"/>
  <c r="P108" i="32"/>
  <c r="N101" i="23"/>
  <c r="AL13" i="23"/>
  <c r="T72" i="23"/>
  <c r="N8" i="28"/>
  <c r="AF74" i="32"/>
  <c r="W43" i="23"/>
  <c r="AF82" i="18"/>
  <c r="AC49" i="23"/>
  <c r="AI68" i="32"/>
  <c r="AC78" i="23"/>
  <c r="AF218" i="32"/>
  <c r="AL167" i="29"/>
  <c r="AJ166" i="29"/>
  <c r="AF200" i="32"/>
  <c r="K40" i="18"/>
  <c r="K103" i="18"/>
  <c r="I102" i="18"/>
  <c r="G4" i="2"/>
  <c r="AF142" i="18"/>
  <c r="N135" i="18"/>
  <c r="K61" i="23"/>
  <c r="M4" i="9"/>
  <c r="M10" i="9" s="1"/>
  <c r="O8" i="9"/>
  <c r="F7" i="23"/>
  <c r="H8" i="23"/>
  <c r="AF27" i="18"/>
  <c r="AI117" i="32"/>
  <c r="AI48" i="18"/>
  <c r="AC56" i="18"/>
  <c r="AI91" i="23"/>
  <c r="X63" i="32"/>
  <c r="Z64" i="32"/>
  <c r="AO44" i="23"/>
  <c r="H102" i="32"/>
  <c r="F101" i="32"/>
  <c r="H73" i="32"/>
  <c r="Z92" i="23"/>
  <c r="Z161" i="29"/>
  <c r="X160" i="29"/>
  <c r="T147" i="18"/>
  <c r="W43" i="18"/>
  <c r="H39" i="29"/>
  <c r="F38" i="29"/>
  <c r="H80" i="18"/>
  <c r="AF76" i="23"/>
  <c r="Q71" i="32"/>
  <c r="P71" i="32"/>
  <c r="AC77" i="23"/>
  <c r="G4" i="9"/>
  <c r="AC130" i="23"/>
  <c r="AA129" i="23"/>
  <c r="Q102" i="32"/>
  <c r="O101" i="32"/>
  <c r="P102" i="32"/>
  <c r="K105" i="23"/>
  <c r="I104" i="23"/>
  <c r="T131" i="18"/>
  <c r="T101" i="23"/>
  <c r="AO85" i="23"/>
  <c r="AL58" i="18"/>
  <c r="N85" i="23"/>
  <c r="T40" i="18"/>
  <c r="Q82" i="18"/>
  <c r="T112" i="32"/>
  <c r="AF127" i="23"/>
  <c r="AC81" i="23"/>
  <c r="H39" i="18"/>
  <c r="N87" i="18"/>
  <c r="AO42" i="18"/>
  <c r="N8" i="16"/>
  <c r="AI116" i="23"/>
  <c r="T44" i="23"/>
  <c r="W53" i="18"/>
  <c r="K196" i="32"/>
  <c r="I195" i="32"/>
  <c r="Z33" i="18"/>
  <c r="AF137" i="23"/>
  <c r="AF160" i="32"/>
  <c r="D27" i="29"/>
  <c r="AI139" i="18"/>
  <c r="AC95" i="23"/>
  <c r="T163" i="32"/>
  <c r="AC126" i="23"/>
  <c r="AA125" i="23"/>
  <c r="Q50" i="18"/>
  <c r="AI108" i="32"/>
  <c r="Z196" i="32"/>
  <c r="X195" i="32"/>
  <c r="AI164" i="32"/>
  <c r="D216" i="32"/>
  <c r="AF99" i="23"/>
  <c r="Q77" i="18"/>
  <c r="I8" i="27"/>
  <c r="R104" i="23"/>
  <c r="T105" i="23"/>
  <c r="AJ204" i="29"/>
  <c r="AL205" i="29"/>
  <c r="AL39" i="18"/>
  <c r="K67" i="23"/>
  <c r="W36" i="18"/>
  <c r="U35" i="18"/>
  <c r="AI81" i="32"/>
  <c r="Q22" i="23"/>
  <c r="T119" i="32"/>
  <c r="AC168" i="29"/>
  <c r="K114" i="32"/>
  <c r="N57" i="32"/>
  <c r="AI75" i="32"/>
  <c r="Z77" i="32"/>
  <c r="N67" i="23"/>
  <c r="AF81" i="23"/>
  <c r="X6" i="29"/>
  <c r="Z7" i="29"/>
  <c r="N74" i="32"/>
  <c r="AC84" i="23"/>
  <c r="AI189" i="29"/>
  <c r="M4" i="14"/>
  <c r="AI21" i="18"/>
  <c r="U19" i="18"/>
  <c r="W20" i="18"/>
  <c r="W29" i="29"/>
  <c r="AC17" i="18"/>
  <c r="K78" i="23"/>
  <c r="AI21" i="23"/>
  <c r="AG20" i="23"/>
  <c r="AI188" i="29"/>
  <c r="K72" i="18"/>
  <c r="N42" i="23"/>
  <c r="AC10" i="32"/>
  <c r="Q116" i="23"/>
  <c r="AC8" i="18"/>
  <c r="AA7" i="18"/>
  <c r="L6" i="32"/>
  <c r="N7" i="32"/>
  <c r="H50" i="23"/>
  <c r="Q81" i="32"/>
  <c r="P81" i="32"/>
  <c r="AL156" i="29"/>
  <c r="H107" i="23"/>
  <c r="Z76" i="23"/>
  <c r="AL88" i="18"/>
  <c r="T137" i="23"/>
  <c r="AA128" i="18"/>
  <c r="AC129" i="18"/>
  <c r="W42" i="18"/>
  <c r="T159" i="32"/>
  <c r="K43" i="23"/>
  <c r="AO10" i="18"/>
  <c r="K78" i="18"/>
  <c r="K8" i="10"/>
  <c r="H96" i="23"/>
  <c r="O8" i="1"/>
  <c r="AL77" i="18"/>
  <c r="AL100" i="18"/>
  <c r="AL11" i="23"/>
  <c r="AI84" i="23"/>
  <c r="K189" i="29"/>
  <c r="K153" i="18"/>
  <c r="I152" i="18"/>
  <c r="AI85" i="23"/>
  <c r="AF53" i="18"/>
  <c r="AL130" i="18"/>
  <c r="K20" i="18"/>
  <c r="I19" i="18"/>
  <c r="F8" i="12"/>
  <c r="K41" i="18"/>
  <c r="AF130" i="18"/>
  <c r="AO100" i="18"/>
  <c r="AF85" i="18"/>
  <c r="AI134" i="23"/>
  <c r="O4" i="2"/>
  <c r="T156" i="29"/>
  <c r="U6" i="29"/>
  <c r="W7" i="29"/>
  <c r="T118" i="32"/>
  <c r="AC76" i="18"/>
  <c r="D166" i="29"/>
  <c r="AL119" i="32"/>
  <c r="AC31" i="29"/>
  <c r="W46" i="23"/>
  <c r="Q33" i="18"/>
  <c r="Q107" i="23"/>
  <c r="W103" i="32"/>
  <c r="P4" i="27"/>
  <c r="T157" i="29"/>
  <c r="AI151" i="29"/>
  <c r="Q205" i="32"/>
  <c r="P205" i="32"/>
  <c r="Z82" i="32"/>
  <c r="Y82" i="32"/>
  <c r="AF136" i="18"/>
  <c r="AJ94" i="18"/>
  <c r="AL96" i="18"/>
  <c r="R173" i="32"/>
  <c r="T174" i="32"/>
  <c r="AF104" i="32"/>
  <c r="AC25" i="23"/>
  <c r="Q40" i="32"/>
  <c r="O39" i="32"/>
  <c r="P40" i="32"/>
  <c r="K10" i="23"/>
  <c r="T161" i="29"/>
  <c r="R160" i="29"/>
  <c r="AI56" i="18"/>
  <c r="O8" i="12"/>
  <c r="AI161" i="32"/>
  <c r="G4" i="17"/>
  <c r="H38" i="18"/>
  <c r="AF83" i="23"/>
  <c r="T58" i="18"/>
  <c r="Q51" i="23"/>
  <c r="AO105" i="18"/>
  <c r="AL50" i="18"/>
  <c r="AL170" i="32"/>
  <c r="AC159" i="32"/>
  <c r="W130" i="18"/>
  <c r="H43" i="23"/>
  <c r="N106" i="23"/>
  <c r="N48" i="18"/>
  <c r="Z81" i="23"/>
  <c r="K8" i="15"/>
  <c r="AI204" i="32"/>
  <c r="F4" i="15"/>
  <c r="K41" i="23"/>
  <c r="H9" i="32"/>
  <c r="AD156" i="32"/>
  <c r="AF157" i="32"/>
  <c r="Z142" i="23"/>
  <c r="Q190" i="29"/>
  <c r="AI31" i="29"/>
  <c r="AC108" i="32"/>
  <c r="W70" i="23"/>
  <c r="Z109" i="23"/>
  <c r="K78" i="32"/>
  <c r="T31" i="29"/>
  <c r="AI71" i="23"/>
  <c r="AJ102" i="18"/>
  <c r="AL103" i="18"/>
  <c r="AO143" i="18"/>
  <c r="N127" i="23"/>
  <c r="K107" i="23"/>
  <c r="H156" i="18"/>
  <c r="AL156" i="18"/>
  <c r="O8" i="15"/>
  <c r="W167" i="29"/>
  <c r="U166" i="29"/>
  <c r="H109" i="23"/>
  <c r="T39" i="18"/>
  <c r="Z51" i="23"/>
  <c r="AC44" i="18"/>
  <c r="AC91" i="23"/>
  <c r="K206" i="29"/>
  <c r="AI63" i="18"/>
  <c r="D63" i="32"/>
  <c r="N69" i="32"/>
  <c r="AI85" i="18"/>
  <c r="K4" i="1"/>
  <c r="AF135" i="23"/>
  <c r="AD133" i="23"/>
  <c r="AF92" i="23"/>
  <c r="Q119" i="32"/>
  <c r="P119" i="32"/>
  <c r="AL81" i="23"/>
  <c r="AC44" i="23"/>
  <c r="H184" i="29"/>
  <c r="AF109" i="18"/>
  <c r="H26" i="23"/>
  <c r="Q131" i="23"/>
  <c r="R8" i="27"/>
  <c r="Z81" i="32"/>
  <c r="AF62" i="18"/>
  <c r="K8" i="1"/>
  <c r="K57" i="18"/>
  <c r="K122" i="32"/>
  <c r="R166" i="32"/>
  <c r="T167" i="32"/>
  <c r="AF84" i="32"/>
  <c r="L8" i="11"/>
  <c r="N12" i="23"/>
  <c r="AF98" i="23"/>
  <c r="AL160" i="32"/>
  <c r="AF168" i="32"/>
  <c r="AL36" i="18"/>
  <c r="AJ35" i="18"/>
  <c r="U23" i="25"/>
  <c r="V23" i="25" s="1"/>
  <c r="V24" i="25"/>
  <c r="Z100" i="18"/>
  <c r="L6" i="29"/>
  <c r="N7" i="29"/>
  <c r="AL87" i="18"/>
  <c r="K49" i="23"/>
  <c r="Q153" i="18"/>
  <c r="O152" i="18"/>
  <c r="AO108" i="23"/>
  <c r="AL158" i="29"/>
  <c r="AI76" i="32"/>
  <c r="Z33" i="32"/>
  <c r="T83" i="18"/>
  <c r="AC77" i="18"/>
  <c r="AI90" i="23"/>
  <c r="H108" i="23"/>
  <c r="N9" i="18"/>
  <c r="AC109" i="32"/>
  <c r="Q158" i="32"/>
  <c r="P158" i="32"/>
  <c r="Q202" i="29"/>
  <c r="W82" i="23"/>
  <c r="AJ137" i="29"/>
  <c r="AL138" i="29"/>
  <c r="AJ166" i="32"/>
  <c r="AL167" i="32"/>
  <c r="W157" i="29"/>
  <c r="K94" i="23"/>
  <c r="Q120" i="18"/>
  <c r="K58" i="18"/>
  <c r="N31" i="29"/>
  <c r="I4" i="1"/>
  <c r="N161" i="29"/>
  <c r="L160" i="29"/>
  <c r="K27" i="18"/>
  <c r="N76" i="23"/>
  <c r="Q116" i="32"/>
  <c r="P116" i="32"/>
  <c r="Z72" i="23"/>
  <c r="AF9" i="18"/>
  <c r="AF205" i="32"/>
  <c r="K167" i="29"/>
  <c r="I166" i="29"/>
  <c r="W22" i="18"/>
  <c r="Q84" i="32"/>
  <c r="P84" i="32"/>
  <c r="AL23" i="18"/>
  <c r="K74" i="32"/>
  <c r="W135" i="23"/>
  <c r="U133" i="23"/>
  <c r="H144" i="18"/>
  <c r="Z46" i="23"/>
  <c r="AO120" i="23"/>
  <c r="W77" i="32"/>
  <c r="V77" i="32"/>
  <c r="H116" i="32"/>
  <c r="N29" i="29"/>
  <c r="AC156" i="29"/>
  <c r="T198" i="32"/>
  <c r="T67" i="23"/>
  <c r="H22" i="18"/>
  <c r="AL157" i="32"/>
  <c r="AJ156" i="32"/>
  <c r="AI77" i="32"/>
  <c r="Z75" i="32"/>
  <c r="AO87" i="23"/>
  <c r="K8" i="12"/>
  <c r="R6" i="32"/>
  <c r="T7" i="32"/>
  <c r="AC162" i="32"/>
  <c r="AL97" i="23"/>
  <c r="AI80" i="32"/>
  <c r="H10" i="32"/>
  <c r="AI131" i="23"/>
  <c r="AI218" i="32"/>
  <c r="AF126" i="32"/>
  <c r="T105" i="18"/>
  <c r="N103" i="32"/>
  <c r="T157" i="32"/>
  <c r="R156" i="32"/>
  <c r="AI11" i="32"/>
  <c r="H72" i="18"/>
  <c r="AF21" i="18"/>
  <c r="N105" i="18"/>
  <c r="H86" i="23"/>
  <c r="H197" i="32"/>
  <c r="AI111" i="32"/>
  <c r="Q147" i="18"/>
  <c r="N22" i="18"/>
  <c r="AO76" i="23"/>
  <c r="W51" i="18"/>
  <c r="H99" i="18"/>
  <c r="F98" i="18"/>
  <c r="AO119" i="18"/>
  <c r="T27" i="25"/>
  <c r="Q88" i="18"/>
  <c r="AL82" i="23"/>
  <c r="K7" i="29"/>
  <c r="I6" i="29"/>
  <c r="F173" i="32"/>
  <c r="H174" i="32"/>
  <c r="H13" i="23"/>
  <c r="Z96" i="23"/>
  <c r="N37" i="18"/>
  <c r="K8" i="9"/>
  <c r="W141" i="18"/>
  <c r="AC126" i="32"/>
  <c r="AM68" i="18"/>
  <c r="AO71" i="18"/>
  <c r="Z107" i="32"/>
  <c r="W80" i="23"/>
  <c r="AL201" i="29"/>
  <c r="AJ200" i="29"/>
  <c r="N108" i="32"/>
  <c r="AF217" i="32"/>
  <c r="AD216" i="32"/>
  <c r="AI72" i="32"/>
  <c r="AF47" i="18"/>
  <c r="AD46" i="18"/>
  <c r="W161" i="32"/>
  <c r="V161" i="32"/>
  <c r="AI26" i="23"/>
  <c r="AC98" i="29"/>
  <c r="AA97" i="29"/>
  <c r="D6" i="32"/>
  <c r="E204" i="32" s="1"/>
  <c r="K29" i="29"/>
  <c r="AL78" i="18"/>
  <c r="AC52" i="23"/>
  <c r="H23" i="23"/>
  <c r="K157" i="29"/>
  <c r="AL109" i="18"/>
  <c r="Z67" i="23"/>
  <c r="R58" i="23"/>
  <c r="T59" i="23"/>
  <c r="AO49" i="23"/>
  <c r="AL144" i="18"/>
  <c r="AF115" i="32"/>
  <c r="N48" i="23"/>
  <c r="Q55" i="18"/>
  <c r="O195" i="32"/>
  <c r="Q196" i="32"/>
  <c r="P196" i="32"/>
  <c r="AC33" i="32"/>
  <c r="T144" i="18"/>
  <c r="AI43" i="23"/>
  <c r="N206" i="29"/>
  <c r="Q206" i="29"/>
  <c r="W118" i="32"/>
  <c r="V118" i="32"/>
  <c r="AJ160" i="29"/>
  <c r="AL161" i="29"/>
  <c r="N131" i="18"/>
  <c r="V36" i="25"/>
  <c r="T120" i="32"/>
  <c r="T82" i="32"/>
  <c r="Q91" i="23"/>
  <c r="W120" i="18"/>
  <c r="AG60" i="29"/>
  <c r="AI61" i="29"/>
  <c r="K79" i="18"/>
  <c r="AC137" i="23"/>
  <c r="X156" i="32"/>
  <c r="Z157" i="32"/>
  <c r="N77" i="18"/>
  <c r="AC66" i="32"/>
  <c r="N4" i="15"/>
  <c r="N9" i="23"/>
  <c r="Z164" i="32"/>
  <c r="Q115" i="32"/>
  <c r="P115" i="32"/>
  <c r="K88" i="18"/>
  <c r="AI144" i="18"/>
  <c r="N81" i="23"/>
  <c r="N168" i="32"/>
  <c r="AI116" i="32"/>
  <c r="K158" i="29"/>
  <c r="AL115" i="18"/>
  <c r="AL75" i="23"/>
  <c r="Q45" i="23"/>
  <c r="AI87" i="18"/>
  <c r="AO41" i="23"/>
  <c r="AI98" i="29"/>
  <c r="AG97" i="29"/>
  <c r="Z71" i="32"/>
  <c r="F4" i="14"/>
  <c r="N142" i="18"/>
  <c r="AL33" i="32"/>
  <c r="W52" i="23"/>
  <c r="N83" i="23"/>
  <c r="Q145" i="18"/>
  <c r="Q60" i="23"/>
  <c r="W204" i="32"/>
  <c r="V204" i="32"/>
  <c r="AL119" i="23"/>
  <c r="AJ118" i="23"/>
  <c r="H107" i="18"/>
  <c r="AD30" i="18"/>
  <c r="AF31" i="18"/>
  <c r="H64" i="18"/>
  <c r="AF98" i="29"/>
  <c r="AD97" i="29"/>
  <c r="G8" i="9"/>
  <c r="AI105" i="23"/>
  <c r="AG104" i="23"/>
  <c r="AL70" i="32"/>
  <c r="AC115" i="18"/>
  <c r="AD38" i="29"/>
  <c r="AF39" i="29"/>
  <c r="H110" i="32"/>
  <c r="N168" i="29"/>
  <c r="K8" i="27"/>
  <c r="AF83" i="18"/>
  <c r="Z190" i="29"/>
  <c r="AL56" i="23"/>
  <c r="Q67" i="23"/>
  <c r="AC139" i="18"/>
  <c r="H4" i="27"/>
  <c r="N43" i="18"/>
  <c r="T197" i="32"/>
  <c r="Z22" i="23"/>
  <c r="Q100" i="18"/>
  <c r="AF50" i="23"/>
  <c r="AI46" i="23"/>
  <c r="AC61" i="23"/>
  <c r="L4" i="14"/>
  <c r="N140" i="18"/>
  <c r="AI49" i="23"/>
  <c r="H169" i="32"/>
  <c r="Z9" i="23"/>
  <c r="U137" i="29"/>
  <c r="W138" i="29"/>
  <c r="K163" i="32"/>
  <c r="AL11" i="32"/>
  <c r="AO89" i="23"/>
  <c r="Z115" i="23"/>
  <c r="X114" i="23"/>
  <c r="K108" i="32"/>
  <c r="H82" i="18"/>
  <c r="T142" i="18"/>
  <c r="AO43" i="18"/>
  <c r="AC16" i="23"/>
  <c r="AA15" i="23"/>
  <c r="AC78" i="18"/>
  <c r="Q44" i="23"/>
  <c r="AI83" i="23"/>
  <c r="AF45" i="23"/>
  <c r="N189" i="29"/>
  <c r="Q67" i="32"/>
  <c r="P67" i="32"/>
  <c r="H82" i="32"/>
  <c r="H75" i="18"/>
  <c r="F74" i="18"/>
  <c r="AI103" i="32"/>
  <c r="AC87" i="23"/>
  <c r="Z155" i="18"/>
  <c r="AA216" i="32"/>
  <c r="AC217" i="32"/>
  <c r="AF13" i="23"/>
  <c r="K155" i="18"/>
  <c r="AF105" i="32"/>
  <c r="X104" i="23"/>
  <c r="Z105" i="23"/>
  <c r="X20" i="23"/>
  <c r="Z21" i="23"/>
  <c r="AJ46" i="18"/>
  <c r="AL47" i="18"/>
  <c r="Z198" i="32"/>
  <c r="D153" i="29"/>
  <c r="AI50" i="18"/>
  <c r="Q47" i="23"/>
  <c r="N138" i="18"/>
  <c r="T153" i="18"/>
  <c r="R152" i="18"/>
  <c r="T61" i="23"/>
  <c r="K191" i="29"/>
  <c r="AI118" i="18"/>
  <c r="AD117" i="18"/>
  <c r="AF118" i="18"/>
  <c r="Z131" i="23"/>
  <c r="W78" i="32"/>
  <c r="V78" i="32"/>
  <c r="W79" i="18"/>
  <c r="H81" i="18"/>
  <c r="AL187" i="29"/>
  <c r="AJ186" i="29"/>
  <c r="AI206" i="29"/>
  <c r="AI50" i="23"/>
  <c r="Z49" i="18"/>
  <c r="AO134" i="18"/>
  <c r="T26" i="23"/>
  <c r="H151" i="29"/>
  <c r="AI55" i="18"/>
  <c r="Z43" i="23"/>
  <c r="AM133" i="23"/>
  <c r="AO134" i="23"/>
  <c r="H107" i="32"/>
  <c r="I46" i="18"/>
  <c r="K47" i="18"/>
  <c r="AD111" i="23"/>
  <c r="AF112" i="23"/>
  <c r="K93" i="23"/>
  <c r="Z70" i="18"/>
  <c r="H132" i="18"/>
  <c r="K100" i="18"/>
  <c r="W142" i="18"/>
  <c r="N8" i="8"/>
  <c r="Z155" i="29"/>
  <c r="AL79" i="18"/>
  <c r="K62" i="18"/>
  <c r="H62" i="18"/>
  <c r="AI137" i="23"/>
  <c r="H217" i="32"/>
  <c r="F216" i="32"/>
  <c r="Q142" i="23"/>
  <c r="AJ173" i="32"/>
  <c r="AL174" i="32"/>
  <c r="Q39" i="18"/>
  <c r="AI184" i="29"/>
  <c r="U102" i="18"/>
  <c r="W103" i="18"/>
  <c r="AF64" i="18"/>
  <c r="W87" i="23"/>
  <c r="K79" i="32"/>
  <c r="H85" i="18"/>
  <c r="W76" i="18"/>
  <c r="W50" i="23"/>
  <c r="L94" i="18"/>
  <c r="N96" i="18"/>
  <c r="Z167" i="32"/>
  <c r="X166" i="32"/>
  <c r="H127" i="23"/>
  <c r="W68" i="32"/>
  <c r="V68" i="32"/>
  <c r="AI112" i="23"/>
  <c r="AG111" i="23"/>
  <c r="F32" i="25"/>
  <c r="K168" i="29"/>
  <c r="F8" i="2"/>
  <c r="AL41" i="32"/>
  <c r="AO88" i="23"/>
  <c r="AF28" i="29"/>
  <c r="AD27" i="29"/>
  <c r="T78" i="18"/>
  <c r="O4" i="8"/>
  <c r="AI113" i="32"/>
  <c r="N46" i="23"/>
  <c r="Z9" i="32"/>
  <c r="F148" i="29"/>
  <c r="H149" i="29"/>
  <c r="AF78" i="32"/>
  <c r="AO80" i="18"/>
  <c r="T56" i="18"/>
  <c r="H71" i="18"/>
  <c r="F68" i="18"/>
  <c r="W139" i="18"/>
  <c r="AJ74" i="18"/>
  <c r="AL75" i="18"/>
  <c r="AF84" i="18"/>
  <c r="L173" i="32"/>
  <c r="N174" i="32"/>
  <c r="X35" i="18"/>
  <c r="Z36" i="18"/>
  <c r="H82" i="23"/>
  <c r="H31" i="18"/>
  <c r="F30" i="18"/>
  <c r="H72" i="23"/>
  <c r="Q68" i="23"/>
  <c r="AF82" i="32"/>
  <c r="N30" i="29"/>
  <c r="W47" i="18"/>
  <c r="U46" i="18"/>
  <c r="AL40" i="18"/>
  <c r="K77" i="32"/>
  <c r="AL109" i="23"/>
  <c r="W45" i="23"/>
  <c r="Z106" i="23"/>
  <c r="T61" i="18"/>
  <c r="R60" i="18"/>
  <c r="Z56" i="18"/>
  <c r="AI82" i="18"/>
  <c r="Z25" i="18"/>
  <c r="K24" i="18"/>
  <c r="H57" i="32"/>
  <c r="I25" i="32"/>
  <c r="K32" i="32"/>
  <c r="W86" i="23"/>
  <c r="H60" i="23"/>
  <c r="W119" i="18"/>
  <c r="W59" i="23"/>
  <c r="U58" i="23"/>
  <c r="Z61" i="23"/>
  <c r="N11" i="23"/>
  <c r="N123" i="32"/>
  <c r="H159" i="32"/>
  <c r="Z184" i="29"/>
  <c r="Q84" i="18"/>
  <c r="AI180" i="29"/>
  <c r="AG179" i="29"/>
  <c r="AL180" i="29"/>
  <c r="AI84" i="32"/>
  <c r="W22" i="23"/>
  <c r="H97" i="23"/>
  <c r="AF23" i="23"/>
  <c r="AG7" i="23"/>
  <c r="AI8" i="23"/>
  <c r="Q26" i="18"/>
  <c r="AF32" i="29"/>
  <c r="AL161" i="32"/>
  <c r="R179" i="29"/>
  <c r="T180" i="29"/>
  <c r="N4" i="8"/>
  <c r="N136" i="23"/>
  <c r="W145" i="18"/>
  <c r="Z71" i="23"/>
  <c r="F114" i="23"/>
  <c r="H115" i="23"/>
  <c r="AC144" i="18"/>
  <c r="AC41" i="23"/>
  <c r="R94" i="18"/>
  <c r="T96" i="18"/>
  <c r="N107" i="18"/>
  <c r="W187" i="29"/>
  <c r="U186" i="29"/>
  <c r="AC79" i="18"/>
  <c r="AI120" i="32"/>
  <c r="AC51" i="23"/>
  <c r="AI160" i="32"/>
  <c r="Z23" i="23"/>
  <c r="F166" i="29"/>
  <c r="H167" i="29"/>
  <c r="N17" i="18"/>
  <c r="K139" i="18"/>
  <c r="AI57" i="32"/>
  <c r="AC64" i="18"/>
  <c r="F4" i="16"/>
  <c r="F10" i="16" s="1"/>
  <c r="AF50" i="18"/>
  <c r="U179" i="29"/>
  <c r="W180" i="29"/>
  <c r="T109" i="32"/>
  <c r="K86" i="23"/>
  <c r="AA68" i="18"/>
  <c r="AC71" i="18"/>
  <c r="AF56" i="18"/>
  <c r="T53" i="18"/>
  <c r="W119" i="32"/>
  <c r="V119" i="32"/>
  <c r="Z44" i="23"/>
  <c r="AC89" i="23"/>
  <c r="H96" i="18"/>
  <c r="F94" i="18"/>
  <c r="AC99" i="23"/>
  <c r="AC81" i="18"/>
  <c r="AD98" i="18"/>
  <c r="AF99" i="18"/>
  <c r="AF31" i="29"/>
  <c r="H119" i="18"/>
  <c r="AC207" i="32"/>
  <c r="AB207" i="32"/>
  <c r="L60" i="18"/>
  <c r="N61" i="18"/>
  <c r="AF190" i="29"/>
  <c r="AI97" i="23"/>
  <c r="K142" i="18"/>
  <c r="AF81" i="32"/>
  <c r="O4" i="12"/>
  <c r="AA46" i="18"/>
  <c r="AC47" i="18"/>
  <c r="T167" i="29"/>
  <c r="R166" i="29"/>
  <c r="Z109" i="32"/>
  <c r="AC22" i="23"/>
  <c r="AI23" i="23"/>
  <c r="AL116" i="32"/>
  <c r="I8" i="28"/>
  <c r="AO145" i="18"/>
  <c r="N25" i="18"/>
  <c r="O133" i="23"/>
  <c r="Q135" i="23"/>
  <c r="X19" i="18"/>
  <c r="Z20" i="18"/>
  <c r="AC135" i="18"/>
  <c r="K23" i="23"/>
  <c r="T161" i="32"/>
  <c r="AA98" i="18"/>
  <c r="AC99" i="18"/>
  <c r="AI80" i="18"/>
  <c r="AI110" i="32"/>
  <c r="W74" i="32"/>
  <c r="V74" i="32"/>
  <c r="H140" i="18"/>
  <c r="F4" i="9"/>
  <c r="G4" i="14"/>
  <c r="AI41" i="18"/>
  <c r="N167" i="29"/>
  <c r="L166" i="29"/>
  <c r="AL92" i="23"/>
  <c r="AF88" i="23"/>
  <c r="T116" i="32"/>
  <c r="K207" i="32"/>
  <c r="AL85" i="18"/>
  <c r="AC10" i="23"/>
  <c r="AC73" i="23"/>
  <c r="AF131" i="18"/>
  <c r="K158" i="32"/>
  <c r="D166" i="32"/>
  <c r="W74" i="23"/>
  <c r="AO48" i="23"/>
  <c r="AI112" i="32"/>
  <c r="H74" i="23"/>
  <c r="AF10" i="23"/>
  <c r="N156" i="18"/>
  <c r="Z75" i="18"/>
  <c r="X74" i="18"/>
  <c r="Z43" i="18"/>
  <c r="Z118" i="32"/>
  <c r="AO71" i="23"/>
  <c r="N100" i="18"/>
  <c r="AI114" i="32"/>
  <c r="W56" i="18"/>
  <c r="AO36" i="18"/>
  <c r="AM35" i="18"/>
  <c r="AL91" i="23"/>
  <c r="AL132" i="18"/>
  <c r="K218" i="32"/>
  <c r="K131" i="23"/>
  <c r="AG30" i="18"/>
  <c r="AI31" i="18"/>
  <c r="AL85" i="23"/>
  <c r="AC118" i="32"/>
  <c r="AF78" i="23"/>
  <c r="AJ30" i="18"/>
  <c r="AL31" i="18"/>
  <c r="Z168" i="29"/>
  <c r="AI54" i="18"/>
  <c r="Z41" i="32"/>
  <c r="R15" i="23"/>
  <c r="T16" i="23"/>
  <c r="AI10" i="23"/>
  <c r="W164" i="32"/>
  <c r="V164" i="32"/>
  <c r="AD118" i="23"/>
  <c r="AF119" i="23"/>
  <c r="W80" i="32"/>
  <c r="V80" i="32"/>
  <c r="N81" i="32"/>
  <c r="AI119" i="23"/>
  <c r="AG118" i="23"/>
  <c r="K199" i="32"/>
  <c r="F156" i="32"/>
  <c r="H157" i="32"/>
  <c r="W115" i="32"/>
  <c r="V115" i="32"/>
  <c r="H76" i="32"/>
  <c r="Q110" i="32"/>
  <c r="P110" i="32"/>
  <c r="AI127" i="32"/>
  <c r="AL145" i="18"/>
  <c r="AI105" i="18"/>
  <c r="AO46" i="23"/>
  <c r="N99" i="23"/>
  <c r="K105" i="18"/>
  <c r="M4" i="11"/>
  <c r="Q96" i="18"/>
  <c r="O94" i="18"/>
  <c r="AC60" i="23"/>
  <c r="Z86" i="18"/>
  <c r="N31" i="18"/>
  <c r="L30" i="18"/>
  <c r="Q163" i="32"/>
  <c r="P163" i="32"/>
  <c r="I137" i="29"/>
  <c r="K138" i="29"/>
  <c r="AF117" i="32"/>
  <c r="K108" i="23"/>
  <c r="AC131" i="23"/>
  <c r="W56" i="23"/>
  <c r="AA202" i="32"/>
  <c r="AC203" i="32"/>
  <c r="AC140" i="18"/>
  <c r="V27" i="25"/>
  <c r="Z85" i="18"/>
  <c r="AO81" i="23"/>
  <c r="AC38" i="18"/>
  <c r="K151" i="29"/>
  <c r="W83" i="23"/>
  <c r="F128" i="18"/>
  <c r="H129" i="18"/>
  <c r="T110" i="32"/>
  <c r="N147" i="18"/>
  <c r="T73" i="23"/>
  <c r="AL67" i="23"/>
  <c r="AJ66" i="23"/>
  <c r="AL24" i="18"/>
  <c r="Q115" i="18"/>
  <c r="W67" i="32"/>
  <c r="V67" i="32"/>
  <c r="N93" i="23"/>
  <c r="L4" i="11"/>
  <c r="AL104" i="18"/>
  <c r="W149" i="29"/>
  <c r="U148" i="29"/>
  <c r="AO97" i="23"/>
  <c r="W125" i="32"/>
  <c r="V125" i="32"/>
  <c r="O160" i="29"/>
  <c r="Q161" i="29"/>
  <c r="T133" i="18"/>
  <c r="L111" i="23"/>
  <c r="N112" i="23"/>
  <c r="K20" i="25"/>
  <c r="Q17" i="23"/>
  <c r="Z108" i="23"/>
  <c r="H8" i="27"/>
  <c r="N154" i="18"/>
  <c r="AL120" i="32"/>
  <c r="H76" i="18"/>
  <c r="W105" i="32"/>
  <c r="V105" i="32"/>
  <c r="W102" i="23"/>
  <c r="F152" i="18"/>
  <c r="H153" i="18"/>
  <c r="AF71" i="32"/>
  <c r="H10" i="23"/>
  <c r="K80" i="32"/>
  <c r="AF32" i="32"/>
  <c r="AD25" i="32"/>
  <c r="W190" i="29"/>
  <c r="AD166" i="29"/>
  <c r="AF167" i="29"/>
  <c r="Z76" i="32"/>
  <c r="AF140" i="18"/>
  <c r="AF151" i="29"/>
  <c r="W109" i="32"/>
  <c r="V109" i="32"/>
  <c r="I118" i="23"/>
  <c r="K119" i="23"/>
  <c r="T26" i="18"/>
  <c r="AF41" i="23"/>
  <c r="AL20" i="18"/>
  <c r="AJ19" i="18"/>
  <c r="N84" i="18"/>
  <c r="N114" i="32"/>
  <c r="AI206" i="32"/>
  <c r="AO21" i="18"/>
  <c r="X152" i="18"/>
  <c r="Z153" i="18"/>
  <c r="AL37" i="18"/>
  <c r="AL157" i="29"/>
  <c r="Q169" i="32"/>
  <c r="P169" i="32"/>
  <c r="T115" i="32"/>
  <c r="X30" i="18"/>
  <c r="Z31" i="18"/>
  <c r="F8" i="8"/>
  <c r="H218" i="32"/>
  <c r="AC120" i="32"/>
  <c r="AO65" i="18"/>
  <c r="K188" i="29"/>
  <c r="AL138" i="18"/>
  <c r="K44" i="18"/>
  <c r="AJ60" i="29"/>
  <c r="AL61" i="29"/>
  <c r="AC127" i="32"/>
  <c r="AA118" i="23"/>
  <c r="AC119" i="23"/>
  <c r="N12" i="32"/>
  <c r="AC131" i="18"/>
  <c r="AI120" i="18"/>
  <c r="H101" i="23"/>
  <c r="AC135" i="23"/>
  <c r="AA133" i="23"/>
  <c r="AO41" i="18"/>
  <c r="AL109" i="32"/>
  <c r="T28" i="18"/>
  <c r="AF155" i="29"/>
  <c r="K32" i="29"/>
  <c r="AF137" i="18"/>
  <c r="AI126" i="23"/>
  <c r="AG125" i="23"/>
  <c r="AC156" i="18"/>
  <c r="K123" i="32"/>
  <c r="H117" i="32"/>
  <c r="M4" i="12"/>
  <c r="W155" i="18"/>
  <c r="AC9" i="23"/>
  <c r="AO101" i="23"/>
  <c r="O111" i="23"/>
  <c r="Q112" i="23"/>
  <c r="H88" i="18"/>
  <c r="AF222" i="32"/>
  <c r="W8" i="18"/>
  <c r="U7" i="18"/>
  <c r="T206" i="32"/>
  <c r="M4" i="17"/>
  <c r="H95" i="23"/>
  <c r="Q79" i="32"/>
  <c r="P79" i="32"/>
  <c r="AO43" i="23"/>
  <c r="K46" i="23"/>
  <c r="AL147" i="18"/>
  <c r="N40" i="18"/>
  <c r="N164" i="32"/>
  <c r="AC107" i="32"/>
  <c r="AB107" i="32"/>
  <c r="K48" i="23"/>
  <c r="K68" i="32"/>
  <c r="Q16" i="23"/>
  <c r="O15" i="23"/>
  <c r="N23" i="18"/>
  <c r="AC64" i="32"/>
  <c r="AA63" i="32"/>
  <c r="Q188" i="29"/>
  <c r="T158" i="29"/>
  <c r="K164" i="32"/>
  <c r="AF38" i="18"/>
  <c r="AL183" i="32"/>
  <c r="AJ182" i="32"/>
  <c r="AC65" i="32"/>
  <c r="AA20" i="23"/>
  <c r="AC21" i="23"/>
  <c r="K76" i="32"/>
  <c r="I166" i="32"/>
  <c r="K167" i="32"/>
  <c r="T12" i="32"/>
  <c r="AI81" i="18"/>
  <c r="Q124" i="32"/>
  <c r="P124" i="32"/>
  <c r="N171" i="32"/>
  <c r="H55" i="18"/>
  <c r="H53" i="18"/>
  <c r="AC133" i="18"/>
  <c r="K187" i="29"/>
  <c r="I186" i="29"/>
  <c r="AF108" i="32"/>
  <c r="Z144" i="18"/>
  <c r="N124" i="32"/>
  <c r="L8" i="14"/>
  <c r="Z130" i="18"/>
  <c r="Q76" i="32"/>
  <c r="P76" i="32"/>
  <c r="T80" i="32"/>
  <c r="K4" i="11"/>
  <c r="AI221" i="32"/>
  <c r="AG220" i="32"/>
  <c r="W12" i="32"/>
  <c r="V12" i="32"/>
  <c r="K79" i="23"/>
  <c r="Z101" i="23"/>
  <c r="AD60" i="29"/>
  <c r="AF61" i="29"/>
  <c r="AC77" i="32"/>
  <c r="H78" i="23"/>
  <c r="W106" i="18"/>
  <c r="T126" i="23"/>
  <c r="R125" i="23"/>
  <c r="T158" i="32"/>
  <c r="N111" i="32"/>
  <c r="W78" i="18"/>
  <c r="T155" i="18"/>
  <c r="Z21" i="18"/>
  <c r="AL81" i="32"/>
  <c r="K81" i="32"/>
  <c r="AF108" i="18"/>
  <c r="K74" i="23"/>
  <c r="O8" i="7"/>
  <c r="K72" i="32"/>
  <c r="AL46" i="23"/>
  <c r="AC188" i="29"/>
  <c r="T22" i="23"/>
  <c r="K9" i="18"/>
  <c r="K54" i="18"/>
  <c r="G4" i="15"/>
  <c r="AF85" i="23"/>
  <c r="H168" i="29"/>
  <c r="T77" i="18"/>
  <c r="N205" i="29"/>
  <c r="L204" i="29"/>
  <c r="N49" i="18"/>
  <c r="S34" i="25"/>
  <c r="T34" i="25" s="1"/>
  <c r="T35" i="25"/>
  <c r="W206" i="32"/>
  <c r="V206" i="32"/>
  <c r="N108" i="23"/>
  <c r="H44" i="23"/>
  <c r="K111" i="32"/>
  <c r="W98" i="23"/>
  <c r="Q80" i="32"/>
  <c r="P80" i="32"/>
  <c r="AO72" i="18"/>
  <c r="H47" i="23"/>
  <c r="AL114" i="32"/>
  <c r="N133" i="18"/>
  <c r="Z205" i="32"/>
  <c r="AL106" i="32"/>
  <c r="AF119" i="18"/>
  <c r="K119" i="18"/>
  <c r="AF164" i="32"/>
  <c r="AF127" i="32"/>
  <c r="T74" i="32"/>
  <c r="Q72" i="32"/>
  <c r="P72" i="32"/>
  <c r="O4" i="13"/>
  <c r="AC107" i="18"/>
  <c r="T57" i="18"/>
  <c r="AL98" i="23"/>
  <c r="W200" i="32"/>
  <c r="V200" i="32"/>
  <c r="AC57" i="32"/>
  <c r="Q93" i="23"/>
  <c r="AO50" i="23"/>
  <c r="W142" i="23"/>
  <c r="W77" i="18"/>
  <c r="D137" i="29"/>
  <c r="J8" i="28"/>
  <c r="AI187" i="29"/>
  <c r="AG186" i="29"/>
  <c r="K156" i="29"/>
  <c r="AI207" i="32"/>
  <c r="W136" i="18"/>
  <c r="W73" i="23"/>
  <c r="K17" i="18"/>
  <c r="Z41" i="23"/>
  <c r="N112" i="32"/>
  <c r="AC153" i="18"/>
  <c r="AA152" i="18"/>
  <c r="Z72" i="32"/>
  <c r="AO90" i="23"/>
  <c r="K133" i="18"/>
  <c r="AC158" i="32"/>
  <c r="AB158" i="32"/>
  <c r="Q90" i="23"/>
  <c r="AI196" i="32"/>
  <c r="AG195" i="32"/>
  <c r="K91" i="23"/>
  <c r="AL24" i="23"/>
  <c r="R216" i="32"/>
  <c r="T217" i="32"/>
  <c r="AO40" i="18"/>
  <c r="Q56" i="18"/>
  <c r="Q97" i="23"/>
  <c r="AC28" i="18"/>
  <c r="N162" i="32"/>
  <c r="AO156" i="18"/>
  <c r="H83" i="18"/>
  <c r="AL56" i="18"/>
  <c r="AI171" i="32"/>
  <c r="AL140" i="18"/>
  <c r="K61" i="18"/>
  <c r="I60" i="18"/>
  <c r="AL207" i="32"/>
  <c r="N68" i="32"/>
  <c r="AL125" i="32"/>
  <c r="AI126" i="32"/>
  <c r="AF120" i="32"/>
  <c r="AC154" i="18"/>
  <c r="AL90" i="23"/>
  <c r="T70" i="23"/>
  <c r="Q75" i="18"/>
  <c r="O74" i="18"/>
  <c r="N4" i="1"/>
  <c r="N10" i="1" s="1"/>
  <c r="T86" i="18"/>
  <c r="Q168" i="29"/>
  <c r="T168" i="29"/>
  <c r="N89" i="23"/>
  <c r="AL52" i="18"/>
  <c r="Q61" i="23"/>
  <c r="AF161" i="32"/>
  <c r="K8" i="17"/>
  <c r="U129" i="23"/>
  <c r="W130" i="23"/>
  <c r="W47" i="23"/>
  <c r="N109" i="18"/>
  <c r="N158" i="32"/>
  <c r="AC206" i="29"/>
  <c r="Z63" i="18"/>
  <c r="Z11" i="23"/>
  <c r="K80" i="23"/>
  <c r="L104" i="23"/>
  <c r="N105" i="23"/>
  <c r="H222" i="32"/>
  <c r="AL86" i="18"/>
  <c r="AC25" i="18"/>
  <c r="Q11" i="32"/>
  <c r="P11" i="32"/>
  <c r="N79" i="18"/>
  <c r="AI106" i="18"/>
  <c r="AL131" i="18"/>
  <c r="AO112" i="23"/>
  <c r="AM111" i="23"/>
  <c r="AA148" i="29"/>
  <c r="AC149" i="29"/>
  <c r="Z162" i="32"/>
  <c r="AL76" i="32"/>
  <c r="H170" i="32"/>
  <c r="AF84" i="23"/>
  <c r="N55" i="18"/>
  <c r="Z133" i="18"/>
  <c r="N56" i="18"/>
  <c r="AI12" i="23"/>
  <c r="Z31" i="29"/>
  <c r="K206" i="32"/>
  <c r="H114" i="32"/>
  <c r="AF22" i="18"/>
  <c r="AI145" i="18"/>
  <c r="Z64" i="18"/>
  <c r="AF55" i="18"/>
  <c r="X179" i="29"/>
  <c r="Z180" i="29"/>
  <c r="Q8" i="18"/>
  <c r="O7" i="18"/>
  <c r="AL154" i="18"/>
  <c r="N8" i="12"/>
  <c r="N167" i="32"/>
  <c r="L166" i="32"/>
  <c r="AC13" i="23"/>
  <c r="T65" i="32"/>
  <c r="AF72" i="32"/>
  <c r="AL113" i="32"/>
  <c r="W199" i="32"/>
  <c r="V199" i="32"/>
  <c r="AF66" i="32"/>
  <c r="S23" i="25"/>
  <c r="T23" i="25" s="1"/>
  <c r="T24" i="25"/>
  <c r="W144" i="18"/>
  <c r="T41" i="23"/>
  <c r="AL8" i="18"/>
  <c r="AJ7" i="18"/>
  <c r="N145" i="18"/>
  <c r="AO130" i="18"/>
  <c r="H190" i="29"/>
  <c r="N190" i="29"/>
  <c r="X39" i="32"/>
  <c r="Z40" i="32"/>
  <c r="AF106" i="23"/>
  <c r="T41" i="18"/>
  <c r="AF75" i="23"/>
  <c r="T139" i="18"/>
  <c r="R4" i="1"/>
  <c r="N77" i="32"/>
  <c r="Z24" i="18"/>
  <c r="AF116" i="32"/>
  <c r="AC187" i="29"/>
  <c r="AA186" i="29"/>
  <c r="H63" i="18"/>
  <c r="L19" i="18"/>
  <c r="N20" i="18"/>
  <c r="K162" i="32"/>
  <c r="Q41" i="23"/>
  <c r="AO137" i="23"/>
  <c r="AL150" i="29"/>
  <c r="T200" i="32"/>
  <c r="AC92" i="23"/>
  <c r="Q75" i="23"/>
  <c r="O97" i="29"/>
  <c r="Q98" i="29"/>
  <c r="K131" i="18"/>
  <c r="W158" i="29"/>
  <c r="AC23" i="23"/>
  <c r="AD173" i="32"/>
  <c r="AF174" i="32"/>
  <c r="AC33" i="18"/>
  <c r="O114" i="23"/>
  <c r="Q115" i="23"/>
  <c r="H33" i="18"/>
  <c r="AF16" i="23"/>
  <c r="AD15" i="23"/>
  <c r="H51" i="18"/>
  <c r="AC21" i="18"/>
  <c r="K11" i="23"/>
  <c r="AC48" i="23"/>
  <c r="AF89" i="18"/>
  <c r="Z161" i="32"/>
  <c r="C11" i="31"/>
  <c r="H108" i="18"/>
  <c r="H65" i="18"/>
  <c r="N80" i="23"/>
  <c r="AC22" i="18"/>
  <c r="O60" i="18"/>
  <c r="Q61" i="18"/>
  <c r="Z37" i="18"/>
  <c r="AO135" i="18"/>
  <c r="Q95" i="23"/>
  <c r="W150" i="29"/>
  <c r="Z106" i="32"/>
  <c r="AI138" i="29"/>
  <c r="AG137" i="29"/>
  <c r="AI109" i="23"/>
  <c r="N109" i="23"/>
  <c r="AI72" i="23"/>
  <c r="H70" i="23"/>
  <c r="U160" i="29"/>
  <c r="W161" i="29"/>
  <c r="H206" i="29"/>
  <c r="H104" i="32"/>
  <c r="W13" i="23"/>
  <c r="AO28" i="18"/>
  <c r="H120" i="23"/>
  <c r="AG101" i="32"/>
  <c r="AI102" i="32"/>
  <c r="N122" i="32"/>
  <c r="AI67" i="32"/>
  <c r="T36" i="18"/>
  <c r="R35" i="18"/>
  <c r="W120" i="32"/>
  <c r="V120" i="32"/>
  <c r="AF65" i="18"/>
  <c r="T92" i="23"/>
  <c r="Q167" i="29"/>
  <c r="O166" i="29"/>
  <c r="H88" i="23"/>
  <c r="D200" i="29"/>
  <c r="N82" i="32"/>
  <c r="AL197" i="32"/>
  <c r="AC100" i="18"/>
  <c r="AF96" i="23"/>
  <c r="AC88" i="18"/>
  <c r="H75" i="23"/>
  <c r="AI190" i="29"/>
  <c r="T106" i="32"/>
  <c r="AC137" i="18"/>
  <c r="H155" i="18"/>
  <c r="Q81" i="23"/>
  <c r="O4" i="27"/>
  <c r="Q113" i="32"/>
  <c r="P113" i="32"/>
  <c r="N10" i="23"/>
  <c r="AA179" i="29"/>
  <c r="AC180" i="29"/>
  <c r="T169" i="32"/>
  <c r="AI86" i="18"/>
  <c r="AO54" i="18"/>
  <c r="K4" i="7"/>
  <c r="AC102" i="32"/>
  <c r="AA101" i="32"/>
  <c r="AB102" i="32"/>
  <c r="X102" i="18"/>
  <c r="Z103" i="18"/>
  <c r="N86" i="23"/>
  <c r="Q205" i="29"/>
  <c r="O204" i="29"/>
  <c r="T49" i="18"/>
  <c r="AL59" i="23"/>
  <c r="AJ58" i="23"/>
  <c r="N217" i="32"/>
  <c r="L216" i="32"/>
  <c r="Q65" i="18"/>
  <c r="K75" i="32"/>
  <c r="W33" i="18"/>
  <c r="W88" i="23"/>
  <c r="H202" i="29"/>
  <c r="K8" i="8"/>
  <c r="N32" i="29"/>
  <c r="F4" i="17"/>
  <c r="H42" i="23"/>
  <c r="Q106" i="32"/>
  <c r="P106" i="32"/>
  <c r="AI100" i="23"/>
  <c r="Q79" i="18"/>
  <c r="F4" i="10"/>
  <c r="N74" i="23"/>
  <c r="P8" i="27"/>
  <c r="H22" i="23"/>
  <c r="Q29" i="29"/>
  <c r="N92" i="23"/>
  <c r="H113" i="32"/>
  <c r="T137" i="18"/>
  <c r="N8" i="11"/>
  <c r="K118" i="18"/>
  <c r="I117" i="18"/>
  <c r="N180" i="29"/>
  <c r="L179" i="29"/>
  <c r="K134" i="23"/>
  <c r="AG216" i="32"/>
  <c r="AI217" i="32"/>
  <c r="H79" i="18"/>
  <c r="T134" i="23"/>
  <c r="N44" i="23"/>
  <c r="Q161" i="32"/>
  <c r="P161" i="32"/>
  <c r="L7" i="18"/>
  <c r="N8" i="18"/>
  <c r="AI65" i="18"/>
  <c r="Q78" i="23"/>
  <c r="Q158" i="29"/>
  <c r="H20" i="18"/>
  <c r="F19" i="18"/>
  <c r="X125" i="23"/>
  <c r="Z126" i="23"/>
  <c r="AM129" i="23"/>
  <c r="AO130" i="23"/>
  <c r="AL127" i="32"/>
  <c r="K104" i="18"/>
  <c r="N102" i="32"/>
  <c r="L101" i="32"/>
  <c r="Q84" i="23"/>
  <c r="Q131" i="18"/>
  <c r="H93" i="23"/>
  <c r="H77" i="18"/>
  <c r="AA39" i="32"/>
  <c r="AC40" i="32"/>
  <c r="AB40" i="32"/>
  <c r="AL68" i="32"/>
  <c r="AC161" i="29"/>
  <c r="AA160" i="29"/>
  <c r="T199" i="32"/>
  <c r="AL155" i="29"/>
  <c r="AK155" i="29"/>
  <c r="AI79" i="32"/>
  <c r="M20" i="25"/>
  <c r="AC97" i="23"/>
  <c r="W69" i="32"/>
  <c r="V69" i="32"/>
  <c r="AF156" i="29"/>
  <c r="T121" i="32"/>
  <c r="AC50" i="23"/>
  <c r="AF95" i="23"/>
  <c r="AF11" i="32"/>
  <c r="T78" i="23"/>
  <c r="AC134" i="23"/>
  <c r="AF94" i="23"/>
  <c r="L27" i="29"/>
  <c r="N28" i="29"/>
  <c r="O8" i="10"/>
  <c r="T117" i="32"/>
  <c r="AI107" i="23"/>
  <c r="AI121" i="32"/>
  <c r="Q44" i="18"/>
  <c r="Q10" i="18"/>
  <c r="T131" i="23"/>
  <c r="AF41" i="32"/>
  <c r="AO22" i="23"/>
  <c r="AI55" i="23"/>
  <c r="AG54" i="23"/>
  <c r="Z80" i="18"/>
  <c r="AI158" i="29"/>
  <c r="Q69" i="23"/>
  <c r="AF155" i="18"/>
  <c r="AO116" i="23"/>
  <c r="N158" i="29"/>
  <c r="Z53" i="18"/>
  <c r="AF88" i="18"/>
  <c r="AO92" i="23"/>
  <c r="T68" i="32"/>
  <c r="R74" i="18"/>
  <c r="T75" i="18"/>
  <c r="AI80" i="23"/>
  <c r="F27" i="29"/>
  <c r="H28" i="29"/>
  <c r="AO83" i="18"/>
  <c r="AF187" i="29"/>
  <c r="AD186" i="29"/>
  <c r="K68" i="23"/>
  <c r="I66" i="23"/>
  <c r="L8" i="7"/>
  <c r="AI162" i="32"/>
  <c r="AL200" i="32"/>
  <c r="N100" i="23"/>
  <c r="F6" i="32"/>
  <c r="H7" i="32"/>
  <c r="W168" i="29"/>
  <c r="T107" i="18"/>
  <c r="U39" i="23"/>
  <c r="W40" i="23"/>
  <c r="AC80" i="32"/>
  <c r="AB80" i="32"/>
  <c r="Q201" i="29"/>
  <c r="O200" i="29"/>
  <c r="R7" i="18"/>
  <c r="T8" i="18"/>
  <c r="T109" i="18"/>
  <c r="Q8" i="27"/>
  <c r="J4" i="28"/>
  <c r="F117" i="18"/>
  <c r="H118" i="18"/>
  <c r="AI141" i="18"/>
  <c r="Q136" i="18"/>
  <c r="X202" i="32"/>
  <c r="Z203" i="32"/>
  <c r="T7" i="29"/>
  <c r="R6" i="29"/>
  <c r="Q64" i="18"/>
  <c r="Q11" i="23"/>
  <c r="AF101" i="23"/>
  <c r="AL78" i="23"/>
  <c r="K120" i="23"/>
  <c r="AF136" i="23"/>
  <c r="AC69" i="32"/>
  <c r="AB69" i="32"/>
  <c r="W133" i="18"/>
  <c r="N4" i="7"/>
  <c r="N10" i="7" s="1"/>
  <c r="W24" i="18"/>
  <c r="AL84" i="23"/>
  <c r="H116" i="23"/>
  <c r="AF162" i="32"/>
  <c r="AO98" i="23"/>
  <c r="M4" i="28"/>
  <c r="AI83" i="18"/>
  <c r="U97" i="29"/>
  <c r="W98" i="29"/>
  <c r="Q43" i="18"/>
  <c r="AC168" i="32"/>
  <c r="AB168" i="32"/>
  <c r="N206" i="32"/>
  <c r="T69" i="23"/>
  <c r="L8" i="28"/>
  <c r="AI53" i="18"/>
  <c r="L220" i="32"/>
  <c r="N221" i="32"/>
  <c r="AM54" i="23"/>
  <c r="AO55" i="23"/>
  <c r="T76" i="23"/>
  <c r="D173" i="32"/>
  <c r="H12" i="23"/>
  <c r="N157" i="32"/>
  <c r="L156" i="32"/>
  <c r="AC109" i="18"/>
  <c r="AA66" i="23"/>
  <c r="AA39" i="23"/>
  <c r="AC40" i="23"/>
  <c r="T87" i="23"/>
  <c r="O117" i="18"/>
  <c r="Q118" i="18"/>
  <c r="AF65" i="32"/>
  <c r="Q157" i="32"/>
  <c r="O156" i="32"/>
  <c r="P157" i="32"/>
  <c r="W106" i="32"/>
  <c r="V106" i="32"/>
  <c r="AF110" i="32"/>
  <c r="T29" i="29"/>
  <c r="L58" i="23"/>
  <c r="N59" i="23"/>
  <c r="AO67" i="23"/>
  <c r="AM66" i="23"/>
  <c r="N88" i="23"/>
  <c r="AG156" i="32"/>
  <c r="AI157" i="32"/>
  <c r="K147" i="18"/>
  <c r="AI32" i="32"/>
  <c r="AG25" i="32"/>
  <c r="Z188" i="29"/>
  <c r="T130" i="18"/>
  <c r="AI158" i="32"/>
  <c r="AO48" i="18"/>
  <c r="AL100" i="23"/>
  <c r="Z135" i="18"/>
  <c r="Z108" i="32"/>
  <c r="H80" i="32"/>
  <c r="AI17" i="18"/>
  <c r="AI125" i="32"/>
  <c r="AI9" i="23"/>
  <c r="H115" i="32"/>
  <c r="AO102" i="23"/>
  <c r="AC65" i="18"/>
  <c r="L102" i="18"/>
  <c r="N103" i="18"/>
  <c r="J4" i="1"/>
  <c r="O20" i="23"/>
  <c r="Q21" i="23"/>
  <c r="AO132" i="18"/>
  <c r="W85" i="18"/>
  <c r="V126" i="32"/>
  <c r="W126" i="32"/>
  <c r="Z52" i="23"/>
  <c r="AI42" i="18"/>
  <c r="AI123" i="32"/>
  <c r="AI106" i="32"/>
  <c r="W143" i="18"/>
  <c r="AL41" i="18"/>
  <c r="Q4" i="1"/>
  <c r="Q133" i="18"/>
  <c r="AO86" i="23"/>
  <c r="O4" i="11"/>
  <c r="O10" i="11" s="1"/>
  <c r="AL51" i="18"/>
  <c r="L8" i="9"/>
  <c r="N184" i="29"/>
  <c r="L4" i="10"/>
  <c r="Z110" i="32"/>
  <c r="AF26" i="18"/>
  <c r="AF103" i="32"/>
  <c r="W54" i="18"/>
  <c r="K33" i="18"/>
  <c r="T119" i="18"/>
  <c r="Z69" i="32"/>
  <c r="T10" i="18"/>
  <c r="Q199" i="32"/>
  <c r="P199" i="32"/>
  <c r="AL25" i="18"/>
  <c r="AO9" i="18"/>
  <c r="AI96" i="23"/>
  <c r="Q70" i="32"/>
  <c r="P70" i="32"/>
  <c r="AF23" i="18"/>
  <c r="N79" i="23"/>
  <c r="AF28" i="18"/>
  <c r="AL129" i="18"/>
  <c r="AJ128" i="18"/>
  <c r="AO33" i="18"/>
  <c r="D148" i="29"/>
  <c r="AC105" i="23"/>
  <c r="AA104" i="23"/>
  <c r="T202" i="29"/>
  <c r="AL149" i="29"/>
  <c r="AJ148" i="29"/>
  <c r="AK149" i="29"/>
  <c r="AC39" i="18"/>
  <c r="H87" i="23"/>
  <c r="Q46" i="23"/>
  <c r="AC69" i="23"/>
  <c r="AC155" i="29"/>
  <c r="AI131" i="18"/>
  <c r="AO59" i="23"/>
  <c r="AM58" i="23"/>
  <c r="W101" i="23"/>
  <c r="Z90" i="23"/>
  <c r="G8" i="11"/>
  <c r="AC158" i="29"/>
  <c r="T154" i="29"/>
  <c r="R153" i="29"/>
  <c r="Q10" i="32"/>
  <c r="P10" i="32"/>
  <c r="N191" i="29"/>
  <c r="Q140" i="18"/>
  <c r="AF69" i="23"/>
  <c r="K160" i="32"/>
  <c r="H25" i="18"/>
  <c r="H125" i="32"/>
  <c r="T140" i="18"/>
  <c r="N26" i="18"/>
  <c r="AF147" i="18"/>
  <c r="D204" i="29"/>
  <c r="AO106" i="18"/>
  <c r="AL10" i="32"/>
  <c r="H142" i="23"/>
  <c r="AI168" i="29"/>
  <c r="AC106" i="18"/>
  <c r="T21" i="18"/>
  <c r="R118" i="23"/>
  <c r="T119" i="23"/>
  <c r="AO70" i="18"/>
  <c r="R204" i="29"/>
  <c r="T205" i="29"/>
  <c r="AL26" i="18"/>
  <c r="Z197" i="32"/>
  <c r="K154" i="18"/>
  <c r="W88" i="18"/>
  <c r="N22" i="23"/>
  <c r="Q31" i="29"/>
  <c r="N41" i="18"/>
  <c r="Q72" i="23"/>
  <c r="W55" i="18"/>
  <c r="AO104" i="18"/>
  <c r="T33" i="32"/>
  <c r="W112" i="23"/>
  <c r="U111" i="23"/>
  <c r="K52" i="23"/>
  <c r="O8" i="28"/>
  <c r="AI104" i="32"/>
  <c r="T108" i="32"/>
  <c r="H106" i="23"/>
  <c r="T111" i="32"/>
  <c r="AO127" i="23"/>
  <c r="T81" i="23"/>
  <c r="AC142" i="23"/>
  <c r="K98" i="23"/>
  <c r="O4" i="15"/>
  <c r="T72" i="32"/>
  <c r="T56" i="23"/>
  <c r="Z86" i="23"/>
  <c r="K102" i="32"/>
  <c r="I101" i="32"/>
  <c r="N24" i="23"/>
  <c r="AL171" i="32"/>
  <c r="N4" i="2"/>
  <c r="AF70" i="18"/>
  <c r="K180" i="29"/>
  <c r="I179" i="29"/>
  <c r="AL65" i="32"/>
  <c r="T42" i="23"/>
  <c r="AF206" i="32"/>
  <c r="K96" i="18"/>
  <c r="I94" i="18"/>
  <c r="N82" i="18"/>
  <c r="X94" i="18"/>
  <c r="Z96" i="18"/>
  <c r="AF70" i="32"/>
  <c r="I27" i="29"/>
  <c r="K28" i="29"/>
  <c r="Q52" i="18"/>
  <c r="AO27" i="18"/>
  <c r="Z12" i="23"/>
  <c r="K53" i="18"/>
  <c r="AC222" i="32"/>
  <c r="AB222" i="32"/>
  <c r="Q32" i="32"/>
  <c r="O25" i="32"/>
  <c r="P32" i="32"/>
  <c r="Z205" i="29"/>
  <c r="X204" i="29"/>
  <c r="AD19" i="18"/>
  <c r="AF20" i="18"/>
  <c r="AA30" i="18"/>
  <c r="AC31" i="18"/>
  <c r="AI157" i="29"/>
  <c r="T108" i="23"/>
  <c r="AC55" i="23"/>
  <c r="AA54" i="23"/>
  <c r="Z202" i="29"/>
  <c r="AF76" i="32"/>
  <c r="T81" i="18"/>
  <c r="T11" i="32"/>
  <c r="L4" i="12"/>
  <c r="L10" i="12" s="1"/>
  <c r="Z154" i="18"/>
  <c r="S8" i="28"/>
  <c r="AL218" i="32"/>
  <c r="Q24" i="23"/>
  <c r="Q89" i="18"/>
  <c r="N109" i="32"/>
  <c r="AC36" i="18"/>
  <c r="AA35" i="18"/>
  <c r="W21" i="18"/>
  <c r="T83" i="32"/>
  <c r="T93" i="23"/>
  <c r="Z116" i="23"/>
  <c r="H36" i="18"/>
  <c r="F35" i="18"/>
  <c r="N197" i="32"/>
  <c r="N64" i="18"/>
  <c r="M8" i="2"/>
  <c r="Q27" i="18"/>
  <c r="AO47" i="23"/>
  <c r="W80" i="18"/>
  <c r="U38" i="29"/>
  <c r="W39" i="29"/>
  <c r="Z217" i="32"/>
  <c r="X216" i="32"/>
  <c r="AI104" i="18"/>
  <c r="K84" i="18"/>
  <c r="F4" i="12"/>
  <c r="N72" i="23"/>
  <c r="K135" i="18"/>
  <c r="AL45" i="23"/>
  <c r="AI45" i="23"/>
  <c r="AI96" i="18"/>
  <c r="AG94" i="18"/>
  <c r="N90" i="23"/>
  <c r="K104" i="32"/>
  <c r="W64" i="18"/>
  <c r="T162" i="32"/>
  <c r="C12" i="31"/>
  <c r="Q58" i="18"/>
  <c r="O8" i="8"/>
  <c r="O4" i="7"/>
  <c r="AL76" i="18"/>
  <c r="X54" i="23"/>
  <c r="Z55" i="23"/>
  <c r="H48" i="23"/>
  <c r="H17" i="18"/>
  <c r="AC67" i="23"/>
  <c r="Z103" i="32"/>
  <c r="E207" i="32"/>
  <c r="N117" i="32"/>
  <c r="Z107" i="23"/>
  <c r="AF67" i="23"/>
  <c r="U204" i="29"/>
  <c r="W205" i="29"/>
  <c r="M4" i="7"/>
  <c r="O216" i="32"/>
  <c r="Q217" i="32"/>
  <c r="P217" i="32"/>
  <c r="F195" i="32"/>
  <c r="H196" i="32"/>
  <c r="M4" i="15"/>
  <c r="W85" i="23"/>
  <c r="Z29" i="29"/>
  <c r="AC27" i="18"/>
  <c r="N218" i="32"/>
  <c r="AL72" i="23"/>
  <c r="AL8" i="23"/>
  <c r="AJ7" i="23"/>
  <c r="W72" i="18"/>
  <c r="AJ39" i="23"/>
  <c r="AL40" i="23"/>
  <c r="AO138" i="18"/>
  <c r="Q25" i="18"/>
  <c r="AI106" i="23"/>
  <c r="AC70" i="18"/>
  <c r="T9" i="23"/>
  <c r="T95" i="23"/>
  <c r="N105" i="32"/>
  <c r="K107" i="18"/>
  <c r="N163" i="32"/>
  <c r="K107" i="32"/>
  <c r="Z79" i="32"/>
  <c r="AI74" i="23"/>
  <c r="AI41" i="23"/>
  <c r="AO73" i="23"/>
  <c r="T60" i="23"/>
  <c r="S4" i="28"/>
  <c r="D97" i="29"/>
  <c r="N8" i="14"/>
  <c r="V114" i="32"/>
  <c r="W114" i="32"/>
  <c r="AC24" i="23"/>
  <c r="T52" i="18"/>
  <c r="AI32" i="29"/>
  <c r="AH32" i="29"/>
  <c r="I202" i="32"/>
  <c r="K203" i="32"/>
  <c r="F129" i="23"/>
  <c r="H130" i="23"/>
  <c r="AC121" i="32"/>
  <c r="AB121" i="32"/>
  <c r="K56" i="18"/>
  <c r="R133" i="23"/>
  <c r="T135" i="23"/>
  <c r="K4" i="15"/>
  <c r="Q9" i="32"/>
  <c r="P9" i="32"/>
  <c r="AL43" i="18"/>
  <c r="N75" i="23"/>
  <c r="AL116" i="23"/>
  <c r="AF57" i="18"/>
  <c r="AO49" i="18"/>
  <c r="Z84" i="32"/>
  <c r="K22" i="18"/>
  <c r="K60" i="23"/>
  <c r="N55" i="23"/>
  <c r="L54" i="23"/>
  <c r="AF61" i="18"/>
  <c r="AD60" i="18"/>
  <c r="H67" i="32"/>
  <c r="AL49" i="18"/>
  <c r="AO40" i="23"/>
  <c r="AM39" i="23"/>
  <c r="H99" i="23"/>
  <c r="W89" i="23"/>
  <c r="Z48" i="23"/>
  <c r="Z137" i="23"/>
  <c r="T155" i="29"/>
  <c r="T107" i="32"/>
  <c r="AG46" i="18"/>
  <c r="AI47" i="18"/>
  <c r="AC11" i="23"/>
  <c r="Q150" i="29"/>
  <c r="AF68" i="23"/>
  <c r="AC68" i="32"/>
  <c r="AB68" i="32"/>
  <c r="N115" i="18"/>
  <c r="AC42" i="18"/>
  <c r="AO38" i="18"/>
  <c r="T120" i="18"/>
  <c r="Z122" i="32"/>
  <c r="K157" i="32"/>
  <c r="I156" i="32"/>
  <c r="AI132" i="18"/>
  <c r="H8" i="1"/>
  <c r="AF40" i="18"/>
  <c r="H154" i="18"/>
  <c r="Q155" i="29"/>
  <c r="K8" i="7"/>
  <c r="N78" i="23"/>
  <c r="AI127" i="23"/>
  <c r="AA220" i="32"/>
  <c r="AC221" i="32"/>
  <c r="AB221" i="32"/>
  <c r="Z89" i="23"/>
  <c r="AI60" i="23"/>
  <c r="N110" i="32"/>
  <c r="W69" i="23"/>
  <c r="K11" i="32"/>
  <c r="AI115" i="32"/>
  <c r="AO10" i="23"/>
  <c r="W135" i="18"/>
  <c r="T104" i="32"/>
  <c r="N116" i="23"/>
  <c r="O173" i="32"/>
  <c r="Q174" i="32"/>
  <c r="P174" i="32"/>
  <c r="K48" i="18"/>
  <c r="D160" i="29"/>
  <c r="N78" i="32"/>
  <c r="AL71" i="32"/>
  <c r="M8" i="14"/>
  <c r="AL142" i="23"/>
  <c r="Z191" i="29"/>
  <c r="Q8" i="1"/>
  <c r="W96" i="23"/>
  <c r="AL133" i="18"/>
  <c r="N127" i="32"/>
  <c r="H109" i="18"/>
  <c r="AF79" i="32"/>
  <c r="Q154" i="18"/>
  <c r="N207" i="32"/>
  <c r="AI109" i="32"/>
  <c r="AL137" i="23"/>
  <c r="AL80" i="18"/>
  <c r="R129" i="23"/>
  <c r="T130" i="23"/>
  <c r="AI49" i="18"/>
  <c r="I4" i="28"/>
  <c r="AG114" i="23"/>
  <c r="AI115" i="23"/>
  <c r="Q9" i="23"/>
  <c r="I68" i="18"/>
  <c r="K71" i="18"/>
  <c r="AO24" i="18"/>
  <c r="Z39" i="29"/>
  <c r="X38" i="29"/>
  <c r="H50" i="18"/>
  <c r="W26" i="23"/>
  <c r="AL143" i="18"/>
  <c r="AL101" i="23"/>
  <c r="W17" i="18"/>
  <c r="AL72" i="18"/>
  <c r="AF44" i="18"/>
  <c r="K84" i="32"/>
  <c r="AF75" i="18"/>
  <c r="AD74" i="18"/>
  <c r="W68" i="23"/>
  <c r="K137" i="23"/>
  <c r="Q135" i="18"/>
  <c r="W188" i="29"/>
  <c r="AI69" i="32"/>
  <c r="S4" i="1"/>
  <c r="AC83" i="23"/>
  <c r="AC58" i="18"/>
  <c r="Q156" i="29"/>
  <c r="AC86" i="23"/>
  <c r="T127" i="32"/>
  <c r="AL9" i="23"/>
  <c r="AC103" i="32"/>
  <c r="AB103" i="32"/>
  <c r="AC83" i="18"/>
  <c r="AF42" i="18"/>
  <c r="H4" i="1"/>
  <c r="AO9" i="23"/>
  <c r="AC191" i="29"/>
  <c r="N75" i="32"/>
  <c r="H135" i="23"/>
  <c r="F133" i="23"/>
  <c r="U60" i="29"/>
  <c r="W61" i="29"/>
  <c r="AF124" i="32"/>
  <c r="K184" i="29"/>
  <c r="AI98" i="23"/>
  <c r="AC116" i="32"/>
  <c r="AB116" i="32"/>
  <c r="H134" i="18"/>
  <c r="Q40" i="23"/>
  <c r="O66" i="23"/>
  <c r="O39" i="23"/>
  <c r="H103" i="18"/>
  <c r="F102" i="18"/>
  <c r="Z119" i="18"/>
  <c r="Z222" i="32"/>
  <c r="T19" i="25"/>
  <c r="S18" i="25"/>
  <c r="C13" i="31" s="1"/>
  <c r="Q105" i="32"/>
  <c r="P105" i="32"/>
  <c r="AM104" i="23"/>
  <c r="AO105" i="23"/>
  <c r="AC62" i="18"/>
  <c r="P4" i="1"/>
  <c r="AI57" i="18"/>
  <c r="AL139" i="18"/>
  <c r="T100" i="18"/>
  <c r="W28" i="29"/>
  <c r="U27" i="29"/>
  <c r="AO55" i="18"/>
  <c r="AJ68" i="18"/>
  <c r="AL71" i="18"/>
  <c r="Q103" i="18"/>
  <c r="O102" i="18"/>
  <c r="AF47" i="23"/>
  <c r="N119" i="23"/>
  <c r="L118" i="23"/>
  <c r="N118" i="18"/>
  <c r="L117" i="18"/>
  <c r="Z130" i="23"/>
  <c r="X129" i="23"/>
  <c r="O8" i="2"/>
  <c r="K85" i="18"/>
  <c r="O8" i="14"/>
  <c r="Z93" i="23"/>
  <c r="H138" i="18"/>
  <c r="W104" i="32"/>
  <c r="V104" i="32"/>
  <c r="Z159" i="32"/>
  <c r="Z109" i="18"/>
  <c r="AF76" i="18"/>
  <c r="AI163" i="32"/>
  <c r="N26" i="23"/>
  <c r="K26" i="23"/>
  <c r="AJ152" i="18"/>
  <c r="AL153" i="18"/>
  <c r="K134" i="18"/>
  <c r="N33" i="18"/>
  <c r="K117" i="32"/>
  <c r="L129" i="23"/>
  <c r="N130" i="23"/>
  <c r="AI78" i="18"/>
  <c r="Z119" i="32"/>
  <c r="H69" i="23"/>
  <c r="Z218" i="32"/>
  <c r="T17" i="18"/>
  <c r="H142" i="18"/>
  <c r="AL51" i="23"/>
  <c r="T96" i="23"/>
  <c r="Q184" i="29"/>
  <c r="K10" i="32"/>
  <c r="T204" i="32"/>
  <c r="X60" i="18"/>
  <c r="Z61" i="18"/>
  <c r="Z60" i="23"/>
  <c r="AL70" i="23"/>
  <c r="X137" i="29"/>
  <c r="Z138" i="29"/>
  <c r="AL151" i="29"/>
  <c r="AK151" i="29"/>
  <c r="Q149" i="29"/>
  <c r="O148" i="29"/>
  <c r="T126" i="32"/>
  <c r="K21" i="18"/>
  <c r="Z42" i="23"/>
  <c r="Q70" i="18"/>
  <c r="P8" i="1"/>
  <c r="W116" i="32"/>
  <c r="V116" i="32"/>
  <c r="AF183" i="32"/>
  <c r="AD182" i="32"/>
  <c r="N49" i="23"/>
  <c r="W156" i="29"/>
  <c r="N91" i="23"/>
  <c r="Z32" i="32"/>
  <c r="X25" i="32"/>
  <c r="Z73" i="23"/>
  <c r="W102" i="32"/>
  <c r="U101" i="32"/>
  <c r="V102" i="32"/>
  <c r="Q83" i="18"/>
  <c r="T138" i="18"/>
  <c r="AF39" i="18"/>
  <c r="Q171" i="32"/>
  <c r="P171" i="32"/>
  <c r="K83" i="32"/>
  <c r="W84" i="32"/>
  <c r="V84" i="32"/>
  <c r="AC73" i="32"/>
  <c r="AB73" i="32"/>
  <c r="H74" i="32"/>
  <c r="AF188" i="29"/>
  <c r="D202" i="32"/>
  <c r="H49" i="18"/>
  <c r="Q114" i="32"/>
  <c r="P114" i="32"/>
  <c r="AL50" i="23"/>
  <c r="Q120" i="23"/>
  <c r="Q85" i="23"/>
  <c r="W23" i="23"/>
  <c r="T26" i="25"/>
  <c r="W106" i="23"/>
  <c r="Z40" i="23"/>
  <c r="X66" i="23"/>
  <c r="X39" i="23"/>
  <c r="K109" i="23"/>
  <c r="W93" i="23"/>
  <c r="AM7" i="18"/>
  <c r="AO8" i="18"/>
  <c r="AC89" i="18"/>
  <c r="AG63" i="32"/>
  <c r="AI64" i="32"/>
  <c r="AF107" i="23"/>
  <c r="N155" i="29"/>
  <c r="AO77" i="18"/>
  <c r="Z106" i="18"/>
  <c r="G4" i="10"/>
  <c r="G10" i="10" s="1"/>
  <c r="T190" i="29"/>
  <c r="Z72" i="18"/>
  <c r="AF139" i="18"/>
  <c r="AF202" i="29"/>
  <c r="AC108" i="23"/>
  <c r="T120" i="23"/>
  <c r="Q105" i="23"/>
  <c r="O104" i="23"/>
  <c r="AF111" i="32"/>
  <c r="N67" i="32"/>
  <c r="N134" i="23"/>
  <c r="W42" i="23"/>
  <c r="AF58" i="18"/>
  <c r="H120" i="32"/>
  <c r="Q106" i="23"/>
  <c r="O68" i="18"/>
  <c r="Q71" i="18"/>
  <c r="AL221" i="32"/>
  <c r="AJ220" i="32"/>
  <c r="M4" i="8"/>
  <c r="AC147" i="18"/>
  <c r="AI10" i="18"/>
  <c r="AI23" i="18"/>
  <c r="R186" i="29"/>
  <c r="T187" i="29"/>
  <c r="H8" i="18"/>
  <c r="F7" i="18"/>
  <c r="W197" i="32"/>
  <c r="V197" i="32"/>
  <c r="T115" i="18"/>
  <c r="AC42" i="23"/>
  <c r="AO142" i="23"/>
  <c r="AL63" i="18"/>
  <c r="AF69" i="32"/>
  <c r="AC151" i="29"/>
  <c r="F8" i="10"/>
  <c r="H57" i="18"/>
  <c r="AC109" i="23"/>
  <c r="Z127" i="23"/>
  <c r="Z74" i="23"/>
  <c r="AF205" i="29"/>
  <c r="AD204" i="29"/>
  <c r="K51" i="18"/>
  <c r="AL107" i="18"/>
  <c r="T129" i="18"/>
  <c r="R128" i="18"/>
  <c r="AI155" i="29"/>
  <c r="AH155" i="29"/>
  <c r="U30" i="18"/>
  <c r="W31" i="18"/>
  <c r="T99" i="23"/>
  <c r="Z134" i="23"/>
  <c r="H204" i="32"/>
  <c r="AL69" i="32"/>
  <c r="T71" i="32"/>
  <c r="AF150" i="29"/>
  <c r="H4" i="28"/>
  <c r="AL12" i="23"/>
  <c r="T69" i="32"/>
  <c r="AO12" i="23"/>
  <c r="N47" i="23"/>
  <c r="AD200" i="29"/>
  <c r="AF201" i="29"/>
  <c r="AE201" i="29"/>
  <c r="N41" i="32"/>
  <c r="Z207" i="32"/>
  <c r="AF43" i="18"/>
  <c r="W50" i="18"/>
  <c r="Q143" i="18"/>
  <c r="AL12" i="32"/>
  <c r="H86" i="18"/>
  <c r="W32" i="32"/>
  <c r="U25" i="32"/>
  <c r="V32" i="32"/>
  <c r="AF119" i="32"/>
  <c r="K4" i="14"/>
  <c r="Z91" i="23"/>
  <c r="AF12" i="32"/>
  <c r="T134" i="18"/>
  <c r="AF133" i="18"/>
  <c r="W158" i="32"/>
  <c r="V158" i="32"/>
  <c r="K4" i="17"/>
  <c r="O54" i="23"/>
  <c r="Q55" i="23"/>
  <c r="AF199" i="32"/>
  <c r="AF77" i="32"/>
  <c r="K83" i="23"/>
  <c r="Z50" i="23"/>
  <c r="AL136" i="18"/>
  <c r="K45" i="23"/>
  <c r="AL87" i="23"/>
  <c r="AC82" i="32"/>
  <c r="AB82" i="32"/>
  <c r="AI102" i="23"/>
  <c r="H23" i="18"/>
  <c r="Q28" i="29"/>
  <c r="O27" i="29"/>
  <c r="H40" i="23"/>
  <c r="F39" i="23"/>
  <c r="AO26" i="23"/>
  <c r="H124" i="32"/>
  <c r="AL25" i="23"/>
  <c r="Z126" i="32"/>
  <c r="AC45" i="23"/>
  <c r="V112" i="32"/>
  <c r="W112" i="32"/>
  <c r="N85" i="18"/>
  <c r="AO141" i="18"/>
  <c r="Q78" i="32"/>
  <c r="P78" i="32"/>
  <c r="Q136" i="23"/>
  <c r="O220" i="32"/>
  <c r="Q221" i="32"/>
  <c r="P221" i="32"/>
  <c r="AI7" i="32"/>
  <c r="AG6" i="32"/>
  <c r="S8" i="1"/>
  <c r="G8" i="15"/>
  <c r="H131" i="23"/>
  <c r="K83" i="18"/>
  <c r="K4" i="10"/>
  <c r="AL119" i="18"/>
  <c r="N50" i="23"/>
  <c r="AL60" i="23"/>
  <c r="AA27" i="29"/>
  <c r="AC28" i="29"/>
  <c r="AC105" i="32"/>
  <c r="AB105" i="32"/>
  <c r="Q83" i="23"/>
  <c r="K118" i="32"/>
  <c r="H33" i="32"/>
  <c r="H168" i="32"/>
  <c r="AF135" i="18"/>
  <c r="M8" i="11"/>
  <c r="N132" i="18"/>
  <c r="AL77" i="32"/>
  <c r="I54" i="23"/>
  <c r="K55" i="23"/>
  <c r="H156" i="29"/>
  <c r="T54" i="18"/>
  <c r="N57" i="18"/>
  <c r="K205" i="32"/>
  <c r="Q80" i="23"/>
  <c r="T171" i="32"/>
  <c r="V123" i="32" l="1"/>
  <c r="V33" i="32"/>
  <c r="P201" i="29"/>
  <c r="N10" i="2"/>
  <c r="L10" i="10"/>
  <c r="M10" i="7"/>
  <c r="J205" i="32"/>
  <c r="E106" i="32"/>
  <c r="F10" i="14"/>
  <c r="P66" i="32"/>
  <c r="P168" i="32"/>
  <c r="P125" i="32"/>
  <c r="P118" i="32"/>
  <c r="P117" i="32"/>
  <c r="E75" i="32"/>
  <c r="Y83" i="32"/>
  <c r="J162" i="32"/>
  <c r="Y198" i="32"/>
  <c r="J108" i="32"/>
  <c r="O10" i="27"/>
  <c r="V182" i="29"/>
  <c r="V181" i="29"/>
  <c r="V183" i="29"/>
  <c r="E181" i="29"/>
  <c r="E183" i="29"/>
  <c r="E182" i="29"/>
  <c r="P182" i="29"/>
  <c r="P183" i="29"/>
  <c r="P181" i="29"/>
  <c r="AE183" i="29"/>
  <c r="AE182" i="29"/>
  <c r="AE181" i="29"/>
  <c r="AH181" i="29"/>
  <c r="AH183" i="29"/>
  <c r="AH182" i="29"/>
  <c r="G181" i="29"/>
  <c r="G182" i="29"/>
  <c r="G183" i="29"/>
  <c r="S183" i="29"/>
  <c r="S182" i="29"/>
  <c r="S181" i="29"/>
  <c r="J182" i="29"/>
  <c r="J183" i="29"/>
  <c r="J181" i="29"/>
  <c r="M181" i="29"/>
  <c r="M183" i="29"/>
  <c r="M182" i="29"/>
  <c r="Y182" i="29"/>
  <c r="Y181" i="29"/>
  <c r="Y183" i="29"/>
  <c r="AB181" i="29"/>
  <c r="AB182" i="29"/>
  <c r="AB183" i="29"/>
  <c r="AK182" i="29"/>
  <c r="AK183" i="29"/>
  <c r="AK181" i="29"/>
  <c r="AB155" i="29"/>
  <c r="AB145" i="29"/>
  <c r="AB146" i="29"/>
  <c r="AB144" i="29"/>
  <c r="AB143" i="29"/>
  <c r="AB139" i="29"/>
  <c r="AB140" i="29"/>
  <c r="AB141" i="29"/>
  <c r="AB142" i="29"/>
  <c r="AE142" i="29"/>
  <c r="AE144" i="29"/>
  <c r="AE146" i="29"/>
  <c r="AE141" i="29"/>
  <c r="AE143" i="29"/>
  <c r="AE139" i="29"/>
  <c r="AE140" i="29"/>
  <c r="AE145" i="29"/>
  <c r="AH146" i="29"/>
  <c r="AH141" i="29"/>
  <c r="AH143" i="29"/>
  <c r="AH144" i="29"/>
  <c r="AH145" i="29"/>
  <c r="AH140" i="29"/>
  <c r="AH139" i="29"/>
  <c r="AH142" i="29"/>
  <c r="J143" i="29"/>
  <c r="J144" i="29"/>
  <c r="J145" i="29"/>
  <c r="J139" i="29"/>
  <c r="J146" i="29"/>
  <c r="J141" i="29"/>
  <c r="J142" i="29"/>
  <c r="J140" i="29"/>
  <c r="M146" i="29"/>
  <c r="M140" i="29"/>
  <c r="M141" i="29"/>
  <c r="M139" i="29"/>
  <c r="M144" i="29"/>
  <c r="M143" i="29"/>
  <c r="M145" i="29"/>
  <c r="M142" i="29"/>
  <c r="G139" i="29"/>
  <c r="G143" i="29"/>
  <c r="G142" i="29"/>
  <c r="G141" i="29"/>
  <c r="G140" i="29"/>
  <c r="G146" i="29"/>
  <c r="G144" i="29"/>
  <c r="G145" i="29"/>
  <c r="P139" i="29"/>
  <c r="P141" i="29"/>
  <c r="P142" i="29"/>
  <c r="P143" i="29"/>
  <c r="P140" i="29"/>
  <c r="P146" i="29"/>
  <c r="P144" i="29"/>
  <c r="P145" i="29"/>
  <c r="S140" i="29"/>
  <c r="S141" i="29"/>
  <c r="S142" i="29"/>
  <c r="S143" i="29"/>
  <c r="S145" i="29"/>
  <c r="S146" i="29"/>
  <c r="S144" i="29"/>
  <c r="S139" i="29"/>
  <c r="E140" i="29"/>
  <c r="E141" i="29"/>
  <c r="E142" i="29"/>
  <c r="E143" i="29"/>
  <c r="E144" i="29"/>
  <c r="E145" i="29"/>
  <c r="E139" i="29"/>
  <c r="E146" i="29"/>
  <c r="AK143" i="29"/>
  <c r="AK139" i="29"/>
  <c r="AK146" i="29"/>
  <c r="AK141" i="29"/>
  <c r="AK145" i="29"/>
  <c r="AK140" i="29"/>
  <c r="AK142" i="29"/>
  <c r="AK144" i="29"/>
  <c r="V144" i="29"/>
  <c r="V146" i="29"/>
  <c r="V145" i="29"/>
  <c r="V143" i="29"/>
  <c r="V141" i="29"/>
  <c r="V142" i="29"/>
  <c r="V140" i="29"/>
  <c r="V139" i="29"/>
  <c r="Y140" i="29"/>
  <c r="Y142" i="29"/>
  <c r="Y139" i="29"/>
  <c r="Y144" i="29"/>
  <c r="Y146" i="29"/>
  <c r="Y141" i="29"/>
  <c r="Y143" i="29"/>
  <c r="Y145" i="29"/>
  <c r="E57" i="32"/>
  <c r="E114" i="32"/>
  <c r="AB158" i="29"/>
  <c r="AB187" i="29"/>
  <c r="F10" i="13"/>
  <c r="E189" i="29"/>
  <c r="M184" i="32"/>
  <c r="M185" i="32"/>
  <c r="M186" i="32"/>
  <c r="M187" i="32"/>
  <c r="M188" i="32"/>
  <c r="AB160" i="32"/>
  <c r="AB184" i="32"/>
  <c r="AB185" i="32"/>
  <c r="AB186" i="32"/>
  <c r="AB187" i="32"/>
  <c r="AB188" i="32"/>
  <c r="P41" i="32"/>
  <c r="P184" i="32"/>
  <c r="P185" i="32"/>
  <c r="P186" i="32"/>
  <c r="P187" i="32"/>
  <c r="P188" i="32"/>
  <c r="S184" i="32"/>
  <c r="S185" i="32"/>
  <c r="S186" i="32"/>
  <c r="S187" i="32"/>
  <c r="S188" i="32"/>
  <c r="AH184" i="32"/>
  <c r="AH185" i="32"/>
  <c r="AH186" i="32"/>
  <c r="AH187" i="32"/>
  <c r="AH188" i="32"/>
  <c r="G184" i="32"/>
  <c r="G185" i="32"/>
  <c r="G186" i="32"/>
  <c r="G187" i="32"/>
  <c r="G188" i="32"/>
  <c r="AE184" i="32"/>
  <c r="AE185" i="32"/>
  <c r="AE186" i="32"/>
  <c r="AE187" i="32"/>
  <c r="AE188" i="32"/>
  <c r="V184" i="32"/>
  <c r="V185" i="32"/>
  <c r="V186" i="32"/>
  <c r="V187" i="32"/>
  <c r="V188" i="32"/>
  <c r="E184" i="32"/>
  <c r="E185" i="32"/>
  <c r="E186" i="32"/>
  <c r="E187" i="32"/>
  <c r="E188" i="32"/>
  <c r="Y184" i="32"/>
  <c r="Y185" i="32"/>
  <c r="Y186" i="32"/>
  <c r="Y187" i="32"/>
  <c r="Y188" i="32"/>
  <c r="I10" i="28"/>
  <c r="AK184" i="32"/>
  <c r="AK185" i="32"/>
  <c r="AK186" i="32"/>
  <c r="AK187" i="32"/>
  <c r="AK188" i="32"/>
  <c r="J184" i="32"/>
  <c r="J185" i="32"/>
  <c r="J186" i="32"/>
  <c r="J187" i="32"/>
  <c r="J188" i="32"/>
  <c r="E32" i="32"/>
  <c r="V71" i="32"/>
  <c r="AK102" i="32"/>
  <c r="M10" i="16"/>
  <c r="P198" i="32"/>
  <c r="AH103" i="32"/>
  <c r="P83" i="32"/>
  <c r="M109" i="32"/>
  <c r="S102" i="32"/>
  <c r="P170" i="32"/>
  <c r="P197" i="32"/>
  <c r="P65" i="32"/>
  <c r="Y174" i="32"/>
  <c r="G76" i="32"/>
  <c r="AE10" i="32"/>
  <c r="AB205" i="32"/>
  <c r="J7" i="32"/>
  <c r="AH190" i="29"/>
  <c r="AB149" i="29"/>
  <c r="J184" i="29"/>
  <c r="S80" i="32"/>
  <c r="S108" i="32"/>
  <c r="M218" i="32"/>
  <c r="M117" i="32"/>
  <c r="AB28" i="29"/>
  <c r="AB191" i="29"/>
  <c r="AB180" i="29"/>
  <c r="AB206" i="29"/>
  <c r="AH157" i="29"/>
  <c r="AB161" i="29"/>
  <c r="AB188" i="29"/>
  <c r="AB151" i="29"/>
  <c r="AH113" i="29"/>
  <c r="AH106" i="29"/>
  <c r="AH99" i="29"/>
  <c r="AH129" i="29"/>
  <c r="AH120" i="29"/>
  <c r="AH118" i="29"/>
  <c r="AH104" i="29"/>
  <c r="AH112" i="29"/>
  <c r="AH125" i="29"/>
  <c r="AH121" i="29"/>
  <c r="AH105" i="29"/>
  <c r="AH102" i="29"/>
  <c r="AH110" i="29"/>
  <c r="AH111" i="29"/>
  <c r="AH123" i="29"/>
  <c r="AH107" i="29"/>
  <c r="AH114" i="29"/>
  <c r="AH119" i="29"/>
  <c r="AH127" i="29"/>
  <c r="AH108" i="29"/>
  <c r="AH117" i="29"/>
  <c r="AH135" i="29"/>
  <c r="AH103" i="29"/>
  <c r="AH130" i="29"/>
  <c r="AH122" i="29"/>
  <c r="AH109" i="29"/>
  <c r="AH115" i="29"/>
  <c r="AH101" i="29"/>
  <c r="AH132" i="29"/>
  <c r="AH131" i="29"/>
  <c r="AH134" i="29"/>
  <c r="AH100" i="29"/>
  <c r="AH116" i="29"/>
  <c r="AH124" i="29"/>
  <c r="AH133" i="29"/>
  <c r="AH128" i="29"/>
  <c r="AH126" i="29"/>
  <c r="AB156" i="29"/>
  <c r="AB112" i="29"/>
  <c r="AB113" i="29"/>
  <c r="AB104" i="29"/>
  <c r="AB124" i="29"/>
  <c r="AB110" i="29"/>
  <c r="AB105" i="29"/>
  <c r="AB111" i="29"/>
  <c r="AB102" i="29"/>
  <c r="AB100" i="29"/>
  <c r="AB103" i="29"/>
  <c r="AB132" i="29"/>
  <c r="AB116" i="29"/>
  <c r="AB127" i="29"/>
  <c r="AB106" i="29"/>
  <c r="AB135" i="29"/>
  <c r="AB107" i="29"/>
  <c r="AB99" i="29"/>
  <c r="AB121" i="29"/>
  <c r="AB129" i="29"/>
  <c r="AB134" i="29"/>
  <c r="AB133" i="29"/>
  <c r="AB118" i="29"/>
  <c r="AB126" i="29"/>
  <c r="AB130" i="29"/>
  <c r="AB128" i="29"/>
  <c r="AB117" i="29"/>
  <c r="AB108" i="29"/>
  <c r="AB101" i="29"/>
  <c r="AB115" i="29"/>
  <c r="AB125" i="29"/>
  <c r="AB131" i="29"/>
  <c r="AB122" i="29"/>
  <c r="AB120" i="29"/>
  <c r="AB109" i="29"/>
  <c r="AB119" i="29"/>
  <c r="AB123" i="29"/>
  <c r="AB114" i="29"/>
  <c r="AH98" i="29"/>
  <c r="V105" i="29"/>
  <c r="V109" i="29"/>
  <c r="V100" i="29"/>
  <c r="V131" i="29"/>
  <c r="V135" i="29"/>
  <c r="V120" i="29"/>
  <c r="V128" i="29"/>
  <c r="V132" i="29"/>
  <c r="V130" i="29"/>
  <c r="V119" i="29"/>
  <c r="V127" i="29"/>
  <c r="V133" i="29"/>
  <c r="V129" i="29"/>
  <c r="V124" i="29"/>
  <c r="V122" i="29"/>
  <c r="V103" i="29"/>
  <c r="V111" i="29"/>
  <c r="V118" i="29"/>
  <c r="V115" i="29"/>
  <c r="V121" i="29"/>
  <c r="V125" i="29"/>
  <c r="V116" i="29"/>
  <c r="V114" i="29"/>
  <c r="V102" i="29"/>
  <c r="V106" i="29"/>
  <c r="V126" i="29"/>
  <c r="V107" i="29"/>
  <c r="V110" i="29"/>
  <c r="V117" i="29"/>
  <c r="V112" i="29"/>
  <c r="V99" i="29"/>
  <c r="V113" i="29"/>
  <c r="V104" i="29"/>
  <c r="V101" i="29"/>
  <c r="V134" i="29"/>
  <c r="V108" i="29"/>
  <c r="V123" i="29"/>
  <c r="Y118" i="29"/>
  <c r="Y126" i="29"/>
  <c r="Y132" i="29"/>
  <c r="Y128" i="29"/>
  <c r="Y123" i="29"/>
  <c r="Y121" i="29"/>
  <c r="Y102" i="29"/>
  <c r="Y110" i="29"/>
  <c r="Y117" i="29"/>
  <c r="Y120" i="29"/>
  <c r="Y124" i="29"/>
  <c r="Y115" i="29"/>
  <c r="Y109" i="29"/>
  <c r="Y113" i="29"/>
  <c r="Y122" i="29"/>
  <c r="Y114" i="29"/>
  <c r="Y105" i="29"/>
  <c r="Y125" i="29"/>
  <c r="Y111" i="29"/>
  <c r="Y106" i="29"/>
  <c r="Y107" i="29"/>
  <c r="Y101" i="29"/>
  <c r="Y112" i="29"/>
  <c r="Y103" i="29"/>
  <c r="Y99" i="29"/>
  <c r="Y104" i="29"/>
  <c r="Y108" i="29"/>
  <c r="Y100" i="29"/>
  <c r="Y130" i="29"/>
  <c r="Y135" i="29"/>
  <c r="Y134" i="29"/>
  <c r="Y133" i="29"/>
  <c r="Y116" i="29"/>
  <c r="Y119" i="29"/>
  <c r="Y127" i="29"/>
  <c r="Y131" i="29"/>
  <c r="Y129" i="29"/>
  <c r="S100" i="29"/>
  <c r="S135" i="29"/>
  <c r="S105" i="29"/>
  <c r="S102" i="29"/>
  <c r="S99" i="29"/>
  <c r="S109" i="29"/>
  <c r="S106" i="29"/>
  <c r="S114" i="29"/>
  <c r="S103" i="29"/>
  <c r="S110" i="29"/>
  <c r="S132" i="29"/>
  <c r="S104" i="29"/>
  <c r="S101" i="29"/>
  <c r="S121" i="29"/>
  <c r="S129" i="29"/>
  <c r="S133" i="29"/>
  <c r="S128" i="29"/>
  <c r="S131" i="29"/>
  <c r="S112" i="29"/>
  <c r="S119" i="29"/>
  <c r="S122" i="29"/>
  <c r="S126" i="29"/>
  <c r="S115" i="29"/>
  <c r="S120" i="29"/>
  <c r="S111" i="29"/>
  <c r="S134" i="29"/>
  <c r="S130" i="29"/>
  <c r="S125" i="29"/>
  <c r="S123" i="29"/>
  <c r="S116" i="29"/>
  <c r="S117" i="29"/>
  <c r="S124" i="29"/>
  <c r="S118" i="29"/>
  <c r="S107" i="29"/>
  <c r="S127" i="29"/>
  <c r="S113" i="29"/>
  <c r="S108" i="29"/>
  <c r="J113" i="29"/>
  <c r="J117" i="29"/>
  <c r="J135" i="29"/>
  <c r="J110" i="29"/>
  <c r="J103" i="29"/>
  <c r="J111" i="29"/>
  <c r="J133" i="29"/>
  <c r="J114" i="29"/>
  <c r="J108" i="29"/>
  <c r="J101" i="29"/>
  <c r="J109" i="29"/>
  <c r="J106" i="29"/>
  <c r="J127" i="29"/>
  <c r="J122" i="29"/>
  <c r="J125" i="29"/>
  <c r="J115" i="29"/>
  <c r="J124" i="29"/>
  <c r="J128" i="29"/>
  <c r="J126" i="29"/>
  <c r="J102" i="29"/>
  <c r="J123" i="29"/>
  <c r="J119" i="29"/>
  <c r="J132" i="29"/>
  <c r="J131" i="29"/>
  <c r="J134" i="29"/>
  <c r="J107" i="29"/>
  <c r="J104" i="29"/>
  <c r="J100" i="29"/>
  <c r="J130" i="29"/>
  <c r="J105" i="29"/>
  <c r="J99" i="29"/>
  <c r="J129" i="29"/>
  <c r="J116" i="29"/>
  <c r="J120" i="29"/>
  <c r="J118" i="29"/>
  <c r="J112" i="29"/>
  <c r="J121" i="29"/>
  <c r="G103" i="29"/>
  <c r="G133" i="29"/>
  <c r="G132" i="29"/>
  <c r="G135" i="29"/>
  <c r="G124" i="29"/>
  <c r="G101" i="29"/>
  <c r="G105" i="29"/>
  <c r="G113" i="29"/>
  <c r="G125" i="29"/>
  <c r="G134" i="29"/>
  <c r="G129" i="29"/>
  <c r="G127" i="29"/>
  <c r="G114" i="29"/>
  <c r="G118" i="29"/>
  <c r="G115" i="29"/>
  <c r="G128" i="29"/>
  <c r="G130" i="29"/>
  <c r="G117" i="29"/>
  <c r="G121" i="29"/>
  <c r="G119" i="29"/>
  <c r="G106" i="29"/>
  <c r="G102" i="29"/>
  <c r="G122" i="29"/>
  <c r="G109" i="29"/>
  <c r="G116" i="29"/>
  <c r="G111" i="29"/>
  <c r="G112" i="29"/>
  <c r="G107" i="29"/>
  <c r="G123" i="29"/>
  <c r="G126" i="29"/>
  <c r="G104" i="29"/>
  <c r="G120" i="29"/>
  <c r="G99" i="29"/>
  <c r="G108" i="29"/>
  <c r="G100" i="29"/>
  <c r="G110" i="29"/>
  <c r="G131" i="29"/>
  <c r="E106" i="29"/>
  <c r="E99" i="29"/>
  <c r="E115" i="29"/>
  <c r="E119" i="29"/>
  <c r="E117" i="29"/>
  <c r="E114" i="29"/>
  <c r="E129" i="29"/>
  <c r="E128" i="29"/>
  <c r="E118" i="29"/>
  <c r="E124" i="29"/>
  <c r="E109" i="29"/>
  <c r="E110" i="29"/>
  <c r="E120" i="29"/>
  <c r="E121" i="29"/>
  <c r="E111" i="29"/>
  <c r="E100" i="29"/>
  <c r="E101" i="29"/>
  <c r="E112" i="29"/>
  <c r="E116" i="29"/>
  <c r="E107" i="29"/>
  <c r="E108" i="29"/>
  <c r="E104" i="29"/>
  <c r="E131" i="29"/>
  <c r="E135" i="29"/>
  <c r="E133" i="29"/>
  <c r="E102" i="29"/>
  <c r="E105" i="29"/>
  <c r="E113" i="29"/>
  <c r="E103" i="29"/>
  <c r="E126" i="29"/>
  <c r="E134" i="29"/>
  <c r="E122" i="29"/>
  <c r="E123" i="29"/>
  <c r="E132" i="29"/>
  <c r="E127" i="29"/>
  <c r="E130" i="29"/>
  <c r="E125" i="29"/>
  <c r="P105" i="29"/>
  <c r="P112" i="29"/>
  <c r="P117" i="29"/>
  <c r="P119" i="29"/>
  <c r="P108" i="29"/>
  <c r="P128" i="29"/>
  <c r="P109" i="29"/>
  <c r="P115" i="29"/>
  <c r="P102" i="29"/>
  <c r="P101" i="29"/>
  <c r="P106" i="29"/>
  <c r="P99" i="29"/>
  <c r="P100" i="29"/>
  <c r="P110" i="29"/>
  <c r="P107" i="29"/>
  <c r="P103" i="29"/>
  <c r="P130" i="29"/>
  <c r="P134" i="29"/>
  <c r="P129" i="29"/>
  <c r="P132" i="29"/>
  <c r="P111" i="29"/>
  <c r="P125" i="29"/>
  <c r="P133" i="29"/>
  <c r="P114" i="29"/>
  <c r="P121" i="29"/>
  <c r="P135" i="29"/>
  <c r="P122" i="29"/>
  <c r="P131" i="29"/>
  <c r="P126" i="29"/>
  <c r="P124" i="29"/>
  <c r="P113" i="29"/>
  <c r="P104" i="29"/>
  <c r="P120" i="29"/>
  <c r="P123" i="29"/>
  <c r="P127" i="29"/>
  <c r="P118" i="29"/>
  <c r="P116" i="29"/>
  <c r="M122" i="29"/>
  <c r="M131" i="29"/>
  <c r="M135" i="29"/>
  <c r="M130" i="29"/>
  <c r="M133" i="29"/>
  <c r="M99" i="29"/>
  <c r="M121" i="29"/>
  <c r="M124" i="29"/>
  <c r="M115" i="29"/>
  <c r="M123" i="29"/>
  <c r="M132" i="29"/>
  <c r="M127" i="29"/>
  <c r="M125" i="29"/>
  <c r="M114" i="29"/>
  <c r="M118" i="29"/>
  <c r="M128" i="29"/>
  <c r="M119" i="29"/>
  <c r="M117" i="29"/>
  <c r="M106" i="29"/>
  <c r="M129" i="29"/>
  <c r="M120" i="29"/>
  <c r="M102" i="29"/>
  <c r="M116" i="29"/>
  <c r="M103" i="29"/>
  <c r="M109" i="29"/>
  <c r="M110" i="29"/>
  <c r="M105" i="29"/>
  <c r="M111" i="29"/>
  <c r="M107" i="29"/>
  <c r="M100" i="29"/>
  <c r="M112" i="29"/>
  <c r="M101" i="29"/>
  <c r="M104" i="29"/>
  <c r="M113" i="29"/>
  <c r="M134" i="29"/>
  <c r="M126" i="29"/>
  <c r="M108" i="29"/>
  <c r="AK100" i="29"/>
  <c r="AK105" i="29"/>
  <c r="AK114" i="29"/>
  <c r="AK113" i="29"/>
  <c r="AK108" i="29"/>
  <c r="AK122" i="29"/>
  <c r="AK106" i="29"/>
  <c r="AK126" i="29"/>
  <c r="AK116" i="29"/>
  <c r="AK134" i="29"/>
  <c r="AK131" i="29"/>
  <c r="AK135" i="29"/>
  <c r="AK130" i="29"/>
  <c r="AK133" i="29"/>
  <c r="AK99" i="29"/>
  <c r="AK123" i="29"/>
  <c r="AK132" i="29"/>
  <c r="AK127" i="29"/>
  <c r="AK125" i="29"/>
  <c r="AK124" i="29"/>
  <c r="AK120" i="29"/>
  <c r="AK128" i="29"/>
  <c r="AK115" i="29"/>
  <c r="AK119" i="29"/>
  <c r="AK117" i="29"/>
  <c r="AK121" i="29"/>
  <c r="AK118" i="29"/>
  <c r="AK112" i="29"/>
  <c r="AK103" i="29"/>
  <c r="AK109" i="29"/>
  <c r="AK110" i="29"/>
  <c r="AK101" i="29"/>
  <c r="AK111" i="29"/>
  <c r="AK104" i="29"/>
  <c r="AK129" i="29"/>
  <c r="AK107" i="29"/>
  <c r="AK102" i="29"/>
  <c r="AE120" i="29"/>
  <c r="AE126" i="29"/>
  <c r="AE110" i="29"/>
  <c r="AE99" i="29"/>
  <c r="AE101" i="29"/>
  <c r="AE114" i="29"/>
  <c r="AE106" i="29"/>
  <c r="AE107" i="29"/>
  <c r="AE105" i="29"/>
  <c r="AE128" i="29"/>
  <c r="AE133" i="29"/>
  <c r="AE132" i="29"/>
  <c r="AE135" i="29"/>
  <c r="AE100" i="29"/>
  <c r="AE117" i="29"/>
  <c r="AE125" i="29"/>
  <c r="AE134" i="29"/>
  <c r="AE129" i="29"/>
  <c r="AE127" i="29"/>
  <c r="AE108" i="29"/>
  <c r="AE113" i="29"/>
  <c r="AE116" i="29"/>
  <c r="AE118" i="29"/>
  <c r="AE102" i="29"/>
  <c r="AE124" i="29"/>
  <c r="AE130" i="29"/>
  <c r="AE121" i="29"/>
  <c r="AE119" i="29"/>
  <c r="AE122" i="29"/>
  <c r="AE131" i="29"/>
  <c r="AE111" i="29"/>
  <c r="AE115" i="29"/>
  <c r="AE112" i="29"/>
  <c r="AE103" i="29"/>
  <c r="AE123" i="29"/>
  <c r="AE109" i="29"/>
  <c r="AE104" i="29"/>
  <c r="Q68" i="18"/>
  <c r="E161" i="29"/>
  <c r="E98" i="29"/>
  <c r="E149" i="29"/>
  <c r="E138" i="29"/>
  <c r="E29" i="29"/>
  <c r="E205" i="29"/>
  <c r="E148" i="29"/>
  <c r="E137" i="29"/>
  <c r="E158" i="29"/>
  <c r="E204" i="29"/>
  <c r="E168" i="29"/>
  <c r="E97" i="29"/>
  <c r="E31" i="29"/>
  <c r="E190" i="29"/>
  <c r="E200" i="29"/>
  <c r="E160" i="29"/>
  <c r="AB98" i="29"/>
  <c r="AK65" i="29"/>
  <c r="AK73" i="29"/>
  <c r="AK89" i="29"/>
  <c r="AK92" i="29"/>
  <c r="AK79" i="29"/>
  <c r="AK82" i="29"/>
  <c r="AK88" i="29"/>
  <c r="AK93" i="29"/>
  <c r="AK87" i="29"/>
  <c r="AK78" i="29"/>
  <c r="AK66" i="29"/>
  <c r="AK85" i="29"/>
  <c r="AK81" i="29"/>
  <c r="AK84" i="29"/>
  <c r="AK74" i="29"/>
  <c r="AK80" i="29"/>
  <c r="AK64" i="29"/>
  <c r="AK69" i="29"/>
  <c r="AK91" i="29"/>
  <c r="AK77" i="29"/>
  <c r="AK68" i="29"/>
  <c r="AK75" i="29"/>
  <c r="AK83" i="29"/>
  <c r="AK67" i="29"/>
  <c r="AK76" i="29"/>
  <c r="AK72" i="29"/>
  <c r="AK63" i="29"/>
  <c r="AK86" i="29"/>
  <c r="AK90" i="29"/>
  <c r="AK70" i="29"/>
  <c r="AK62" i="29"/>
  <c r="AK71" i="29"/>
  <c r="S67" i="29"/>
  <c r="S85" i="29"/>
  <c r="S93" i="29"/>
  <c r="S88" i="29"/>
  <c r="S89" i="29"/>
  <c r="S81" i="29"/>
  <c r="S90" i="29"/>
  <c r="S77" i="29"/>
  <c r="S80" i="29"/>
  <c r="S86" i="29"/>
  <c r="S69" i="29"/>
  <c r="S75" i="29"/>
  <c r="S62" i="29"/>
  <c r="S91" i="29"/>
  <c r="S73" i="29"/>
  <c r="S71" i="29"/>
  <c r="S64" i="29"/>
  <c r="S82" i="29"/>
  <c r="S72" i="29"/>
  <c r="S78" i="29"/>
  <c r="S63" i="29"/>
  <c r="S83" i="29"/>
  <c r="S68" i="29"/>
  <c r="S66" i="29"/>
  <c r="S65" i="29"/>
  <c r="S74" i="29"/>
  <c r="S70" i="29"/>
  <c r="S79" i="29"/>
  <c r="S76" i="29"/>
  <c r="S84" i="29"/>
  <c r="S92" i="29"/>
  <c r="S87" i="29"/>
  <c r="AK154" i="29"/>
  <c r="AK188" i="29"/>
  <c r="P64" i="29"/>
  <c r="P74" i="29"/>
  <c r="P70" i="29"/>
  <c r="P76" i="29"/>
  <c r="P82" i="29"/>
  <c r="P71" i="29"/>
  <c r="P72" i="29"/>
  <c r="P62" i="29"/>
  <c r="P63" i="29"/>
  <c r="P92" i="29"/>
  <c r="P80" i="29"/>
  <c r="P85" i="29"/>
  <c r="P68" i="29"/>
  <c r="P86" i="29"/>
  <c r="P89" i="29"/>
  <c r="P90" i="29"/>
  <c r="P93" i="29"/>
  <c r="P88" i="29"/>
  <c r="P91" i="29"/>
  <c r="P78" i="29"/>
  <c r="P81" i="29"/>
  <c r="P87" i="29"/>
  <c r="P77" i="29"/>
  <c r="P84" i="29"/>
  <c r="P65" i="29"/>
  <c r="P83" i="29"/>
  <c r="P73" i="29"/>
  <c r="P79" i="29"/>
  <c r="P69" i="29"/>
  <c r="P67" i="29"/>
  <c r="P66" i="29"/>
  <c r="P75" i="29"/>
  <c r="AK190" i="29"/>
  <c r="AK161" i="29"/>
  <c r="Y81" i="29"/>
  <c r="Y77" i="29"/>
  <c r="Y93" i="29"/>
  <c r="Y74" i="29"/>
  <c r="Y72" i="29"/>
  <c r="Y82" i="29"/>
  <c r="Y90" i="29"/>
  <c r="Y85" i="29"/>
  <c r="Y62" i="29"/>
  <c r="Y80" i="29"/>
  <c r="Y69" i="29"/>
  <c r="Y67" i="29"/>
  <c r="Y73" i="29"/>
  <c r="Y79" i="29"/>
  <c r="Y68" i="29"/>
  <c r="Y76" i="29"/>
  <c r="Y66" i="29"/>
  <c r="Y89" i="29"/>
  <c r="Y92" i="29"/>
  <c r="Y71" i="29"/>
  <c r="Y64" i="29"/>
  <c r="Y63" i="29"/>
  <c r="Y87" i="29"/>
  <c r="Y65" i="29"/>
  <c r="Y83" i="29"/>
  <c r="Y91" i="29"/>
  <c r="Y86" i="29"/>
  <c r="Y70" i="29"/>
  <c r="Y88" i="29"/>
  <c r="Y75" i="29"/>
  <c r="Y78" i="29"/>
  <c r="Y84" i="29"/>
  <c r="AE67" i="29"/>
  <c r="AE63" i="29"/>
  <c r="AE81" i="29"/>
  <c r="AE89" i="29"/>
  <c r="AE84" i="29"/>
  <c r="AE66" i="29"/>
  <c r="AE68" i="29"/>
  <c r="AE86" i="29"/>
  <c r="AE73" i="29"/>
  <c r="AE76" i="29"/>
  <c r="AE82" i="29"/>
  <c r="AE65" i="29"/>
  <c r="AE70" i="29"/>
  <c r="AE69" i="29"/>
  <c r="AE78" i="29"/>
  <c r="AE74" i="29"/>
  <c r="AE92" i="29"/>
  <c r="AE64" i="29"/>
  <c r="AE62" i="29"/>
  <c r="AE88" i="29"/>
  <c r="AE77" i="29"/>
  <c r="AE71" i="29"/>
  <c r="AE90" i="29"/>
  <c r="AE93" i="29"/>
  <c r="AE79" i="29"/>
  <c r="AE75" i="29"/>
  <c r="AE91" i="29"/>
  <c r="AE85" i="29"/>
  <c r="AE72" i="29"/>
  <c r="AE80" i="29"/>
  <c r="AE87" i="29"/>
  <c r="AE83" i="29"/>
  <c r="AK39" i="29"/>
  <c r="J10" i="1"/>
  <c r="AK205" i="29"/>
  <c r="AK168" i="29"/>
  <c r="AK189" i="29"/>
  <c r="AK191" i="29"/>
  <c r="K10" i="11"/>
  <c r="AK138" i="29"/>
  <c r="M68" i="29"/>
  <c r="M81" i="29"/>
  <c r="M78" i="29"/>
  <c r="M67" i="29"/>
  <c r="M76" i="29"/>
  <c r="M72" i="29"/>
  <c r="M84" i="29"/>
  <c r="M86" i="29"/>
  <c r="M89" i="29"/>
  <c r="M92" i="29"/>
  <c r="M66" i="29"/>
  <c r="M74" i="29"/>
  <c r="M80" i="29"/>
  <c r="M65" i="29"/>
  <c r="M77" i="29"/>
  <c r="M83" i="29"/>
  <c r="M73" i="29"/>
  <c r="M82" i="29"/>
  <c r="M88" i="29"/>
  <c r="M70" i="29"/>
  <c r="M71" i="29"/>
  <c r="M79" i="29"/>
  <c r="M75" i="29"/>
  <c r="M63" i="29"/>
  <c r="M64" i="29"/>
  <c r="M93" i="29"/>
  <c r="M85" i="29"/>
  <c r="M62" i="29"/>
  <c r="M69" i="29"/>
  <c r="M87" i="29"/>
  <c r="M90" i="29"/>
  <c r="M91" i="29"/>
  <c r="AK167" i="29"/>
  <c r="AK29" i="29"/>
  <c r="E65" i="29"/>
  <c r="E85" i="29"/>
  <c r="E75" i="29"/>
  <c r="E77" i="29"/>
  <c r="E67" i="29"/>
  <c r="E76" i="29"/>
  <c r="E78" i="29"/>
  <c r="E81" i="29"/>
  <c r="E70" i="29"/>
  <c r="E71" i="29"/>
  <c r="E63" i="29"/>
  <c r="E72" i="29"/>
  <c r="E93" i="29"/>
  <c r="E68" i="29"/>
  <c r="E73" i="29"/>
  <c r="E83" i="29"/>
  <c r="E69" i="29"/>
  <c r="E64" i="29"/>
  <c r="E90" i="29"/>
  <c r="E91" i="29"/>
  <c r="E92" i="29"/>
  <c r="E87" i="29"/>
  <c r="E82" i="29"/>
  <c r="E88" i="29"/>
  <c r="E62" i="29"/>
  <c r="E89" i="29"/>
  <c r="E66" i="29"/>
  <c r="E86" i="29"/>
  <c r="E84" i="29"/>
  <c r="E79" i="29"/>
  <c r="E74" i="29"/>
  <c r="E80" i="29"/>
  <c r="AB66" i="29"/>
  <c r="AB72" i="29"/>
  <c r="AB78" i="29"/>
  <c r="AB67" i="29"/>
  <c r="AB80" i="29"/>
  <c r="AB93" i="29"/>
  <c r="AB91" i="29"/>
  <c r="AB84" i="29"/>
  <c r="AB68" i="29"/>
  <c r="AB86" i="29"/>
  <c r="AB64" i="29"/>
  <c r="AB82" i="29"/>
  <c r="AB90" i="29"/>
  <c r="AB85" i="29"/>
  <c r="AB73" i="29"/>
  <c r="AB81" i="29"/>
  <c r="AB88" i="29"/>
  <c r="AB69" i="29"/>
  <c r="AB87" i="29"/>
  <c r="AB74" i="29"/>
  <c r="AB77" i="29"/>
  <c r="AB83" i="29"/>
  <c r="AB76" i="29"/>
  <c r="AB92" i="29"/>
  <c r="AB89" i="29"/>
  <c r="AB71" i="29"/>
  <c r="AB70" i="29"/>
  <c r="AB79" i="29"/>
  <c r="AB75" i="29"/>
  <c r="AB65" i="29"/>
  <c r="AB63" i="29"/>
  <c r="AB62" i="29"/>
  <c r="AK61" i="29"/>
  <c r="AK201" i="29"/>
  <c r="AK158" i="29"/>
  <c r="AK156" i="29"/>
  <c r="AK150" i="29"/>
  <c r="AK157" i="29"/>
  <c r="J151" i="29"/>
  <c r="J64" i="29"/>
  <c r="J65" i="29"/>
  <c r="J72" i="29"/>
  <c r="J71" i="29"/>
  <c r="J70" i="29"/>
  <c r="J88" i="29"/>
  <c r="J91" i="29"/>
  <c r="J92" i="29"/>
  <c r="J63" i="29"/>
  <c r="J82" i="29"/>
  <c r="J62" i="29"/>
  <c r="J79" i="29"/>
  <c r="J93" i="29"/>
  <c r="J80" i="29"/>
  <c r="J83" i="29"/>
  <c r="J81" i="29"/>
  <c r="J89" i="29"/>
  <c r="J86" i="29"/>
  <c r="J87" i="29"/>
  <c r="J67" i="29"/>
  <c r="J90" i="29"/>
  <c r="J85" i="29"/>
  <c r="J75" i="29"/>
  <c r="J66" i="29"/>
  <c r="J76" i="29"/>
  <c r="J69" i="29"/>
  <c r="J78" i="29"/>
  <c r="J84" i="29"/>
  <c r="J68" i="29"/>
  <c r="J74" i="29"/>
  <c r="J77" i="29"/>
  <c r="J73" i="29"/>
  <c r="G70" i="29"/>
  <c r="G69" i="29"/>
  <c r="G78" i="29"/>
  <c r="G74" i="29"/>
  <c r="G75" i="29"/>
  <c r="G82" i="29"/>
  <c r="G76" i="29"/>
  <c r="G64" i="29"/>
  <c r="G62" i="29"/>
  <c r="G67" i="29"/>
  <c r="G77" i="29"/>
  <c r="G79" i="29"/>
  <c r="G84" i="29"/>
  <c r="G86" i="29"/>
  <c r="G81" i="29"/>
  <c r="G68" i="29"/>
  <c r="G73" i="29"/>
  <c r="G72" i="29"/>
  <c r="G63" i="29"/>
  <c r="G85" i="29"/>
  <c r="G65" i="29"/>
  <c r="G83" i="29"/>
  <c r="G66" i="29"/>
  <c r="G80" i="29"/>
  <c r="G87" i="29"/>
  <c r="G88" i="29"/>
  <c r="G71" i="29"/>
  <c r="G91" i="29"/>
  <c r="G89" i="29"/>
  <c r="G92" i="29"/>
  <c r="G90" i="29"/>
  <c r="G93" i="29"/>
  <c r="M10" i="12"/>
  <c r="AK187" i="29"/>
  <c r="V63" i="29"/>
  <c r="V81" i="29"/>
  <c r="V77" i="29"/>
  <c r="V87" i="29"/>
  <c r="V67" i="29"/>
  <c r="V65" i="29"/>
  <c r="V64" i="29"/>
  <c r="V73" i="29"/>
  <c r="V84" i="29"/>
  <c r="V92" i="29"/>
  <c r="V71" i="29"/>
  <c r="V76" i="29"/>
  <c r="V79" i="29"/>
  <c r="V78" i="29"/>
  <c r="V75" i="29"/>
  <c r="V66" i="29"/>
  <c r="V88" i="29"/>
  <c r="V85" i="29"/>
  <c r="V70" i="29"/>
  <c r="V83" i="29"/>
  <c r="V91" i="29"/>
  <c r="V86" i="29"/>
  <c r="V89" i="29"/>
  <c r="V72" i="29"/>
  <c r="V62" i="29"/>
  <c r="V68" i="29"/>
  <c r="V74" i="29"/>
  <c r="V80" i="29"/>
  <c r="V69" i="29"/>
  <c r="V82" i="29"/>
  <c r="V90" i="29"/>
  <c r="V93" i="29"/>
  <c r="AH84" i="29"/>
  <c r="AH77" i="29"/>
  <c r="AH73" i="29"/>
  <c r="AH78" i="29"/>
  <c r="AH63" i="29"/>
  <c r="AH87" i="29"/>
  <c r="AH69" i="29"/>
  <c r="AH64" i="29"/>
  <c r="AH74" i="29"/>
  <c r="AH90" i="29"/>
  <c r="AH65" i="29"/>
  <c r="AH79" i="29"/>
  <c r="AH86" i="29"/>
  <c r="AH70" i="29"/>
  <c r="AH82" i="29"/>
  <c r="AH88" i="29"/>
  <c r="AH91" i="29"/>
  <c r="AH89" i="29"/>
  <c r="AH92" i="29"/>
  <c r="AH68" i="29"/>
  <c r="AH66" i="29"/>
  <c r="AH62" i="29"/>
  <c r="AH76" i="29"/>
  <c r="AH93" i="29"/>
  <c r="AH80" i="29"/>
  <c r="AH83" i="29"/>
  <c r="AH71" i="29"/>
  <c r="AH67" i="29"/>
  <c r="AH85" i="29"/>
  <c r="AH72" i="29"/>
  <c r="AH75" i="29"/>
  <c r="AH81" i="29"/>
  <c r="AK31" i="29"/>
  <c r="V61" i="29"/>
  <c r="V40" i="29"/>
  <c r="V53" i="29"/>
  <c r="V51" i="29"/>
  <c r="V50" i="29"/>
  <c r="V45" i="29"/>
  <c r="V43" i="29"/>
  <c r="V42" i="29"/>
  <c r="V54" i="29"/>
  <c r="V47" i="29"/>
  <c r="V46" i="29"/>
  <c r="V52" i="29"/>
  <c r="V44" i="29"/>
  <c r="V49" i="29"/>
  <c r="V48" i="29"/>
  <c r="V41" i="29"/>
  <c r="G50" i="29"/>
  <c r="G48" i="29"/>
  <c r="G47" i="29"/>
  <c r="G42" i="29"/>
  <c r="G40" i="29"/>
  <c r="G52" i="29"/>
  <c r="G41" i="29"/>
  <c r="G51" i="29"/>
  <c r="G44" i="29"/>
  <c r="G43" i="29"/>
  <c r="G49" i="29"/>
  <c r="G53" i="29"/>
  <c r="G46" i="29"/>
  <c r="G45" i="29"/>
  <c r="G54" i="29"/>
  <c r="AH151" i="29"/>
  <c r="AH46" i="29"/>
  <c r="AH41" i="29"/>
  <c r="AH48" i="29"/>
  <c r="AH51" i="29"/>
  <c r="AH50" i="29"/>
  <c r="AH43" i="29"/>
  <c r="AH42" i="29"/>
  <c r="AH53" i="29"/>
  <c r="AH52" i="29"/>
  <c r="AH40" i="29"/>
  <c r="AH45" i="29"/>
  <c r="AH54" i="29"/>
  <c r="AH49" i="29"/>
  <c r="AH47" i="29"/>
  <c r="AH44" i="29"/>
  <c r="E154" i="29"/>
  <c r="E45" i="29"/>
  <c r="E40" i="29"/>
  <c r="E50" i="29"/>
  <c r="E42" i="29"/>
  <c r="E49" i="29"/>
  <c r="E41" i="29"/>
  <c r="E47" i="29"/>
  <c r="E51" i="29"/>
  <c r="E52" i="29"/>
  <c r="E54" i="29"/>
  <c r="E53" i="29"/>
  <c r="E48" i="29"/>
  <c r="E46" i="29"/>
  <c r="E43" i="29"/>
  <c r="E44" i="29"/>
  <c r="P49" i="29"/>
  <c r="P48" i="29"/>
  <c r="P41" i="29"/>
  <c r="P46" i="29"/>
  <c r="P40" i="29"/>
  <c r="P50" i="29"/>
  <c r="P43" i="29"/>
  <c r="P51" i="29"/>
  <c r="P42" i="29"/>
  <c r="P52" i="29"/>
  <c r="P47" i="29"/>
  <c r="P45" i="29"/>
  <c r="P44" i="29"/>
  <c r="P54" i="29"/>
  <c r="P53" i="29"/>
  <c r="AE53" i="29"/>
  <c r="AE49" i="29"/>
  <c r="AE46" i="29"/>
  <c r="AE54" i="29"/>
  <c r="AE52" i="29"/>
  <c r="AE45" i="29"/>
  <c r="AE51" i="29"/>
  <c r="AE50" i="29"/>
  <c r="AE48" i="29"/>
  <c r="AE47" i="29"/>
  <c r="AE42" i="29"/>
  <c r="AE40" i="29"/>
  <c r="AE44" i="29"/>
  <c r="AE43" i="29"/>
  <c r="AE41" i="29"/>
  <c r="AK51" i="29"/>
  <c r="AK47" i="29"/>
  <c r="AK44" i="29"/>
  <c r="AK43" i="29"/>
  <c r="AK54" i="29"/>
  <c r="AK53" i="29"/>
  <c r="AK48" i="29"/>
  <c r="AK46" i="29"/>
  <c r="AK45" i="29"/>
  <c r="AK40" i="29"/>
  <c r="AK49" i="29"/>
  <c r="AK42" i="29"/>
  <c r="AK41" i="29"/>
  <c r="AK50" i="29"/>
  <c r="AK52" i="29"/>
  <c r="S50" i="29"/>
  <c r="S49" i="29"/>
  <c r="S42" i="29"/>
  <c r="S41" i="29"/>
  <c r="S54" i="29"/>
  <c r="S52" i="29"/>
  <c r="S51" i="29"/>
  <c r="S46" i="29"/>
  <c r="S44" i="29"/>
  <c r="S53" i="29"/>
  <c r="S48" i="29"/>
  <c r="S45" i="29"/>
  <c r="S47" i="29"/>
  <c r="S40" i="29"/>
  <c r="S43" i="29"/>
  <c r="AB45" i="29"/>
  <c r="AB44" i="29"/>
  <c r="AB42" i="29"/>
  <c r="AB54" i="29"/>
  <c r="AB50" i="29"/>
  <c r="AB47" i="29"/>
  <c r="AB46" i="29"/>
  <c r="AB48" i="29"/>
  <c r="AB43" i="29"/>
  <c r="AB41" i="29"/>
  <c r="AB53" i="29"/>
  <c r="AB40" i="29"/>
  <c r="AB52" i="29"/>
  <c r="AB51" i="29"/>
  <c r="AB49" i="29"/>
  <c r="M180" i="29"/>
  <c r="M54" i="29"/>
  <c r="M53" i="29"/>
  <c r="M48" i="29"/>
  <c r="M46" i="29"/>
  <c r="M45" i="29"/>
  <c r="M40" i="29"/>
  <c r="M47" i="29"/>
  <c r="M50" i="29"/>
  <c r="M49" i="29"/>
  <c r="M42" i="29"/>
  <c r="M41" i="29"/>
  <c r="M52" i="29"/>
  <c r="M51" i="29"/>
  <c r="M44" i="29"/>
  <c r="M43" i="29"/>
  <c r="Y202" i="29"/>
  <c r="Y49" i="29"/>
  <c r="Y44" i="29"/>
  <c r="Y42" i="29"/>
  <c r="Y47" i="29"/>
  <c r="Y54" i="29"/>
  <c r="Y41" i="29"/>
  <c r="Y53" i="29"/>
  <c r="Y40" i="29"/>
  <c r="Y46" i="29"/>
  <c r="Y45" i="29"/>
  <c r="Y48" i="29"/>
  <c r="Y52" i="29"/>
  <c r="Y50" i="29"/>
  <c r="Y43" i="29"/>
  <c r="Y51" i="29"/>
  <c r="J187" i="29"/>
  <c r="J43" i="29"/>
  <c r="J42" i="29"/>
  <c r="J52" i="29"/>
  <c r="J45" i="29"/>
  <c r="J53" i="29"/>
  <c r="J54" i="29"/>
  <c r="J48" i="29"/>
  <c r="J44" i="29"/>
  <c r="J40" i="29"/>
  <c r="J47" i="29"/>
  <c r="J46" i="29"/>
  <c r="J41" i="29"/>
  <c r="J51" i="29"/>
  <c r="J50" i="29"/>
  <c r="J49" i="29"/>
  <c r="H10" i="28"/>
  <c r="Y39" i="29"/>
  <c r="S171" i="32"/>
  <c r="AH168" i="29"/>
  <c r="AH138" i="29"/>
  <c r="E156" i="29"/>
  <c r="AH158" i="29"/>
  <c r="AH187" i="29"/>
  <c r="S121" i="32"/>
  <c r="S12" i="32"/>
  <c r="AB119" i="32"/>
  <c r="R10" i="1"/>
  <c r="M155" i="29"/>
  <c r="O10" i="12"/>
  <c r="Y138" i="29"/>
  <c r="AE69" i="32"/>
  <c r="I10" i="1"/>
  <c r="V162" i="32"/>
  <c r="AK221" i="32"/>
  <c r="P183" i="32"/>
  <c r="J201" i="29"/>
  <c r="J20" i="29"/>
  <c r="J8" i="29"/>
  <c r="J19" i="29"/>
  <c r="J22" i="29"/>
  <c r="J15" i="29"/>
  <c r="J16" i="29"/>
  <c r="J9" i="29"/>
  <c r="J23" i="29"/>
  <c r="J11" i="29"/>
  <c r="J14" i="29"/>
  <c r="J17" i="29"/>
  <c r="J18" i="29"/>
  <c r="J13" i="29"/>
  <c r="J12" i="29"/>
  <c r="J10" i="29"/>
  <c r="J21" i="29"/>
  <c r="Y22" i="29"/>
  <c r="Y12" i="29"/>
  <c r="Y19" i="29"/>
  <c r="Y20" i="29"/>
  <c r="Y13" i="29"/>
  <c r="Y11" i="29"/>
  <c r="Y8" i="29"/>
  <c r="Y15" i="29"/>
  <c r="Y23" i="29"/>
  <c r="Y14" i="29"/>
  <c r="Y16" i="29"/>
  <c r="Y9" i="29"/>
  <c r="Y17" i="29"/>
  <c r="Y10" i="29"/>
  <c r="Y18" i="29"/>
  <c r="Y21" i="29"/>
  <c r="M32" i="29"/>
  <c r="M191" i="29"/>
  <c r="V13" i="29"/>
  <c r="V14" i="29"/>
  <c r="V8" i="29"/>
  <c r="V16" i="29"/>
  <c r="V17" i="29"/>
  <c r="V20" i="29"/>
  <c r="V11" i="29"/>
  <c r="V19" i="29"/>
  <c r="V22" i="29"/>
  <c r="V10" i="29"/>
  <c r="V12" i="29"/>
  <c r="V21" i="29"/>
  <c r="V9" i="29"/>
  <c r="V23" i="29"/>
  <c r="V15" i="29"/>
  <c r="V18" i="29"/>
  <c r="AB14" i="29"/>
  <c r="AB10" i="29"/>
  <c r="AB15" i="29"/>
  <c r="AB11" i="29"/>
  <c r="AB21" i="29"/>
  <c r="AB23" i="29"/>
  <c r="AB18" i="29"/>
  <c r="AB13" i="29"/>
  <c r="AB16" i="29"/>
  <c r="AB9" i="29"/>
  <c r="AB17" i="29"/>
  <c r="AB20" i="29"/>
  <c r="AB8" i="29"/>
  <c r="AB12" i="29"/>
  <c r="AB19" i="29"/>
  <c r="AB22" i="29"/>
  <c r="S16" i="29"/>
  <c r="S11" i="29"/>
  <c r="S19" i="29"/>
  <c r="S12" i="29"/>
  <c r="S20" i="29"/>
  <c r="S23" i="29"/>
  <c r="S8" i="29"/>
  <c r="S10" i="29"/>
  <c r="S9" i="29"/>
  <c r="S14" i="29"/>
  <c r="S15" i="29"/>
  <c r="S22" i="29"/>
  <c r="S17" i="29"/>
  <c r="S21" i="29"/>
  <c r="S13" i="29"/>
  <c r="S18" i="29"/>
  <c r="M205" i="29"/>
  <c r="J32" i="29"/>
  <c r="AK202" i="29"/>
  <c r="AK16" i="29"/>
  <c r="AK22" i="29"/>
  <c r="AK19" i="29"/>
  <c r="AK10" i="29"/>
  <c r="AK12" i="29"/>
  <c r="AK13" i="29"/>
  <c r="AK14" i="29"/>
  <c r="AK17" i="29"/>
  <c r="AK9" i="29"/>
  <c r="AK20" i="29"/>
  <c r="AK8" i="29"/>
  <c r="AK11" i="29"/>
  <c r="AK18" i="29"/>
  <c r="AK21" i="29"/>
  <c r="AK23" i="29"/>
  <c r="AK15" i="29"/>
  <c r="J28" i="29"/>
  <c r="J180" i="29"/>
  <c r="M28" i="29"/>
  <c r="G22" i="29"/>
  <c r="G11" i="29"/>
  <c r="G17" i="29"/>
  <c r="G13" i="29"/>
  <c r="G16" i="29"/>
  <c r="G19" i="29"/>
  <c r="G21" i="29"/>
  <c r="G8" i="29"/>
  <c r="G10" i="29"/>
  <c r="G9" i="29"/>
  <c r="G18" i="29"/>
  <c r="G12" i="29"/>
  <c r="G15" i="29"/>
  <c r="G20" i="29"/>
  <c r="G23" i="29"/>
  <c r="G14" i="29"/>
  <c r="M8" i="29"/>
  <c r="M9" i="29"/>
  <c r="M23" i="29"/>
  <c r="M15" i="29"/>
  <c r="M14" i="29"/>
  <c r="M17" i="29"/>
  <c r="M16" i="29"/>
  <c r="M12" i="29"/>
  <c r="M20" i="29"/>
  <c r="M11" i="29"/>
  <c r="M22" i="29"/>
  <c r="M19" i="29"/>
  <c r="M13" i="29"/>
  <c r="M18" i="29"/>
  <c r="M21" i="29"/>
  <c r="M10" i="29"/>
  <c r="AE12" i="29"/>
  <c r="AE15" i="29"/>
  <c r="AE13" i="29"/>
  <c r="AE8" i="29"/>
  <c r="AE16" i="29"/>
  <c r="AE11" i="29"/>
  <c r="AE10" i="29"/>
  <c r="AE19" i="29"/>
  <c r="AE20" i="29"/>
  <c r="AE23" i="29"/>
  <c r="AE21" i="29"/>
  <c r="AE22" i="29"/>
  <c r="AE9" i="29"/>
  <c r="AE17" i="29"/>
  <c r="AE18" i="29"/>
  <c r="AE14" i="29"/>
  <c r="AH39" i="29"/>
  <c r="AH16" i="29"/>
  <c r="AH19" i="29"/>
  <c r="AH20" i="29"/>
  <c r="AH8" i="29"/>
  <c r="AH13" i="29"/>
  <c r="AH22" i="29"/>
  <c r="AH10" i="29"/>
  <c r="AH17" i="29"/>
  <c r="AH23" i="29"/>
  <c r="AH21" i="29"/>
  <c r="AH11" i="29"/>
  <c r="AH14" i="29"/>
  <c r="AH9" i="29"/>
  <c r="AH15" i="29"/>
  <c r="AH18" i="29"/>
  <c r="AH12" i="29"/>
  <c r="E23" i="29"/>
  <c r="E12" i="29"/>
  <c r="E15" i="29"/>
  <c r="E21" i="29"/>
  <c r="E16" i="29"/>
  <c r="E9" i="29"/>
  <c r="E22" i="29"/>
  <c r="E18" i="29"/>
  <c r="E13" i="29"/>
  <c r="E11" i="29"/>
  <c r="E19" i="29"/>
  <c r="E17" i="29"/>
  <c r="E8" i="29"/>
  <c r="E14" i="29"/>
  <c r="E10" i="29"/>
  <c r="E20" i="29"/>
  <c r="P189" i="29"/>
  <c r="P19" i="29"/>
  <c r="P14" i="29"/>
  <c r="P11" i="29"/>
  <c r="P21" i="29"/>
  <c r="P9" i="29"/>
  <c r="P10" i="29"/>
  <c r="P15" i="29"/>
  <c r="P23" i="29"/>
  <c r="P17" i="29"/>
  <c r="P12" i="29"/>
  <c r="P20" i="29"/>
  <c r="P22" i="29"/>
  <c r="P13" i="29"/>
  <c r="P18" i="29"/>
  <c r="P16" i="29"/>
  <c r="P8" i="29"/>
  <c r="J10" i="28"/>
  <c r="S190" i="29"/>
  <c r="O10" i="13"/>
  <c r="O10" i="16"/>
  <c r="G10" i="14"/>
  <c r="G156" i="29"/>
  <c r="AE119" i="32"/>
  <c r="J102" i="32"/>
  <c r="AE11" i="32"/>
  <c r="AE120" i="32"/>
  <c r="AE77" i="32"/>
  <c r="J157" i="32"/>
  <c r="AE110" i="32"/>
  <c r="AE162" i="32"/>
  <c r="AE72" i="32"/>
  <c r="AE164" i="32"/>
  <c r="J40" i="32"/>
  <c r="J118" i="32"/>
  <c r="AE183" i="32"/>
  <c r="G28" i="29"/>
  <c r="G190" i="29"/>
  <c r="AE32" i="32"/>
  <c r="AE111" i="32"/>
  <c r="AE65" i="32"/>
  <c r="AE174" i="32"/>
  <c r="AE105" i="32"/>
  <c r="AE199" i="32"/>
  <c r="J104" i="32"/>
  <c r="AE12" i="32"/>
  <c r="J83" i="32"/>
  <c r="J10" i="32"/>
  <c r="J117" i="32"/>
  <c r="AE124" i="32"/>
  <c r="AE76" i="32"/>
  <c r="AE70" i="32"/>
  <c r="AE103" i="32"/>
  <c r="AE66" i="32"/>
  <c r="J79" i="32"/>
  <c r="J74" i="32"/>
  <c r="AE206" i="32"/>
  <c r="AE116" i="32"/>
  <c r="M10" i="17"/>
  <c r="G33" i="32"/>
  <c r="K10" i="10"/>
  <c r="AK12" i="32"/>
  <c r="AE202" i="29"/>
  <c r="Y191" i="29"/>
  <c r="S83" i="32"/>
  <c r="AK218" i="32"/>
  <c r="AK171" i="32"/>
  <c r="S72" i="32"/>
  <c r="Y188" i="29"/>
  <c r="P98" i="29"/>
  <c r="Y31" i="29"/>
  <c r="AK76" i="32"/>
  <c r="S74" i="32"/>
  <c r="J111" i="32"/>
  <c r="J81" i="32"/>
  <c r="P188" i="29"/>
  <c r="J123" i="32"/>
  <c r="J77" i="32"/>
  <c r="AH61" i="29"/>
  <c r="P202" i="29"/>
  <c r="AB157" i="29"/>
  <c r="J67" i="32"/>
  <c r="L10" i="1"/>
  <c r="P155" i="29"/>
  <c r="K10" i="15"/>
  <c r="J107" i="32"/>
  <c r="M10" i="15"/>
  <c r="Y205" i="29"/>
  <c r="AK65" i="32"/>
  <c r="AK10" i="32"/>
  <c r="S68" i="32"/>
  <c r="AE156" i="29"/>
  <c r="P167" i="29"/>
  <c r="J167" i="32"/>
  <c r="J68" i="32"/>
  <c r="AE155" i="29"/>
  <c r="J10" i="27"/>
  <c r="AK77" i="32"/>
  <c r="AE150" i="29"/>
  <c r="P149" i="29"/>
  <c r="S104" i="32"/>
  <c r="J203" i="32"/>
  <c r="S117" i="32"/>
  <c r="S169" i="32"/>
  <c r="S106" i="32"/>
  <c r="AE167" i="29"/>
  <c r="J80" i="32"/>
  <c r="AE39" i="29"/>
  <c r="J161" i="32"/>
  <c r="AE205" i="29"/>
  <c r="S127" i="32"/>
  <c r="P158" i="29"/>
  <c r="J72" i="32"/>
  <c r="S206" i="32"/>
  <c r="J207" i="32"/>
  <c r="AE31" i="29"/>
  <c r="S109" i="32"/>
  <c r="J32" i="32"/>
  <c r="F10" i="11"/>
  <c r="S107" i="32"/>
  <c r="P28" i="29"/>
  <c r="S71" i="32"/>
  <c r="P184" i="29"/>
  <c r="S111" i="32"/>
  <c r="P31" i="29"/>
  <c r="AE187" i="29"/>
  <c r="S199" i="32"/>
  <c r="P29" i="29"/>
  <c r="J75" i="32"/>
  <c r="P205" i="29"/>
  <c r="P168" i="29"/>
  <c r="P161" i="29"/>
  <c r="J199" i="32"/>
  <c r="J218" i="32"/>
  <c r="J158" i="32"/>
  <c r="AE190" i="29"/>
  <c r="AE32" i="29"/>
  <c r="AH206" i="29"/>
  <c r="AE98" i="29"/>
  <c r="P190" i="29"/>
  <c r="AH188" i="29"/>
  <c r="P138" i="29"/>
  <c r="J70" i="32"/>
  <c r="S200" i="32"/>
  <c r="AE61" i="29"/>
  <c r="J164" i="32"/>
  <c r="J163" i="32"/>
  <c r="J78" i="32"/>
  <c r="S11" i="32"/>
  <c r="S65" i="32"/>
  <c r="S69" i="32"/>
  <c r="AK69" i="32"/>
  <c r="AE188" i="29"/>
  <c r="S126" i="32"/>
  <c r="S204" i="32"/>
  <c r="P156" i="29"/>
  <c r="J84" i="32"/>
  <c r="AK71" i="32"/>
  <c r="P150" i="29"/>
  <c r="Y29" i="29"/>
  <c r="S162" i="32"/>
  <c r="S33" i="32"/>
  <c r="J160" i="32"/>
  <c r="Y180" i="29"/>
  <c r="J206" i="32"/>
  <c r="S217" i="32"/>
  <c r="J188" i="29"/>
  <c r="S115" i="32"/>
  <c r="AE151" i="29"/>
  <c r="Y168" i="29"/>
  <c r="AK200" i="32"/>
  <c r="AK127" i="32"/>
  <c r="AK113" i="32"/>
  <c r="AK183" i="32"/>
  <c r="AB118" i="32"/>
  <c r="G167" i="29"/>
  <c r="AK174" i="32"/>
  <c r="AB162" i="32"/>
  <c r="AK157" i="32"/>
  <c r="J114" i="32"/>
  <c r="J69" i="32"/>
  <c r="J222" i="32"/>
  <c r="J204" i="32"/>
  <c r="AK197" i="32"/>
  <c r="AK106" i="32"/>
  <c r="V187" i="29"/>
  <c r="J196" i="32"/>
  <c r="J171" i="32"/>
  <c r="J12" i="32"/>
  <c r="J41" i="32"/>
  <c r="AK116" i="32"/>
  <c r="AK11" i="32"/>
  <c r="AB114" i="32"/>
  <c r="J109" i="32"/>
  <c r="J9" i="32"/>
  <c r="J217" i="32"/>
  <c r="J183" i="32"/>
  <c r="J169" i="32"/>
  <c r="AK125" i="32"/>
  <c r="AB64" i="32"/>
  <c r="AB120" i="32"/>
  <c r="AK161" i="32"/>
  <c r="G151" i="29"/>
  <c r="AB109" i="32"/>
  <c r="AB10" i="32"/>
  <c r="J71" i="32"/>
  <c r="AB12" i="32"/>
  <c r="J125" i="32"/>
  <c r="J200" i="32"/>
  <c r="J110" i="32"/>
  <c r="J159" i="32"/>
  <c r="J103" i="32"/>
  <c r="AK68" i="32"/>
  <c r="AB65" i="32"/>
  <c r="AK33" i="32"/>
  <c r="AB66" i="32"/>
  <c r="G10" i="12"/>
  <c r="J82" i="32"/>
  <c r="AK114" i="32"/>
  <c r="AK109" i="32"/>
  <c r="AK70" i="32"/>
  <c r="AK167" i="32"/>
  <c r="AK160" i="32"/>
  <c r="J122" i="32"/>
  <c r="AK7" i="32"/>
  <c r="J33" i="32"/>
  <c r="J113" i="32"/>
  <c r="J126" i="32"/>
  <c r="AK207" i="32"/>
  <c r="AK81" i="32"/>
  <c r="AK120" i="32"/>
  <c r="AK41" i="32"/>
  <c r="G39" i="29"/>
  <c r="J66" i="32"/>
  <c r="J64" i="32"/>
  <c r="E108" i="32"/>
  <c r="E168" i="32"/>
  <c r="E170" i="32"/>
  <c r="S29" i="29"/>
  <c r="Y155" i="29"/>
  <c r="AE126" i="32"/>
  <c r="P68" i="32"/>
  <c r="S155" i="29"/>
  <c r="E33" i="32"/>
  <c r="AE82" i="32"/>
  <c r="AE205" i="32"/>
  <c r="AK170" i="32"/>
  <c r="P207" i="32"/>
  <c r="E124" i="32"/>
  <c r="E163" i="32"/>
  <c r="E82" i="32"/>
  <c r="E173" i="32"/>
  <c r="AK119" i="32"/>
  <c r="O10" i="15"/>
  <c r="AE104" i="32"/>
  <c r="E28" i="29"/>
  <c r="E202" i="32"/>
  <c r="E70" i="32"/>
  <c r="E68" i="32"/>
  <c r="V150" i="29"/>
  <c r="J156" i="29"/>
  <c r="S158" i="32"/>
  <c r="S110" i="32"/>
  <c r="J138" i="29"/>
  <c r="S116" i="32"/>
  <c r="AH184" i="29"/>
  <c r="AE168" i="32"/>
  <c r="E167" i="29"/>
  <c r="AB61" i="29"/>
  <c r="P151" i="29"/>
  <c r="M112" i="32"/>
  <c r="AH156" i="29"/>
  <c r="AH189" i="29"/>
  <c r="O10" i="7"/>
  <c r="F10" i="9"/>
  <c r="E162" i="32"/>
  <c r="AH31" i="29"/>
  <c r="AB31" i="29"/>
  <c r="AB168" i="29"/>
  <c r="L10" i="8"/>
  <c r="AK32" i="29"/>
  <c r="E9" i="32"/>
  <c r="E27" i="29"/>
  <c r="AB30" i="29"/>
  <c r="E188" i="29"/>
  <c r="E14" i="31"/>
  <c r="E203" i="32"/>
  <c r="E174" i="32"/>
  <c r="AH180" i="29"/>
  <c r="S174" i="32"/>
  <c r="AK30" i="29"/>
  <c r="AK184" i="29"/>
  <c r="Y32" i="32"/>
  <c r="Y79" i="32"/>
  <c r="Y110" i="32"/>
  <c r="V98" i="29"/>
  <c r="Y106" i="32"/>
  <c r="Y162" i="32"/>
  <c r="L10" i="11"/>
  <c r="Y167" i="32"/>
  <c r="Y71" i="32"/>
  <c r="S159" i="32"/>
  <c r="Y127" i="32"/>
  <c r="Y124" i="32"/>
  <c r="Y111" i="32"/>
  <c r="P160" i="32"/>
  <c r="K10" i="14"/>
  <c r="M10" i="8"/>
  <c r="Y218" i="32"/>
  <c r="F10" i="12"/>
  <c r="Y197" i="32"/>
  <c r="V158" i="29"/>
  <c r="Y76" i="32"/>
  <c r="Y41" i="32"/>
  <c r="Y118" i="32"/>
  <c r="N10" i="15"/>
  <c r="Y75" i="32"/>
  <c r="Y33" i="32"/>
  <c r="Y64" i="32"/>
  <c r="Y160" i="32"/>
  <c r="Y121" i="32"/>
  <c r="L10" i="27"/>
  <c r="O10" i="17"/>
  <c r="Y169" i="32"/>
  <c r="V188" i="29"/>
  <c r="Y122" i="32"/>
  <c r="S205" i="29"/>
  <c r="S202" i="29"/>
  <c r="S7" i="29"/>
  <c r="Y81" i="32"/>
  <c r="G10" i="2"/>
  <c r="Y123" i="32"/>
  <c r="Y120" i="32"/>
  <c r="Y158" i="32"/>
  <c r="Y80" i="32"/>
  <c r="Y171" i="32"/>
  <c r="P127" i="32"/>
  <c r="M10" i="28"/>
  <c r="Y72" i="32"/>
  <c r="V149" i="29"/>
  <c r="F10" i="15"/>
  <c r="Y77" i="32"/>
  <c r="Y116" i="32"/>
  <c r="Y12" i="32"/>
  <c r="Y78" i="32"/>
  <c r="Y119" i="32"/>
  <c r="V205" i="29"/>
  <c r="V161" i="29"/>
  <c r="Y84" i="32"/>
  <c r="Y103" i="32"/>
  <c r="Y217" i="32"/>
  <c r="S154" i="29"/>
  <c r="V168" i="29"/>
  <c r="Y40" i="32"/>
  <c r="M167" i="29"/>
  <c r="Y109" i="32"/>
  <c r="J168" i="29"/>
  <c r="Y164" i="32"/>
  <c r="Y157" i="32"/>
  <c r="Y168" i="32"/>
  <c r="Y67" i="32"/>
  <c r="Y199" i="32"/>
  <c r="AK198" i="32"/>
  <c r="Y10" i="32"/>
  <c r="Y74" i="32"/>
  <c r="Y126" i="32"/>
  <c r="V28" i="29"/>
  <c r="Y69" i="32"/>
  <c r="Y203" i="32"/>
  <c r="Y161" i="32"/>
  <c r="Y205" i="32"/>
  <c r="Y107" i="32"/>
  <c r="Y196" i="32"/>
  <c r="Y113" i="32"/>
  <c r="Y73" i="32"/>
  <c r="Y114" i="32"/>
  <c r="Y207" i="32"/>
  <c r="V156" i="29"/>
  <c r="Y159" i="32"/>
  <c r="Y222" i="32"/>
  <c r="V39" i="29"/>
  <c r="Y108" i="32"/>
  <c r="Y9" i="32"/>
  <c r="Y102" i="32"/>
  <c r="V163" i="32"/>
  <c r="Y221" i="32"/>
  <c r="E164" i="32"/>
  <c r="J167" i="29"/>
  <c r="V7" i="29"/>
  <c r="S119" i="32"/>
  <c r="AE184" i="29"/>
  <c r="AE7" i="29"/>
  <c r="S82" i="32"/>
  <c r="E7" i="32"/>
  <c r="J206" i="29"/>
  <c r="S84" i="32"/>
  <c r="AE149" i="29"/>
  <c r="AB39" i="29"/>
  <c r="AK9" i="32"/>
  <c r="E83" i="32"/>
  <c r="P7" i="32"/>
  <c r="P159" i="32"/>
  <c r="AH123" i="32"/>
  <c r="E105" i="32"/>
  <c r="E81" i="32"/>
  <c r="S120" i="32"/>
  <c r="E216" i="32"/>
  <c r="AK205" i="32"/>
  <c r="AK115" i="32"/>
  <c r="V154" i="29"/>
  <c r="Y170" i="32"/>
  <c r="Y206" i="32"/>
  <c r="Y204" i="32"/>
  <c r="S10" i="1"/>
  <c r="J191" i="29"/>
  <c r="S197" i="32"/>
  <c r="J158" i="29"/>
  <c r="S167" i="32"/>
  <c r="V167" i="29"/>
  <c r="J189" i="29"/>
  <c r="AB7" i="29"/>
  <c r="M123" i="32"/>
  <c r="E161" i="32"/>
  <c r="AB184" i="29"/>
  <c r="S7" i="32"/>
  <c r="E171" i="32"/>
  <c r="AE191" i="29"/>
  <c r="AK73" i="32"/>
  <c r="Y70" i="32"/>
  <c r="AB167" i="29"/>
  <c r="Y125" i="32"/>
  <c r="E118" i="32"/>
  <c r="V190" i="29"/>
  <c r="S161" i="32"/>
  <c r="V180" i="29"/>
  <c r="E119" i="32"/>
  <c r="AE28" i="29"/>
  <c r="M206" i="29"/>
  <c r="J7" i="29"/>
  <c r="S157" i="32"/>
  <c r="V157" i="29"/>
  <c r="S157" i="29"/>
  <c r="AK74" i="32"/>
  <c r="AB78" i="32"/>
  <c r="N10" i="27"/>
  <c r="Y11" i="32"/>
  <c r="P206" i="32"/>
  <c r="E101" i="32"/>
  <c r="M201" i="29"/>
  <c r="AK122" i="32"/>
  <c r="E115" i="32"/>
  <c r="Y156" i="29"/>
  <c r="G204" i="32"/>
  <c r="G222" i="32"/>
  <c r="P10" i="1"/>
  <c r="AH162" i="32"/>
  <c r="AH196" i="32"/>
  <c r="AE222" i="32"/>
  <c r="E65" i="32"/>
  <c r="E127" i="32"/>
  <c r="M30" i="29"/>
  <c r="E121" i="32"/>
  <c r="G149" i="29"/>
  <c r="H10" i="27"/>
  <c r="M161" i="29"/>
  <c r="V107" i="32"/>
  <c r="G154" i="29"/>
  <c r="G161" i="29"/>
  <c r="V217" i="32"/>
  <c r="N10" i="9"/>
  <c r="L10" i="15"/>
  <c r="AB163" i="32"/>
  <c r="K10" i="12"/>
  <c r="AB202" i="29"/>
  <c r="AB167" i="32"/>
  <c r="V32" i="29"/>
  <c r="AB189" i="29"/>
  <c r="J106" i="32"/>
  <c r="P33" i="32"/>
  <c r="S207" i="32"/>
  <c r="G124" i="32"/>
  <c r="G168" i="32"/>
  <c r="C14" i="31"/>
  <c r="AH109" i="32"/>
  <c r="G67" i="32"/>
  <c r="AH106" i="32"/>
  <c r="AH32" i="32"/>
  <c r="M158" i="29"/>
  <c r="F10" i="17"/>
  <c r="AE161" i="32"/>
  <c r="AB57" i="32"/>
  <c r="AB127" i="32"/>
  <c r="E41" i="32"/>
  <c r="AE81" i="32"/>
  <c r="E153" i="29"/>
  <c r="J157" i="29"/>
  <c r="J29" i="29"/>
  <c r="AE217" i="32"/>
  <c r="S198" i="32"/>
  <c r="E64" i="32"/>
  <c r="E166" i="29"/>
  <c r="AE74" i="32"/>
  <c r="V81" i="32"/>
  <c r="V70" i="32"/>
  <c r="V207" i="32"/>
  <c r="L10" i="13"/>
  <c r="AE7" i="32"/>
  <c r="E7" i="29"/>
  <c r="P157" i="29"/>
  <c r="E169" i="32"/>
  <c r="AE68" i="32"/>
  <c r="V111" i="32"/>
  <c r="AB115" i="32"/>
  <c r="V183" i="32"/>
  <c r="D44" i="25"/>
  <c r="E30" i="25" s="1"/>
  <c r="P187" i="29"/>
  <c r="V168" i="32"/>
  <c r="E39" i="29"/>
  <c r="V73" i="32"/>
  <c r="V72" i="32"/>
  <c r="J174" i="32"/>
  <c r="Y105" i="32"/>
  <c r="J198" i="32"/>
  <c r="Y117" i="32"/>
  <c r="Y163" i="32"/>
  <c r="P82" i="32"/>
  <c r="S203" i="32"/>
  <c r="Y66" i="32"/>
  <c r="J168" i="32"/>
  <c r="J221" i="32"/>
  <c r="AE218" i="32"/>
  <c r="M150" i="29"/>
  <c r="AB124" i="32"/>
  <c r="AB11" i="32"/>
  <c r="G150" i="29"/>
  <c r="Y157" i="29"/>
  <c r="V127" i="32"/>
  <c r="AE40" i="32"/>
  <c r="S125" i="32"/>
  <c r="AK28" i="29"/>
  <c r="AE158" i="32"/>
  <c r="AE203" i="32"/>
  <c r="E103" i="32"/>
  <c r="AB75" i="32"/>
  <c r="N10" i="16"/>
  <c r="E182" i="32"/>
  <c r="M98" i="29"/>
  <c r="AE204" i="32"/>
  <c r="M189" i="29"/>
  <c r="M168" i="29"/>
  <c r="M31" i="29"/>
  <c r="AE157" i="32"/>
  <c r="AE160" i="32"/>
  <c r="AE83" i="32"/>
  <c r="V157" i="32"/>
  <c r="AB196" i="32"/>
  <c r="V169" i="32"/>
  <c r="V82" i="32"/>
  <c r="V110" i="32"/>
  <c r="V65" i="32"/>
  <c r="AB154" i="29"/>
  <c r="V222" i="32"/>
  <c r="AB9" i="32"/>
  <c r="V64" i="32"/>
  <c r="AB83" i="32"/>
  <c r="J105" i="32"/>
  <c r="J121" i="32"/>
  <c r="N10" i="13"/>
  <c r="E205" i="32"/>
  <c r="G125" i="32"/>
  <c r="K10" i="17"/>
  <c r="G120" i="32"/>
  <c r="M184" i="29"/>
  <c r="E11" i="32"/>
  <c r="AE127" i="32"/>
  <c r="AE108" i="32"/>
  <c r="AE71" i="32"/>
  <c r="AB203" i="32"/>
  <c r="AE117" i="32"/>
  <c r="E167" i="32"/>
  <c r="E76" i="32"/>
  <c r="E74" i="32"/>
  <c r="Y190" i="29"/>
  <c r="AE115" i="32"/>
  <c r="AB126" i="32"/>
  <c r="M29" i="29"/>
  <c r="M7" i="29"/>
  <c r="G184" i="29"/>
  <c r="AB108" i="32"/>
  <c r="AB159" i="32"/>
  <c r="V103" i="32"/>
  <c r="AE200" i="32"/>
  <c r="AB183" i="32"/>
  <c r="G61" i="29"/>
  <c r="E109" i="32"/>
  <c r="V117" i="32"/>
  <c r="S196" i="32"/>
  <c r="E206" i="29"/>
  <c r="V221" i="32"/>
  <c r="M151" i="29"/>
  <c r="AB70" i="32"/>
  <c r="V41" i="32"/>
  <c r="V203" i="32"/>
  <c r="V9" i="32"/>
  <c r="AH28" i="29"/>
  <c r="V7" i="32"/>
  <c r="V10" i="32"/>
  <c r="J115" i="32"/>
  <c r="P39" i="29"/>
  <c r="Y57" i="32"/>
  <c r="J65" i="32"/>
  <c r="P107" i="32"/>
  <c r="AB67" i="32"/>
  <c r="J170" i="32"/>
  <c r="AK105" i="32"/>
  <c r="G104" i="32"/>
  <c r="G74" i="32"/>
  <c r="AE41" i="32"/>
  <c r="AH217" i="32"/>
  <c r="G202" i="29"/>
  <c r="G206" i="29"/>
  <c r="M190" i="29"/>
  <c r="G168" i="29"/>
  <c r="AB77" i="32"/>
  <c r="E80" i="32"/>
  <c r="E166" i="32"/>
  <c r="Y184" i="29"/>
  <c r="AE78" i="32"/>
  <c r="AB217" i="32"/>
  <c r="AB33" i="32"/>
  <c r="AE84" i="32"/>
  <c r="K10" i="1"/>
  <c r="AB174" i="32"/>
  <c r="V171" i="32"/>
  <c r="AB29" i="29"/>
  <c r="AB111" i="32"/>
  <c r="V196" i="32"/>
  <c r="AB204" i="32"/>
  <c r="J190" i="29"/>
  <c r="AB197" i="32"/>
  <c r="Y189" i="29"/>
  <c r="S205" i="32"/>
  <c r="Y28" i="29"/>
  <c r="V170" i="32"/>
  <c r="J31" i="29"/>
  <c r="E120" i="32"/>
  <c r="J116" i="32"/>
  <c r="V160" i="32"/>
  <c r="E72" i="32"/>
  <c r="P57" i="32"/>
  <c r="J57" i="32"/>
  <c r="E197" i="32"/>
  <c r="T133" i="23"/>
  <c r="P216" i="32"/>
  <c r="Q216" i="32"/>
  <c r="H39" i="23"/>
  <c r="AJ63" i="23"/>
  <c r="AL7" i="23"/>
  <c r="W39" i="23"/>
  <c r="AI216" i="32"/>
  <c r="AH216" i="32"/>
  <c r="AC179" i="29"/>
  <c r="AA194" i="29"/>
  <c r="AB179" i="29"/>
  <c r="AF15" i="23"/>
  <c r="T125" i="23"/>
  <c r="T137" i="29"/>
  <c r="S137" i="29"/>
  <c r="N114" i="23"/>
  <c r="Q7" i="23"/>
  <c r="O63" i="23"/>
  <c r="AF125" i="23"/>
  <c r="K7" i="18"/>
  <c r="I91" i="18"/>
  <c r="Z137" i="29"/>
  <c r="Y137" i="29"/>
  <c r="Z129" i="23"/>
  <c r="AF74" i="18"/>
  <c r="P148" i="29"/>
  <c r="Q148" i="29"/>
  <c r="K202" i="32"/>
  <c r="J202" i="32"/>
  <c r="W111" i="23"/>
  <c r="AO111" i="23"/>
  <c r="Z19" i="18"/>
  <c r="AC46" i="18"/>
  <c r="H166" i="29"/>
  <c r="G166" i="29"/>
  <c r="AF133" i="23"/>
  <c r="M8" i="32"/>
  <c r="M19" i="32"/>
  <c r="M154" i="32"/>
  <c r="M138" i="32"/>
  <c r="M47" i="32"/>
  <c r="M179" i="32"/>
  <c r="M16" i="32"/>
  <c r="M49" i="32"/>
  <c r="M141" i="32"/>
  <c r="M48" i="32"/>
  <c r="M54" i="32"/>
  <c r="M21" i="32"/>
  <c r="M140" i="32"/>
  <c r="M128" i="32"/>
  <c r="M92" i="32"/>
  <c r="M56" i="32"/>
  <c r="M135" i="32"/>
  <c r="M180" i="32"/>
  <c r="M96" i="32"/>
  <c r="M149" i="32"/>
  <c r="M91" i="32"/>
  <c r="M146" i="32"/>
  <c r="M55" i="32"/>
  <c r="M131" i="32"/>
  <c r="M27" i="32"/>
  <c r="M177" i="32"/>
  <c r="M208" i="32"/>
  <c r="M14" i="32"/>
  <c r="M143" i="32"/>
  <c r="M150" i="32"/>
  <c r="M31" i="32"/>
  <c r="M28" i="32"/>
  <c r="M95" i="32"/>
  <c r="M51" i="32"/>
  <c r="M97" i="32"/>
  <c r="M89" i="32"/>
  <c r="M130" i="32"/>
  <c r="M136" i="32"/>
  <c r="M94" i="32"/>
  <c r="M20" i="32"/>
  <c r="M52" i="32"/>
  <c r="M132" i="32"/>
  <c r="M44" i="32"/>
  <c r="M129" i="32"/>
  <c r="M46" i="32"/>
  <c r="M43" i="32"/>
  <c r="M134" i="32"/>
  <c r="M93" i="32"/>
  <c r="M53" i="32"/>
  <c r="M90" i="32"/>
  <c r="M99" i="32"/>
  <c r="M50" i="32"/>
  <c r="M98" i="32"/>
  <c r="M151" i="32"/>
  <c r="M145" i="32"/>
  <c r="M86" i="32"/>
  <c r="M6" i="32"/>
  <c r="M139" i="32"/>
  <c r="M133" i="32"/>
  <c r="M23" i="32"/>
  <c r="M178" i="32"/>
  <c r="M15" i="32"/>
  <c r="N6" i="32"/>
  <c r="M88" i="32"/>
  <c r="M29" i="32"/>
  <c r="M147" i="32"/>
  <c r="M22" i="32"/>
  <c r="M26" i="32"/>
  <c r="L36" i="32"/>
  <c r="M144" i="32"/>
  <c r="M18" i="32"/>
  <c r="M30" i="32"/>
  <c r="M87" i="32"/>
  <c r="M13" i="32"/>
  <c r="M85" i="32"/>
  <c r="M148" i="32"/>
  <c r="M17" i="32"/>
  <c r="M175" i="32"/>
  <c r="M45" i="32"/>
  <c r="M42" i="32"/>
  <c r="M153" i="32"/>
  <c r="M137" i="32"/>
  <c r="M176" i="32"/>
  <c r="M152" i="32"/>
  <c r="M169" i="32"/>
  <c r="M121" i="32"/>
  <c r="M9" i="32"/>
  <c r="M118" i="32"/>
  <c r="M160" i="32"/>
  <c r="M199" i="32"/>
  <c r="M198" i="32"/>
  <c r="M204" i="32"/>
  <c r="M84" i="32"/>
  <c r="M73" i="32"/>
  <c r="M161" i="32"/>
  <c r="M7" i="32"/>
  <c r="M64" i="32"/>
  <c r="M33" i="32"/>
  <c r="M10" i="32"/>
  <c r="M72" i="32"/>
  <c r="M69" i="32"/>
  <c r="M103" i="32"/>
  <c r="M168" i="32"/>
  <c r="M66" i="32"/>
  <c r="M104" i="32"/>
  <c r="M80" i="32"/>
  <c r="M120" i="32"/>
  <c r="M205" i="32"/>
  <c r="M119" i="32"/>
  <c r="M107" i="32"/>
  <c r="M79" i="32"/>
  <c r="M116" i="32"/>
  <c r="M106" i="32"/>
  <c r="M113" i="32"/>
  <c r="M83" i="32"/>
  <c r="M203" i="32"/>
  <c r="M40" i="32"/>
  <c r="M65" i="32"/>
  <c r="M32" i="32"/>
  <c r="M70" i="32"/>
  <c r="M71" i="32"/>
  <c r="M74" i="32"/>
  <c r="M76" i="32"/>
  <c r="M57" i="32"/>
  <c r="M126" i="32"/>
  <c r="M200" i="32"/>
  <c r="M11" i="32"/>
  <c r="M196" i="32"/>
  <c r="M159" i="32"/>
  <c r="M108" i="32"/>
  <c r="AH75" i="32"/>
  <c r="AH7" i="32"/>
  <c r="AF200" i="29"/>
  <c r="AE200" i="29"/>
  <c r="AL220" i="32"/>
  <c r="AK220" i="32"/>
  <c r="M67" i="32"/>
  <c r="W27" i="29"/>
  <c r="V27" i="29"/>
  <c r="Q39" i="23"/>
  <c r="U174" i="29"/>
  <c r="W60" i="29"/>
  <c r="V60" i="29"/>
  <c r="M75" i="32"/>
  <c r="H10" i="1"/>
  <c r="AH69" i="32"/>
  <c r="Y38" i="29"/>
  <c r="Z38" i="29"/>
  <c r="AO39" i="23"/>
  <c r="G196" i="32"/>
  <c r="Z216" i="32"/>
  <c r="Y216" i="32"/>
  <c r="M197" i="32"/>
  <c r="P25" i="32"/>
  <c r="Q25" i="32"/>
  <c r="Q10" i="1"/>
  <c r="AH125" i="32"/>
  <c r="AH158" i="32"/>
  <c r="AI25" i="32"/>
  <c r="AH25" i="32"/>
  <c r="N58" i="23"/>
  <c r="P156" i="32"/>
  <c r="Q156" i="32"/>
  <c r="AC39" i="23"/>
  <c r="Q200" i="29"/>
  <c r="P200" i="29"/>
  <c r="Z125" i="23"/>
  <c r="G113" i="32"/>
  <c r="F10" i="10"/>
  <c r="AL58" i="23"/>
  <c r="AC101" i="32"/>
  <c r="AB101" i="32"/>
  <c r="AI101" i="32"/>
  <c r="AH101" i="32"/>
  <c r="Q7" i="18"/>
  <c r="O91" i="18"/>
  <c r="Q74" i="18"/>
  <c r="M68" i="32"/>
  <c r="AI195" i="32"/>
  <c r="AH195" i="32"/>
  <c r="AG210" i="32"/>
  <c r="AH221" i="32"/>
  <c r="AC63" i="32"/>
  <c r="AB63" i="32"/>
  <c r="AA190" i="32"/>
  <c r="G218" i="32"/>
  <c r="V148" i="29"/>
  <c r="W148" i="29"/>
  <c r="AI118" i="23"/>
  <c r="M174" i="32"/>
  <c r="AH68" i="32"/>
  <c r="G72" i="32"/>
  <c r="D194" i="29"/>
  <c r="E194" i="29" s="1"/>
  <c r="E179" i="29"/>
  <c r="M115" i="32"/>
  <c r="AI74" i="18"/>
  <c r="AF66" i="23"/>
  <c r="AD122" i="23"/>
  <c r="M125" i="32"/>
  <c r="G126" i="32"/>
  <c r="P220" i="32"/>
  <c r="Q220" i="32"/>
  <c r="Q104" i="23"/>
  <c r="V101" i="32"/>
  <c r="W101" i="32"/>
  <c r="AI46" i="18"/>
  <c r="V38" i="29"/>
  <c r="W38" i="29"/>
  <c r="Y204" i="29"/>
  <c r="Z204" i="29"/>
  <c r="AE182" i="32"/>
  <c r="AF182" i="32"/>
  <c r="AH137" i="29"/>
  <c r="AI137" i="29"/>
  <c r="AH186" i="29"/>
  <c r="AI186" i="29"/>
  <c r="N129" i="23"/>
  <c r="AF60" i="18"/>
  <c r="S10" i="28"/>
  <c r="W204" i="29"/>
  <c r="V204" i="29"/>
  <c r="AI94" i="18"/>
  <c r="AG158" i="18"/>
  <c r="AC54" i="23"/>
  <c r="K94" i="18"/>
  <c r="I158" i="18"/>
  <c r="AH104" i="32"/>
  <c r="AA122" i="23"/>
  <c r="AC66" i="23"/>
  <c r="AO54" i="23"/>
  <c r="M167" i="32"/>
  <c r="AH171" i="32"/>
  <c r="AH207" i="32"/>
  <c r="AE60" i="29"/>
  <c r="AD174" i="29"/>
  <c r="AF60" i="29"/>
  <c r="AH220" i="32"/>
  <c r="AI220" i="32"/>
  <c r="J166" i="32"/>
  <c r="K166" i="32"/>
  <c r="S158" i="29"/>
  <c r="AH127" i="32"/>
  <c r="AH57" i="32"/>
  <c r="S180" i="29"/>
  <c r="AH84" i="32"/>
  <c r="Z101" i="32"/>
  <c r="Y101" i="32"/>
  <c r="H220" i="32"/>
  <c r="G220" i="32"/>
  <c r="T97" i="29"/>
  <c r="S97" i="29"/>
  <c r="Z98" i="18"/>
  <c r="L10" i="28"/>
  <c r="Q60" i="18"/>
  <c r="F91" i="18"/>
  <c r="H7" i="18"/>
  <c r="Z25" i="32"/>
  <c r="Y25" i="32"/>
  <c r="AO104" i="23"/>
  <c r="Q66" i="23"/>
  <c r="O122" i="23"/>
  <c r="T129" i="23"/>
  <c r="M207" i="32"/>
  <c r="M127" i="32"/>
  <c r="M110" i="32"/>
  <c r="AM91" i="18"/>
  <c r="AO7" i="18"/>
  <c r="H133" i="23"/>
  <c r="F210" i="32"/>
  <c r="G195" i="32"/>
  <c r="H195" i="32"/>
  <c r="AC35" i="18"/>
  <c r="K27" i="29"/>
  <c r="J27" i="29"/>
  <c r="K179" i="29"/>
  <c r="J179" i="29"/>
  <c r="I194" i="29"/>
  <c r="S153" i="29"/>
  <c r="T153" i="29"/>
  <c r="M221" i="32"/>
  <c r="S172" i="29"/>
  <c r="S162" i="29"/>
  <c r="S192" i="29"/>
  <c r="S6" i="29"/>
  <c r="S171" i="29"/>
  <c r="S94" i="29"/>
  <c r="S169" i="29"/>
  <c r="S95" i="29"/>
  <c r="S168" i="29"/>
  <c r="T6" i="29"/>
  <c r="R35" i="29"/>
  <c r="S163" i="29"/>
  <c r="S164" i="29"/>
  <c r="S170" i="29"/>
  <c r="S206" i="29"/>
  <c r="S138" i="29"/>
  <c r="S189" i="29"/>
  <c r="S150" i="29"/>
  <c r="S98" i="29"/>
  <c r="S28" i="29"/>
  <c r="S191" i="29"/>
  <c r="S167" i="29"/>
  <c r="S149" i="29"/>
  <c r="S151" i="29"/>
  <c r="S30" i="29"/>
  <c r="S161" i="29"/>
  <c r="S156" i="29"/>
  <c r="S31" i="29"/>
  <c r="S39" i="29"/>
  <c r="S32" i="29"/>
  <c r="S201" i="29"/>
  <c r="S184" i="29"/>
  <c r="I122" i="23"/>
  <c r="K66" i="23"/>
  <c r="AI54" i="23"/>
  <c r="AH121" i="32"/>
  <c r="H19" i="18"/>
  <c r="K10" i="7"/>
  <c r="AH67" i="32"/>
  <c r="N19" i="18"/>
  <c r="N166" i="32"/>
  <c r="M166" i="32"/>
  <c r="S216" i="32"/>
  <c r="T216" i="32"/>
  <c r="M111" i="32"/>
  <c r="AC133" i="23"/>
  <c r="M12" i="32"/>
  <c r="M114" i="32"/>
  <c r="AF166" i="29"/>
  <c r="AE166" i="29"/>
  <c r="M81" i="32"/>
  <c r="AF118" i="23"/>
  <c r="Q133" i="23"/>
  <c r="AC68" i="18"/>
  <c r="M173" i="32"/>
  <c r="N173" i="32"/>
  <c r="AK160" i="29"/>
  <c r="AL160" i="29"/>
  <c r="AF46" i="18"/>
  <c r="M183" i="32"/>
  <c r="G105" i="32"/>
  <c r="G32" i="32"/>
  <c r="S186" i="29"/>
  <c r="T186" i="29"/>
  <c r="AC220" i="32"/>
  <c r="AB220" i="32"/>
  <c r="K54" i="23"/>
  <c r="P27" i="29"/>
  <c r="Q27" i="29"/>
  <c r="AH64" i="32"/>
  <c r="T118" i="23"/>
  <c r="AC104" i="23"/>
  <c r="S187" i="29"/>
  <c r="N118" i="23"/>
  <c r="AI114" i="23"/>
  <c r="AH115" i="32"/>
  <c r="J156" i="32"/>
  <c r="K156" i="32"/>
  <c r="M105" i="32"/>
  <c r="AL39" i="23"/>
  <c r="H35" i="18"/>
  <c r="AF19" i="18"/>
  <c r="Z94" i="18"/>
  <c r="X158" i="18"/>
  <c r="T204" i="29"/>
  <c r="S204" i="29"/>
  <c r="Q20" i="23"/>
  <c r="M27" i="29"/>
  <c r="N27" i="29"/>
  <c r="AB39" i="32"/>
  <c r="AC39" i="32"/>
  <c r="L194" i="29"/>
  <c r="M179" i="29"/>
  <c r="N179" i="29"/>
  <c r="Z39" i="32"/>
  <c r="Y39" i="32"/>
  <c r="N104" i="23"/>
  <c r="M162" i="32"/>
  <c r="M204" i="29"/>
  <c r="N204" i="29"/>
  <c r="G10" i="15"/>
  <c r="AL182" i="32"/>
  <c r="AK182" i="32"/>
  <c r="G117" i="32"/>
  <c r="AK60" i="29"/>
  <c r="AJ174" i="29"/>
  <c r="AL60" i="29"/>
  <c r="P160" i="29"/>
  <c r="Q160" i="29"/>
  <c r="N30" i="18"/>
  <c r="G157" i="32"/>
  <c r="AH114" i="32"/>
  <c r="Z74" i="18"/>
  <c r="AH112" i="32"/>
  <c r="R194" i="29"/>
  <c r="S179" i="29"/>
  <c r="T179" i="29"/>
  <c r="AI7" i="23"/>
  <c r="AG63" i="23"/>
  <c r="G116" i="32"/>
  <c r="W54" i="23"/>
  <c r="S188" i="29"/>
  <c r="G161" i="32"/>
  <c r="X122" i="23"/>
  <c r="Z66" i="23"/>
  <c r="AE204" i="29"/>
  <c r="AF204" i="29"/>
  <c r="AH8" i="32"/>
  <c r="AH180" i="32"/>
  <c r="AH154" i="32"/>
  <c r="AH99" i="32"/>
  <c r="AH128" i="32"/>
  <c r="AH50" i="32"/>
  <c r="AH20" i="32"/>
  <c r="AH54" i="32"/>
  <c r="AH85" i="32"/>
  <c r="AH131" i="32"/>
  <c r="AH150" i="32"/>
  <c r="AH23" i="32"/>
  <c r="AH139" i="32"/>
  <c r="AH143" i="32"/>
  <c r="AH46" i="32"/>
  <c r="AH208" i="32"/>
  <c r="AH176" i="32"/>
  <c r="AH6" i="32"/>
  <c r="AH31" i="32"/>
  <c r="AH89" i="32"/>
  <c r="AH96" i="32"/>
  <c r="AH19" i="32"/>
  <c r="AH87" i="32"/>
  <c r="AH92" i="32"/>
  <c r="AH43" i="32"/>
  <c r="AH149" i="32"/>
  <c r="AH144" i="32"/>
  <c r="AH141" i="32"/>
  <c r="AH95" i="32"/>
  <c r="AH136" i="32"/>
  <c r="AH134" i="32"/>
  <c r="AH18" i="32"/>
  <c r="AH153" i="32"/>
  <c r="AH175" i="32"/>
  <c r="AH42" i="32"/>
  <c r="AH151" i="32"/>
  <c r="AH21" i="32"/>
  <c r="AH97" i="32"/>
  <c r="AH48" i="32"/>
  <c r="AH14" i="32"/>
  <c r="AH140" i="32"/>
  <c r="AH55" i="32"/>
  <c r="AH56" i="32"/>
  <c r="AH53" i="32"/>
  <c r="AH130" i="32"/>
  <c r="AH91" i="32"/>
  <c r="AH178" i="32"/>
  <c r="AH52" i="32"/>
  <c r="AG36" i="32"/>
  <c r="AH51" i="32"/>
  <c r="AH179" i="32"/>
  <c r="AI6" i="32"/>
  <c r="AH145" i="32"/>
  <c r="AH27" i="32"/>
  <c r="AH13" i="32"/>
  <c r="AH28" i="32"/>
  <c r="AH29" i="32"/>
  <c r="AH152" i="32"/>
  <c r="AH98" i="32"/>
  <c r="AH17" i="32"/>
  <c r="AH138" i="32"/>
  <c r="AH30" i="32"/>
  <c r="AH15" i="32"/>
  <c r="AH88" i="32"/>
  <c r="AH146" i="32"/>
  <c r="AH26" i="32"/>
  <c r="AH47" i="32"/>
  <c r="AH177" i="32"/>
  <c r="AH129" i="32"/>
  <c r="AH90" i="32"/>
  <c r="AH16" i="32"/>
  <c r="AH148" i="32"/>
  <c r="AH22" i="32"/>
  <c r="AH132" i="32"/>
  <c r="AH44" i="32"/>
  <c r="AH93" i="32"/>
  <c r="AH147" i="32"/>
  <c r="AH45" i="32"/>
  <c r="AH133" i="32"/>
  <c r="AH49" i="32"/>
  <c r="AH137" i="32"/>
  <c r="AH86" i="32"/>
  <c r="AH94" i="32"/>
  <c r="AH135" i="32"/>
  <c r="AH168" i="32"/>
  <c r="AH74" i="32"/>
  <c r="AH41" i="32"/>
  <c r="AH198" i="32"/>
  <c r="AH161" i="32"/>
  <c r="AH204" i="32"/>
  <c r="AH81" i="32"/>
  <c r="AH76" i="32"/>
  <c r="AH110" i="32"/>
  <c r="AH205" i="32"/>
  <c r="AH65" i="32"/>
  <c r="AH119" i="32"/>
  <c r="AH82" i="32"/>
  <c r="AH9" i="32"/>
  <c r="AH124" i="32"/>
  <c r="AH218" i="32"/>
  <c r="AH113" i="32"/>
  <c r="AH160" i="32"/>
  <c r="AH83" i="32"/>
  <c r="AH111" i="32"/>
  <c r="AH222" i="32"/>
  <c r="AH118" i="32"/>
  <c r="AH183" i="32"/>
  <c r="AH167" i="32"/>
  <c r="AH10" i="32"/>
  <c r="AH159" i="32"/>
  <c r="AH105" i="32"/>
  <c r="AH170" i="32"/>
  <c r="AH107" i="32"/>
  <c r="AH33" i="32"/>
  <c r="AH164" i="32"/>
  <c r="AH80" i="32"/>
  <c r="AH71" i="32"/>
  <c r="AH203" i="32"/>
  <c r="AH12" i="32"/>
  <c r="AH200" i="32"/>
  <c r="AH197" i="32"/>
  <c r="AH70" i="32"/>
  <c r="AH117" i="32"/>
  <c r="AH108" i="32"/>
  <c r="AH169" i="32"/>
  <c r="AH66" i="32"/>
  <c r="AH73" i="32"/>
  <c r="AH122" i="32"/>
  <c r="AH40" i="32"/>
  <c r="AH77" i="32"/>
  <c r="AH116" i="32"/>
  <c r="Q54" i="23"/>
  <c r="M41" i="32"/>
  <c r="W30" i="18"/>
  <c r="AI63" i="32"/>
  <c r="AG190" i="32"/>
  <c r="AH63" i="32"/>
  <c r="Z39" i="23"/>
  <c r="Z60" i="18"/>
  <c r="AL68" i="18"/>
  <c r="T18" i="25"/>
  <c r="S21" i="25"/>
  <c r="N54" i="23"/>
  <c r="H129" i="23"/>
  <c r="Z54" i="23"/>
  <c r="K101" i="32"/>
  <c r="J101" i="32"/>
  <c r="G115" i="32"/>
  <c r="G80" i="32"/>
  <c r="AH157" i="32"/>
  <c r="AO66" i="23"/>
  <c r="AM122" i="23"/>
  <c r="M157" i="32"/>
  <c r="M220" i="32"/>
  <c r="N220" i="32"/>
  <c r="M206" i="32"/>
  <c r="V97" i="29"/>
  <c r="W97" i="29"/>
  <c r="G7" i="32"/>
  <c r="T74" i="18"/>
  <c r="M102" i="32"/>
  <c r="N7" i="18"/>
  <c r="L91" i="18"/>
  <c r="M217" i="32"/>
  <c r="M122" i="32"/>
  <c r="AF173" i="32"/>
  <c r="AE173" i="32"/>
  <c r="M77" i="32"/>
  <c r="X194" i="29"/>
  <c r="Z179" i="29"/>
  <c r="Y179" i="29"/>
  <c r="AH126" i="32"/>
  <c r="Q15" i="23"/>
  <c r="W7" i="18"/>
  <c r="U91" i="18"/>
  <c r="Q111" i="23"/>
  <c r="AI125" i="23"/>
  <c r="AJ122" i="23"/>
  <c r="AL66" i="23"/>
  <c r="O158" i="18"/>
  <c r="Q94" i="18"/>
  <c r="N60" i="18"/>
  <c r="V186" i="29"/>
  <c r="W186" i="29"/>
  <c r="AF111" i="23"/>
  <c r="Z114" i="23"/>
  <c r="AH72" i="32"/>
  <c r="Q101" i="32"/>
  <c r="P101" i="32"/>
  <c r="G102" i="32"/>
  <c r="AF35" i="18"/>
  <c r="K39" i="23"/>
  <c r="AC173" i="32"/>
  <c r="AB173" i="32"/>
  <c r="K35" i="18"/>
  <c r="AD210" i="32"/>
  <c r="AE195" i="32"/>
  <c r="AF195" i="32"/>
  <c r="AH160" i="29"/>
  <c r="AI160" i="29"/>
  <c r="AK195" i="32"/>
  <c r="AJ210" i="32"/>
  <c r="AL195" i="32"/>
  <c r="M222" i="32"/>
  <c r="AB137" i="29"/>
  <c r="AC137" i="29"/>
  <c r="AO98" i="18"/>
  <c r="N216" i="32"/>
  <c r="M216" i="32"/>
  <c r="Q204" i="29"/>
  <c r="P204" i="29"/>
  <c r="Q166" i="29"/>
  <c r="P166" i="29"/>
  <c r="V160" i="29"/>
  <c r="W160" i="29"/>
  <c r="Q114" i="23"/>
  <c r="P97" i="29"/>
  <c r="Q97" i="29"/>
  <c r="AL7" i="18"/>
  <c r="AJ91" i="18"/>
  <c r="G114" i="32"/>
  <c r="G170" i="32"/>
  <c r="AB148" i="29"/>
  <c r="AC148" i="29"/>
  <c r="K60" i="18"/>
  <c r="K186" i="29"/>
  <c r="J186" i="29"/>
  <c r="M171" i="32"/>
  <c r="AC20" i="23"/>
  <c r="Z30" i="18"/>
  <c r="H156" i="32"/>
  <c r="G156" i="32"/>
  <c r="AL30" i="18"/>
  <c r="AF98" i="18"/>
  <c r="F158" i="18"/>
  <c r="H94" i="18"/>
  <c r="AH120" i="32"/>
  <c r="AB216" i="32"/>
  <c r="AC216" i="32"/>
  <c r="D190" i="32"/>
  <c r="E190" i="32" s="1"/>
  <c r="E63" i="32"/>
  <c r="AG91" i="18"/>
  <c r="AI7" i="18"/>
  <c r="P202" i="32"/>
  <c r="Q202" i="32"/>
  <c r="T30" i="18"/>
  <c r="Q125" i="23"/>
  <c r="Q166" i="32"/>
  <c r="P166" i="32"/>
  <c r="E3" i="31"/>
  <c r="E4" i="31"/>
  <c r="F44" i="25"/>
  <c r="G22" i="25" s="1"/>
  <c r="AH199" i="32"/>
  <c r="AL148" i="29"/>
  <c r="AK148" i="29"/>
  <c r="N156" i="32"/>
  <c r="M156" i="32"/>
  <c r="AF186" i="29"/>
  <c r="AE186" i="29"/>
  <c r="H27" i="29"/>
  <c r="G27" i="29"/>
  <c r="AB160" i="29"/>
  <c r="AC160" i="29"/>
  <c r="M101" i="32"/>
  <c r="N101" i="32"/>
  <c r="AO129" i="23"/>
  <c r="AB27" i="29"/>
  <c r="AC27" i="29"/>
  <c r="W25" i="32"/>
  <c r="V25" i="32"/>
  <c r="AH163" i="32"/>
  <c r="K68" i="18"/>
  <c r="M78" i="32"/>
  <c r="P173" i="32"/>
  <c r="Q173" i="32"/>
  <c r="M163" i="32"/>
  <c r="AC30" i="18"/>
  <c r="AO58" i="23"/>
  <c r="AI156" i="32"/>
  <c r="AH156" i="32"/>
  <c r="Y202" i="32"/>
  <c r="Z202" i="32"/>
  <c r="R91" i="18"/>
  <c r="T7" i="18"/>
  <c r="G8" i="32"/>
  <c r="G47" i="32"/>
  <c r="G91" i="32"/>
  <c r="G146" i="32"/>
  <c r="G93" i="32"/>
  <c r="G128" i="32"/>
  <c r="G96" i="32"/>
  <c r="G86" i="32"/>
  <c r="G42" i="32"/>
  <c r="G138" i="32"/>
  <c r="G152" i="32"/>
  <c r="G177" i="32"/>
  <c r="G54" i="32"/>
  <c r="G150" i="32"/>
  <c r="G18" i="32"/>
  <c r="G19" i="32"/>
  <c r="G27" i="32"/>
  <c r="G30" i="32"/>
  <c r="G94" i="32"/>
  <c r="G151" i="32"/>
  <c r="G99" i="32"/>
  <c r="G89" i="32"/>
  <c r="G13" i="32"/>
  <c r="G178" i="32"/>
  <c r="G97" i="32"/>
  <c r="H6" i="32"/>
  <c r="G147" i="32"/>
  <c r="G145" i="32"/>
  <c r="G144" i="32"/>
  <c r="G44" i="32"/>
  <c r="G141" i="32"/>
  <c r="G16" i="32"/>
  <c r="G137" i="32"/>
  <c r="G130" i="32"/>
  <c r="G31" i="32"/>
  <c r="G88" i="32"/>
  <c r="G46" i="32"/>
  <c r="G129" i="32"/>
  <c r="G176" i="32"/>
  <c r="G22" i="32"/>
  <c r="G29" i="32"/>
  <c r="G95" i="32"/>
  <c r="G52" i="32"/>
  <c r="F36" i="32"/>
  <c r="G56" i="32"/>
  <c r="G92" i="32"/>
  <c r="G17" i="32"/>
  <c r="G48" i="32"/>
  <c r="G28" i="32"/>
  <c r="G90" i="32"/>
  <c r="G49" i="32"/>
  <c r="G140" i="32"/>
  <c r="G6" i="32"/>
  <c r="G55" i="32"/>
  <c r="G15" i="32"/>
  <c r="G180" i="32"/>
  <c r="G143" i="32"/>
  <c r="G132" i="32"/>
  <c r="G136" i="32"/>
  <c r="G98" i="32"/>
  <c r="G179" i="32"/>
  <c r="G21" i="32"/>
  <c r="G20" i="32"/>
  <c r="G26" i="32"/>
  <c r="G53" i="32"/>
  <c r="G45" i="32"/>
  <c r="G149" i="32"/>
  <c r="G139" i="32"/>
  <c r="G87" i="32"/>
  <c r="G154" i="32"/>
  <c r="G23" i="32"/>
  <c r="G131" i="32"/>
  <c r="G135" i="32"/>
  <c r="G208" i="32"/>
  <c r="G85" i="32"/>
  <c r="G175" i="32"/>
  <c r="G51" i="32"/>
  <c r="G133" i="32"/>
  <c r="G134" i="32"/>
  <c r="G50" i="32"/>
  <c r="G148" i="32"/>
  <c r="G14" i="32"/>
  <c r="G153" i="32"/>
  <c r="G43" i="32"/>
  <c r="G108" i="32"/>
  <c r="G112" i="32"/>
  <c r="G206" i="32"/>
  <c r="G199" i="32"/>
  <c r="G164" i="32"/>
  <c r="G174" i="32"/>
  <c r="G107" i="32"/>
  <c r="G217" i="32"/>
  <c r="G205" i="32"/>
  <c r="G198" i="32"/>
  <c r="G106" i="32"/>
  <c r="G41" i="32"/>
  <c r="G162" i="32"/>
  <c r="G207" i="32"/>
  <c r="G221" i="32"/>
  <c r="G123" i="32"/>
  <c r="G73" i="32"/>
  <c r="G197" i="32"/>
  <c r="G57" i="32"/>
  <c r="G159" i="32"/>
  <c r="G66" i="32"/>
  <c r="G83" i="32"/>
  <c r="G167" i="32"/>
  <c r="G68" i="32"/>
  <c r="G65" i="32"/>
  <c r="G79" i="32"/>
  <c r="G81" i="32"/>
  <c r="G163" i="32"/>
  <c r="G82" i="32"/>
  <c r="G158" i="32"/>
  <c r="G71" i="32"/>
  <c r="G121" i="32"/>
  <c r="G103" i="32"/>
  <c r="G64" i="32"/>
  <c r="G200" i="32"/>
  <c r="G75" i="32"/>
  <c r="G122" i="32"/>
  <c r="G70" i="32"/>
  <c r="G110" i="32"/>
  <c r="G127" i="32"/>
  <c r="G12" i="32"/>
  <c r="G77" i="32"/>
  <c r="G11" i="32"/>
  <c r="G78" i="32"/>
  <c r="G69" i="32"/>
  <c r="G84" i="32"/>
  <c r="G203" i="32"/>
  <c r="G111" i="32"/>
  <c r="G171" i="32"/>
  <c r="G160" i="32"/>
  <c r="G40" i="32"/>
  <c r="G9" i="32"/>
  <c r="G119" i="32"/>
  <c r="G109" i="32"/>
  <c r="G118" i="32"/>
  <c r="G183" i="32"/>
  <c r="G10" i="32"/>
  <c r="G169" i="32"/>
  <c r="AH79" i="32"/>
  <c r="M82" i="32"/>
  <c r="T35" i="18"/>
  <c r="AH102" i="32"/>
  <c r="AB186" i="29"/>
  <c r="AC186" i="29"/>
  <c r="M158" i="32"/>
  <c r="W129" i="23"/>
  <c r="M124" i="32"/>
  <c r="M164" i="32"/>
  <c r="AC118" i="23"/>
  <c r="AH206" i="32"/>
  <c r="AF25" i="32"/>
  <c r="AE25" i="32"/>
  <c r="K137" i="29"/>
  <c r="J137" i="29"/>
  <c r="M10" i="11"/>
  <c r="AF27" i="29"/>
  <c r="AE27" i="29"/>
  <c r="H216" i="32"/>
  <c r="G216" i="32"/>
  <c r="AE38" i="29"/>
  <c r="AF38" i="29"/>
  <c r="H98" i="18"/>
  <c r="AH11" i="32"/>
  <c r="H7" i="23"/>
  <c r="F63" i="23"/>
  <c r="Y200" i="29"/>
  <c r="Z200" i="29"/>
  <c r="W182" i="32"/>
  <c r="V182" i="32"/>
  <c r="M170" i="32"/>
  <c r="AH174" i="32"/>
  <c r="AO19" i="18"/>
  <c r="E18" i="25"/>
  <c r="S61" i="29"/>
  <c r="AK27" i="29"/>
  <c r="AL27" i="29"/>
  <c r="AH78" i="32"/>
  <c r="K114" i="23"/>
  <c r="Q98" i="18"/>
  <c r="T60" i="18"/>
  <c r="H30" i="18"/>
  <c r="AL46" i="18"/>
  <c r="AL118" i="23"/>
  <c r="AI97" i="29"/>
  <c r="AH97" i="29"/>
  <c r="P195" i="32"/>
  <c r="O210" i="32"/>
  <c r="Q195" i="32"/>
  <c r="G173" i="32"/>
  <c r="H173" i="32"/>
  <c r="W166" i="29"/>
  <c r="V166" i="29"/>
  <c r="E122" i="32"/>
  <c r="T104" i="23"/>
  <c r="S163" i="32"/>
  <c r="Y161" i="29"/>
  <c r="H101" i="32"/>
  <c r="G101" i="32"/>
  <c r="M138" i="29"/>
  <c r="S183" i="32"/>
  <c r="E117" i="32"/>
  <c r="E110" i="32"/>
  <c r="AI39" i="23"/>
  <c r="AE80" i="32"/>
  <c r="AC111" i="23"/>
  <c r="AE172" i="29"/>
  <c r="AE192" i="29"/>
  <c r="AE162" i="29"/>
  <c r="AF6" i="29"/>
  <c r="AD35" i="29"/>
  <c r="AE171" i="29"/>
  <c r="AE163" i="29"/>
  <c r="AE95" i="29"/>
  <c r="AE6" i="29"/>
  <c r="AE164" i="29"/>
  <c r="AE169" i="29"/>
  <c r="AE94" i="29"/>
  <c r="AE170" i="29"/>
  <c r="AE9" i="32"/>
  <c r="J150" i="29"/>
  <c r="N10" i="11"/>
  <c r="G187" i="29"/>
  <c r="AK67" i="32"/>
  <c r="N182" i="32"/>
  <c r="M182" i="32"/>
  <c r="G32" i="29"/>
  <c r="L10" i="7"/>
  <c r="W68" i="18"/>
  <c r="W104" i="23"/>
  <c r="S221" i="32"/>
  <c r="AB218" i="32"/>
  <c r="Z148" i="29"/>
  <c r="Y148" i="29"/>
  <c r="G7" i="29"/>
  <c r="Y151" i="29"/>
  <c r="O10" i="9"/>
  <c r="AB125" i="32"/>
  <c r="AE202" i="32"/>
  <c r="AF202" i="32"/>
  <c r="AI173" i="32"/>
  <c r="AH173" i="32"/>
  <c r="N35" i="18"/>
  <c r="J153" i="29"/>
  <c r="K153" i="29"/>
  <c r="AH27" i="29"/>
  <c r="AI27" i="29"/>
  <c r="S124" i="32"/>
  <c r="E191" i="29"/>
  <c r="AK158" i="32"/>
  <c r="AC38" i="29"/>
  <c r="AB38" i="29"/>
  <c r="AB7" i="32"/>
  <c r="AC60" i="18"/>
  <c r="W15" i="23"/>
  <c r="AK80" i="32"/>
  <c r="E157" i="29"/>
  <c r="AK75" i="32"/>
  <c r="H20" i="23"/>
  <c r="P61" i="29"/>
  <c r="AE168" i="29"/>
  <c r="AE112" i="32"/>
  <c r="V8" i="32"/>
  <c r="V208" i="32"/>
  <c r="V147" i="32"/>
  <c r="V22" i="32"/>
  <c r="V129" i="32"/>
  <c r="V141" i="32"/>
  <c r="V27" i="32"/>
  <c r="V55" i="32"/>
  <c r="V43" i="32"/>
  <c r="V13" i="32"/>
  <c r="V98" i="32"/>
  <c r="V137" i="32"/>
  <c r="V19" i="32"/>
  <c r="V96" i="32"/>
  <c r="V148" i="32"/>
  <c r="V144" i="32"/>
  <c r="V51" i="32"/>
  <c r="V50" i="32"/>
  <c r="V151" i="32"/>
  <c r="V94" i="32"/>
  <c r="V47" i="32"/>
  <c r="V31" i="32"/>
  <c r="V97" i="32"/>
  <c r="V85" i="32"/>
  <c r="V132" i="32"/>
  <c r="V131" i="32"/>
  <c r="V49" i="32"/>
  <c r="V29" i="32"/>
  <c r="V180" i="32"/>
  <c r="V143" i="32"/>
  <c r="V95" i="32"/>
  <c r="V136" i="32"/>
  <c r="V30" i="32"/>
  <c r="V134" i="32"/>
  <c r="V46" i="32"/>
  <c r="V14" i="32"/>
  <c r="V178" i="32"/>
  <c r="V20" i="32"/>
  <c r="V177" i="32"/>
  <c r="V175" i="32"/>
  <c r="V42" i="32"/>
  <c r="V28" i="32"/>
  <c r="V56" i="32"/>
  <c r="V150" i="32"/>
  <c r="V44" i="32"/>
  <c r="V6" i="32"/>
  <c r="V93" i="32"/>
  <c r="V92" i="32"/>
  <c r="V128" i="32"/>
  <c r="V99" i="32"/>
  <c r="V86" i="32"/>
  <c r="V135" i="32"/>
  <c r="V146" i="32"/>
  <c r="V26" i="32"/>
  <c r="V16" i="32"/>
  <c r="V87" i="32"/>
  <c r="V130" i="32"/>
  <c r="V45" i="32"/>
  <c r="V149" i="32"/>
  <c r="V152" i="32"/>
  <c r="V88" i="32"/>
  <c r="V179" i="32"/>
  <c r="V17" i="32"/>
  <c r="V89" i="32"/>
  <c r="V133" i="32"/>
  <c r="W6" i="32"/>
  <c r="V23" i="32"/>
  <c r="V140" i="32"/>
  <c r="V48" i="32"/>
  <c r="V21" i="32"/>
  <c r="V18" i="32"/>
  <c r="V15" i="32"/>
  <c r="V138" i="32"/>
  <c r="V52" i="32"/>
  <c r="V176" i="32"/>
  <c r="U36" i="32"/>
  <c r="V153" i="32"/>
  <c r="V145" i="32"/>
  <c r="V91" i="32"/>
  <c r="V154" i="32"/>
  <c r="V54" i="32"/>
  <c r="V90" i="32"/>
  <c r="V139" i="32"/>
  <c r="V53" i="32"/>
  <c r="V205" i="32"/>
  <c r="W114" i="23"/>
  <c r="E196" i="32"/>
  <c r="Q129" i="23"/>
  <c r="E78" i="32"/>
  <c r="AC166" i="29"/>
  <c r="AB166" i="29"/>
  <c r="G138" i="29"/>
  <c r="H46" i="18"/>
  <c r="V31" i="29"/>
  <c r="V198" i="32"/>
  <c r="AO30" i="18"/>
  <c r="M187" i="29"/>
  <c r="W74" i="18"/>
  <c r="E116" i="32"/>
  <c r="AB199" i="32"/>
  <c r="Y61" i="29"/>
  <c r="AH150" i="29"/>
  <c r="AE221" i="32"/>
  <c r="K10" i="16"/>
  <c r="AK168" i="32"/>
  <c r="P38" i="29"/>
  <c r="Q38" i="29"/>
  <c r="V122" i="32"/>
  <c r="G31" i="29"/>
  <c r="AF39" i="23"/>
  <c r="K10" i="2"/>
  <c r="AD63" i="23"/>
  <c r="AF7" i="23"/>
  <c r="W98" i="18"/>
  <c r="AK112" i="32"/>
  <c r="J119" i="32"/>
  <c r="L10" i="9"/>
  <c r="AJ190" i="32"/>
  <c r="AK63" i="32"/>
  <c r="AL63" i="32"/>
  <c r="Y115" i="32"/>
  <c r="V159" i="32"/>
  <c r="G25" i="32"/>
  <c r="H25" i="32"/>
  <c r="Q10" i="28"/>
  <c r="AE39" i="32"/>
  <c r="AF39" i="32"/>
  <c r="V206" i="29"/>
  <c r="E198" i="32"/>
  <c r="G97" i="29"/>
  <c r="H97" i="29"/>
  <c r="J120" i="32"/>
  <c r="AF129" i="23"/>
  <c r="AE118" i="32"/>
  <c r="S218" i="32"/>
  <c r="E125" i="32"/>
  <c r="AK206" i="32"/>
  <c r="Z15" i="23"/>
  <c r="Y104" i="32"/>
  <c r="J220" i="32"/>
  <c r="K220" i="32"/>
  <c r="E77" i="32"/>
  <c r="E112" i="32"/>
  <c r="AE138" i="29"/>
  <c r="K166" i="29"/>
  <c r="J166" i="29"/>
  <c r="P39" i="32"/>
  <c r="Q39" i="32"/>
  <c r="S173" i="32"/>
  <c r="T173" i="32"/>
  <c r="P10" i="27"/>
  <c r="V172" i="29"/>
  <c r="V170" i="29"/>
  <c r="V95" i="29"/>
  <c r="U35" i="29"/>
  <c r="U57" i="29" s="1"/>
  <c r="V6" i="29"/>
  <c r="W6" i="29"/>
  <c r="V169" i="29"/>
  <c r="V171" i="29"/>
  <c r="V162" i="29"/>
  <c r="V94" i="29"/>
  <c r="V164" i="29"/>
  <c r="V163" i="29"/>
  <c r="V192" i="29"/>
  <c r="J195" i="32"/>
  <c r="I210" i="32"/>
  <c r="K195" i="32"/>
  <c r="Z160" i="29"/>
  <c r="Y160" i="29"/>
  <c r="AL166" i="29"/>
  <c r="AK166" i="29"/>
  <c r="AO60" i="18"/>
  <c r="W118" i="23"/>
  <c r="Z182" i="32"/>
  <c r="Y182" i="32"/>
  <c r="AI39" i="32"/>
  <c r="AH39" i="32"/>
  <c r="Z68" i="18"/>
  <c r="T98" i="18"/>
  <c r="H125" i="23"/>
  <c r="N74" i="18"/>
  <c r="K133" i="23"/>
  <c r="AF148" i="29"/>
  <c r="AE148" i="29"/>
  <c r="H60" i="29"/>
  <c r="F174" i="29"/>
  <c r="G60" i="29"/>
  <c r="H160" i="29"/>
  <c r="G160" i="29"/>
  <c r="AF54" i="23"/>
  <c r="M200" i="29"/>
  <c r="N200" i="29"/>
  <c r="V153" i="29"/>
  <c r="W153" i="29"/>
  <c r="T195" i="32"/>
  <c r="R210" i="32"/>
  <c r="S195" i="32"/>
  <c r="AB195" i="32"/>
  <c r="AC195" i="32"/>
  <c r="AA210" i="32"/>
  <c r="AE8" i="32"/>
  <c r="AE143" i="32"/>
  <c r="AE154" i="32"/>
  <c r="AE52" i="32"/>
  <c r="AE19" i="32"/>
  <c r="AE175" i="32"/>
  <c r="AE147" i="32"/>
  <c r="AE179" i="32"/>
  <c r="AE28" i="32"/>
  <c r="AE15" i="32"/>
  <c r="AE20" i="32"/>
  <c r="AE152" i="32"/>
  <c r="AE145" i="32"/>
  <c r="AE132" i="32"/>
  <c r="AE90" i="32"/>
  <c r="AE31" i="32"/>
  <c r="AE88" i="32"/>
  <c r="AE46" i="32"/>
  <c r="AE17" i="32"/>
  <c r="AE95" i="32"/>
  <c r="AE18" i="32"/>
  <c r="AE140" i="32"/>
  <c r="AE176" i="32"/>
  <c r="AE137" i="32"/>
  <c r="AE94" i="32"/>
  <c r="AE93" i="32"/>
  <c r="AE133" i="32"/>
  <c r="AE29" i="32"/>
  <c r="AE149" i="32"/>
  <c r="AE153" i="32"/>
  <c r="AE47" i="32"/>
  <c r="AE208" i="32"/>
  <c r="AE89" i="32"/>
  <c r="AF6" i="32"/>
  <c r="AE16" i="32"/>
  <c r="AE129" i="32"/>
  <c r="AE49" i="32"/>
  <c r="AE178" i="32"/>
  <c r="AE6" i="32"/>
  <c r="AE23" i="32"/>
  <c r="AE97" i="32"/>
  <c r="AE48" i="32"/>
  <c r="AE138" i="32"/>
  <c r="AE54" i="32"/>
  <c r="AE135" i="32"/>
  <c r="AE51" i="32"/>
  <c r="AE85" i="32"/>
  <c r="AE96" i="32"/>
  <c r="AE134" i="32"/>
  <c r="AE177" i="32"/>
  <c r="AE141" i="32"/>
  <c r="AE180" i="32"/>
  <c r="AE92" i="32"/>
  <c r="AE42" i="32"/>
  <c r="AE53" i="32"/>
  <c r="AE139" i="32"/>
  <c r="AE22" i="32"/>
  <c r="AE45" i="32"/>
  <c r="AE131" i="32"/>
  <c r="AE44" i="32"/>
  <c r="AE87" i="32"/>
  <c r="AE50" i="32"/>
  <c r="AE148" i="32"/>
  <c r="AE30" i="32"/>
  <c r="AE128" i="32"/>
  <c r="AE151" i="32"/>
  <c r="AE43" i="32"/>
  <c r="AE86" i="32"/>
  <c r="AE55" i="32"/>
  <c r="AE99" i="32"/>
  <c r="AE136" i="32"/>
  <c r="AE98" i="32"/>
  <c r="AE144" i="32"/>
  <c r="AE130" i="32"/>
  <c r="AE56" i="32"/>
  <c r="AE26" i="32"/>
  <c r="AE150" i="32"/>
  <c r="AE91" i="32"/>
  <c r="AE146" i="32"/>
  <c r="AE14" i="32"/>
  <c r="AE21" i="32"/>
  <c r="AE13" i="32"/>
  <c r="AD36" i="32"/>
  <c r="AE27" i="32"/>
  <c r="O10" i="1"/>
  <c r="G186" i="29"/>
  <c r="H186" i="29"/>
  <c r="E104" i="32"/>
  <c r="AK217" i="32"/>
  <c r="T19" i="18"/>
  <c r="AI15" i="23"/>
  <c r="Q63" i="32"/>
  <c r="O190" i="32"/>
  <c r="P63" i="32"/>
  <c r="AI68" i="18"/>
  <c r="G172" i="29"/>
  <c r="G169" i="29"/>
  <c r="G95" i="29"/>
  <c r="G164" i="29"/>
  <c r="G162" i="29"/>
  <c r="G192" i="29"/>
  <c r="H6" i="29"/>
  <c r="G6" i="29"/>
  <c r="G94" i="29"/>
  <c r="G171" i="29"/>
  <c r="G170" i="29"/>
  <c r="F35" i="29"/>
  <c r="G163" i="29"/>
  <c r="C3" i="31"/>
  <c r="C4" i="31"/>
  <c r="E10" i="32"/>
  <c r="P186" i="29"/>
  <c r="Q186" i="29"/>
  <c r="Z133" i="23"/>
  <c r="H15" i="23"/>
  <c r="S32" i="32"/>
  <c r="T20" i="23"/>
  <c r="AK204" i="32"/>
  <c r="W60" i="18"/>
  <c r="AK169" i="32"/>
  <c r="H111" i="23"/>
  <c r="AB8" i="32"/>
  <c r="AB95" i="32"/>
  <c r="AB133" i="32"/>
  <c r="AB130" i="32"/>
  <c r="AB92" i="32"/>
  <c r="AB149" i="32"/>
  <c r="AB87" i="32"/>
  <c r="AB139" i="32"/>
  <c r="AB88" i="32"/>
  <c r="AB148" i="32"/>
  <c r="AB140" i="32"/>
  <c r="AB43" i="32"/>
  <c r="AB17" i="32"/>
  <c r="AB28" i="32"/>
  <c r="AB55" i="32"/>
  <c r="AB180" i="32"/>
  <c r="AB56" i="32"/>
  <c r="AB98" i="32"/>
  <c r="AB50" i="32"/>
  <c r="AB93" i="32"/>
  <c r="AB23" i="32"/>
  <c r="AB175" i="32"/>
  <c r="AC6" i="32"/>
  <c r="AB26" i="32"/>
  <c r="AB16" i="32"/>
  <c r="AB89" i="32"/>
  <c r="AB91" i="32"/>
  <c r="AB151" i="32"/>
  <c r="AB179" i="32"/>
  <c r="AB30" i="32"/>
  <c r="AB135" i="32"/>
  <c r="AB27" i="32"/>
  <c r="AB146" i="32"/>
  <c r="AB153" i="32"/>
  <c r="AB96" i="32"/>
  <c r="AB53" i="32"/>
  <c r="AB14" i="32"/>
  <c r="AB19" i="32"/>
  <c r="AB132" i="32"/>
  <c r="AB177" i="32"/>
  <c r="AB208" i="32"/>
  <c r="AB48" i="32"/>
  <c r="AB131" i="32"/>
  <c r="AB129" i="32"/>
  <c r="AB31" i="32"/>
  <c r="AA36" i="32"/>
  <c r="AB21" i="32"/>
  <c r="AB54" i="32"/>
  <c r="AB85" i="32"/>
  <c r="AB47" i="32"/>
  <c r="AB154" i="32"/>
  <c r="AB138" i="32"/>
  <c r="AB86" i="32"/>
  <c r="AB20" i="32"/>
  <c r="AB178" i="32"/>
  <c r="AB51" i="32"/>
  <c r="AB99" i="32"/>
  <c r="AB22" i="32"/>
  <c r="AB147" i="32"/>
  <c r="AB52" i="32"/>
  <c r="AB143" i="32"/>
  <c r="AB15" i="32"/>
  <c r="AB176" i="32"/>
  <c r="AB6" i="32"/>
  <c r="AB46" i="32"/>
  <c r="AB29" i="32"/>
  <c r="AB150" i="32"/>
  <c r="AB45" i="32"/>
  <c r="AB152" i="32"/>
  <c r="AB134" i="32"/>
  <c r="AB137" i="32"/>
  <c r="AB94" i="32"/>
  <c r="AB97" i="32"/>
  <c r="AB145" i="32"/>
  <c r="AB141" i="32"/>
  <c r="AB90" i="32"/>
  <c r="AB49" i="32"/>
  <c r="AB42" i="32"/>
  <c r="AB128" i="32"/>
  <c r="AB13" i="32"/>
  <c r="AB44" i="32"/>
  <c r="AB136" i="32"/>
  <c r="AB18" i="32"/>
  <c r="AB144" i="32"/>
  <c r="AH205" i="29"/>
  <c r="R10" i="27"/>
  <c r="AC166" i="32"/>
  <c r="AB166" i="32"/>
  <c r="AB32" i="32"/>
  <c r="Z27" i="29"/>
  <c r="Y27" i="29"/>
  <c r="N125" i="23"/>
  <c r="O174" i="29"/>
  <c r="P60" i="29"/>
  <c r="Q60" i="29"/>
  <c r="AE106" i="32"/>
  <c r="E73" i="32"/>
  <c r="D210" i="32"/>
  <c r="E210" i="32" s="1"/>
  <c r="E195" i="32"/>
  <c r="Y220" i="32"/>
  <c r="Z220" i="32"/>
  <c r="AF94" i="18"/>
  <c r="AD158" i="18"/>
  <c r="AB71" i="32"/>
  <c r="S67" i="32"/>
  <c r="H137" i="29"/>
  <c r="G137" i="29"/>
  <c r="K58" i="23"/>
  <c r="S75" i="32"/>
  <c r="U158" i="18"/>
  <c r="W94" i="18"/>
  <c r="Y60" i="29"/>
  <c r="X174" i="29"/>
  <c r="Z60" i="29"/>
  <c r="AE73" i="32"/>
  <c r="K10" i="27"/>
  <c r="AE220" i="32"/>
  <c r="AF220" i="32"/>
  <c r="N39" i="23"/>
  <c r="O10" i="14"/>
  <c r="AI98" i="18"/>
  <c r="AE154" i="29"/>
  <c r="AI129" i="23"/>
  <c r="AO118" i="23"/>
  <c r="AH30" i="29"/>
  <c r="AB76" i="32"/>
  <c r="AK162" i="32"/>
  <c r="AE75" i="32"/>
  <c r="V40" i="32"/>
  <c r="M97" i="29"/>
  <c r="N97" i="29"/>
  <c r="T202" i="32"/>
  <c r="S202" i="32"/>
  <c r="T60" i="29"/>
  <c r="R174" i="29"/>
  <c r="S60" i="29"/>
  <c r="V66" i="32"/>
  <c r="J73" i="32"/>
  <c r="H118" i="23"/>
  <c r="S10" i="27"/>
  <c r="G10" i="7"/>
  <c r="Y112" i="32"/>
  <c r="E151" i="29"/>
  <c r="AC19" i="18"/>
  <c r="Y200" i="32"/>
  <c r="AK206" i="29"/>
  <c r="AK66" i="32"/>
  <c r="Q35" i="18"/>
  <c r="AE137" i="29"/>
  <c r="AF137" i="29"/>
  <c r="AO133" i="23"/>
  <c r="H74" i="18"/>
  <c r="AH60" i="29"/>
  <c r="AI60" i="29"/>
  <c r="AG174" i="29"/>
  <c r="AL200" i="29"/>
  <c r="AK200" i="29"/>
  <c r="J172" i="29"/>
  <c r="K6" i="29"/>
  <c r="J162" i="29"/>
  <c r="J170" i="29"/>
  <c r="J6" i="29"/>
  <c r="I35" i="29"/>
  <c r="I57" i="29" s="1"/>
  <c r="J95" i="29"/>
  <c r="J94" i="29"/>
  <c r="J171" i="29"/>
  <c r="J163" i="29"/>
  <c r="J164" i="29"/>
  <c r="J169" i="29"/>
  <c r="J192" i="29"/>
  <c r="S156" i="32"/>
  <c r="T156" i="32"/>
  <c r="S136" i="32"/>
  <c r="S56" i="32"/>
  <c r="S85" i="32"/>
  <c r="S97" i="32"/>
  <c r="S91" i="32"/>
  <c r="S30" i="32"/>
  <c r="S86" i="32"/>
  <c r="S90" i="32"/>
  <c r="S88" i="32"/>
  <c r="S15" i="32"/>
  <c r="S19" i="32"/>
  <c r="S18" i="32"/>
  <c r="S154" i="32"/>
  <c r="S148" i="32"/>
  <c r="S20" i="32"/>
  <c r="S22" i="32"/>
  <c r="S128" i="32"/>
  <c r="S131" i="32"/>
  <c r="S29" i="32"/>
  <c r="S96" i="32"/>
  <c r="S143" i="32"/>
  <c r="S52" i="32"/>
  <c r="S26" i="32"/>
  <c r="S46" i="32"/>
  <c r="S176" i="32"/>
  <c r="S14" i="32"/>
  <c r="S140" i="32"/>
  <c r="S133" i="32"/>
  <c r="S16" i="32"/>
  <c r="S21" i="32"/>
  <c r="S175" i="32"/>
  <c r="S150" i="32"/>
  <c r="S152" i="32"/>
  <c r="S89" i="32"/>
  <c r="S42" i="32"/>
  <c r="S129" i="32"/>
  <c r="R36" i="32"/>
  <c r="S178" i="32"/>
  <c r="S149" i="32"/>
  <c r="S134" i="32"/>
  <c r="S137" i="32"/>
  <c r="S208" i="32"/>
  <c r="S45" i="32"/>
  <c r="S54" i="32"/>
  <c r="S144" i="32"/>
  <c r="S41" i="32"/>
  <c r="S99" i="32"/>
  <c r="S179" i="32"/>
  <c r="S55" i="32"/>
  <c r="S43" i="32"/>
  <c r="S23" i="32"/>
  <c r="S47" i="32"/>
  <c r="S146" i="32"/>
  <c r="S6" i="32"/>
  <c r="S151" i="32"/>
  <c r="S180" i="32"/>
  <c r="S8" i="32"/>
  <c r="S139" i="32"/>
  <c r="S98" i="32"/>
  <c r="S31" i="32"/>
  <c r="S48" i="32"/>
  <c r="S132" i="32"/>
  <c r="S95" i="32"/>
  <c r="S87" i="32"/>
  <c r="S53" i="32"/>
  <c r="S177" i="32"/>
  <c r="S17" i="32"/>
  <c r="S13" i="32"/>
  <c r="S49" i="32"/>
  <c r="S27" i="32"/>
  <c r="T6" i="32"/>
  <c r="S92" i="32"/>
  <c r="S130" i="32"/>
  <c r="S138" i="32"/>
  <c r="S93" i="32"/>
  <c r="S147" i="32"/>
  <c r="S141" i="32"/>
  <c r="S135" i="32"/>
  <c r="S51" i="32"/>
  <c r="S153" i="32"/>
  <c r="S28" i="32"/>
  <c r="S145" i="32"/>
  <c r="S44" i="32"/>
  <c r="S94" i="32"/>
  <c r="S50" i="32"/>
  <c r="AK137" i="29"/>
  <c r="AL137" i="29"/>
  <c r="E79" i="32"/>
  <c r="AA91" i="18"/>
  <c r="AC7" i="18"/>
  <c r="W19" i="18"/>
  <c r="AC129" i="23"/>
  <c r="G38" i="29"/>
  <c r="H38" i="29"/>
  <c r="AE125" i="32"/>
  <c r="M137" i="29"/>
  <c r="N137" i="29"/>
  <c r="H182" i="32"/>
  <c r="G182" i="32"/>
  <c r="AL153" i="29"/>
  <c r="AK153" i="29"/>
  <c r="S182" i="32"/>
  <c r="T182" i="32"/>
  <c r="AL129" i="23"/>
  <c r="AE167" i="32"/>
  <c r="AE171" i="32"/>
  <c r="V184" i="29"/>
  <c r="AC7" i="23"/>
  <c r="AA63" i="23"/>
  <c r="AH7" i="29"/>
  <c r="J149" i="29"/>
  <c r="G188" i="29"/>
  <c r="N46" i="18"/>
  <c r="AL125" i="23"/>
  <c r="M195" i="32"/>
  <c r="L210" i="32"/>
  <c r="N195" i="32"/>
  <c r="E221" i="32"/>
  <c r="AK216" i="32"/>
  <c r="AL216" i="32"/>
  <c r="AL179" i="29"/>
  <c r="AK179" i="29"/>
  <c r="AJ194" i="29"/>
  <c r="S220" i="32"/>
  <c r="T220" i="32"/>
  <c r="G205" i="29"/>
  <c r="J205" i="29"/>
  <c r="AF68" i="18"/>
  <c r="AK104" i="32"/>
  <c r="N133" i="23"/>
  <c r="AB171" i="32"/>
  <c r="Y167" i="29"/>
  <c r="H54" i="23"/>
  <c r="E40" i="32"/>
  <c r="E38" i="29"/>
  <c r="V155" i="29"/>
  <c r="N10" i="12"/>
  <c r="G189" i="29"/>
  <c r="T38" i="29"/>
  <c r="S38" i="29"/>
  <c r="AB123" i="32"/>
  <c r="AB170" i="32"/>
  <c r="AB25" i="32"/>
  <c r="AC25" i="32"/>
  <c r="M149" i="29"/>
  <c r="E159" i="32"/>
  <c r="AB84" i="32"/>
  <c r="J61" i="29"/>
  <c r="AK40" i="32"/>
  <c r="AE57" i="32"/>
  <c r="N10" i="14"/>
  <c r="AB113" i="32"/>
  <c r="V191" i="29"/>
  <c r="AB79" i="32"/>
  <c r="Z7" i="18"/>
  <c r="X91" i="18"/>
  <c r="Q10" i="27"/>
  <c r="AE64" i="32"/>
  <c r="AE29" i="29"/>
  <c r="AE109" i="32"/>
  <c r="N186" i="29"/>
  <c r="M186" i="29"/>
  <c r="AL111" i="23"/>
  <c r="T46" i="18"/>
  <c r="H202" i="32"/>
  <c r="G202" i="32"/>
  <c r="L122" i="23"/>
  <c r="N66" i="23"/>
  <c r="T111" i="23"/>
  <c r="AE30" i="29"/>
  <c r="AF153" i="29"/>
  <c r="AE153" i="29"/>
  <c r="AB190" i="29"/>
  <c r="K182" i="32"/>
  <c r="J182" i="32"/>
  <c r="AK111" i="32"/>
  <c r="M157" i="29"/>
  <c r="T200" i="29"/>
  <c r="S200" i="29"/>
  <c r="S123" i="32"/>
  <c r="AK124" i="32"/>
  <c r="V76" i="32"/>
  <c r="S114" i="32"/>
  <c r="P191" i="29"/>
  <c r="AE158" i="29"/>
  <c r="V167" i="32"/>
  <c r="AA158" i="18"/>
  <c r="AC94" i="18"/>
  <c r="G10" i="8"/>
  <c r="Z118" i="23"/>
  <c r="AE169" i="32"/>
  <c r="AB205" i="29"/>
  <c r="AI202" i="32"/>
  <c r="AH202" i="32"/>
  <c r="E69" i="32"/>
  <c r="AB161" i="32"/>
  <c r="AB201" i="29"/>
  <c r="V174" i="32"/>
  <c r="Q46" i="18"/>
  <c r="P122" i="32"/>
  <c r="AM158" i="18"/>
  <c r="AO94" i="18"/>
  <c r="E150" i="29"/>
  <c r="AL19" i="18"/>
  <c r="K118" i="23"/>
  <c r="N111" i="23"/>
  <c r="AC202" i="32"/>
  <c r="AB202" i="32"/>
  <c r="AI30" i="18"/>
  <c r="M166" i="29"/>
  <c r="N166" i="29"/>
  <c r="N10" i="8"/>
  <c r="W58" i="23"/>
  <c r="H68" i="18"/>
  <c r="L158" i="18"/>
  <c r="N94" i="18"/>
  <c r="AL173" i="32"/>
  <c r="AK173" i="32"/>
  <c r="Z20" i="23"/>
  <c r="V138" i="29"/>
  <c r="Y156" i="32"/>
  <c r="Z156" i="32"/>
  <c r="AO68" i="18"/>
  <c r="AK156" i="32"/>
  <c r="AL156" i="32"/>
  <c r="T166" i="32"/>
  <c r="S166" i="32"/>
  <c r="K19" i="18"/>
  <c r="AI20" i="23"/>
  <c r="W35" i="18"/>
  <c r="AK204" i="29"/>
  <c r="AL204" i="29"/>
  <c r="S112" i="32"/>
  <c r="Q58" i="23"/>
  <c r="H39" i="32"/>
  <c r="G39" i="32"/>
  <c r="AK8" i="32"/>
  <c r="AK21" i="32"/>
  <c r="AK47" i="32"/>
  <c r="AK49" i="32"/>
  <c r="AK26" i="32"/>
  <c r="AK89" i="32"/>
  <c r="AK14" i="32"/>
  <c r="AK135" i="32"/>
  <c r="AK27" i="32"/>
  <c r="AK28" i="32"/>
  <c r="AK51" i="32"/>
  <c r="AK88" i="32"/>
  <c r="AK53" i="32"/>
  <c r="AK29" i="32"/>
  <c r="AJ36" i="32"/>
  <c r="AJ60" i="32" s="1"/>
  <c r="AK86" i="32"/>
  <c r="AK136" i="32"/>
  <c r="AK30" i="32"/>
  <c r="AK180" i="32"/>
  <c r="AK146" i="32"/>
  <c r="AK132" i="32"/>
  <c r="AK141" i="32"/>
  <c r="AK92" i="32"/>
  <c r="AK133" i="32"/>
  <c r="AK85" i="32"/>
  <c r="AK153" i="32"/>
  <c r="AL6" i="32"/>
  <c r="AK20" i="32"/>
  <c r="AK134" i="32"/>
  <c r="AK177" i="32"/>
  <c r="AK208" i="32"/>
  <c r="AK87" i="32"/>
  <c r="AK175" i="32"/>
  <c r="AK43" i="32"/>
  <c r="AK144" i="32"/>
  <c r="AK143" i="32"/>
  <c r="AK6" i="32"/>
  <c r="AK128" i="32"/>
  <c r="AK140" i="32"/>
  <c r="AK131" i="32"/>
  <c r="AK130" i="32"/>
  <c r="AK152" i="32"/>
  <c r="AK54" i="32"/>
  <c r="AK98" i="32"/>
  <c r="AK19" i="32"/>
  <c r="AK95" i="32"/>
  <c r="AK23" i="32"/>
  <c r="AK145" i="32"/>
  <c r="AK42" i="32"/>
  <c r="AK148" i="32"/>
  <c r="AK138" i="32"/>
  <c r="AK147" i="32"/>
  <c r="AK91" i="32"/>
  <c r="AK55" i="32"/>
  <c r="AK17" i="32"/>
  <c r="AK99" i="32"/>
  <c r="AK139" i="32"/>
  <c r="AK149" i="32"/>
  <c r="AK31" i="32"/>
  <c r="AK15" i="32"/>
  <c r="AK18" i="32"/>
  <c r="AK56" i="32"/>
  <c r="AK176" i="32"/>
  <c r="AK137" i="32"/>
  <c r="AK22" i="32"/>
  <c r="AK50" i="32"/>
  <c r="AK52" i="32"/>
  <c r="AK93" i="32"/>
  <c r="AK16" i="32"/>
  <c r="AK129" i="32"/>
  <c r="AK44" i="32"/>
  <c r="AK154" i="32"/>
  <c r="AK150" i="32"/>
  <c r="AK90" i="32"/>
  <c r="AK46" i="32"/>
  <c r="AK179" i="32"/>
  <c r="AK94" i="32"/>
  <c r="AK151" i="32"/>
  <c r="AK97" i="32"/>
  <c r="AK48" i="32"/>
  <c r="AK45" i="32"/>
  <c r="AK96" i="32"/>
  <c r="AK178" i="32"/>
  <c r="AK13" i="32"/>
  <c r="Q19" i="18"/>
  <c r="H153" i="29"/>
  <c r="G153" i="29"/>
  <c r="AE207" i="32"/>
  <c r="AK79" i="32"/>
  <c r="AE166" i="32"/>
  <c r="AF166" i="32"/>
  <c r="AE163" i="32"/>
  <c r="D140" i="23"/>
  <c r="T114" i="23"/>
  <c r="Y150" i="29"/>
  <c r="AH172" i="29"/>
  <c r="AH170" i="29"/>
  <c r="AG35" i="29"/>
  <c r="AG57" i="29" s="1"/>
  <c r="AH162" i="29"/>
  <c r="AH6" i="29"/>
  <c r="AH164" i="29"/>
  <c r="AH163" i="29"/>
  <c r="AH94" i="29"/>
  <c r="AH95" i="29"/>
  <c r="AI6" i="29"/>
  <c r="AH171" i="29"/>
  <c r="AH169" i="29"/>
  <c r="AH192" i="29"/>
  <c r="K148" i="29"/>
  <c r="J148" i="29"/>
  <c r="N25" i="32"/>
  <c r="M25" i="32"/>
  <c r="K39" i="32"/>
  <c r="J39" i="32"/>
  <c r="Y98" i="29"/>
  <c r="E220" i="32"/>
  <c r="W195" i="32"/>
  <c r="V195" i="32"/>
  <c r="U210" i="32"/>
  <c r="K20" i="23"/>
  <c r="AO15" i="23"/>
  <c r="W125" i="23"/>
  <c r="AI133" i="23"/>
  <c r="E157" i="32"/>
  <c r="E39" i="32"/>
  <c r="Z46" i="18"/>
  <c r="K7" i="23"/>
  <c r="I63" i="23"/>
  <c r="S25" i="32"/>
  <c r="T25" i="32"/>
  <c r="S78" i="32"/>
  <c r="L10" i="16"/>
  <c r="AB164" i="32"/>
  <c r="AE114" i="32"/>
  <c r="J202" i="29"/>
  <c r="S76" i="32"/>
  <c r="G10" i="13"/>
  <c r="AL15" i="23"/>
  <c r="R63" i="23"/>
  <c r="T7" i="23"/>
  <c r="AE189" i="29"/>
  <c r="AH204" i="29"/>
  <c r="AI204" i="29"/>
  <c r="U122" i="23"/>
  <c r="W66" i="23"/>
  <c r="AC114" i="23"/>
  <c r="M148" i="29"/>
  <c r="N148" i="29"/>
  <c r="I10" i="27"/>
  <c r="AK121" i="32"/>
  <c r="Z58" i="23"/>
  <c r="I174" i="29"/>
  <c r="K60" i="29"/>
  <c r="J60" i="29"/>
  <c r="AK39" i="32"/>
  <c r="AL39" i="32"/>
  <c r="K216" i="32"/>
  <c r="J216" i="32"/>
  <c r="H58" i="23"/>
  <c r="K200" i="29"/>
  <c r="J200" i="29"/>
  <c r="AK126" i="32"/>
  <c r="AE206" i="29"/>
  <c r="M10" i="10"/>
  <c r="X63" i="23"/>
  <c r="Z7" i="23"/>
  <c r="P180" i="29"/>
  <c r="AH202" i="29"/>
  <c r="M202" i="32"/>
  <c r="N202" i="32"/>
  <c r="N10" i="17"/>
  <c r="W20" i="23"/>
  <c r="AE157" i="29"/>
  <c r="AB74" i="32"/>
  <c r="AB117" i="32"/>
  <c r="T101" i="32"/>
  <c r="S101" i="32"/>
  <c r="AI166" i="32"/>
  <c r="AH166" i="32"/>
  <c r="V39" i="32"/>
  <c r="W39" i="32"/>
  <c r="P8" i="32"/>
  <c r="P130" i="32"/>
  <c r="P128" i="32"/>
  <c r="P99" i="32"/>
  <c r="P175" i="32"/>
  <c r="P153" i="32"/>
  <c r="P139" i="32"/>
  <c r="P43" i="32"/>
  <c r="P90" i="32"/>
  <c r="P178" i="32"/>
  <c r="P138" i="32"/>
  <c r="P48" i="32"/>
  <c r="P97" i="32"/>
  <c r="P86" i="32"/>
  <c r="P85" i="32"/>
  <c r="P14" i="32"/>
  <c r="P47" i="32"/>
  <c r="P6" i="32"/>
  <c r="P134" i="32"/>
  <c r="P132" i="32"/>
  <c r="P150" i="32"/>
  <c r="P22" i="32"/>
  <c r="P18" i="32"/>
  <c r="P93" i="32"/>
  <c r="P23" i="32"/>
  <c r="P55" i="32"/>
  <c r="P49" i="32"/>
  <c r="P53" i="32"/>
  <c r="P176" i="32"/>
  <c r="P146" i="32"/>
  <c r="P148" i="32"/>
  <c r="P87" i="32"/>
  <c r="P147" i="32"/>
  <c r="P30" i="32"/>
  <c r="P133" i="32"/>
  <c r="P145" i="32"/>
  <c r="P135" i="32"/>
  <c r="P149" i="32"/>
  <c r="P52" i="32"/>
  <c r="P13" i="32"/>
  <c r="P26" i="32"/>
  <c r="P180" i="32"/>
  <c r="Q6" i="32"/>
  <c r="P131" i="32"/>
  <c r="P95" i="32"/>
  <c r="P144" i="32"/>
  <c r="P129" i="32"/>
  <c r="P16" i="32"/>
  <c r="P177" i="32"/>
  <c r="P98" i="32"/>
  <c r="P19" i="32"/>
  <c r="P56" i="32"/>
  <c r="P136" i="32"/>
  <c r="P96" i="32"/>
  <c r="P151" i="32"/>
  <c r="P94" i="32"/>
  <c r="P54" i="32"/>
  <c r="P89" i="32"/>
  <c r="P141" i="32"/>
  <c r="P92" i="32"/>
  <c r="P152" i="32"/>
  <c r="P179" i="32"/>
  <c r="P50" i="32"/>
  <c r="P28" i="32"/>
  <c r="P20" i="32"/>
  <c r="P44" i="32"/>
  <c r="P46" i="32"/>
  <c r="P42" i="32"/>
  <c r="P140" i="32"/>
  <c r="P154" i="32"/>
  <c r="P51" i="32"/>
  <c r="P29" i="32"/>
  <c r="O36" i="32"/>
  <c r="P27" i="32"/>
  <c r="P88" i="32"/>
  <c r="P137" i="32"/>
  <c r="P15" i="32"/>
  <c r="P17" i="32"/>
  <c r="P91" i="32"/>
  <c r="P143" i="32"/>
  <c r="P208" i="32"/>
  <c r="P45" i="32"/>
  <c r="P21" i="32"/>
  <c r="P31" i="32"/>
  <c r="AH182" i="32"/>
  <c r="AI182" i="32"/>
  <c r="AK82" i="32"/>
  <c r="J76" i="32"/>
  <c r="J86" i="32"/>
  <c r="J133" i="32"/>
  <c r="J85" i="32"/>
  <c r="J141" i="32"/>
  <c r="J87" i="32"/>
  <c r="J26" i="32"/>
  <c r="J99" i="32"/>
  <c r="J93" i="32"/>
  <c r="J138" i="32"/>
  <c r="J52" i="32"/>
  <c r="J49" i="32"/>
  <c r="J45" i="32"/>
  <c r="J130" i="32"/>
  <c r="J132" i="32"/>
  <c r="J208" i="32"/>
  <c r="J151" i="32"/>
  <c r="J43" i="32"/>
  <c r="J154" i="32"/>
  <c r="J28" i="32"/>
  <c r="J53" i="32"/>
  <c r="J98" i="32"/>
  <c r="J150" i="32"/>
  <c r="J15" i="32"/>
  <c r="J149" i="32"/>
  <c r="J147" i="32"/>
  <c r="J21" i="32"/>
  <c r="J46" i="32"/>
  <c r="J89" i="32"/>
  <c r="J153" i="32"/>
  <c r="J31" i="32"/>
  <c r="J20" i="32"/>
  <c r="K6" i="32"/>
  <c r="J54" i="32"/>
  <c r="J131" i="32"/>
  <c r="J177" i="32"/>
  <c r="J180" i="32"/>
  <c r="J91" i="32"/>
  <c r="J44" i="32"/>
  <c r="J128" i="32"/>
  <c r="J148" i="32"/>
  <c r="J27" i="32"/>
  <c r="J129" i="32"/>
  <c r="J88" i="32"/>
  <c r="J136" i="32"/>
  <c r="J55" i="32"/>
  <c r="J90" i="32"/>
  <c r="J145" i="32"/>
  <c r="J139" i="32"/>
  <c r="J18" i="32"/>
  <c r="J95" i="32"/>
  <c r="J152" i="32"/>
  <c r="J47" i="32"/>
  <c r="J6" i="32"/>
  <c r="J179" i="32"/>
  <c r="J97" i="32"/>
  <c r="J51" i="32"/>
  <c r="J140" i="32"/>
  <c r="J143" i="32"/>
  <c r="J16" i="32"/>
  <c r="J137" i="32"/>
  <c r="J96" i="32"/>
  <c r="I36" i="32"/>
  <c r="J48" i="32"/>
  <c r="J8" i="32"/>
  <c r="J13" i="32"/>
  <c r="J17" i="32"/>
  <c r="J176" i="32"/>
  <c r="J94" i="32"/>
  <c r="J14" i="32"/>
  <c r="J19" i="32"/>
  <c r="J146" i="32"/>
  <c r="J50" i="32"/>
  <c r="J30" i="32"/>
  <c r="J135" i="32"/>
  <c r="J29" i="32"/>
  <c r="J134" i="32"/>
  <c r="J42" i="32"/>
  <c r="J56" i="32"/>
  <c r="J23" i="32"/>
  <c r="J175" i="32"/>
  <c r="J178" i="32"/>
  <c r="J22" i="32"/>
  <c r="J92" i="32"/>
  <c r="J144" i="32"/>
  <c r="S113" i="32"/>
  <c r="V83" i="32"/>
  <c r="V121" i="32"/>
  <c r="S66" i="32"/>
  <c r="AE161" i="29"/>
  <c r="AK107" i="32"/>
  <c r="S103" i="32"/>
  <c r="P154" i="29"/>
  <c r="AH149" i="29"/>
  <c r="AK101" i="32"/>
  <c r="AL101" i="32"/>
  <c r="AB112" i="32"/>
  <c r="AC200" i="29"/>
  <c r="AB200" i="29"/>
  <c r="T39" i="23"/>
  <c r="Y154" i="29"/>
  <c r="S170" i="32"/>
  <c r="AK118" i="32"/>
  <c r="W179" i="29"/>
  <c r="V179" i="29"/>
  <c r="U194" i="29"/>
  <c r="H114" i="23"/>
  <c r="AG194" i="29"/>
  <c r="AH179" i="29"/>
  <c r="AI179" i="29"/>
  <c r="J25" i="32"/>
  <c r="K25" i="32"/>
  <c r="AL186" i="29"/>
  <c r="AK186" i="29"/>
  <c r="AE97" i="29"/>
  <c r="AF97" i="29"/>
  <c r="AF30" i="18"/>
  <c r="E88" i="32"/>
  <c r="E56" i="32"/>
  <c r="E93" i="32"/>
  <c r="E21" i="32"/>
  <c r="E29" i="32"/>
  <c r="E48" i="32"/>
  <c r="E135" i="32"/>
  <c r="E86" i="32"/>
  <c r="E31" i="32"/>
  <c r="E18" i="32"/>
  <c r="E95" i="32"/>
  <c r="E8" i="32"/>
  <c r="E136" i="32"/>
  <c r="E144" i="32"/>
  <c r="E175" i="32"/>
  <c r="E147" i="32"/>
  <c r="E90" i="32"/>
  <c r="E91" i="32"/>
  <c r="E128" i="32"/>
  <c r="E89" i="32"/>
  <c r="E134" i="32"/>
  <c r="E17" i="32"/>
  <c r="E139" i="32"/>
  <c r="E131" i="32"/>
  <c r="E22" i="32"/>
  <c r="E145" i="32"/>
  <c r="E20" i="32"/>
  <c r="E16" i="32"/>
  <c r="E6" i="32"/>
  <c r="E30" i="32"/>
  <c r="E53" i="32"/>
  <c r="E26" i="32"/>
  <c r="E15" i="32"/>
  <c r="E132" i="32"/>
  <c r="E13" i="32"/>
  <c r="E151" i="32"/>
  <c r="E94" i="32"/>
  <c r="E14" i="32"/>
  <c r="E44" i="32"/>
  <c r="E154" i="32"/>
  <c r="E141" i="32"/>
  <c r="D36" i="32"/>
  <c r="E36" i="32" s="1"/>
  <c r="E23" i="32"/>
  <c r="E51" i="32"/>
  <c r="E140" i="32"/>
  <c r="E43" i="32"/>
  <c r="E153" i="32"/>
  <c r="E150" i="32"/>
  <c r="E208" i="32"/>
  <c r="E180" i="32"/>
  <c r="E55" i="32"/>
  <c r="E177" i="32"/>
  <c r="E97" i="32"/>
  <c r="E149" i="32"/>
  <c r="E130" i="32"/>
  <c r="E146" i="32"/>
  <c r="E129" i="32"/>
  <c r="E42" i="32"/>
  <c r="E152" i="32"/>
  <c r="E176" i="32"/>
  <c r="E137" i="32"/>
  <c r="E85" i="32"/>
  <c r="E45" i="32"/>
  <c r="E54" i="32"/>
  <c r="E46" i="32"/>
  <c r="E87" i="32"/>
  <c r="E27" i="32"/>
  <c r="E178" i="32"/>
  <c r="E50" i="32"/>
  <c r="E96" i="32"/>
  <c r="E49" i="32"/>
  <c r="E179" i="32"/>
  <c r="E148" i="32"/>
  <c r="E98" i="32"/>
  <c r="E143" i="32"/>
  <c r="E52" i="32"/>
  <c r="E19" i="32"/>
  <c r="E138" i="32"/>
  <c r="E47" i="32"/>
  <c r="E99" i="32"/>
  <c r="E133" i="32"/>
  <c r="E28" i="32"/>
  <c r="E92" i="32"/>
  <c r="W133" i="23"/>
  <c r="M172" i="29"/>
  <c r="M171" i="29"/>
  <c r="M164" i="29"/>
  <c r="L35" i="29"/>
  <c r="M94" i="29"/>
  <c r="M162" i="29"/>
  <c r="M95" i="29"/>
  <c r="M169" i="29"/>
  <c r="M163" i="29"/>
  <c r="M192" i="29"/>
  <c r="M6" i="29"/>
  <c r="N6" i="29"/>
  <c r="M170" i="29"/>
  <c r="AL35" i="18"/>
  <c r="T160" i="29"/>
  <c r="S160" i="29"/>
  <c r="AL94" i="18"/>
  <c r="AJ158" i="18"/>
  <c r="S118" i="32"/>
  <c r="O10" i="2"/>
  <c r="Y7" i="29"/>
  <c r="K104" i="23"/>
  <c r="G10" i="9"/>
  <c r="R10" i="28"/>
  <c r="Q137" i="29"/>
  <c r="P137" i="29"/>
  <c r="M202" i="29"/>
  <c r="O10" i="28"/>
  <c r="AL54" i="23"/>
  <c r="M61" i="29"/>
  <c r="AC74" i="18"/>
  <c r="W216" i="32"/>
  <c r="V216" i="32"/>
  <c r="E172" i="29"/>
  <c r="E94" i="29"/>
  <c r="E162" i="29"/>
  <c r="E6" i="29"/>
  <c r="E163" i="29"/>
  <c r="E171" i="29"/>
  <c r="D35" i="29"/>
  <c r="E35" i="29" s="1"/>
  <c r="E192" i="29"/>
  <c r="E95" i="29"/>
  <c r="E170" i="29"/>
  <c r="E164" i="29"/>
  <c r="E169" i="29"/>
  <c r="S168" i="32"/>
  <c r="F122" i="23"/>
  <c r="H66" i="23"/>
  <c r="AE33" i="32"/>
  <c r="T54" i="23"/>
  <c r="S64" i="32"/>
  <c r="AF20" i="23"/>
  <c r="Y97" i="29"/>
  <c r="Z97" i="29"/>
  <c r="AK78" i="32"/>
  <c r="E30" i="29"/>
  <c r="AE102" i="32"/>
  <c r="G204" i="29"/>
  <c r="H204" i="29"/>
  <c r="K204" i="29"/>
  <c r="J204" i="29"/>
  <c r="E158" i="32"/>
  <c r="AE198" i="32"/>
  <c r="Y166" i="29"/>
  <c r="Z166" i="29"/>
  <c r="J63" i="32"/>
  <c r="K63" i="32"/>
  <c r="I190" i="32"/>
  <c r="E156" i="32"/>
  <c r="AB200" i="32"/>
  <c r="E123" i="32"/>
  <c r="AE123" i="32"/>
  <c r="J161" i="29"/>
  <c r="S164" i="32"/>
  <c r="AF7" i="18"/>
  <c r="AD91" i="18"/>
  <c r="P7" i="29"/>
  <c r="AB172" i="29"/>
  <c r="AB171" i="29"/>
  <c r="AB94" i="29"/>
  <c r="AB163" i="29"/>
  <c r="AB6" i="29"/>
  <c r="AB95" i="29"/>
  <c r="AB164" i="29"/>
  <c r="AB169" i="29"/>
  <c r="AB192" i="29"/>
  <c r="AB162" i="29"/>
  <c r="AA35" i="29"/>
  <c r="AC6" i="29"/>
  <c r="AB170" i="29"/>
  <c r="E25" i="32"/>
  <c r="S10" i="32"/>
  <c r="M39" i="29"/>
  <c r="N39" i="32"/>
  <c r="M39" i="32"/>
  <c r="K111" i="23"/>
  <c r="F10" i="7"/>
  <c r="AH38" i="29"/>
  <c r="AI38" i="29"/>
  <c r="P32" i="29"/>
  <c r="AE197" i="32"/>
  <c r="S105" i="32"/>
  <c r="AC153" i="29"/>
  <c r="AB153" i="29"/>
  <c r="Y158" i="29"/>
  <c r="J173" i="32"/>
  <c r="K173" i="32"/>
  <c r="G63" i="32"/>
  <c r="F190" i="32"/>
  <c r="H63" i="32"/>
  <c r="AL20" i="23"/>
  <c r="AE121" i="32"/>
  <c r="AF114" i="23"/>
  <c r="AK163" i="32"/>
  <c r="V201" i="29"/>
  <c r="K15" i="23"/>
  <c r="AE63" i="32"/>
  <c r="AD190" i="32"/>
  <c r="AF63" i="32"/>
  <c r="W7" i="23"/>
  <c r="U63" i="23"/>
  <c r="Q182" i="32"/>
  <c r="P182" i="32"/>
  <c r="N68" i="18"/>
  <c r="AM63" i="23"/>
  <c r="AO7" i="23"/>
  <c r="U21" i="25"/>
  <c r="V18" i="25"/>
  <c r="G30" i="29"/>
  <c r="W63" i="32"/>
  <c r="V63" i="32"/>
  <c r="U190" i="32"/>
  <c r="Q179" i="29"/>
  <c r="O194" i="29"/>
  <c r="P179" i="29"/>
  <c r="S70" i="32"/>
  <c r="AB206" i="32"/>
  <c r="AH154" i="29"/>
  <c r="M10" i="13"/>
  <c r="AE113" i="32"/>
  <c r="AL133" i="23"/>
  <c r="T68" i="18"/>
  <c r="AB150" i="29"/>
  <c r="AB169" i="32"/>
  <c r="Q118" i="23"/>
  <c r="P121" i="32"/>
  <c r="AB122" i="32"/>
  <c r="AB157" i="32"/>
  <c r="V113" i="32"/>
  <c r="AK98" i="29"/>
  <c r="Y7" i="32"/>
  <c r="G157" i="29"/>
  <c r="J98" i="29"/>
  <c r="V166" i="32"/>
  <c r="W166" i="32"/>
  <c r="K30" i="18"/>
  <c r="M156" i="29"/>
  <c r="K98" i="18"/>
  <c r="AK32" i="32"/>
  <c r="AK7" i="29"/>
  <c r="AC204" i="29"/>
  <c r="AB204" i="29"/>
  <c r="Y30" i="29"/>
  <c r="P153" i="29"/>
  <c r="Q153" i="29"/>
  <c r="K10" i="9"/>
  <c r="J112" i="32"/>
  <c r="Y187" i="29"/>
  <c r="K129" i="23"/>
  <c r="V173" i="32"/>
  <c r="W173" i="32"/>
  <c r="S40" i="32"/>
  <c r="S77" i="32"/>
  <c r="AH201" i="29"/>
  <c r="M10" i="1"/>
  <c r="P123" i="32"/>
  <c r="H104" i="23"/>
  <c r="AB110" i="32"/>
  <c r="T15" i="23"/>
  <c r="AO35" i="18"/>
  <c r="AC98" i="18"/>
  <c r="S166" i="29"/>
  <c r="T166" i="29"/>
  <c r="R158" i="18"/>
  <c r="T94" i="18"/>
  <c r="W46" i="18"/>
  <c r="G148" i="29"/>
  <c r="H148" i="29"/>
  <c r="K46" i="18"/>
  <c r="AC15" i="23"/>
  <c r="W137" i="29"/>
  <c r="V137" i="29"/>
  <c r="AI104" i="23"/>
  <c r="AK166" i="32"/>
  <c r="AL166" i="32"/>
  <c r="G10" i="17"/>
  <c r="E71" i="32"/>
  <c r="V29" i="29"/>
  <c r="M10" i="14"/>
  <c r="AC60" i="29"/>
  <c r="AB60" i="29"/>
  <c r="AA174" i="29"/>
  <c r="G10" i="11"/>
  <c r="E84" i="32"/>
  <c r="K125" i="23"/>
  <c r="AL114" i="23"/>
  <c r="AK72" i="32"/>
  <c r="V156" i="32"/>
  <c r="W156" i="32"/>
  <c r="M10" i="27"/>
  <c r="E200" i="32"/>
  <c r="E199" i="32"/>
  <c r="H60" i="18"/>
  <c r="G191" i="29"/>
  <c r="E61" i="29"/>
  <c r="K10" i="28"/>
  <c r="AK117" i="32"/>
  <c r="AO114" i="23"/>
  <c r="G180" i="29"/>
  <c r="S122" i="32"/>
  <c r="Y201" i="29"/>
  <c r="AE67" i="32"/>
  <c r="AE180" i="29"/>
  <c r="N10" i="28"/>
  <c r="AE101" i="32"/>
  <c r="AF101" i="32"/>
  <c r="AF58" i="23"/>
  <c r="E222" i="32"/>
  <c r="AL104" i="23"/>
  <c r="J39" i="29"/>
  <c r="W220" i="32"/>
  <c r="V220" i="32"/>
  <c r="E32" i="29"/>
  <c r="E113" i="32"/>
  <c r="E206" i="32"/>
  <c r="AH161" i="29"/>
  <c r="Q30" i="18"/>
  <c r="W202" i="32"/>
  <c r="V202" i="32"/>
  <c r="AE170" i="32"/>
  <c r="AB81" i="32"/>
  <c r="AI35" i="18"/>
  <c r="AK203" i="32"/>
  <c r="J160" i="29"/>
  <c r="K160" i="29"/>
  <c r="S9" i="32"/>
  <c r="AH29" i="29"/>
  <c r="G10" i="16"/>
  <c r="AK83" i="32"/>
  <c r="AE159" i="32"/>
  <c r="F10" i="8"/>
  <c r="M38" i="29"/>
  <c r="N38" i="29"/>
  <c r="L10" i="17"/>
  <c r="K74" i="18"/>
  <c r="V189" i="29"/>
  <c r="AI58" i="23"/>
  <c r="AO74" i="18"/>
  <c r="AE107" i="32"/>
  <c r="E12" i="32"/>
  <c r="AE122" i="32"/>
  <c r="G201" i="29"/>
  <c r="AB106" i="32"/>
  <c r="AO20" i="23"/>
  <c r="Z111" i="23"/>
  <c r="AH167" i="29"/>
  <c r="AK159" i="32"/>
  <c r="M154" i="29"/>
  <c r="S79" i="32"/>
  <c r="AK123" i="32"/>
  <c r="V79" i="32"/>
  <c r="V11" i="32"/>
  <c r="E155" i="29"/>
  <c r="AO125" i="23"/>
  <c r="S73" i="32"/>
  <c r="E184" i="29"/>
  <c r="AB138" i="29"/>
  <c r="AI60" i="18"/>
  <c r="V218" i="32"/>
  <c r="G166" i="32"/>
  <c r="H166" i="32"/>
  <c r="AK164" i="32"/>
  <c r="AB156" i="32"/>
  <c r="AC156" i="32"/>
  <c r="Y95" i="32"/>
  <c r="Y54" i="32"/>
  <c r="Y23" i="32"/>
  <c r="Y55" i="32"/>
  <c r="Y130" i="32"/>
  <c r="Y138" i="32"/>
  <c r="Y49" i="32"/>
  <c r="Y86" i="32"/>
  <c r="Y56" i="32"/>
  <c r="Y45" i="32"/>
  <c r="Y143" i="32"/>
  <c r="Y27" i="32"/>
  <c r="Y144" i="32"/>
  <c r="Y94" i="32"/>
  <c r="Y178" i="32"/>
  <c r="Y145" i="32"/>
  <c r="Y90" i="32"/>
  <c r="Y91" i="32"/>
  <c r="X36" i="32"/>
  <c r="Z6" i="32"/>
  <c r="Y8" i="32"/>
  <c r="Y46" i="32"/>
  <c r="Y149" i="32"/>
  <c r="Y13" i="32"/>
  <c r="Y151" i="32"/>
  <c r="Y150" i="32"/>
  <c r="Y136" i="32"/>
  <c r="Y48" i="32"/>
  <c r="Y20" i="32"/>
  <c r="Y30" i="32"/>
  <c r="Y148" i="32"/>
  <c r="Y179" i="32"/>
  <c r="Y153" i="32"/>
  <c r="Y99" i="32"/>
  <c r="Y16" i="32"/>
  <c r="Y175" i="32"/>
  <c r="Y134" i="32"/>
  <c r="Y147" i="32"/>
  <c r="Y21" i="32"/>
  <c r="Y26" i="32"/>
  <c r="Y133" i="32"/>
  <c r="Y177" i="32"/>
  <c r="Y29" i="32"/>
  <c r="Y31" i="32"/>
  <c r="Y51" i="32"/>
  <c r="Y180" i="32"/>
  <c r="Y146" i="32"/>
  <c r="Y135" i="32"/>
  <c r="Y97" i="32"/>
  <c r="Y89" i="32"/>
  <c r="Y17" i="32"/>
  <c r="Y42" i="32"/>
  <c r="Y139" i="32"/>
  <c r="Y132" i="32"/>
  <c r="Y98" i="32"/>
  <c r="Y50" i="32"/>
  <c r="Y129" i="32"/>
  <c r="Y208" i="32"/>
  <c r="Y53" i="32"/>
  <c r="Y85" i="32"/>
  <c r="Y92" i="32"/>
  <c r="Y43" i="32"/>
  <c r="Y152" i="32"/>
  <c r="Y96" i="32"/>
  <c r="Y141" i="32"/>
  <c r="Y15" i="32"/>
  <c r="Y140" i="32"/>
  <c r="Y28" i="32"/>
  <c r="Y93" i="32"/>
  <c r="Y52" i="32"/>
  <c r="Y19" i="32"/>
  <c r="Y22" i="32"/>
  <c r="Y176" i="32"/>
  <c r="Y18" i="32"/>
  <c r="Y14" i="32"/>
  <c r="Y47" i="32"/>
  <c r="Y88" i="32"/>
  <c r="Y137" i="32"/>
  <c r="Y128" i="32"/>
  <c r="Y87" i="32"/>
  <c r="Y131" i="32"/>
  <c r="Y154" i="32"/>
  <c r="Y44" i="32"/>
  <c r="Y6" i="32"/>
  <c r="AL98" i="18"/>
  <c r="Y68" i="32"/>
  <c r="O10" i="10"/>
  <c r="P12" i="32"/>
  <c r="E187" i="29"/>
  <c r="AL25" i="32"/>
  <c r="AK25" i="32"/>
  <c r="AF160" i="29"/>
  <c r="AE160" i="29"/>
  <c r="AK108" i="32"/>
  <c r="AK110" i="32"/>
  <c r="M63" i="32"/>
  <c r="N63" i="32"/>
  <c r="L190" i="32"/>
  <c r="AH148" i="29"/>
  <c r="AI148" i="29"/>
  <c r="G155" i="29"/>
  <c r="V75" i="32"/>
  <c r="Z186" i="29"/>
  <c r="Y186" i="29"/>
  <c r="P10" i="28"/>
  <c r="Z173" i="32"/>
  <c r="Y173" i="32"/>
  <c r="T148" i="29"/>
  <c r="S148" i="29"/>
  <c r="V202" i="29"/>
  <c r="R122" i="23"/>
  <c r="T66" i="23"/>
  <c r="S57" i="32"/>
  <c r="Z153" i="29"/>
  <c r="Y153" i="29"/>
  <c r="P73" i="32"/>
  <c r="K10" i="8"/>
  <c r="J127" i="32"/>
  <c r="E107" i="32"/>
  <c r="Z35" i="18"/>
  <c r="AL74" i="18"/>
  <c r="O10" i="8"/>
  <c r="AI111" i="23"/>
  <c r="Z166" i="32"/>
  <c r="Y166" i="32"/>
  <c r="Z104" i="23"/>
  <c r="L10" i="14"/>
  <c r="T58" i="23"/>
  <c r="AC97" i="29"/>
  <c r="AB97" i="29"/>
  <c r="AE216" i="32"/>
  <c r="AF216" i="32"/>
  <c r="M160" i="29"/>
  <c r="N160" i="29"/>
  <c r="AF156" i="32"/>
  <c r="AE156" i="32"/>
  <c r="E160" i="32"/>
  <c r="Y172" i="29"/>
  <c r="Y95" i="29"/>
  <c r="Y192" i="29"/>
  <c r="Z6" i="29"/>
  <c r="Y164" i="29"/>
  <c r="Y171" i="29"/>
  <c r="X35" i="29"/>
  <c r="X57" i="29" s="1"/>
  <c r="Y162" i="29"/>
  <c r="Y163" i="29"/>
  <c r="Y94" i="29"/>
  <c r="Y170" i="29"/>
  <c r="Y169" i="29"/>
  <c r="Y6" i="29"/>
  <c r="E217" i="32"/>
  <c r="Y195" i="32"/>
  <c r="X210" i="32"/>
  <c r="Z195" i="32"/>
  <c r="AC125" i="23"/>
  <c r="X190" i="32"/>
  <c r="Y63" i="32"/>
  <c r="Z63" i="32"/>
  <c r="S81" i="32"/>
  <c r="E126" i="32"/>
  <c r="Y206" i="29"/>
  <c r="AI19" i="18"/>
  <c r="AG122" i="23"/>
  <c r="AI66" i="23"/>
  <c r="AC182" i="32"/>
  <c r="AB182" i="32"/>
  <c r="S160" i="32"/>
  <c r="E102" i="32"/>
  <c r="AC58" i="23"/>
  <c r="V30" i="29"/>
  <c r="AO46" i="18"/>
  <c r="L174" i="29"/>
  <c r="M60" i="29"/>
  <c r="N60" i="29"/>
  <c r="D174" i="29"/>
  <c r="E174" i="29" s="1"/>
  <c r="E60" i="29"/>
  <c r="G179" i="29"/>
  <c r="H179" i="29"/>
  <c r="F194" i="29"/>
  <c r="AE196" i="32"/>
  <c r="AD194" i="29"/>
  <c r="AE179" i="29"/>
  <c r="AF179" i="29"/>
  <c r="T63" i="32"/>
  <c r="S63" i="32"/>
  <c r="R190" i="32"/>
  <c r="N20" i="23"/>
  <c r="J38" i="29"/>
  <c r="K38" i="29"/>
  <c r="V151" i="29"/>
  <c r="Y149" i="29"/>
  <c r="J30" i="29"/>
  <c r="M188" i="29"/>
  <c r="AL202" i="32"/>
  <c r="AK202" i="32"/>
  <c r="AF104" i="23"/>
  <c r="J154" i="29"/>
  <c r="E202" i="29"/>
  <c r="P172" i="29"/>
  <c r="P94" i="29"/>
  <c r="P162" i="29"/>
  <c r="P169" i="29"/>
  <c r="P95" i="29"/>
  <c r="P163" i="29"/>
  <c r="O35" i="29"/>
  <c r="O57" i="29" s="1"/>
  <c r="P170" i="29"/>
  <c r="P192" i="29"/>
  <c r="P164" i="29"/>
  <c r="Q6" i="29"/>
  <c r="P171" i="29"/>
  <c r="P6" i="29"/>
  <c r="P30" i="29"/>
  <c r="Y32" i="29"/>
  <c r="AK103" i="32"/>
  <c r="AK38" i="29"/>
  <c r="AL38" i="29"/>
  <c r="AK57" i="32"/>
  <c r="E218" i="32"/>
  <c r="W200" i="29"/>
  <c r="V200" i="29"/>
  <c r="N7" i="23"/>
  <c r="L63" i="23"/>
  <c r="H200" i="29"/>
  <c r="G200" i="29"/>
  <c r="AK196" i="32"/>
  <c r="E111" i="32"/>
  <c r="S27" i="29"/>
  <c r="T27" i="29"/>
  <c r="AK222" i="32"/>
  <c r="E180" i="29"/>
  <c r="N15" i="23"/>
  <c r="AH166" i="29"/>
  <c r="AI166" i="29"/>
  <c r="N153" i="29"/>
  <c r="M153" i="29"/>
  <c r="F10" i="2"/>
  <c r="E67" i="32"/>
  <c r="E183" i="32"/>
  <c r="AI153" i="29"/>
  <c r="AH153" i="29"/>
  <c r="AB32" i="29"/>
  <c r="AK84" i="32"/>
  <c r="AB72" i="32"/>
  <c r="J155" i="29"/>
  <c r="M10" i="2"/>
  <c r="G158" i="29"/>
  <c r="AL60" i="18"/>
  <c r="N98" i="18"/>
  <c r="V108" i="32"/>
  <c r="AK64" i="32"/>
  <c r="AB41" i="32"/>
  <c r="AL97" i="29"/>
  <c r="AK97" i="29"/>
  <c r="K97" i="29"/>
  <c r="J97" i="29"/>
  <c r="AK199" i="32"/>
  <c r="G98" i="29"/>
  <c r="E186" i="29"/>
  <c r="AK172" i="29"/>
  <c r="AJ35" i="29"/>
  <c r="AK94" i="29"/>
  <c r="AK162" i="29"/>
  <c r="AK95" i="29"/>
  <c r="AK164" i="29"/>
  <c r="AK170" i="29"/>
  <c r="AK180" i="29"/>
  <c r="AK6" i="29"/>
  <c r="AK192" i="29"/>
  <c r="AK171" i="29"/>
  <c r="AL6" i="29"/>
  <c r="AK169" i="29"/>
  <c r="AK163" i="29"/>
  <c r="J124" i="32"/>
  <c r="S222" i="32"/>
  <c r="AH191" i="29"/>
  <c r="G29" i="29"/>
  <c r="Y65" i="32"/>
  <c r="T39" i="32"/>
  <c r="S39" i="32"/>
  <c r="AB198" i="32"/>
  <c r="AB104" i="32"/>
  <c r="V57" i="32"/>
  <c r="AI200" i="29"/>
  <c r="AH200" i="29"/>
  <c r="P69" i="32"/>
  <c r="E66" i="32"/>
  <c r="J197" i="32"/>
  <c r="E21" i="25" l="1"/>
  <c r="D57" i="29"/>
  <c r="E57" i="29" s="1"/>
  <c r="X160" i="18"/>
  <c r="Y35" i="18" s="1"/>
  <c r="F160" i="18"/>
  <c r="G112" i="18" s="1"/>
  <c r="E20" i="25"/>
  <c r="E14" i="25"/>
  <c r="E22" i="25"/>
  <c r="E19" i="25"/>
  <c r="E32" i="25"/>
  <c r="E29" i="25"/>
  <c r="E26" i="25"/>
  <c r="AD160" i="18"/>
  <c r="AE125" i="18" s="1"/>
  <c r="U176" i="29"/>
  <c r="V176" i="29" s="1"/>
  <c r="G32" i="25"/>
  <c r="N158" i="18"/>
  <c r="AG160" i="18"/>
  <c r="AH7" i="18" s="1"/>
  <c r="R160" i="18"/>
  <c r="S111" i="18" s="1"/>
  <c r="AJ160" i="18"/>
  <c r="AK69" i="18" s="1"/>
  <c r="AM160" i="18"/>
  <c r="AN13" i="18" s="1"/>
  <c r="I160" i="18"/>
  <c r="J160" i="18" s="1"/>
  <c r="E15" i="25"/>
  <c r="E27" i="25"/>
  <c r="E28" i="25"/>
  <c r="E17" i="25"/>
  <c r="E16" i="25"/>
  <c r="E31" i="25"/>
  <c r="AK60" i="32"/>
  <c r="G129" i="18"/>
  <c r="Y57" i="29"/>
  <c r="Z57" i="29"/>
  <c r="X176" i="29"/>
  <c r="X209" i="29" s="1"/>
  <c r="G194" i="29"/>
  <c r="H194" i="29"/>
  <c r="T158" i="18"/>
  <c r="P57" i="29"/>
  <c r="AI122" i="23"/>
  <c r="V190" i="32"/>
  <c r="W190" i="32"/>
  <c r="H122" i="23"/>
  <c r="K174" i="29"/>
  <c r="J174" i="29"/>
  <c r="AH57" i="29"/>
  <c r="AH35" i="29"/>
  <c r="AI35" i="29"/>
  <c r="AJ192" i="32"/>
  <c r="N122" i="23"/>
  <c r="AC63" i="23"/>
  <c r="AC91" i="18"/>
  <c r="U209" i="29"/>
  <c r="W36" i="32"/>
  <c r="V36" i="32"/>
  <c r="AL210" i="32"/>
  <c r="AK210" i="32"/>
  <c r="AL122" i="23"/>
  <c r="W91" i="18"/>
  <c r="AI63" i="23"/>
  <c r="AK174" i="29"/>
  <c r="AL174" i="29"/>
  <c r="N194" i="29"/>
  <c r="M194" i="29"/>
  <c r="H210" i="32"/>
  <c r="G210" i="32"/>
  <c r="K158" i="18"/>
  <c r="AC194" i="29"/>
  <c r="AB194" i="29"/>
  <c r="AL63" i="23"/>
  <c r="AF194" i="29"/>
  <c r="AE194" i="29"/>
  <c r="Z190" i="32"/>
  <c r="Y190" i="32"/>
  <c r="X60" i="32"/>
  <c r="Y60" i="32" s="1"/>
  <c r="Y36" i="32"/>
  <c r="Z36" i="32"/>
  <c r="AB174" i="29"/>
  <c r="AC174" i="29"/>
  <c r="AJ57" i="29"/>
  <c r="AK35" i="29"/>
  <c r="AL35" i="29"/>
  <c r="Q35" i="29"/>
  <c r="P35" i="29"/>
  <c r="V21" i="25"/>
  <c r="E5" i="31"/>
  <c r="AF91" i="18"/>
  <c r="D60" i="32"/>
  <c r="Z91" i="18"/>
  <c r="AF158" i="18"/>
  <c r="AB210" i="32"/>
  <c r="AC210" i="32"/>
  <c r="H174" i="29"/>
  <c r="G174" i="29"/>
  <c r="V35" i="29"/>
  <c r="W35" i="29"/>
  <c r="Z122" i="23"/>
  <c r="W174" i="29"/>
  <c r="V174" i="29"/>
  <c r="N63" i="23"/>
  <c r="P36" i="32"/>
  <c r="Q36" i="32"/>
  <c r="AK36" i="32"/>
  <c r="AL36" i="32"/>
  <c r="T36" i="32"/>
  <c r="S36" i="32"/>
  <c r="I176" i="29"/>
  <c r="H35" i="29"/>
  <c r="G35" i="29"/>
  <c r="AD60" i="32"/>
  <c r="AE36" i="32"/>
  <c r="AF36" i="32"/>
  <c r="V57" i="29"/>
  <c r="AL190" i="32"/>
  <c r="AK190" i="32"/>
  <c r="AF63" i="23"/>
  <c r="AD57" i="29"/>
  <c r="AI57" i="29" s="1"/>
  <c r="AF35" i="29"/>
  <c r="AE35" i="29"/>
  <c r="G36" i="32"/>
  <c r="H36" i="32"/>
  <c r="AG60" i="32"/>
  <c r="AH36" i="32"/>
  <c r="AI36" i="32"/>
  <c r="Z158" i="18"/>
  <c r="W63" i="23"/>
  <c r="AA57" i="29"/>
  <c r="AA176" i="29" s="1"/>
  <c r="AB176" i="29" s="1"/>
  <c r="AB35" i="29"/>
  <c r="AC35" i="29"/>
  <c r="AL158" i="18"/>
  <c r="T63" i="23"/>
  <c r="K63" i="23"/>
  <c r="W210" i="32"/>
  <c r="V210" i="32"/>
  <c r="AC158" i="18"/>
  <c r="M210" i="32"/>
  <c r="N210" i="32"/>
  <c r="J57" i="29"/>
  <c r="Y174" i="29"/>
  <c r="Z174" i="29"/>
  <c r="H63" i="23"/>
  <c r="T91" i="18"/>
  <c r="S32" i="25"/>
  <c r="T21" i="25"/>
  <c r="C5" i="31"/>
  <c r="R57" i="29"/>
  <c r="S57" i="29" s="1"/>
  <c r="T35" i="29"/>
  <c r="S35" i="29"/>
  <c r="AF122" i="23"/>
  <c r="AC190" i="32"/>
  <c r="AB190" i="32"/>
  <c r="AO63" i="23"/>
  <c r="H190" i="32"/>
  <c r="G190" i="32"/>
  <c r="K190" i="32"/>
  <c r="J190" i="32"/>
  <c r="L57" i="29"/>
  <c r="N35" i="29"/>
  <c r="M35" i="29"/>
  <c r="AH194" i="29"/>
  <c r="AI194" i="29"/>
  <c r="W122" i="23"/>
  <c r="AL194" i="29"/>
  <c r="AK194" i="29"/>
  <c r="P174" i="29"/>
  <c r="Q174" i="29"/>
  <c r="P210" i="32"/>
  <c r="Q210" i="32"/>
  <c r="AL91" i="18"/>
  <c r="AO122" i="23"/>
  <c r="AH190" i="32"/>
  <c r="AI190" i="32"/>
  <c r="T194" i="29"/>
  <c r="S194" i="29"/>
  <c r="K122" i="23"/>
  <c r="AE174" i="29"/>
  <c r="AF174" i="29"/>
  <c r="Q63" i="23"/>
  <c r="Z35" i="29"/>
  <c r="Y35" i="29"/>
  <c r="I60" i="32"/>
  <c r="J60" i="32" s="1"/>
  <c r="J36" i="32"/>
  <c r="K36" i="32"/>
  <c r="O60" i="32"/>
  <c r="O192" i="32" s="1"/>
  <c r="Z63" i="23"/>
  <c r="T174" i="29"/>
  <c r="S174" i="29"/>
  <c r="P190" i="32"/>
  <c r="Q190" i="32"/>
  <c r="S210" i="32"/>
  <c r="T210" i="32"/>
  <c r="Q158" i="18"/>
  <c r="Q122" i="23"/>
  <c r="H91" i="18"/>
  <c r="AC122" i="23"/>
  <c r="AI158" i="18"/>
  <c r="L60" i="32"/>
  <c r="M36" i="32"/>
  <c r="N36" i="32"/>
  <c r="S190" i="32"/>
  <c r="T190" i="32"/>
  <c r="M190" i="32"/>
  <c r="N190" i="32"/>
  <c r="Q194" i="29"/>
  <c r="P194" i="29"/>
  <c r="AF190" i="32"/>
  <c r="AE190" i="32"/>
  <c r="D144" i="23"/>
  <c r="D146" i="23" s="1"/>
  <c r="AO158" i="18"/>
  <c r="AA160" i="18"/>
  <c r="AF160" i="18" s="1"/>
  <c r="R60" i="32"/>
  <c r="AA60" i="32"/>
  <c r="AA192" i="32" s="1"/>
  <c r="AC36" i="32"/>
  <c r="AB36" i="32"/>
  <c r="Y68" i="18"/>
  <c r="J210" i="32"/>
  <c r="K210" i="32"/>
  <c r="AI91" i="18"/>
  <c r="H158" i="18"/>
  <c r="AE210" i="32"/>
  <c r="AF210" i="32"/>
  <c r="L160" i="18"/>
  <c r="M91" i="18" s="1"/>
  <c r="Y74" i="18"/>
  <c r="AO91" i="18"/>
  <c r="O160" i="18"/>
  <c r="P158" i="18" s="1"/>
  <c r="AE74" i="18"/>
  <c r="K91" i="18"/>
  <c r="N174" i="29"/>
  <c r="M174" i="29"/>
  <c r="Y210" i="32"/>
  <c r="Z210" i="32"/>
  <c r="O176" i="29"/>
  <c r="T122" i="23"/>
  <c r="U32" i="25"/>
  <c r="V194" i="29"/>
  <c r="W194" i="29"/>
  <c r="AG176" i="29"/>
  <c r="Y7" i="18"/>
  <c r="J35" i="29"/>
  <c r="K35" i="29"/>
  <c r="AI174" i="29"/>
  <c r="AH174" i="29"/>
  <c r="W158" i="18"/>
  <c r="F57" i="29"/>
  <c r="U60" i="32"/>
  <c r="F60" i="32"/>
  <c r="G14" i="25"/>
  <c r="G20" i="25"/>
  <c r="G17" i="25"/>
  <c r="G16" i="25"/>
  <c r="G19" i="25"/>
  <c r="G15" i="25"/>
  <c r="G26" i="25"/>
  <c r="G27" i="25"/>
  <c r="G31" i="25"/>
  <c r="G18" i="25"/>
  <c r="G29" i="25"/>
  <c r="G30" i="25"/>
  <c r="G21" i="25"/>
  <c r="G28" i="25"/>
  <c r="AE98" i="18"/>
  <c r="U160" i="18"/>
  <c r="V91" i="18" s="1"/>
  <c r="Z194" i="29"/>
  <c r="Y194" i="29"/>
  <c r="N91" i="18"/>
  <c r="J194" i="29"/>
  <c r="K194" i="29"/>
  <c r="AI210" i="32"/>
  <c r="AH210" i="32"/>
  <c r="Q91" i="18"/>
  <c r="Y19" i="18" l="1"/>
  <c r="AH25" i="18"/>
  <c r="AH78" i="18"/>
  <c r="AH124" i="18"/>
  <c r="AH91" i="18"/>
  <c r="AH83" i="18"/>
  <c r="AH43" i="18"/>
  <c r="AH113" i="18"/>
  <c r="AH23" i="18"/>
  <c r="AH21" i="18"/>
  <c r="AH123" i="18"/>
  <c r="AH144" i="18"/>
  <c r="AH140" i="18"/>
  <c r="AH146" i="18"/>
  <c r="AH76" i="18"/>
  <c r="AH65" i="18"/>
  <c r="AH61" i="18"/>
  <c r="AH42" i="18"/>
  <c r="AH119" i="18"/>
  <c r="AH55" i="18"/>
  <c r="AH145" i="18"/>
  <c r="AH155" i="18"/>
  <c r="AH48" i="18"/>
  <c r="AH50" i="18"/>
  <c r="AH70" i="18"/>
  <c r="AH75" i="18"/>
  <c r="Y20" i="18"/>
  <c r="Y62" i="18"/>
  <c r="Y135" i="18"/>
  <c r="Y30" i="18"/>
  <c r="Y23" i="18"/>
  <c r="AH81" i="18"/>
  <c r="AH143" i="18"/>
  <c r="AH22" i="18"/>
  <c r="AH39" i="18"/>
  <c r="Y60" i="18"/>
  <c r="AE7" i="18"/>
  <c r="G158" i="18"/>
  <c r="AH40" i="18"/>
  <c r="AH106" i="18"/>
  <c r="AH28" i="18"/>
  <c r="AH107" i="18"/>
  <c r="AH147" i="18"/>
  <c r="AH158" i="18"/>
  <c r="AH57" i="18"/>
  <c r="AH54" i="18"/>
  <c r="AH138" i="18"/>
  <c r="AH58" i="18"/>
  <c r="AH95" i="18"/>
  <c r="AD176" i="29"/>
  <c r="Y21" i="18"/>
  <c r="AE35" i="18"/>
  <c r="D176" i="29"/>
  <c r="E176" i="29" s="1"/>
  <c r="Y12" i="18"/>
  <c r="AE42" i="18"/>
  <c r="AE91" i="18"/>
  <c r="AE46" i="18"/>
  <c r="Y118" i="18"/>
  <c r="S35" i="18"/>
  <c r="S137" i="18"/>
  <c r="S24" i="18"/>
  <c r="AE129" i="18"/>
  <c r="S129" i="18"/>
  <c r="S132" i="18"/>
  <c r="S87" i="18"/>
  <c r="AE68" i="18"/>
  <c r="Y140" i="18"/>
  <c r="S10" i="18"/>
  <c r="S36" i="18"/>
  <c r="S56" i="18"/>
  <c r="Y42" i="18"/>
  <c r="S82" i="18"/>
  <c r="S77" i="18"/>
  <c r="S48" i="18"/>
  <c r="Y94" i="18"/>
  <c r="Y50" i="18"/>
  <c r="S7" i="18"/>
  <c r="S119" i="18"/>
  <c r="S70" i="18"/>
  <c r="S15" i="18"/>
  <c r="S91" i="18"/>
  <c r="S19" i="18"/>
  <c r="S100" i="18"/>
  <c r="S103" i="18"/>
  <c r="S98" i="18"/>
  <c r="S17" i="18"/>
  <c r="S106" i="18"/>
  <c r="S60" i="18"/>
  <c r="S21" i="18"/>
  <c r="S79" i="18"/>
  <c r="Y10" i="18"/>
  <c r="Y57" i="18"/>
  <c r="Y31" i="18"/>
  <c r="Y115" i="18"/>
  <c r="S113" i="18"/>
  <c r="Y138" i="18"/>
  <c r="Y154" i="18"/>
  <c r="Y104" i="18"/>
  <c r="Y13" i="18"/>
  <c r="Y96" i="18"/>
  <c r="Y78" i="18"/>
  <c r="Y17" i="18"/>
  <c r="Y124" i="18"/>
  <c r="S58" i="18"/>
  <c r="S130" i="18"/>
  <c r="S80" i="18"/>
  <c r="S126" i="18"/>
  <c r="Y119" i="18"/>
  <c r="Y129" i="18"/>
  <c r="Y56" i="18"/>
  <c r="Y114" i="18"/>
  <c r="S158" i="18"/>
  <c r="S68" i="18"/>
  <c r="S40" i="18"/>
  <c r="S83" i="18"/>
  <c r="S43" i="18"/>
  <c r="S121" i="18"/>
  <c r="Y37" i="18"/>
  <c r="Y55" i="18"/>
  <c r="Y100" i="18"/>
  <c r="Y111" i="18"/>
  <c r="Y52" i="18"/>
  <c r="G91" i="18"/>
  <c r="AH80" i="18"/>
  <c r="AH52" i="18"/>
  <c r="AH100" i="18"/>
  <c r="AH103" i="18"/>
  <c r="AH156" i="18"/>
  <c r="AH32" i="18"/>
  <c r="Y98" i="18"/>
  <c r="Y43" i="18"/>
  <c r="Y133" i="18"/>
  <c r="Y134" i="18"/>
  <c r="Y85" i="18"/>
  <c r="Y38" i="18"/>
  <c r="Y112" i="18"/>
  <c r="AE12" i="18"/>
  <c r="AE60" i="18"/>
  <c r="Y25" i="18"/>
  <c r="Y77" i="18"/>
  <c r="Y8" i="18"/>
  <c r="Y79" i="18"/>
  <c r="Y99" i="18"/>
  <c r="Y14" i="18"/>
  <c r="AE19" i="18"/>
  <c r="AH132" i="18"/>
  <c r="AH31" i="18"/>
  <c r="AH71" i="18"/>
  <c r="AH79" i="18"/>
  <c r="AH87" i="18"/>
  <c r="AH8" i="18"/>
  <c r="AH69" i="18"/>
  <c r="AK158" i="18"/>
  <c r="Y158" i="18"/>
  <c r="AE30" i="18"/>
  <c r="Y65" i="18"/>
  <c r="Y83" i="18"/>
  <c r="Y156" i="18"/>
  <c r="Y58" i="18"/>
  <c r="Y141" i="18"/>
  <c r="Y95" i="18"/>
  <c r="S138" i="18"/>
  <c r="S81" i="18"/>
  <c r="S140" i="18"/>
  <c r="S104" i="18"/>
  <c r="S62" i="18"/>
  <c r="G31" i="18"/>
  <c r="AE156" i="18"/>
  <c r="Y86" i="18"/>
  <c r="Y61" i="18"/>
  <c r="Y70" i="18"/>
  <c r="Y76" i="18"/>
  <c r="Y147" i="18"/>
  <c r="Y47" i="18"/>
  <c r="Y75" i="18"/>
  <c r="Y44" i="18"/>
  <c r="Y9" i="18"/>
  <c r="Y125" i="18"/>
  <c r="Y11" i="18"/>
  <c r="Y122" i="18"/>
  <c r="Y26" i="18"/>
  <c r="Y131" i="18"/>
  <c r="Y81" i="18"/>
  <c r="Y139" i="18"/>
  <c r="Y107" i="18"/>
  <c r="Y160" i="18"/>
  <c r="Y121" i="18"/>
  <c r="Y46" i="18"/>
  <c r="AK91" i="18"/>
  <c r="Y144" i="18"/>
  <c r="Y33" i="18"/>
  <c r="Y80" i="18"/>
  <c r="Y71" i="18"/>
  <c r="Y82" i="18"/>
  <c r="Y120" i="18"/>
  <c r="Y39" i="18"/>
  <c r="Y22" i="18"/>
  <c r="Y27" i="18"/>
  <c r="Y15" i="18"/>
  <c r="Y110" i="18"/>
  <c r="AE135" i="18"/>
  <c r="S94" i="18"/>
  <c r="S133" i="18"/>
  <c r="S120" i="18"/>
  <c r="S115" i="18"/>
  <c r="S65" i="18"/>
  <c r="S11" i="18"/>
  <c r="G84" i="18"/>
  <c r="AK107" i="18"/>
  <c r="Y64" i="18"/>
  <c r="Y72" i="18"/>
  <c r="Y109" i="18"/>
  <c r="Y108" i="18"/>
  <c r="Y145" i="18"/>
  <c r="Y40" i="18"/>
  <c r="Y105" i="18"/>
  <c r="Y49" i="18"/>
  <c r="Y54" i="18"/>
  <c r="Y69" i="18"/>
  <c r="Y66" i="18"/>
  <c r="AK84" i="18"/>
  <c r="AH94" i="18"/>
  <c r="AH96" i="18"/>
  <c r="AH99" i="18"/>
  <c r="AH84" i="18"/>
  <c r="AH104" i="18"/>
  <c r="AH134" i="18"/>
  <c r="AH136" i="18"/>
  <c r="AH142" i="18"/>
  <c r="AH38" i="18"/>
  <c r="AH139" i="18"/>
  <c r="AH62" i="18"/>
  <c r="AH64" i="18"/>
  <c r="AH153" i="18"/>
  <c r="AH125" i="18"/>
  <c r="AH11" i="18"/>
  <c r="AH122" i="18"/>
  <c r="AE133" i="18"/>
  <c r="AE143" i="18"/>
  <c r="G96" i="18"/>
  <c r="AH131" i="18"/>
  <c r="AH10" i="18"/>
  <c r="AH86" i="18"/>
  <c r="AH120" i="18"/>
  <c r="AH108" i="18"/>
  <c r="AH115" i="18"/>
  <c r="AH109" i="18"/>
  <c r="AH27" i="18"/>
  <c r="AH20" i="18"/>
  <c r="AH88" i="18"/>
  <c r="AH72" i="18"/>
  <c r="AH130" i="18"/>
  <c r="AH121" i="18"/>
  <c r="AH16" i="18"/>
  <c r="AH13" i="18"/>
  <c r="AE158" i="18"/>
  <c r="Y53" i="18"/>
  <c r="Y106" i="18"/>
  <c r="Y153" i="18"/>
  <c r="Y132" i="18"/>
  <c r="Y84" i="18"/>
  <c r="Y136" i="18"/>
  <c r="Y142" i="18"/>
  <c r="Y36" i="18"/>
  <c r="Y48" i="18"/>
  <c r="Y88" i="18"/>
  <c r="Y16" i="18"/>
  <c r="Y123" i="18"/>
  <c r="Y126" i="18"/>
  <c r="AE58" i="18"/>
  <c r="AE72" i="18"/>
  <c r="G89" i="18"/>
  <c r="AH129" i="18"/>
  <c r="AH17" i="18"/>
  <c r="AH105" i="18"/>
  <c r="AH133" i="18"/>
  <c r="AH56" i="18"/>
  <c r="AH9" i="18"/>
  <c r="AH77" i="18"/>
  <c r="AH89" i="18"/>
  <c r="AH36" i="18"/>
  <c r="AH33" i="18"/>
  <c r="AH26" i="18"/>
  <c r="AH12" i="18"/>
  <c r="AH110" i="18"/>
  <c r="AH114" i="18"/>
  <c r="AH98" i="18"/>
  <c r="Y91" i="18"/>
  <c r="Y63" i="18"/>
  <c r="Y24" i="18"/>
  <c r="Y130" i="18"/>
  <c r="Y103" i="18"/>
  <c r="Y155" i="18"/>
  <c r="Y137" i="18"/>
  <c r="Y51" i="18"/>
  <c r="Y41" i="18"/>
  <c r="Y143" i="18"/>
  <c r="Y87" i="18"/>
  <c r="Y89" i="18"/>
  <c r="Y28" i="18"/>
  <c r="Y146" i="18"/>
  <c r="Y113" i="18"/>
  <c r="Y32" i="18"/>
  <c r="AE24" i="18"/>
  <c r="AE121" i="18"/>
  <c r="S74" i="18"/>
  <c r="S109" i="18"/>
  <c r="S75" i="18"/>
  <c r="S57" i="18"/>
  <c r="S153" i="18"/>
  <c r="S51" i="18"/>
  <c r="S85" i="18"/>
  <c r="S13" i="18"/>
  <c r="G27" i="18"/>
  <c r="AH37" i="18"/>
  <c r="AH112" i="18"/>
  <c r="AH66" i="18"/>
  <c r="AH111" i="18"/>
  <c r="AH46" i="18"/>
  <c r="AE48" i="18"/>
  <c r="S46" i="18"/>
  <c r="S107" i="18"/>
  <c r="S49" i="18"/>
  <c r="S26" i="18"/>
  <c r="S131" i="18"/>
  <c r="S44" i="18"/>
  <c r="S27" i="18"/>
  <c r="G46" i="18"/>
  <c r="G69" i="18"/>
  <c r="AH74" i="18"/>
  <c r="AH49" i="18"/>
  <c r="AH141" i="18"/>
  <c r="AH47" i="18"/>
  <c r="AH53" i="18"/>
  <c r="AH63" i="18"/>
  <c r="AH135" i="18"/>
  <c r="AH85" i="18"/>
  <c r="AH82" i="18"/>
  <c r="AH24" i="18"/>
  <c r="AH41" i="18"/>
  <c r="AH154" i="18"/>
  <c r="AH44" i="18"/>
  <c r="AH15" i="18"/>
  <c r="AH118" i="18"/>
  <c r="AH160" i="18"/>
  <c r="AE94" i="18"/>
  <c r="AE120" i="18"/>
  <c r="G33" i="18"/>
  <c r="AH137" i="18"/>
  <c r="AH51" i="18"/>
  <c r="AH14" i="18"/>
  <c r="AI160" i="18"/>
  <c r="AH126" i="18"/>
  <c r="AE43" i="18"/>
  <c r="AE28" i="18"/>
  <c r="AE139" i="18"/>
  <c r="AE71" i="18"/>
  <c r="AE144" i="18"/>
  <c r="AE13" i="18"/>
  <c r="G74" i="18"/>
  <c r="G134" i="18"/>
  <c r="G76" i="18"/>
  <c r="G62" i="18"/>
  <c r="G113" i="18"/>
  <c r="AE61" i="18"/>
  <c r="AE22" i="18"/>
  <c r="AE39" i="18"/>
  <c r="AE54" i="18"/>
  <c r="AE36" i="18"/>
  <c r="AE114" i="18"/>
  <c r="G94" i="18"/>
  <c r="G154" i="18"/>
  <c r="G153" i="18"/>
  <c r="G82" i="18"/>
  <c r="G124" i="18"/>
  <c r="AE65" i="18"/>
  <c r="AE70" i="18"/>
  <c r="AE109" i="18"/>
  <c r="AE63" i="18"/>
  <c r="AE107" i="18"/>
  <c r="AE160" i="18"/>
  <c r="G119" i="18"/>
  <c r="G118" i="18"/>
  <c r="G133" i="18"/>
  <c r="G147" i="18"/>
  <c r="G14" i="18"/>
  <c r="J158" i="18"/>
  <c r="AE81" i="18"/>
  <c r="AE89" i="18"/>
  <c r="AE53" i="18"/>
  <c r="AE56" i="18"/>
  <c r="AE141" i="18"/>
  <c r="AE123" i="18"/>
  <c r="S30" i="18"/>
  <c r="S139" i="18"/>
  <c r="S134" i="18"/>
  <c r="S53" i="18"/>
  <c r="S20" i="18"/>
  <c r="S9" i="18"/>
  <c r="S147" i="18"/>
  <c r="S124" i="18"/>
  <c r="G86" i="18"/>
  <c r="G141" i="18"/>
  <c r="G41" i="18"/>
  <c r="G107" i="18"/>
  <c r="G114" i="18"/>
  <c r="AE105" i="18"/>
  <c r="AE140" i="18"/>
  <c r="AE78" i="18"/>
  <c r="AE83" i="18"/>
  <c r="AE153" i="18"/>
  <c r="AE95" i="18"/>
  <c r="G49" i="18"/>
  <c r="G109" i="18"/>
  <c r="G9" i="18"/>
  <c r="G72" i="18"/>
  <c r="G123" i="18"/>
  <c r="AE154" i="18"/>
  <c r="AE55" i="18"/>
  <c r="AE52" i="18"/>
  <c r="AE130" i="18"/>
  <c r="AE134" i="18"/>
  <c r="AE66" i="18"/>
  <c r="G155" i="18"/>
  <c r="G138" i="18"/>
  <c r="G52" i="18"/>
  <c r="G115" i="18"/>
  <c r="AE64" i="18"/>
  <c r="AE100" i="18"/>
  <c r="AE25" i="18"/>
  <c r="AE14" i="18"/>
  <c r="AE11" i="18"/>
  <c r="S54" i="18"/>
  <c r="S99" i="18"/>
  <c r="S37" i="18"/>
  <c r="S63" i="18"/>
  <c r="S84" i="18"/>
  <c r="S38" i="18"/>
  <c r="S25" i="18"/>
  <c r="S12" i="18"/>
  <c r="S95" i="18"/>
  <c r="G30" i="18"/>
  <c r="G8" i="18"/>
  <c r="G53" i="18"/>
  <c r="G25" i="18"/>
  <c r="G23" i="18"/>
  <c r="G83" i="18"/>
  <c r="G64" i="18"/>
  <c r="G48" i="18"/>
  <c r="G85" i="18"/>
  <c r="G38" i="18"/>
  <c r="G43" i="18"/>
  <c r="G22" i="18"/>
  <c r="G120" i="18"/>
  <c r="G111" i="18"/>
  <c r="G95" i="18"/>
  <c r="G11" i="18"/>
  <c r="G145" i="18"/>
  <c r="G70" i="18"/>
  <c r="G137" i="18"/>
  <c r="G42" i="18"/>
  <c r="G56" i="18"/>
  <c r="G131" i="18"/>
  <c r="G106" i="18"/>
  <c r="G110" i="18"/>
  <c r="G32" i="18"/>
  <c r="G125" i="18"/>
  <c r="AE40" i="18"/>
  <c r="AE20" i="18"/>
  <c r="AE44" i="18"/>
  <c r="AE99" i="18"/>
  <c r="AE38" i="18"/>
  <c r="AE57" i="18"/>
  <c r="AE10" i="18"/>
  <c r="AE132" i="18"/>
  <c r="AE27" i="18"/>
  <c r="AE86" i="18"/>
  <c r="AE104" i="18"/>
  <c r="AE37" i="18"/>
  <c r="AE69" i="18"/>
  <c r="AE122" i="18"/>
  <c r="S86" i="18"/>
  <c r="S105" i="18"/>
  <c r="S141" i="18"/>
  <c r="S156" i="18"/>
  <c r="S143" i="18"/>
  <c r="S145" i="18"/>
  <c r="S14" i="18"/>
  <c r="S66" i="18"/>
  <c r="S110" i="18"/>
  <c r="G19" i="18"/>
  <c r="G88" i="18"/>
  <c r="G71" i="18"/>
  <c r="G79" i="18"/>
  <c r="G103" i="18"/>
  <c r="G140" i="18"/>
  <c r="G130" i="18"/>
  <c r="G58" i="18"/>
  <c r="G87" i="18"/>
  <c r="G61" i="18"/>
  <c r="G136" i="18"/>
  <c r="G104" i="18"/>
  <c r="G21" i="18"/>
  <c r="G13" i="18"/>
  <c r="G66" i="18"/>
  <c r="G160" i="18"/>
  <c r="AE145" i="18"/>
  <c r="AE147" i="18"/>
  <c r="AE76" i="18"/>
  <c r="AE84" i="18"/>
  <c r="AE131" i="18"/>
  <c r="AE108" i="18"/>
  <c r="AE96" i="18"/>
  <c r="AE31" i="18"/>
  <c r="AE82" i="18"/>
  <c r="AE41" i="18"/>
  <c r="AE47" i="18"/>
  <c r="AE138" i="18"/>
  <c r="AE124" i="18"/>
  <c r="AE15" i="18"/>
  <c r="S28" i="18"/>
  <c r="S88" i="18"/>
  <c r="S154" i="18"/>
  <c r="S50" i="18"/>
  <c r="S136" i="18"/>
  <c r="S31" i="18"/>
  <c r="S114" i="18"/>
  <c r="S16" i="18"/>
  <c r="S112" i="18"/>
  <c r="G98" i="18"/>
  <c r="G50" i="18"/>
  <c r="G80" i="18"/>
  <c r="G63" i="18"/>
  <c r="G77" i="18"/>
  <c r="G75" i="18"/>
  <c r="G100" i="18"/>
  <c r="G144" i="18"/>
  <c r="G10" i="18"/>
  <c r="G105" i="18"/>
  <c r="G28" i="18"/>
  <c r="G37" i="18"/>
  <c r="G135" i="18"/>
  <c r="G121" i="18"/>
  <c r="G15" i="18"/>
  <c r="G12" i="18"/>
  <c r="AE26" i="18"/>
  <c r="AE88" i="18"/>
  <c r="AE119" i="18"/>
  <c r="AE87" i="18"/>
  <c r="AE9" i="18"/>
  <c r="AE137" i="18"/>
  <c r="AE51" i="18"/>
  <c r="AE80" i="18"/>
  <c r="AE79" i="18"/>
  <c r="AE50" i="18"/>
  <c r="AE142" i="18"/>
  <c r="AE110" i="18"/>
  <c r="AE111" i="18"/>
  <c r="AE32" i="18"/>
  <c r="G60" i="18"/>
  <c r="G35" i="18"/>
  <c r="G142" i="18"/>
  <c r="G78" i="18"/>
  <c r="G55" i="18"/>
  <c r="G65" i="18"/>
  <c r="G17" i="18"/>
  <c r="G143" i="18"/>
  <c r="G156" i="18"/>
  <c r="G139" i="18"/>
  <c r="G40" i="18"/>
  <c r="G26" i="18"/>
  <c r="G81" i="18"/>
  <c r="G122" i="18"/>
  <c r="G16" i="18"/>
  <c r="G146" i="18"/>
  <c r="G7" i="18"/>
  <c r="AE85" i="18"/>
  <c r="AE155" i="18"/>
  <c r="AE23" i="18"/>
  <c r="AE75" i="18"/>
  <c r="AE106" i="18"/>
  <c r="AE118" i="18"/>
  <c r="AE62" i="18"/>
  <c r="AE77" i="18"/>
  <c r="AE8" i="18"/>
  <c r="AE136" i="18"/>
  <c r="AE33" i="18"/>
  <c r="AE16" i="18"/>
  <c r="AE112" i="18"/>
  <c r="AE113" i="18"/>
  <c r="S78" i="18"/>
  <c r="S41" i="18"/>
  <c r="S118" i="18"/>
  <c r="S23" i="18"/>
  <c r="S76" i="18"/>
  <c r="S71" i="18"/>
  <c r="S72" i="18"/>
  <c r="S122" i="18"/>
  <c r="S160" i="18"/>
  <c r="G68" i="18"/>
  <c r="G57" i="18"/>
  <c r="G20" i="18"/>
  <c r="G36" i="18"/>
  <c r="G47" i="18"/>
  <c r="G51" i="18"/>
  <c r="G108" i="18"/>
  <c r="G24" i="18"/>
  <c r="G39" i="18"/>
  <c r="G44" i="18"/>
  <c r="G54" i="18"/>
  <c r="G132" i="18"/>
  <c r="G99" i="18"/>
  <c r="G126" i="18"/>
  <c r="H160" i="18"/>
  <c r="S52" i="18"/>
  <c r="S155" i="18"/>
  <c r="S47" i="18"/>
  <c r="S142" i="18"/>
  <c r="S89" i="18"/>
  <c r="S64" i="18"/>
  <c r="S108" i="18"/>
  <c r="S42" i="18"/>
  <c r="S135" i="18"/>
  <c r="S146" i="18"/>
  <c r="S32" i="18"/>
  <c r="S69" i="18"/>
  <c r="S8" i="18"/>
  <c r="S61" i="18"/>
  <c r="S33" i="18"/>
  <c r="S144" i="18"/>
  <c r="S22" i="18"/>
  <c r="S96" i="18"/>
  <c r="S55" i="18"/>
  <c r="S39" i="18"/>
  <c r="S123" i="18"/>
  <c r="S125" i="18"/>
  <c r="AN106" i="18"/>
  <c r="AN36" i="18"/>
  <c r="AN17" i="18"/>
  <c r="AN110" i="18"/>
  <c r="AN114" i="18"/>
  <c r="AN158" i="18"/>
  <c r="AN130" i="18"/>
  <c r="AN58" i="18"/>
  <c r="AN57" i="18"/>
  <c r="AN14" i="18"/>
  <c r="AN61" i="18"/>
  <c r="AN104" i="18"/>
  <c r="AN143" i="18"/>
  <c r="AN63" i="18"/>
  <c r="AN15" i="18"/>
  <c r="AE17" i="18"/>
  <c r="AE21" i="18"/>
  <c r="AE49" i="18"/>
  <c r="AE103" i="18"/>
  <c r="AE115" i="18"/>
  <c r="AE126" i="18"/>
  <c r="AE146" i="18"/>
  <c r="AN28" i="18"/>
  <c r="AN25" i="18"/>
  <c r="AN145" i="18"/>
  <c r="AK145" i="18"/>
  <c r="AN119" i="18"/>
  <c r="AN109" i="18"/>
  <c r="AN142" i="18"/>
  <c r="AN131" i="18"/>
  <c r="AN7" i="18"/>
  <c r="AN49" i="18"/>
  <c r="AN153" i="18"/>
  <c r="AN139" i="18"/>
  <c r="AK52" i="18"/>
  <c r="AN74" i="18"/>
  <c r="AN68" i="18"/>
  <c r="AN80" i="18"/>
  <c r="AN84" i="18"/>
  <c r="AN118" i="18"/>
  <c r="J60" i="18"/>
  <c r="J26" i="18"/>
  <c r="J55" i="18"/>
  <c r="J124" i="18"/>
  <c r="J7" i="18"/>
  <c r="J107" i="18"/>
  <c r="J131" i="18"/>
  <c r="J51" i="18"/>
  <c r="J142" i="18"/>
  <c r="J78" i="18"/>
  <c r="J42" i="18"/>
  <c r="J138" i="18"/>
  <c r="J27" i="18"/>
  <c r="J39" i="18"/>
  <c r="J75" i="18"/>
  <c r="J106" i="18"/>
  <c r="J86" i="18"/>
  <c r="J123" i="18"/>
  <c r="J66" i="18"/>
  <c r="J110" i="18"/>
  <c r="J22" i="18"/>
  <c r="J54" i="18"/>
  <c r="J38" i="18"/>
  <c r="J99" i="18"/>
  <c r="J10" i="18"/>
  <c r="J11" i="18"/>
  <c r="J19" i="18"/>
  <c r="J96" i="18"/>
  <c r="J48" i="18"/>
  <c r="J71" i="18"/>
  <c r="J118" i="18"/>
  <c r="J130" i="18"/>
  <c r="J103" i="18"/>
  <c r="J63" i="18"/>
  <c r="J58" i="18"/>
  <c r="J64" i="18"/>
  <c r="J76" i="18"/>
  <c r="J120" i="18"/>
  <c r="J126" i="18"/>
  <c r="J111" i="18"/>
  <c r="J113" i="18"/>
  <c r="J95" i="18"/>
  <c r="J33" i="18"/>
  <c r="J100" i="18"/>
  <c r="J47" i="18"/>
  <c r="J129" i="18"/>
  <c r="J8" i="18"/>
  <c r="J32" i="18"/>
  <c r="J35" i="18"/>
  <c r="J119" i="18"/>
  <c r="J147" i="18"/>
  <c r="J84" i="18"/>
  <c r="J134" i="18"/>
  <c r="J65" i="18"/>
  <c r="J25" i="18"/>
  <c r="J80" i="18"/>
  <c r="J156" i="18"/>
  <c r="J153" i="18"/>
  <c r="J50" i="18"/>
  <c r="J79" i="18"/>
  <c r="J13" i="18"/>
  <c r="J16" i="18"/>
  <c r="J112" i="18"/>
  <c r="J69" i="18"/>
  <c r="J91" i="18"/>
  <c r="J74" i="18"/>
  <c r="J94" i="18"/>
  <c r="J24" i="18"/>
  <c r="J77" i="18"/>
  <c r="J53" i="18"/>
  <c r="J56" i="18"/>
  <c r="J109" i="18"/>
  <c r="J52" i="18"/>
  <c r="J23" i="18"/>
  <c r="J132" i="18"/>
  <c r="J40" i="18"/>
  <c r="J82" i="18"/>
  <c r="J57" i="18"/>
  <c r="J121" i="18"/>
  <c r="K160" i="18"/>
  <c r="J12" i="18"/>
  <c r="J30" i="18"/>
  <c r="AK94" i="18"/>
  <c r="J68" i="18"/>
  <c r="J9" i="18"/>
  <c r="J155" i="18"/>
  <c r="J83" i="18"/>
  <c r="J61" i="18"/>
  <c r="J135" i="18"/>
  <c r="J144" i="18"/>
  <c r="J49" i="18"/>
  <c r="J89" i="18"/>
  <c r="J141" i="18"/>
  <c r="J108" i="18"/>
  <c r="J41" i="18"/>
  <c r="J72" i="18"/>
  <c r="J14" i="18"/>
  <c r="J125" i="18"/>
  <c r="J87" i="18"/>
  <c r="J46" i="18"/>
  <c r="J105" i="18"/>
  <c r="J104" i="18"/>
  <c r="J154" i="18"/>
  <c r="J44" i="18"/>
  <c r="J133" i="18"/>
  <c r="J143" i="18"/>
  <c r="J88" i="18"/>
  <c r="J140" i="18"/>
  <c r="J145" i="18"/>
  <c r="J115" i="18"/>
  <c r="J81" i="18"/>
  <c r="J70" i="18"/>
  <c r="J15" i="18"/>
  <c r="J114" i="18"/>
  <c r="J146" i="18"/>
  <c r="J98" i="18"/>
  <c r="J21" i="18"/>
  <c r="J85" i="18"/>
  <c r="J17" i="18"/>
  <c r="J37" i="18"/>
  <c r="J139" i="18"/>
  <c r="J136" i="18"/>
  <c r="J20" i="18"/>
  <c r="J137" i="18"/>
  <c r="J31" i="18"/>
  <c r="J43" i="18"/>
  <c r="J36" i="18"/>
  <c r="J28" i="18"/>
  <c r="J62" i="18"/>
  <c r="J122" i="18"/>
  <c r="AN69" i="18"/>
  <c r="AK129" i="18"/>
  <c r="AK121" i="18"/>
  <c r="AK53" i="18"/>
  <c r="AN112" i="18"/>
  <c r="AK77" i="18"/>
  <c r="AN156" i="18"/>
  <c r="AN154" i="18"/>
  <c r="AN137" i="18"/>
  <c r="AN56" i="18"/>
  <c r="AK46" i="18"/>
  <c r="AK141" i="18"/>
  <c r="AK43" i="18"/>
  <c r="AK83" i="18"/>
  <c r="AN135" i="18"/>
  <c r="AN70" i="18"/>
  <c r="AN129" i="18"/>
  <c r="AN88" i="18"/>
  <c r="AN99" i="18"/>
  <c r="AN113" i="18"/>
  <c r="AK119" i="18"/>
  <c r="AK100" i="18"/>
  <c r="AN24" i="18"/>
  <c r="AN40" i="18"/>
  <c r="AN108" i="18"/>
  <c r="AN64" i="18"/>
  <c r="AN12" i="18"/>
  <c r="AK19" i="18"/>
  <c r="AK24" i="18"/>
  <c r="AK108" i="18"/>
  <c r="P91" i="18"/>
  <c r="I192" i="32"/>
  <c r="I225" i="32" s="1"/>
  <c r="AN94" i="18"/>
  <c r="AN55" i="18"/>
  <c r="AN132" i="18"/>
  <c r="AN141" i="18"/>
  <c r="AN50" i="18"/>
  <c r="AN85" i="18"/>
  <c r="AN100" i="18"/>
  <c r="AN53" i="18"/>
  <c r="AN41" i="18"/>
  <c r="AN87" i="18"/>
  <c r="AN120" i="18"/>
  <c r="AN140" i="18"/>
  <c r="AN107" i="18"/>
  <c r="AN111" i="18"/>
  <c r="AN126" i="18"/>
  <c r="AN32" i="18"/>
  <c r="AK109" i="18"/>
  <c r="AK87" i="18"/>
  <c r="AK11" i="18"/>
  <c r="AN30" i="18"/>
  <c r="AN138" i="18"/>
  <c r="AN27" i="18"/>
  <c r="AN77" i="18"/>
  <c r="AN26" i="18"/>
  <c r="AN62" i="18"/>
  <c r="AN155" i="18"/>
  <c r="AN144" i="18"/>
  <c r="AN134" i="18"/>
  <c r="AN22" i="18"/>
  <c r="AN75" i="18"/>
  <c r="AN37" i="18"/>
  <c r="AN31" i="18"/>
  <c r="AN160" i="18"/>
  <c r="AN123" i="18"/>
  <c r="AN19" i="18"/>
  <c r="AN35" i="18"/>
  <c r="AN38" i="18"/>
  <c r="AN9" i="18"/>
  <c r="AN65" i="18"/>
  <c r="AN33" i="18"/>
  <c r="AN147" i="18"/>
  <c r="AN136" i="18"/>
  <c r="AN96" i="18"/>
  <c r="AN105" i="18"/>
  <c r="AN78" i="18"/>
  <c r="AN79" i="18"/>
  <c r="AN44" i="18"/>
  <c r="AN133" i="18"/>
  <c r="AN146" i="18"/>
  <c r="AN121" i="18"/>
  <c r="AN98" i="18"/>
  <c r="AN60" i="18"/>
  <c r="AN83" i="18"/>
  <c r="AN54" i="18"/>
  <c r="AN21" i="18"/>
  <c r="AN48" i="18"/>
  <c r="AN89" i="18"/>
  <c r="AN23" i="18"/>
  <c r="AN10" i="18"/>
  <c r="AN39" i="18"/>
  <c r="AN86" i="18"/>
  <c r="AN103" i="18"/>
  <c r="AN76" i="18"/>
  <c r="AN11" i="18"/>
  <c r="AN66" i="18"/>
  <c r="AN122" i="18"/>
  <c r="AN46" i="18"/>
  <c r="AN8" i="18"/>
  <c r="AN71" i="18"/>
  <c r="AN81" i="18"/>
  <c r="AN43" i="18"/>
  <c r="AN72" i="18"/>
  <c r="AN115" i="18"/>
  <c r="AN51" i="18"/>
  <c r="AN52" i="18"/>
  <c r="AN82" i="18"/>
  <c r="AN47" i="18"/>
  <c r="AN42" i="18"/>
  <c r="AN20" i="18"/>
  <c r="AN125" i="18"/>
  <c r="AN16" i="18"/>
  <c r="AN95" i="18"/>
  <c r="AK40" i="18"/>
  <c r="AK139" i="18"/>
  <c r="AK160" i="18"/>
  <c r="AK63" i="18"/>
  <c r="AK142" i="18"/>
  <c r="AK96" i="18"/>
  <c r="AK99" i="18"/>
  <c r="AK120" i="18"/>
  <c r="AK44" i="18"/>
  <c r="AK48" i="18"/>
  <c r="AK13" i="18"/>
  <c r="AK16" i="18"/>
  <c r="AK112" i="18"/>
  <c r="AH19" i="18"/>
  <c r="AK51" i="18"/>
  <c r="AK140" i="18"/>
  <c r="AK72" i="18"/>
  <c r="AK8" i="18"/>
  <c r="AK20" i="18"/>
  <c r="AK50" i="18"/>
  <c r="AK33" i="18"/>
  <c r="AK70" i="18"/>
  <c r="AK61" i="18"/>
  <c r="AK42" i="18"/>
  <c r="AK81" i="18"/>
  <c r="AK95" i="18"/>
  <c r="AK124" i="18"/>
  <c r="AK113" i="18"/>
  <c r="AH60" i="18"/>
  <c r="AO160" i="18"/>
  <c r="AN91" i="18"/>
  <c r="AK7" i="18"/>
  <c r="AK144" i="18"/>
  <c r="AK143" i="18"/>
  <c r="AK71" i="18"/>
  <c r="AK80" i="18"/>
  <c r="AK37" i="18"/>
  <c r="AK132" i="18"/>
  <c r="AK88" i="18"/>
  <c r="AK22" i="18"/>
  <c r="AK65" i="18"/>
  <c r="AK89" i="18"/>
  <c r="AK134" i="18"/>
  <c r="AK55" i="18"/>
  <c r="AK123" i="18"/>
  <c r="AK114" i="18"/>
  <c r="AL160" i="18"/>
  <c r="AH30" i="18"/>
  <c r="AN124" i="18"/>
  <c r="AK35" i="18"/>
  <c r="AK98" i="18"/>
  <c r="AK82" i="18"/>
  <c r="AK41" i="18"/>
  <c r="AK49" i="18"/>
  <c r="AK133" i="18"/>
  <c r="AK78" i="18"/>
  <c r="AK137" i="18"/>
  <c r="AK62" i="18"/>
  <c r="AK36" i="18"/>
  <c r="AK85" i="18"/>
  <c r="AK17" i="18"/>
  <c r="AK47" i="18"/>
  <c r="AK57" i="18"/>
  <c r="AK122" i="18"/>
  <c r="AK126" i="18"/>
  <c r="AK111" i="18"/>
  <c r="AH68" i="18"/>
  <c r="AK60" i="18"/>
  <c r="AK68" i="18"/>
  <c r="AK136" i="18"/>
  <c r="AK131" i="18"/>
  <c r="AK147" i="18"/>
  <c r="AK56" i="18"/>
  <c r="AK154" i="18"/>
  <c r="AK64" i="18"/>
  <c r="AK21" i="18"/>
  <c r="AK103" i="18"/>
  <c r="AK75" i="18"/>
  <c r="AK28" i="18"/>
  <c r="AK130" i="18"/>
  <c r="AK32" i="18"/>
  <c r="AK14" i="18"/>
  <c r="AK125" i="18"/>
  <c r="AH35" i="18"/>
  <c r="X192" i="32"/>
  <c r="AC192" i="32" s="1"/>
  <c r="AK74" i="18"/>
  <c r="AK76" i="18"/>
  <c r="AK153" i="18"/>
  <c r="AK39" i="18"/>
  <c r="AK104" i="18"/>
  <c r="AK31" i="18"/>
  <c r="AK86" i="18"/>
  <c r="AK79" i="18"/>
  <c r="AK10" i="18"/>
  <c r="AK58" i="18"/>
  <c r="AK115" i="18"/>
  <c r="AK156" i="18"/>
  <c r="AK105" i="18"/>
  <c r="AK146" i="18"/>
  <c r="AK12" i="18"/>
  <c r="AK15" i="18"/>
  <c r="AK30" i="18"/>
  <c r="AK26" i="18"/>
  <c r="AK138" i="18"/>
  <c r="AK135" i="18"/>
  <c r="AK54" i="18"/>
  <c r="AK9" i="18"/>
  <c r="AK25" i="18"/>
  <c r="AK27" i="18"/>
  <c r="AK23" i="18"/>
  <c r="AK118" i="18"/>
  <c r="AK106" i="18"/>
  <c r="AK38" i="18"/>
  <c r="AK155" i="18"/>
  <c r="AK110" i="18"/>
  <c r="AK66" i="18"/>
  <c r="E144" i="23"/>
  <c r="E61" i="23"/>
  <c r="E51" i="23"/>
  <c r="E109" i="23"/>
  <c r="E127" i="23"/>
  <c r="E71" i="23"/>
  <c r="E137" i="23"/>
  <c r="E36" i="23"/>
  <c r="E116" i="23"/>
  <c r="E70" i="23"/>
  <c r="E87" i="23"/>
  <c r="E102" i="23"/>
  <c r="E55" i="23"/>
  <c r="E26" i="23"/>
  <c r="E97" i="23"/>
  <c r="E120" i="23"/>
  <c r="E32" i="23"/>
  <c r="E47" i="23"/>
  <c r="E41" i="23"/>
  <c r="E78" i="23"/>
  <c r="E73" i="23"/>
  <c r="E49" i="23"/>
  <c r="E72" i="23"/>
  <c r="E122" i="23"/>
  <c r="E23" i="23"/>
  <c r="E89" i="23"/>
  <c r="E16" i="23"/>
  <c r="E46" i="23"/>
  <c r="E142" i="23"/>
  <c r="E34" i="23"/>
  <c r="E25" i="23"/>
  <c r="E48" i="23"/>
  <c r="E83" i="23"/>
  <c r="E85" i="23"/>
  <c r="E126" i="23"/>
  <c r="E81" i="23"/>
  <c r="E21" i="23"/>
  <c r="E30" i="23"/>
  <c r="E59" i="23"/>
  <c r="E13" i="23"/>
  <c r="E86" i="23"/>
  <c r="E10" i="23"/>
  <c r="E50" i="23"/>
  <c r="E134" i="23"/>
  <c r="E35" i="23"/>
  <c r="E8" i="23"/>
  <c r="E76" i="23"/>
  <c r="E39" i="23"/>
  <c r="E92" i="23"/>
  <c r="E27" i="23"/>
  <c r="E33" i="23"/>
  <c r="E37" i="23"/>
  <c r="E98" i="23"/>
  <c r="E94" i="23"/>
  <c r="E111" i="23"/>
  <c r="E60" i="23"/>
  <c r="E105" i="23"/>
  <c r="E88" i="23"/>
  <c r="E29" i="23"/>
  <c r="E95" i="23"/>
  <c r="E82" i="23"/>
  <c r="E31" i="23"/>
  <c r="E80" i="23"/>
  <c r="E24" i="23"/>
  <c r="E77" i="23"/>
  <c r="E18" i="23"/>
  <c r="E44" i="23"/>
  <c r="E107" i="23"/>
  <c r="E43" i="23"/>
  <c r="E131" i="23"/>
  <c r="E118" i="23"/>
  <c r="E40" i="23"/>
  <c r="E106" i="23"/>
  <c r="E114" i="23"/>
  <c r="E135" i="23"/>
  <c r="D148" i="23"/>
  <c r="E91" i="23"/>
  <c r="E68" i="23"/>
  <c r="E96" i="23"/>
  <c r="E56" i="23"/>
  <c r="E67" i="23"/>
  <c r="E84" i="23"/>
  <c r="E130" i="23"/>
  <c r="E79" i="23"/>
  <c r="E115" i="23"/>
  <c r="E100" i="23"/>
  <c r="E7" i="23"/>
  <c r="E63" i="23"/>
  <c r="E101" i="23"/>
  <c r="E17" i="23"/>
  <c r="E112" i="23"/>
  <c r="E58" i="23"/>
  <c r="E108" i="23"/>
  <c r="E9" i="23"/>
  <c r="E15" i="23"/>
  <c r="E20" i="23"/>
  <c r="E133" i="23"/>
  <c r="E11" i="23"/>
  <c r="E69" i="23"/>
  <c r="E54" i="23"/>
  <c r="E52" i="23"/>
  <c r="E93" i="23"/>
  <c r="E125" i="23"/>
  <c r="E28" i="23"/>
  <c r="E99" i="23"/>
  <c r="E136" i="23"/>
  <c r="E22" i="23"/>
  <c r="E104" i="23"/>
  <c r="E90" i="23"/>
  <c r="E129" i="23"/>
  <c r="D162" i="18"/>
  <c r="E119" i="23"/>
  <c r="E74" i="23"/>
  <c r="E45" i="23"/>
  <c r="E12" i="23"/>
  <c r="E75" i="23"/>
  <c r="E42" i="23"/>
  <c r="E146" i="23"/>
  <c r="E141" i="23"/>
  <c r="E140" i="23"/>
  <c r="G57" i="29"/>
  <c r="H57" i="29"/>
  <c r="M57" i="29"/>
  <c r="N57" i="29"/>
  <c r="L176" i="29"/>
  <c r="AA225" i="32"/>
  <c r="AB192" i="32"/>
  <c r="AI176" i="29"/>
  <c r="AH176" i="29"/>
  <c r="O209" i="29"/>
  <c r="P176" i="29"/>
  <c r="P68" i="18"/>
  <c r="P69" i="18"/>
  <c r="P125" i="18"/>
  <c r="P112" i="18"/>
  <c r="Q160" i="18"/>
  <c r="P16" i="18"/>
  <c r="P12" i="18"/>
  <c r="P11" i="18"/>
  <c r="P121" i="18"/>
  <c r="P160" i="18"/>
  <c r="P15" i="18"/>
  <c r="P13" i="18"/>
  <c r="P114" i="18"/>
  <c r="P146" i="18"/>
  <c r="P123" i="18"/>
  <c r="P110" i="18"/>
  <c r="P113" i="18"/>
  <c r="P122" i="18"/>
  <c r="P126" i="18"/>
  <c r="P111" i="18"/>
  <c r="P14" i="18"/>
  <c r="P124" i="18"/>
  <c r="P32" i="18"/>
  <c r="P66" i="18"/>
  <c r="P95" i="18"/>
  <c r="P62" i="18"/>
  <c r="P42" i="18"/>
  <c r="P99" i="18"/>
  <c r="P51" i="18"/>
  <c r="P49" i="18"/>
  <c r="P40" i="18"/>
  <c r="P81" i="18"/>
  <c r="P134" i="18"/>
  <c r="P53" i="18"/>
  <c r="P37" i="18"/>
  <c r="P33" i="18"/>
  <c r="P145" i="18"/>
  <c r="P141" i="18"/>
  <c r="P144" i="18"/>
  <c r="P142" i="18"/>
  <c r="P108" i="18"/>
  <c r="P130" i="18"/>
  <c r="P72" i="18"/>
  <c r="P85" i="18"/>
  <c r="P28" i="18"/>
  <c r="P82" i="18"/>
  <c r="P120" i="18"/>
  <c r="P26" i="18"/>
  <c r="P139" i="18"/>
  <c r="P54" i="18"/>
  <c r="P129" i="18"/>
  <c r="P107" i="18"/>
  <c r="P138" i="18"/>
  <c r="P78" i="18"/>
  <c r="P31" i="18"/>
  <c r="P105" i="18"/>
  <c r="P50" i="18"/>
  <c r="P153" i="18"/>
  <c r="P137" i="18"/>
  <c r="P86" i="18"/>
  <c r="P38" i="18"/>
  <c r="P41" i="18"/>
  <c r="P104" i="18"/>
  <c r="P155" i="18"/>
  <c r="P20" i="18"/>
  <c r="P77" i="18"/>
  <c r="P132" i="18"/>
  <c r="P47" i="18"/>
  <c r="P23" i="18"/>
  <c r="P76" i="18"/>
  <c r="P9" i="18"/>
  <c r="P87" i="18"/>
  <c r="P63" i="18"/>
  <c r="P17" i="18"/>
  <c r="P36" i="18"/>
  <c r="P21" i="18"/>
  <c r="P80" i="18"/>
  <c r="P57" i="18"/>
  <c r="P156" i="18"/>
  <c r="P88" i="18"/>
  <c r="P22" i="18"/>
  <c r="P44" i="18"/>
  <c r="P52" i="18"/>
  <c r="P135" i="18"/>
  <c r="P61" i="18"/>
  <c r="P48" i="18"/>
  <c r="P56" i="18"/>
  <c r="P10" i="18"/>
  <c r="P133" i="18"/>
  <c r="P70" i="18"/>
  <c r="P143" i="18"/>
  <c r="P75" i="18"/>
  <c r="P8" i="18"/>
  <c r="P147" i="18"/>
  <c r="P100" i="18"/>
  <c r="P96" i="18"/>
  <c r="P140" i="18"/>
  <c r="P27" i="18"/>
  <c r="P58" i="18"/>
  <c r="P154" i="18"/>
  <c r="P71" i="18"/>
  <c r="P106" i="18"/>
  <c r="P55" i="18"/>
  <c r="P65" i="18"/>
  <c r="P83" i="18"/>
  <c r="P89" i="18"/>
  <c r="P79" i="18"/>
  <c r="P119" i="18"/>
  <c r="P39" i="18"/>
  <c r="P84" i="18"/>
  <c r="P115" i="18"/>
  <c r="P131" i="18"/>
  <c r="P43" i="18"/>
  <c r="P136" i="18"/>
  <c r="P25" i="18"/>
  <c r="P24" i="18"/>
  <c r="P109" i="18"/>
  <c r="P64" i="18"/>
  <c r="P118" i="18"/>
  <c r="P103" i="18"/>
  <c r="P60" i="18"/>
  <c r="P19" i="18"/>
  <c r="P7" i="18"/>
  <c r="P74" i="18"/>
  <c r="P94" i="18"/>
  <c r="P46" i="18"/>
  <c r="P30" i="18"/>
  <c r="P98" i="18"/>
  <c r="P35" i="18"/>
  <c r="AB60" i="32"/>
  <c r="AC60" i="32"/>
  <c r="AG209" i="29"/>
  <c r="P60" i="32"/>
  <c r="Q60" i="32"/>
  <c r="K57" i="29"/>
  <c r="AF57" i="29"/>
  <c r="AE57" i="29"/>
  <c r="AK57" i="29"/>
  <c r="AJ176" i="29"/>
  <c r="AL57" i="29"/>
  <c r="V158" i="18"/>
  <c r="R192" i="32"/>
  <c r="S192" i="32" s="1"/>
  <c r="T60" i="32"/>
  <c r="S60" i="32"/>
  <c r="C7" i="31"/>
  <c r="C9" i="31"/>
  <c r="T32" i="25"/>
  <c r="S38" i="25"/>
  <c r="T38" i="25" s="1"/>
  <c r="AE60" i="32"/>
  <c r="AF60" i="32"/>
  <c r="Z160" i="18"/>
  <c r="AD192" i="32"/>
  <c r="AB13" i="18"/>
  <c r="AB125" i="18"/>
  <c r="AB11" i="18"/>
  <c r="AB160" i="18"/>
  <c r="AB114" i="18"/>
  <c r="AB95" i="18"/>
  <c r="AB14" i="18"/>
  <c r="AB122" i="18"/>
  <c r="AC160" i="18"/>
  <c r="AB121" i="18"/>
  <c r="AB126" i="18"/>
  <c r="AB124" i="18"/>
  <c r="AB123" i="18"/>
  <c r="AB113" i="18"/>
  <c r="AB111" i="18"/>
  <c r="AB12" i="18"/>
  <c r="AB66" i="18"/>
  <c r="AB69" i="18"/>
  <c r="AB112" i="18"/>
  <c r="AB32" i="18"/>
  <c r="AB146" i="18"/>
  <c r="AB16" i="18"/>
  <c r="AB110" i="18"/>
  <c r="AB15" i="18"/>
  <c r="AB141" i="18"/>
  <c r="AB84" i="18"/>
  <c r="AB52" i="18"/>
  <c r="AB138" i="18"/>
  <c r="AB132" i="18"/>
  <c r="AB24" i="18"/>
  <c r="AB118" i="18"/>
  <c r="AB77" i="18"/>
  <c r="AB134" i="18"/>
  <c r="AB53" i="18"/>
  <c r="AB26" i="18"/>
  <c r="AB142" i="18"/>
  <c r="AB104" i="18"/>
  <c r="AB82" i="18"/>
  <c r="AB105" i="18"/>
  <c r="AB136" i="18"/>
  <c r="AB155" i="18"/>
  <c r="AB120" i="18"/>
  <c r="AB40" i="18"/>
  <c r="AB103" i="18"/>
  <c r="AB10" i="18"/>
  <c r="AB80" i="18"/>
  <c r="AB37" i="18"/>
  <c r="AB75" i="18"/>
  <c r="AB56" i="18"/>
  <c r="AB17" i="18"/>
  <c r="AB81" i="18"/>
  <c r="AB99" i="18"/>
  <c r="AB38" i="18"/>
  <c r="AB9" i="18"/>
  <c r="AB129" i="18"/>
  <c r="AB76" i="18"/>
  <c r="AB44" i="18"/>
  <c r="AB139" i="18"/>
  <c r="AB78" i="18"/>
  <c r="AB86" i="18"/>
  <c r="AB23" i="18"/>
  <c r="AB108" i="18"/>
  <c r="AB143" i="18"/>
  <c r="AB49" i="18"/>
  <c r="AB50" i="18"/>
  <c r="AB8" i="18"/>
  <c r="AB145" i="18"/>
  <c r="AB119" i="18"/>
  <c r="AB96" i="18"/>
  <c r="AB87" i="18"/>
  <c r="AB54" i="18"/>
  <c r="AB43" i="18"/>
  <c r="AB130" i="18"/>
  <c r="AB57" i="18"/>
  <c r="AB115" i="18"/>
  <c r="AB41" i="18"/>
  <c r="AB51" i="18"/>
  <c r="AB88" i="18"/>
  <c r="AB72" i="18"/>
  <c r="AB55" i="18"/>
  <c r="AB48" i="18"/>
  <c r="AB47" i="18"/>
  <c r="AB140" i="18"/>
  <c r="AB107" i="18"/>
  <c r="AB144" i="18"/>
  <c r="AB135" i="18"/>
  <c r="AB153" i="18"/>
  <c r="AB31" i="18"/>
  <c r="AB147" i="18"/>
  <c r="AB85" i="18"/>
  <c r="AB25" i="18"/>
  <c r="AB137" i="18"/>
  <c r="AB42" i="18"/>
  <c r="AB21" i="18"/>
  <c r="AB100" i="18"/>
  <c r="AB109" i="18"/>
  <c r="AB39" i="18"/>
  <c r="AB28" i="18"/>
  <c r="AB61" i="18"/>
  <c r="AB36" i="18"/>
  <c r="AB70" i="18"/>
  <c r="AB58" i="18"/>
  <c r="AB27" i="18"/>
  <c r="AB106" i="18"/>
  <c r="AB83" i="18"/>
  <c r="AB62" i="18"/>
  <c r="AB20" i="18"/>
  <c r="AB71" i="18"/>
  <c r="AB131" i="18"/>
  <c r="AB154" i="18"/>
  <c r="AB33" i="18"/>
  <c r="AB22" i="18"/>
  <c r="AB65" i="18"/>
  <c r="AB156" i="18"/>
  <c r="AB133" i="18"/>
  <c r="AB89" i="18"/>
  <c r="AB63" i="18"/>
  <c r="AB79" i="18"/>
  <c r="AB64" i="18"/>
  <c r="AB74" i="18"/>
  <c r="AB68" i="18"/>
  <c r="AB60" i="18"/>
  <c r="AB7" i="18"/>
  <c r="AB98" i="18"/>
  <c r="AB35" i="18"/>
  <c r="AB46" i="18"/>
  <c r="AB30" i="18"/>
  <c r="AB19" i="18"/>
  <c r="AB94" i="18"/>
  <c r="P192" i="32"/>
  <c r="AB57" i="29"/>
  <c r="AC57" i="29"/>
  <c r="AA209" i="29"/>
  <c r="AH60" i="32"/>
  <c r="AI60" i="32"/>
  <c r="AG192" i="32"/>
  <c r="AL192" i="32" s="1"/>
  <c r="V209" i="29"/>
  <c r="Q57" i="29"/>
  <c r="AC176" i="29"/>
  <c r="Y176" i="29"/>
  <c r="Z176" i="29"/>
  <c r="R176" i="29"/>
  <c r="M158" i="18"/>
  <c r="M15" i="18"/>
  <c r="M12" i="18"/>
  <c r="M95" i="18"/>
  <c r="M122" i="18"/>
  <c r="M111" i="18"/>
  <c r="N160" i="18"/>
  <c r="M123" i="18"/>
  <c r="M69" i="18"/>
  <c r="M125" i="18"/>
  <c r="M126" i="18"/>
  <c r="M16" i="18"/>
  <c r="M11" i="18"/>
  <c r="M113" i="18"/>
  <c r="M160" i="18"/>
  <c r="M112" i="18"/>
  <c r="M110" i="18"/>
  <c r="M32" i="18"/>
  <c r="M14" i="18"/>
  <c r="M146" i="18"/>
  <c r="M114" i="18"/>
  <c r="M62" i="18"/>
  <c r="M13" i="18"/>
  <c r="M66" i="18"/>
  <c r="M121" i="18"/>
  <c r="M124" i="18"/>
  <c r="M50" i="18"/>
  <c r="M53" i="18"/>
  <c r="M44" i="18"/>
  <c r="M141" i="18"/>
  <c r="M10" i="18"/>
  <c r="M51" i="18"/>
  <c r="M130" i="18"/>
  <c r="M27" i="18"/>
  <c r="M83" i="18"/>
  <c r="M99" i="18"/>
  <c r="M137" i="18"/>
  <c r="M143" i="18"/>
  <c r="M144" i="18"/>
  <c r="M139" i="18"/>
  <c r="M22" i="18"/>
  <c r="M43" i="18"/>
  <c r="M61" i="18"/>
  <c r="M31" i="18"/>
  <c r="M24" i="18"/>
  <c r="M129" i="18"/>
  <c r="M63" i="18"/>
  <c r="M28" i="18"/>
  <c r="M119" i="18"/>
  <c r="M106" i="18"/>
  <c r="M65" i="18"/>
  <c r="M135" i="18"/>
  <c r="M37" i="18"/>
  <c r="M131" i="18"/>
  <c r="M140" i="18"/>
  <c r="M72" i="18"/>
  <c r="M70" i="18"/>
  <c r="M71" i="18"/>
  <c r="M78" i="18"/>
  <c r="M48" i="18"/>
  <c r="M138" i="18"/>
  <c r="M17" i="18"/>
  <c r="M100" i="18"/>
  <c r="M23" i="18"/>
  <c r="M58" i="18"/>
  <c r="M52" i="18"/>
  <c r="M120" i="18"/>
  <c r="M153" i="18"/>
  <c r="M134" i="18"/>
  <c r="M21" i="18"/>
  <c r="M136" i="18"/>
  <c r="M142" i="18"/>
  <c r="M54" i="18"/>
  <c r="M39" i="18"/>
  <c r="M42" i="18"/>
  <c r="M76" i="18"/>
  <c r="M38" i="18"/>
  <c r="M105" i="18"/>
  <c r="M86" i="18"/>
  <c r="M108" i="18"/>
  <c r="M47" i="18"/>
  <c r="M81" i="18"/>
  <c r="M75" i="18"/>
  <c r="M80" i="18"/>
  <c r="M9" i="18"/>
  <c r="M107" i="18"/>
  <c r="M82" i="18"/>
  <c r="M64" i="18"/>
  <c r="M85" i="18"/>
  <c r="M103" i="18"/>
  <c r="M104" i="18"/>
  <c r="M155" i="18"/>
  <c r="M87" i="18"/>
  <c r="M156" i="18"/>
  <c r="M56" i="18"/>
  <c r="M84" i="18"/>
  <c r="M33" i="18"/>
  <c r="M79" i="18"/>
  <c r="M132" i="18"/>
  <c r="M88" i="18"/>
  <c r="M25" i="18"/>
  <c r="M26" i="18"/>
  <c r="M57" i="18"/>
  <c r="M89" i="18"/>
  <c r="M145" i="18"/>
  <c r="M8" i="18"/>
  <c r="M36" i="18"/>
  <c r="M96" i="18"/>
  <c r="M154" i="18"/>
  <c r="M55" i="18"/>
  <c r="M41" i="18"/>
  <c r="M147" i="18"/>
  <c r="M40" i="18"/>
  <c r="M49" i="18"/>
  <c r="M133" i="18"/>
  <c r="M109" i="18"/>
  <c r="M20" i="18"/>
  <c r="M118" i="18"/>
  <c r="M77" i="18"/>
  <c r="M115" i="18"/>
  <c r="M74" i="18"/>
  <c r="M94" i="18"/>
  <c r="M7" i="18"/>
  <c r="M68" i="18"/>
  <c r="M35" i="18"/>
  <c r="M30" i="18"/>
  <c r="M60" i="18"/>
  <c r="M98" i="18"/>
  <c r="M19" i="18"/>
  <c r="M46" i="18"/>
  <c r="AE176" i="29"/>
  <c r="AF176" i="29"/>
  <c r="AD209" i="29"/>
  <c r="Y209" i="29"/>
  <c r="Z209" i="29"/>
  <c r="AJ225" i="32"/>
  <c r="AK192" i="32"/>
  <c r="T57" i="29"/>
  <c r="V124" i="18"/>
  <c r="V113" i="18"/>
  <c r="V123" i="18"/>
  <c r="V114" i="18"/>
  <c r="V160" i="18"/>
  <c r="V15" i="18"/>
  <c r="V32" i="18"/>
  <c r="V110" i="18"/>
  <c r="V14" i="18"/>
  <c r="V95" i="18"/>
  <c r="W160" i="18"/>
  <c r="V69" i="18"/>
  <c r="V125" i="18"/>
  <c r="V11" i="18"/>
  <c r="V13" i="18"/>
  <c r="V122" i="18"/>
  <c r="V146" i="18"/>
  <c r="V112" i="18"/>
  <c r="V126" i="18"/>
  <c r="V111" i="18"/>
  <c r="V66" i="18"/>
  <c r="V121" i="18"/>
  <c r="V16" i="18"/>
  <c r="V12" i="18"/>
  <c r="V89" i="18"/>
  <c r="V75" i="18"/>
  <c r="V100" i="18"/>
  <c r="V71" i="18"/>
  <c r="V44" i="18"/>
  <c r="V22" i="18"/>
  <c r="V103" i="18"/>
  <c r="V140" i="18"/>
  <c r="V109" i="18"/>
  <c r="V105" i="18"/>
  <c r="V107" i="18"/>
  <c r="V39" i="18"/>
  <c r="V48" i="18"/>
  <c r="V119" i="18"/>
  <c r="V154" i="18"/>
  <c r="V147" i="18"/>
  <c r="V9" i="18"/>
  <c r="V57" i="18"/>
  <c r="V156" i="18"/>
  <c r="V108" i="18"/>
  <c r="V43" i="18"/>
  <c r="V53" i="18"/>
  <c r="V47" i="18"/>
  <c r="V87" i="18"/>
  <c r="V62" i="18"/>
  <c r="V115" i="18"/>
  <c r="V63" i="18"/>
  <c r="V25" i="18"/>
  <c r="V38" i="18"/>
  <c r="V41" i="18"/>
  <c r="V27" i="18"/>
  <c r="V58" i="18"/>
  <c r="V23" i="18"/>
  <c r="V130" i="18"/>
  <c r="V120" i="18"/>
  <c r="V155" i="18"/>
  <c r="V134" i="18"/>
  <c r="V28" i="18"/>
  <c r="V104" i="18"/>
  <c r="V65" i="18"/>
  <c r="V84" i="18"/>
  <c r="V36" i="18"/>
  <c r="V86" i="18"/>
  <c r="V138" i="18"/>
  <c r="V83" i="18"/>
  <c r="V82" i="18"/>
  <c r="V153" i="18"/>
  <c r="V40" i="18"/>
  <c r="V132" i="18"/>
  <c r="V51" i="18"/>
  <c r="V37" i="18"/>
  <c r="V129" i="18"/>
  <c r="V26" i="18"/>
  <c r="V81" i="18"/>
  <c r="V49" i="18"/>
  <c r="V10" i="18"/>
  <c r="V61" i="18"/>
  <c r="V52" i="18"/>
  <c r="V131" i="18"/>
  <c r="V137" i="18"/>
  <c r="V20" i="18"/>
  <c r="V42" i="18"/>
  <c r="V79" i="18"/>
  <c r="V76" i="18"/>
  <c r="V139" i="18"/>
  <c r="V33" i="18"/>
  <c r="V80" i="18"/>
  <c r="V50" i="18"/>
  <c r="V55" i="18"/>
  <c r="V135" i="18"/>
  <c r="V17" i="18"/>
  <c r="V118" i="18"/>
  <c r="V142" i="18"/>
  <c r="V77" i="18"/>
  <c r="V24" i="18"/>
  <c r="V72" i="18"/>
  <c r="V8" i="18"/>
  <c r="V143" i="18"/>
  <c r="V54" i="18"/>
  <c r="V64" i="18"/>
  <c r="V31" i="18"/>
  <c r="V21" i="18"/>
  <c r="V96" i="18"/>
  <c r="V70" i="18"/>
  <c r="V145" i="18"/>
  <c r="V136" i="18"/>
  <c r="V88" i="18"/>
  <c r="V141" i="18"/>
  <c r="V56" i="18"/>
  <c r="V106" i="18"/>
  <c r="V144" i="18"/>
  <c r="V85" i="18"/>
  <c r="V99" i="18"/>
  <c r="V78" i="18"/>
  <c r="V133" i="18"/>
  <c r="V30" i="18"/>
  <c r="V7" i="18"/>
  <c r="V98" i="18"/>
  <c r="V46" i="18"/>
  <c r="V94" i="18"/>
  <c r="V60" i="18"/>
  <c r="V19" i="18"/>
  <c r="V68" i="18"/>
  <c r="V74" i="18"/>
  <c r="V35" i="18"/>
  <c r="N60" i="32"/>
  <c r="M60" i="32"/>
  <c r="L192" i="32"/>
  <c r="AB158" i="18"/>
  <c r="O225" i="32"/>
  <c r="I209" i="29"/>
  <c r="J176" i="29"/>
  <c r="AB91" i="18"/>
  <c r="K60" i="32"/>
  <c r="G60" i="32"/>
  <c r="H60" i="32"/>
  <c r="F192" i="32"/>
  <c r="E9" i="31"/>
  <c r="V32" i="25"/>
  <c r="E7" i="31"/>
  <c r="U38" i="25"/>
  <c r="V38" i="25" s="1"/>
  <c r="F176" i="29"/>
  <c r="AL60" i="32"/>
  <c r="Z60" i="32"/>
  <c r="W60" i="32"/>
  <c r="V60" i="32"/>
  <c r="U192" i="32"/>
  <c r="W57" i="29"/>
  <c r="E60" i="32"/>
  <c r="D192" i="32"/>
  <c r="T160" i="18"/>
  <c r="Y192" i="32" l="1"/>
  <c r="X225" i="32"/>
  <c r="Y225" i="32" s="1"/>
  <c r="Z192" i="32"/>
  <c r="D209" i="29"/>
  <c r="D212" i="29" s="1"/>
  <c r="T192" i="32"/>
  <c r="J192" i="32"/>
  <c r="U44" i="25"/>
  <c r="E6" i="31" s="1"/>
  <c r="G176" i="29"/>
  <c r="H176" i="29"/>
  <c r="AJ209" i="29"/>
  <c r="AK176" i="29"/>
  <c r="AI209" i="29"/>
  <c r="AH209" i="29"/>
  <c r="AB209" i="29"/>
  <c r="AC209" i="29"/>
  <c r="AL176" i="29"/>
  <c r="AE209" i="29"/>
  <c r="AF209" i="29"/>
  <c r="E192" i="32"/>
  <c r="D225" i="32"/>
  <c r="F209" i="29"/>
  <c r="K209" i="29" s="1"/>
  <c r="L141" i="23"/>
  <c r="J225" i="32"/>
  <c r="R209" i="29"/>
  <c r="S176" i="29"/>
  <c r="T176" i="29"/>
  <c r="W176" i="29"/>
  <c r="L209" i="29"/>
  <c r="Q209" i="29" s="1"/>
  <c r="M176" i="29"/>
  <c r="N176" i="29"/>
  <c r="AD225" i="32"/>
  <c r="AE192" i="32"/>
  <c r="AF192" i="32"/>
  <c r="W192" i="32"/>
  <c r="V192" i="32"/>
  <c r="K176" i="29"/>
  <c r="R225" i="32"/>
  <c r="M192" i="32"/>
  <c r="N192" i="32"/>
  <c r="AM141" i="23"/>
  <c r="AK225" i="32"/>
  <c r="Q192" i="32"/>
  <c r="Q176" i="29"/>
  <c r="AB225" i="32"/>
  <c r="AD141" i="23"/>
  <c r="U225" i="32"/>
  <c r="L225" i="32"/>
  <c r="Q225" i="32" s="1"/>
  <c r="J209" i="29"/>
  <c r="AI192" i="32"/>
  <c r="AH192" i="32"/>
  <c r="AG225" i="32"/>
  <c r="K192" i="32"/>
  <c r="G192" i="32"/>
  <c r="H192" i="32"/>
  <c r="R141" i="23"/>
  <c r="P225" i="32"/>
  <c r="P209" i="29"/>
  <c r="F225" i="32"/>
  <c r="S44" i="25"/>
  <c r="AA141" i="23" l="1"/>
  <c r="AA140" i="23" s="1"/>
  <c r="AC225" i="32"/>
  <c r="K225" i="32"/>
  <c r="D215" i="29"/>
  <c r="E209" i="29"/>
  <c r="M37" i="25"/>
  <c r="M38" i="25" s="1"/>
  <c r="M44" i="25" s="1"/>
  <c r="E8" i="31"/>
  <c r="V44" i="25"/>
  <c r="W225" i="32"/>
  <c r="X141" i="23"/>
  <c r="V225" i="32"/>
  <c r="U141" i="23"/>
  <c r="S225" i="32"/>
  <c r="T225" i="32"/>
  <c r="L140" i="23"/>
  <c r="AK209" i="29"/>
  <c r="AL209" i="29"/>
  <c r="AD140" i="23"/>
  <c r="R140" i="23"/>
  <c r="C8" i="31"/>
  <c r="C6" i="31"/>
  <c r="K37" i="25"/>
  <c r="T44" i="25"/>
  <c r="M209" i="29"/>
  <c r="N209" i="29"/>
  <c r="Z225" i="32"/>
  <c r="AJ141" i="23"/>
  <c r="AO141" i="23" s="1"/>
  <c r="AH225" i="32"/>
  <c r="AG228" i="32"/>
  <c r="AI225" i="32"/>
  <c r="I141" i="23"/>
  <c r="G225" i="32"/>
  <c r="H225" i="32"/>
  <c r="AG141" i="23"/>
  <c r="AE225" i="32"/>
  <c r="AF225" i="32"/>
  <c r="M225" i="32"/>
  <c r="N225" i="32"/>
  <c r="O141" i="23"/>
  <c r="AM140" i="23"/>
  <c r="AL225" i="32"/>
  <c r="H209" i="29"/>
  <c r="G209" i="29"/>
  <c r="F212" i="29"/>
  <c r="F213" i="29" s="1"/>
  <c r="S209" i="29"/>
  <c r="T209" i="29"/>
  <c r="W209" i="29"/>
  <c r="E225" i="32"/>
  <c r="F141" i="23"/>
  <c r="AF141" i="23" l="1"/>
  <c r="AC141" i="23"/>
  <c r="N37" i="25"/>
  <c r="N28" i="25"/>
  <c r="N19" i="25"/>
  <c r="N27" i="25"/>
  <c r="N30" i="25"/>
  <c r="N34" i="25"/>
  <c r="N17" i="25"/>
  <c r="N18" i="25"/>
  <c r="N26" i="25"/>
  <c r="N35" i="25"/>
  <c r="N29" i="25"/>
  <c r="N36" i="25"/>
  <c r="N15" i="25"/>
  <c r="N16" i="25"/>
  <c r="N14" i="25"/>
  <c r="N20" i="25"/>
  <c r="N31" i="25"/>
  <c r="M1" i="25"/>
  <c r="Q141" i="23"/>
  <c r="O140" i="23"/>
  <c r="T140" i="23" s="1"/>
  <c r="U140" i="23"/>
  <c r="W141" i="23"/>
  <c r="AM144" i="23"/>
  <c r="R144" i="23"/>
  <c r="R146" i="23" s="1"/>
  <c r="AF140" i="23"/>
  <c r="AD144" i="23"/>
  <c r="AA144" i="23"/>
  <c r="F140" i="23"/>
  <c r="H141" i="23"/>
  <c r="T141" i="23"/>
  <c r="L144" i="23"/>
  <c r="K141" i="23"/>
  <c r="I140" i="23"/>
  <c r="N38" i="25"/>
  <c r="E10" i="31"/>
  <c r="K38" i="25"/>
  <c r="C10" i="31" s="1"/>
  <c r="F215" i="29"/>
  <c r="I212" i="29"/>
  <c r="I213" i="29" s="1"/>
  <c r="AL141" i="23"/>
  <c r="AJ140" i="23"/>
  <c r="X140" i="23"/>
  <c r="AC140" i="23" s="1"/>
  <c r="Z141" i="23"/>
  <c r="AG140" i="23"/>
  <c r="AI141" i="23"/>
  <c r="N141" i="23"/>
  <c r="L212" i="29" l="1"/>
  <c r="S144" i="23"/>
  <c r="S27" i="23"/>
  <c r="S28" i="23"/>
  <c r="S18" i="23"/>
  <c r="S33" i="23"/>
  <c r="S35" i="23"/>
  <c r="S146" i="23"/>
  <c r="S29" i="23"/>
  <c r="S30" i="23"/>
  <c r="S36" i="23"/>
  <c r="S37" i="23"/>
  <c r="S34" i="23"/>
  <c r="S32" i="23"/>
  <c r="R148" i="23"/>
  <c r="S25" i="23"/>
  <c r="S31" i="23"/>
  <c r="S71" i="23"/>
  <c r="S43" i="23"/>
  <c r="S84" i="23"/>
  <c r="S75" i="23"/>
  <c r="S107" i="23"/>
  <c r="S85" i="23"/>
  <c r="S105" i="23"/>
  <c r="S61" i="23"/>
  <c r="S10" i="23"/>
  <c r="S45" i="23"/>
  <c r="S91" i="23"/>
  <c r="S136" i="23"/>
  <c r="S79" i="23"/>
  <c r="S89" i="23"/>
  <c r="S142" i="23"/>
  <c r="S68" i="23"/>
  <c r="S77" i="23"/>
  <c r="S49" i="23"/>
  <c r="S11" i="23"/>
  <c r="S106" i="23"/>
  <c r="S90" i="23"/>
  <c r="S74" i="23"/>
  <c r="S72" i="23"/>
  <c r="S59" i="23"/>
  <c r="S51" i="23"/>
  <c r="S48" i="23"/>
  <c r="S47" i="23"/>
  <c r="S46" i="23"/>
  <c r="S26" i="23"/>
  <c r="S16" i="23"/>
  <c r="S40" i="23"/>
  <c r="S86" i="23"/>
  <c r="S127" i="23"/>
  <c r="S83" i="23"/>
  <c r="S109" i="23"/>
  <c r="S55" i="23"/>
  <c r="S115" i="23"/>
  <c r="S98" i="23"/>
  <c r="S50" i="23"/>
  <c r="S100" i="23"/>
  <c r="S112" i="23"/>
  <c r="S97" i="23"/>
  <c r="S24" i="23"/>
  <c r="S8" i="23"/>
  <c r="S116" i="23"/>
  <c r="S12" i="23"/>
  <c r="S17" i="23"/>
  <c r="S21" i="23"/>
  <c r="S88" i="23"/>
  <c r="S102" i="23"/>
  <c r="S23" i="23"/>
  <c r="S44" i="23"/>
  <c r="S94" i="23"/>
  <c r="S52" i="23"/>
  <c r="S101" i="23"/>
  <c r="S73" i="23"/>
  <c r="S126" i="23"/>
  <c r="S76" i="23"/>
  <c r="S42" i="23"/>
  <c r="S96" i="23"/>
  <c r="S137" i="23"/>
  <c r="S87" i="23"/>
  <c r="S9" i="23"/>
  <c r="S80" i="23"/>
  <c r="S67" i="23"/>
  <c r="S93" i="23"/>
  <c r="S135" i="23"/>
  <c r="S108" i="23"/>
  <c r="S130" i="23"/>
  <c r="S82" i="23"/>
  <c r="S70" i="23"/>
  <c r="S131" i="23"/>
  <c r="S60" i="23"/>
  <c r="S41" i="23"/>
  <c r="S22" i="23"/>
  <c r="S134" i="23"/>
  <c r="S81" i="23"/>
  <c r="S120" i="23"/>
  <c r="S78" i="23"/>
  <c r="S69" i="23"/>
  <c r="S119" i="23"/>
  <c r="S56" i="23"/>
  <c r="S99" i="23"/>
  <c r="S13" i="23"/>
  <c r="S92" i="23"/>
  <c r="S95" i="23"/>
  <c r="S118" i="23"/>
  <c r="S20" i="23"/>
  <c r="S39" i="23"/>
  <c r="S58" i="23"/>
  <c r="S133" i="23"/>
  <c r="S66" i="23"/>
  <c r="S104" i="23"/>
  <c r="S111" i="23"/>
  <c r="S125" i="23"/>
  <c r="S129" i="23"/>
  <c r="S114" i="23"/>
  <c r="S54" i="23"/>
  <c r="S15" i="23"/>
  <c r="S7" i="23"/>
  <c r="S122" i="23"/>
  <c r="R162" i="18"/>
  <c r="S63" i="23"/>
  <c r="S141" i="23"/>
  <c r="AL140" i="23"/>
  <c r="AJ144" i="23"/>
  <c r="AO144" i="23" s="1"/>
  <c r="W140" i="23"/>
  <c r="U144" i="23"/>
  <c r="W144" i="23" s="1"/>
  <c r="H140" i="23"/>
  <c r="F144" i="23"/>
  <c r="F146" i="23" s="1"/>
  <c r="S140" i="23"/>
  <c r="K140" i="23"/>
  <c r="I144" i="23"/>
  <c r="AA146" i="23"/>
  <c r="AB144" i="23" s="1"/>
  <c r="O144" i="23"/>
  <c r="T144" i="23" s="1"/>
  <c r="Q140" i="23"/>
  <c r="AI140" i="23"/>
  <c r="AG144" i="23"/>
  <c r="AM146" i="23"/>
  <c r="Z140" i="23"/>
  <c r="X144" i="23"/>
  <c r="AC144" i="23" s="1"/>
  <c r="AD146" i="23"/>
  <c r="AF144" i="23"/>
  <c r="K44" i="25"/>
  <c r="L146" i="23"/>
  <c r="M144" i="23" s="1"/>
  <c r="N140" i="23"/>
  <c r="AO140" i="23"/>
  <c r="O212" i="29" l="1"/>
  <c r="X146" i="23"/>
  <c r="Y34" i="23" s="1"/>
  <c r="G140" i="23"/>
  <c r="G30" i="23"/>
  <c r="H146" i="23"/>
  <c r="G36" i="23"/>
  <c r="G27" i="23"/>
  <c r="G33" i="23"/>
  <c r="G29" i="23"/>
  <c r="G37" i="23"/>
  <c r="G146" i="23"/>
  <c r="G32" i="23"/>
  <c r="G28" i="23"/>
  <c r="G34" i="23"/>
  <c r="G31" i="23"/>
  <c r="G35" i="23"/>
  <c r="G18" i="23"/>
  <c r="F148" i="23"/>
  <c r="G92" i="23"/>
  <c r="G17" i="23"/>
  <c r="G83" i="23"/>
  <c r="G80" i="23"/>
  <c r="G46" i="23"/>
  <c r="G61" i="23"/>
  <c r="G81" i="23"/>
  <c r="G45" i="23"/>
  <c r="G98" i="23"/>
  <c r="G8" i="23"/>
  <c r="G107" i="23"/>
  <c r="G109" i="23"/>
  <c r="G72" i="23"/>
  <c r="G52" i="23"/>
  <c r="G73" i="23"/>
  <c r="G49" i="23"/>
  <c r="G136" i="23"/>
  <c r="G89" i="23"/>
  <c r="G96" i="23"/>
  <c r="G97" i="23"/>
  <c r="G105" i="23"/>
  <c r="G137" i="23"/>
  <c r="G71" i="23"/>
  <c r="G84" i="23"/>
  <c r="G91" i="23"/>
  <c r="G51" i="23"/>
  <c r="G76" i="23"/>
  <c r="G67" i="23"/>
  <c r="G50" i="23"/>
  <c r="G23" i="23"/>
  <c r="G134" i="23"/>
  <c r="G90" i="23"/>
  <c r="G127" i="23"/>
  <c r="G77" i="23"/>
  <c r="G9" i="23"/>
  <c r="G56" i="23"/>
  <c r="G25" i="23"/>
  <c r="G59" i="23"/>
  <c r="G108" i="23"/>
  <c r="G11" i="23"/>
  <c r="G119" i="23"/>
  <c r="G41" i="23"/>
  <c r="G55" i="23"/>
  <c r="G100" i="23"/>
  <c r="G79" i="23"/>
  <c r="G24" i="23"/>
  <c r="G126" i="23"/>
  <c r="G94" i="23"/>
  <c r="G26" i="23"/>
  <c r="G13" i="23"/>
  <c r="G115" i="23"/>
  <c r="G95" i="23"/>
  <c r="G44" i="23"/>
  <c r="G70" i="23"/>
  <c r="G93" i="23"/>
  <c r="G40" i="23"/>
  <c r="G106" i="23"/>
  <c r="G102" i="23"/>
  <c r="G21" i="23"/>
  <c r="G85" i="23"/>
  <c r="G112" i="23"/>
  <c r="G68" i="23"/>
  <c r="G16" i="23"/>
  <c r="G43" i="23"/>
  <c r="G82" i="23"/>
  <c r="G101" i="23"/>
  <c r="G47" i="23"/>
  <c r="G131" i="23"/>
  <c r="G78" i="23"/>
  <c r="G42" i="23"/>
  <c r="G130" i="23"/>
  <c r="G60" i="23"/>
  <c r="G10" i="23"/>
  <c r="G88" i="23"/>
  <c r="G135" i="23"/>
  <c r="G86" i="23"/>
  <c r="G74" i="23"/>
  <c r="G120" i="23"/>
  <c r="G75" i="23"/>
  <c r="G12" i="23"/>
  <c r="G142" i="23"/>
  <c r="G22" i="23"/>
  <c r="G116" i="23"/>
  <c r="G87" i="23"/>
  <c r="G48" i="23"/>
  <c r="G69" i="23"/>
  <c r="G99" i="23"/>
  <c r="G58" i="23"/>
  <c r="E66" i="23"/>
  <c r="G129" i="23"/>
  <c r="G54" i="23"/>
  <c r="G114" i="23"/>
  <c r="G66" i="23"/>
  <c r="G20" i="23"/>
  <c r="G104" i="23"/>
  <c r="G39" i="23"/>
  <c r="G133" i="23"/>
  <c r="G7" i="23"/>
  <c r="G125" i="23"/>
  <c r="G15" i="23"/>
  <c r="G111" i="23"/>
  <c r="G118" i="23"/>
  <c r="G63" i="23"/>
  <c r="F162" i="18"/>
  <c r="G122" i="23"/>
  <c r="G141" i="23"/>
  <c r="AE29" i="23"/>
  <c r="AE34" i="23"/>
  <c r="AD148" i="23"/>
  <c r="AE27" i="23"/>
  <c r="AE32" i="23"/>
  <c r="AE30" i="23"/>
  <c r="AE33" i="23"/>
  <c r="AE146" i="23"/>
  <c r="AE36" i="23"/>
  <c r="AE18" i="23"/>
  <c r="AE28" i="23"/>
  <c r="AE37" i="23"/>
  <c r="AE31" i="23"/>
  <c r="AF146" i="23"/>
  <c r="AE35" i="23"/>
  <c r="AE131" i="23"/>
  <c r="AE8" i="23"/>
  <c r="AE40" i="23"/>
  <c r="AE90" i="23"/>
  <c r="AE61" i="23"/>
  <c r="AE126" i="23"/>
  <c r="AE142" i="23"/>
  <c r="AE72" i="23"/>
  <c r="AE22" i="23"/>
  <c r="AE11" i="23"/>
  <c r="AE46" i="23"/>
  <c r="AE135" i="23"/>
  <c r="AE82" i="23"/>
  <c r="AE116" i="23"/>
  <c r="AE93" i="23"/>
  <c r="AE71" i="23"/>
  <c r="AE25" i="23"/>
  <c r="AE76" i="23"/>
  <c r="AE108" i="23"/>
  <c r="AE89" i="23"/>
  <c r="AE60" i="23"/>
  <c r="AE105" i="23"/>
  <c r="AE59" i="23"/>
  <c r="AE52" i="23"/>
  <c r="AE99" i="23"/>
  <c r="AE92" i="23"/>
  <c r="AE88" i="23"/>
  <c r="AE97" i="23"/>
  <c r="AE120" i="23"/>
  <c r="AE9" i="23"/>
  <c r="AE79" i="23"/>
  <c r="AE24" i="23"/>
  <c r="AE21" i="23"/>
  <c r="AE51" i="23"/>
  <c r="AE137" i="23"/>
  <c r="AE50" i="23"/>
  <c r="AE13" i="23"/>
  <c r="AE78" i="23"/>
  <c r="AE115" i="23"/>
  <c r="AE87" i="23"/>
  <c r="AE91" i="23"/>
  <c r="AE56" i="23"/>
  <c r="AE100" i="23"/>
  <c r="AE98" i="23"/>
  <c r="AE45" i="23"/>
  <c r="AE49" i="23"/>
  <c r="AE70" i="23"/>
  <c r="AE73" i="23"/>
  <c r="AE74" i="23"/>
  <c r="AE12" i="23"/>
  <c r="AE80" i="23"/>
  <c r="AE42" i="23"/>
  <c r="AE44" i="23"/>
  <c r="AE127" i="23"/>
  <c r="AE81" i="23"/>
  <c r="AE83" i="23"/>
  <c r="AE102" i="23"/>
  <c r="AE17" i="23"/>
  <c r="AE109" i="23"/>
  <c r="AE26" i="23"/>
  <c r="AE48" i="23"/>
  <c r="AE16" i="23"/>
  <c r="AE134" i="23"/>
  <c r="AE23" i="23"/>
  <c r="AE95" i="23"/>
  <c r="AE94" i="23"/>
  <c r="AE68" i="23"/>
  <c r="AE55" i="23"/>
  <c r="AE84" i="23"/>
  <c r="AE75" i="23"/>
  <c r="AE101" i="23"/>
  <c r="AE136" i="23"/>
  <c r="AE67" i="23"/>
  <c r="AE112" i="23"/>
  <c r="AE106" i="23"/>
  <c r="AE86" i="23"/>
  <c r="AE41" i="23"/>
  <c r="AE85" i="23"/>
  <c r="AE69" i="23"/>
  <c r="AE47" i="23"/>
  <c r="AE77" i="23"/>
  <c r="AE119" i="23"/>
  <c r="AE96" i="23"/>
  <c r="AE107" i="23"/>
  <c r="AE43" i="23"/>
  <c r="AE10" i="23"/>
  <c r="AE130" i="23"/>
  <c r="AE20" i="23"/>
  <c r="AE133" i="23"/>
  <c r="AE114" i="23"/>
  <c r="AE15" i="23"/>
  <c r="AE111" i="23"/>
  <c r="AE39" i="23"/>
  <c r="AE58" i="23"/>
  <c r="AE54" i="23"/>
  <c r="AE104" i="23"/>
  <c r="AE66" i="23"/>
  <c r="AE118" i="23"/>
  <c r="AE129" i="23"/>
  <c r="AE125" i="23"/>
  <c r="AE7" i="23"/>
  <c r="AD162" i="18"/>
  <c r="AE63" i="23"/>
  <c r="AE122" i="23"/>
  <c r="AE141" i="23"/>
  <c r="AE140" i="23"/>
  <c r="AG146" i="23"/>
  <c r="AH144" i="23" s="1"/>
  <c r="AI144" i="23"/>
  <c r="I146" i="23"/>
  <c r="N146" i="23" s="1"/>
  <c r="K144" i="23"/>
  <c r="N144" i="23"/>
  <c r="AE144" i="23"/>
  <c r="Z144" i="23"/>
  <c r="M140" i="23"/>
  <c r="M25" i="23"/>
  <c r="M18" i="23"/>
  <c r="M35" i="23"/>
  <c r="M26" i="23"/>
  <c r="M29" i="23"/>
  <c r="M30" i="23"/>
  <c r="M28" i="23"/>
  <c r="M31" i="23"/>
  <c r="M32" i="23"/>
  <c r="M146" i="23"/>
  <c r="M27" i="23"/>
  <c r="M37" i="23"/>
  <c r="M34" i="23"/>
  <c r="M33" i="23"/>
  <c r="L148" i="23"/>
  <c r="M36" i="23"/>
  <c r="M98" i="23"/>
  <c r="M115" i="23"/>
  <c r="M56" i="23"/>
  <c r="M77" i="23"/>
  <c r="M81" i="23"/>
  <c r="M11" i="23"/>
  <c r="M84" i="23"/>
  <c r="M73" i="23"/>
  <c r="M52" i="23"/>
  <c r="M16" i="23"/>
  <c r="M43" i="23"/>
  <c r="M21" i="23"/>
  <c r="M41" i="23"/>
  <c r="M96" i="23"/>
  <c r="M106" i="23"/>
  <c r="M127" i="23"/>
  <c r="M23" i="23"/>
  <c r="M137" i="23"/>
  <c r="M8" i="23"/>
  <c r="M45" i="23"/>
  <c r="M87" i="23"/>
  <c r="M42" i="23"/>
  <c r="M12" i="23"/>
  <c r="M142" i="23"/>
  <c r="M13" i="23"/>
  <c r="M94" i="23"/>
  <c r="M69" i="23"/>
  <c r="M102" i="23"/>
  <c r="M67" i="23"/>
  <c r="M48" i="23"/>
  <c r="M93" i="23"/>
  <c r="M71" i="23"/>
  <c r="M120" i="23"/>
  <c r="M17" i="23"/>
  <c r="M61" i="23"/>
  <c r="M51" i="23"/>
  <c r="M70" i="23"/>
  <c r="M97" i="23"/>
  <c r="M85" i="23"/>
  <c r="M131" i="23"/>
  <c r="M95" i="23"/>
  <c r="M126" i="23"/>
  <c r="M107" i="23"/>
  <c r="M135" i="23"/>
  <c r="M101" i="23"/>
  <c r="M9" i="23"/>
  <c r="M83" i="23"/>
  <c r="M46" i="23"/>
  <c r="M74" i="23"/>
  <c r="M59" i="23"/>
  <c r="M90" i="23"/>
  <c r="M78" i="23"/>
  <c r="M91" i="23"/>
  <c r="M134" i="23"/>
  <c r="M79" i="23"/>
  <c r="M22" i="23"/>
  <c r="M68" i="23"/>
  <c r="M136" i="23"/>
  <c r="M112" i="23"/>
  <c r="M44" i="23"/>
  <c r="M76" i="23"/>
  <c r="M75" i="23"/>
  <c r="M55" i="23"/>
  <c r="M50" i="23"/>
  <c r="M40" i="23"/>
  <c r="M80" i="23"/>
  <c r="M109" i="23"/>
  <c r="M86" i="23"/>
  <c r="M92" i="23"/>
  <c r="M119" i="23"/>
  <c r="M49" i="23"/>
  <c r="M47" i="23"/>
  <c r="M60" i="23"/>
  <c r="M99" i="23"/>
  <c r="M105" i="23"/>
  <c r="M100" i="23"/>
  <c r="M88" i="23"/>
  <c r="M24" i="23"/>
  <c r="M116" i="23"/>
  <c r="M108" i="23"/>
  <c r="M10" i="23"/>
  <c r="M72" i="23"/>
  <c r="M82" i="23"/>
  <c r="M89" i="23"/>
  <c r="M130" i="23"/>
  <c r="M54" i="23"/>
  <c r="M15" i="23"/>
  <c r="M114" i="23"/>
  <c r="M66" i="23"/>
  <c r="M125" i="23"/>
  <c r="M111" i="23"/>
  <c r="M129" i="23"/>
  <c r="M58" i="23"/>
  <c r="M39" i="23"/>
  <c r="M133" i="23"/>
  <c r="M118" i="23"/>
  <c r="M104" i="23"/>
  <c r="M20" i="23"/>
  <c r="M7" i="23"/>
  <c r="M63" i="23"/>
  <c r="M122" i="23"/>
  <c r="L162" i="18"/>
  <c r="M141" i="23"/>
  <c r="AN29" i="23"/>
  <c r="AN33" i="23"/>
  <c r="AN36" i="23"/>
  <c r="AN28" i="23"/>
  <c r="AN37" i="23"/>
  <c r="AN35" i="23"/>
  <c r="AM148" i="23"/>
  <c r="AN27" i="23"/>
  <c r="AN31" i="23"/>
  <c r="AN32" i="23"/>
  <c r="AN30" i="23"/>
  <c r="AN18" i="23"/>
  <c r="AN34" i="23"/>
  <c r="AN146" i="23"/>
  <c r="AN75" i="23"/>
  <c r="AN80" i="23"/>
  <c r="AN11" i="23"/>
  <c r="AN60" i="23"/>
  <c r="AN94" i="23"/>
  <c r="AN42" i="23"/>
  <c r="AN56" i="23"/>
  <c r="AN24" i="23"/>
  <c r="AN85" i="23"/>
  <c r="AN71" i="23"/>
  <c r="AN106" i="23"/>
  <c r="AN126" i="23"/>
  <c r="AN77" i="23"/>
  <c r="AN70" i="23"/>
  <c r="AN72" i="23"/>
  <c r="AN23" i="23"/>
  <c r="AN95" i="23"/>
  <c r="AN82" i="23"/>
  <c r="AN45" i="23"/>
  <c r="AN115" i="23"/>
  <c r="AN87" i="23"/>
  <c r="AN88" i="23"/>
  <c r="AN61" i="23"/>
  <c r="AN21" i="23"/>
  <c r="AN25" i="23"/>
  <c r="AN83" i="23"/>
  <c r="AN74" i="23"/>
  <c r="AN99" i="23"/>
  <c r="AN120" i="23"/>
  <c r="AN76" i="23"/>
  <c r="AN89" i="23"/>
  <c r="AN97" i="23"/>
  <c r="AN17" i="23"/>
  <c r="AN96" i="23"/>
  <c r="AN8" i="23"/>
  <c r="AN84" i="23"/>
  <c r="AN44" i="23"/>
  <c r="AN41" i="23"/>
  <c r="AN107" i="23"/>
  <c r="AN79" i="23"/>
  <c r="AN69" i="23"/>
  <c r="AN109" i="23"/>
  <c r="AN16" i="23"/>
  <c r="AN100" i="23"/>
  <c r="AN91" i="23"/>
  <c r="AN51" i="23"/>
  <c r="AN108" i="23"/>
  <c r="AN119" i="23"/>
  <c r="AN13" i="23"/>
  <c r="AN135" i="23"/>
  <c r="AN93" i="23"/>
  <c r="AN68" i="23"/>
  <c r="AN134" i="23"/>
  <c r="AN112" i="23"/>
  <c r="AN9" i="23"/>
  <c r="AN59" i="23"/>
  <c r="AN48" i="23"/>
  <c r="AN101" i="23"/>
  <c r="AN136" i="23"/>
  <c r="AN52" i="23"/>
  <c r="AN22" i="23"/>
  <c r="AN73" i="23"/>
  <c r="AN46" i="23"/>
  <c r="AN130" i="23"/>
  <c r="AN67" i="23"/>
  <c r="AN12" i="23"/>
  <c r="AN26" i="23"/>
  <c r="AN78" i="23"/>
  <c r="AN102" i="23"/>
  <c r="AN86" i="23"/>
  <c r="AN105" i="23"/>
  <c r="AN131" i="23"/>
  <c r="AN49" i="23"/>
  <c r="AN50" i="23"/>
  <c r="AN127" i="23"/>
  <c r="AN47" i="23"/>
  <c r="AN116" i="23"/>
  <c r="AN92" i="23"/>
  <c r="AN10" i="23"/>
  <c r="AN81" i="23"/>
  <c r="AN43" i="23"/>
  <c r="AN90" i="23"/>
  <c r="AN137" i="23"/>
  <c r="AN98" i="23"/>
  <c r="AN142" i="23"/>
  <c r="AN55" i="23"/>
  <c r="AN40" i="23"/>
  <c r="AN104" i="23"/>
  <c r="AN129" i="23"/>
  <c r="AN15" i="23"/>
  <c r="AN111" i="23"/>
  <c r="AN7" i="23"/>
  <c r="AN125" i="23"/>
  <c r="AN133" i="23"/>
  <c r="AN66" i="23"/>
  <c r="AN114" i="23"/>
  <c r="AN54" i="23"/>
  <c r="AN118" i="23"/>
  <c r="AN20" i="23"/>
  <c r="AN39" i="23"/>
  <c r="AN58" i="23"/>
  <c r="AM162" i="18"/>
  <c r="AN63" i="23"/>
  <c r="AN122" i="23"/>
  <c r="AN141" i="23"/>
  <c r="AN140" i="23"/>
  <c r="L38" i="25"/>
  <c r="L16" i="25"/>
  <c r="L19" i="25"/>
  <c r="L26" i="25"/>
  <c r="L34" i="25"/>
  <c r="L17" i="25"/>
  <c r="L18" i="25"/>
  <c r="L28" i="25"/>
  <c r="L35" i="25"/>
  <c r="L30" i="25"/>
  <c r="L27" i="25"/>
  <c r="L29" i="25"/>
  <c r="L36" i="25"/>
  <c r="L14" i="25"/>
  <c r="L15" i="25"/>
  <c r="L31" i="25"/>
  <c r="L20" i="25"/>
  <c r="K1" i="25"/>
  <c r="Q2" i="25"/>
  <c r="Q1" i="25"/>
  <c r="L37" i="25"/>
  <c r="AN144" i="23"/>
  <c r="O146" i="23"/>
  <c r="P144" i="23" s="1"/>
  <c r="Q144" i="23"/>
  <c r="AJ146" i="23"/>
  <c r="AL144" i="23"/>
  <c r="H144" i="23"/>
  <c r="G144" i="23"/>
  <c r="AB140" i="23"/>
  <c r="AA148" i="23"/>
  <c r="AB32" i="23"/>
  <c r="AB37" i="23"/>
  <c r="AB34" i="23"/>
  <c r="AB27" i="23"/>
  <c r="AB35" i="23"/>
  <c r="AB18" i="23"/>
  <c r="AB28" i="23"/>
  <c r="AB29" i="23"/>
  <c r="AB36" i="23"/>
  <c r="AB146" i="23"/>
  <c r="AB30" i="23"/>
  <c r="AB31" i="23"/>
  <c r="AB33" i="23"/>
  <c r="AB116" i="23"/>
  <c r="AB82" i="23"/>
  <c r="AB56" i="23"/>
  <c r="AB96" i="23"/>
  <c r="AB46" i="23"/>
  <c r="AB68" i="23"/>
  <c r="AB76" i="23"/>
  <c r="AB44" i="23"/>
  <c r="AB12" i="23"/>
  <c r="AB88" i="23"/>
  <c r="AB98" i="23"/>
  <c r="AB78" i="23"/>
  <c r="AB77" i="23"/>
  <c r="AB126" i="23"/>
  <c r="AB52" i="23"/>
  <c r="AB80" i="23"/>
  <c r="AB101" i="23"/>
  <c r="AB72" i="23"/>
  <c r="AB106" i="23"/>
  <c r="AB59" i="23"/>
  <c r="AB70" i="23"/>
  <c r="AB137" i="23"/>
  <c r="AB16" i="23"/>
  <c r="AB43" i="23"/>
  <c r="AB25" i="23"/>
  <c r="AB87" i="23"/>
  <c r="AB89" i="23"/>
  <c r="AB74" i="23"/>
  <c r="AB120" i="23"/>
  <c r="AB93" i="23"/>
  <c r="AB95" i="23"/>
  <c r="AB71" i="23"/>
  <c r="AB136" i="23"/>
  <c r="AB75" i="23"/>
  <c r="AB115" i="23"/>
  <c r="AB102" i="23"/>
  <c r="AB107" i="23"/>
  <c r="AB49" i="23"/>
  <c r="AB130" i="23"/>
  <c r="AB79" i="23"/>
  <c r="AB90" i="23"/>
  <c r="AB127" i="23"/>
  <c r="AB26" i="23"/>
  <c r="AB85" i="23"/>
  <c r="AB8" i="23"/>
  <c r="AB84" i="23"/>
  <c r="AB91" i="23"/>
  <c r="AB131" i="23"/>
  <c r="AB48" i="23"/>
  <c r="AB50" i="23"/>
  <c r="AB134" i="23"/>
  <c r="AB40" i="23"/>
  <c r="AB112" i="23"/>
  <c r="AB22" i="23"/>
  <c r="AB23" i="23"/>
  <c r="AB81" i="23"/>
  <c r="AB61" i="23"/>
  <c r="AB119" i="23"/>
  <c r="AB69" i="23"/>
  <c r="AB67" i="23"/>
  <c r="AB86" i="23"/>
  <c r="AB51" i="23"/>
  <c r="AB21" i="23"/>
  <c r="AB83" i="23"/>
  <c r="AB42" i="23"/>
  <c r="AB41" i="23"/>
  <c r="AB99" i="23"/>
  <c r="AB108" i="23"/>
  <c r="AB45" i="23"/>
  <c r="AB10" i="23"/>
  <c r="AB60" i="23"/>
  <c r="AB135" i="23"/>
  <c r="AB105" i="23"/>
  <c r="AB11" i="23"/>
  <c r="AB109" i="23"/>
  <c r="AB17" i="23"/>
  <c r="AB92" i="23"/>
  <c r="AB97" i="23"/>
  <c r="AB55" i="23"/>
  <c r="AB24" i="23"/>
  <c r="AB100" i="23"/>
  <c r="AB73" i="23"/>
  <c r="AB9" i="23"/>
  <c r="AB47" i="23"/>
  <c r="AB94" i="23"/>
  <c r="AB13" i="23"/>
  <c r="AB142" i="23"/>
  <c r="AB39" i="23"/>
  <c r="AB20" i="23"/>
  <c r="AB111" i="23"/>
  <c r="AB7" i="23"/>
  <c r="AB114" i="23"/>
  <c r="AB58" i="23"/>
  <c r="AB104" i="23"/>
  <c r="AB118" i="23"/>
  <c r="AB66" i="23"/>
  <c r="AB54" i="23"/>
  <c r="AB133" i="23"/>
  <c r="AB129" i="23"/>
  <c r="AB125" i="23"/>
  <c r="AB15" i="23"/>
  <c r="AB63" i="23"/>
  <c r="AB122" i="23"/>
  <c r="AA162" i="18"/>
  <c r="AB141" i="23"/>
  <c r="U146" i="23"/>
  <c r="R212" i="29" l="1"/>
  <c r="Y94" i="23"/>
  <c r="AC146" i="23"/>
  <c r="Y125" i="23"/>
  <c r="Y75" i="23"/>
  <c r="Y23" i="23"/>
  <c r="Y43" i="23"/>
  <c r="Y133" i="23"/>
  <c r="Y116" i="23"/>
  <c r="Y47" i="23"/>
  <c r="Y46" i="23"/>
  <c r="Y109" i="23"/>
  <c r="Y137" i="23"/>
  <c r="Y77" i="23"/>
  <c r="Y141" i="23"/>
  <c r="Y91" i="23"/>
  <c r="Y35" i="23"/>
  <c r="Y7" i="23"/>
  <c r="Y42" i="23"/>
  <c r="X162" i="18"/>
  <c r="Y118" i="23"/>
  <c r="Y50" i="23"/>
  <c r="Y93" i="23"/>
  <c r="Y76" i="23"/>
  <c r="Y56" i="23"/>
  <c r="Y63" i="23"/>
  <c r="Y111" i="23"/>
  <c r="Y55" i="23"/>
  <c r="Y115" i="23"/>
  <c r="Y68" i="23"/>
  <c r="X148" i="23"/>
  <c r="Y58" i="23"/>
  <c r="Y66" i="23"/>
  <c r="Y40" i="23"/>
  <c r="Y97" i="23"/>
  <c r="Y51" i="23"/>
  <c r="Y30" i="23"/>
  <c r="Y39" i="23"/>
  <c r="Y107" i="23"/>
  <c r="Y45" i="23"/>
  <c r="Y79" i="23"/>
  <c r="Y87" i="23"/>
  <c r="Y32" i="23"/>
  <c r="Y144" i="23"/>
  <c r="Y20" i="23"/>
  <c r="Y134" i="23"/>
  <c r="Y22" i="23"/>
  <c r="Y59" i="23"/>
  <c r="Y44" i="23"/>
  <c r="Y9" i="23"/>
  <c r="Y98" i="23"/>
  <c r="Y95" i="23"/>
  <c r="Y96" i="23"/>
  <c r="Y18" i="23"/>
  <c r="Y74" i="23"/>
  <c r="Y69" i="23"/>
  <c r="Y86" i="23"/>
  <c r="Y136" i="23"/>
  <c r="Y70" i="23"/>
  <c r="Y71" i="23"/>
  <c r="Y25" i="23"/>
  <c r="Y27" i="23"/>
  <c r="Y106" i="23"/>
  <c r="Y73" i="23"/>
  <c r="Y67" i="23"/>
  <c r="Y8" i="23"/>
  <c r="Y131" i="23"/>
  <c r="Y82" i="23"/>
  <c r="Y16" i="23"/>
  <c r="Y36" i="23"/>
  <c r="Y101" i="23"/>
  <c r="Y48" i="23"/>
  <c r="Y61" i="23"/>
  <c r="Y142" i="23"/>
  <c r="Y105" i="23"/>
  <c r="Y80" i="23"/>
  <c r="Y29" i="23"/>
  <c r="Y122" i="23"/>
  <c r="Y15" i="23"/>
  <c r="Y89" i="23"/>
  <c r="Y41" i="23"/>
  <c r="Y127" i="23"/>
  <c r="Y130" i="23"/>
  <c r="Y12" i="23"/>
  <c r="Y135" i="23"/>
  <c r="Y119" i="23"/>
  <c r="Y92" i="23"/>
  <c r="Y100" i="23"/>
  <c r="Y84" i="23"/>
  <c r="Y26" i="23"/>
  <c r="Y37" i="23"/>
  <c r="Y31" i="23"/>
  <c r="Y129" i="23"/>
  <c r="Y114" i="23"/>
  <c r="Y90" i="23"/>
  <c r="Y21" i="23"/>
  <c r="Y52" i="23"/>
  <c r="Y13" i="23"/>
  <c r="Y126" i="23"/>
  <c r="Y72" i="23"/>
  <c r="Y10" i="23"/>
  <c r="Y88" i="23"/>
  <c r="Y112" i="23"/>
  <c r="Y24" i="23"/>
  <c r="Y78" i="23"/>
  <c r="Y33" i="23"/>
  <c r="Y146" i="23"/>
  <c r="Y140" i="23"/>
  <c r="Y104" i="23"/>
  <c r="Y54" i="23"/>
  <c r="Y60" i="23"/>
  <c r="Y85" i="23"/>
  <c r="Y83" i="23"/>
  <c r="Y108" i="23"/>
  <c r="Y11" i="23"/>
  <c r="Y81" i="23"/>
  <c r="Y49" i="23"/>
  <c r="Y102" i="23"/>
  <c r="Y99" i="23"/>
  <c r="Y17" i="23"/>
  <c r="Y120" i="23"/>
  <c r="Y28" i="23"/>
  <c r="AK18" i="23"/>
  <c r="AK28" i="23"/>
  <c r="AK36" i="23"/>
  <c r="AK146" i="23"/>
  <c r="AK34" i="23"/>
  <c r="AK31" i="23"/>
  <c r="AK35" i="23"/>
  <c r="AK44" i="23"/>
  <c r="AK45" i="23"/>
  <c r="AJ148" i="23"/>
  <c r="AK27" i="23"/>
  <c r="AK37" i="23"/>
  <c r="AK29" i="23"/>
  <c r="AL146" i="23"/>
  <c r="AK32" i="23"/>
  <c r="AK33" i="23"/>
  <c r="AK30" i="23"/>
  <c r="AK69" i="23"/>
  <c r="AK96" i="23"/>
  <c r="AK99" i="23"/>
  <c r="AK77" i="23"/>
  <c r="AK68" i="23"/>
  <c r="AK17" i="23"/>
  <c r="AK13" i="23"/>
  <c r="AK82" i="23"/>
  <c r="AK109" i="23"/>
  <c r="AK47" i="23"/>
  <c r="AK95" i="23"/>
  <c r="AK120" i="23"/>
  <c r="AK83" i="23"/>
  <c r="AK107" i="23"/>
  <c r="AK43" i="23"/>
  <c r="AK52" i="23"/>
  <c r="AK88" i="23"/>
  <c r="AK93" i="23"/>
  <c r="AK105" i="23"/>
  <c r="AK127" i="23"/>
  <c r="AK71" i="23"/>
  <c r="AK48" i="23"/>
  <c r="AK41" i="23"/>
  <c r="AK97" i="23"/>
  <c r="AK79" i="23"/>
  <c r="AK74" i="23"/>
  <c r="AK135" i="23"/>
  <c r="AK61" i="23"/>
  <c r="AK115" i="23"/>
  <c r="AK11" i="23"/>
  <c r="AK67" i="23"/>
  <c r="AK108" i="23"/>
  <c r="AK134" i="23"/>
  <c r="AK21" i="23"/>
  <c r="AK16" i="23"/>
  <c r="AK55" i="23"/>
  <c r="AK80" i="23"/>
  <c r="AK86" i="23"/>
  <c r="AK112" i="23"/>
  <c r="AK89" i="23"/>
  <c r="AK106" i="23"/>
  <c r="AK126" i="23"/>
  <c r="AK76" i="23"/>
  <c r="AK23" i="23"/>
  <c r="AK10" i="23"/>
  <c r="AK94" i="23"/>
  <c r="AK102" i="23"/>
  <c r="AK73" i="23"/>
  <c r="AK42" i="23"/>
  <c r="AK130" i="23"/>
  <c r="AK81" i="23"/>
  <c r="AK75" i="23"/>
  <c r="AK8" i="23"/>
  <c r="AK70" i="23"/>
  <c r="AK92" i="23"/>
  <c r="AK90" i="23"/>
  <c r="AK100" i="23"/>
  <c r="AK142" i="23"/>
  <c r="AK50" i="23"/>
  <c r="AK87" i="23"/>
  <c r="AK12" i="23"/>
  <c r="AK59" i="23"/>
  <c r="AK51" i="23"/>
  <c r="AK22" i="23"/>
  <c r="AK24" i="23"/>
  <c r="AK101" i="23"/>
  <c r="AK136" i="23"/>
  <c r="AK131" i="23"/>
  <c r="AK84" i="23"/>
  <c r="AK46" i="23"/>
  <c r="AK85" i="23"/>
  <c r="AK98" i="23"/>
  <c r="AK78" i="23"/>
  <c r="AK72" i="23"/>
  <c r="AK40" i="23"/>
  <c r="AK116" i="23"/>
  <c r="AK9" i="23"/>
  <c r="AK25" i="23"/>
  <c r="AK137" i="23"/>
  <c r="AK119" i="23"/>
  <c r="AK56" i="23"/>
  <c r="AK91" i="23"/>
  <c r="AK49" i="23"/>
  <c r="AK26" i="23"/>
  <c r="AK60" i="23"/>
  <c r="AK104" i="23"/>
  <c r="AK7" i="23"/>
  <c r="AK66" i="23"/>
  <c r="AK58" i="23"/>
  <c r="AK125" i="23"/>
  <c r="AK111" i="23"/>
  <c r="AK15" i="23"/>
  <c r="AK133" i="23"/>
  <c r="AK54" i="23"/>
  <c r="AK129" i="23"/>
  <c r="AK20" i="23"/>
  <c r="AK114" i="23"/>
  <c r="AK39" i="23"/>
  <c r="AK118" i="23"/>
  <c r="AK122" i="23"/>
  <c r="AK63" i="23"/>
  <c r="AJ162" i="18"/>
  <c r="AK141" i="23"/>
  <c r="AK140" i="23"/>
  <c r="AO146" i="23"/>
  <c r="J29" i="23"/>
  <c r="J34" i="23"/>
  <c r="J37" i="23"/>
  <c r="J36" i="23"/>
  <c r="I148" i="23"/>
  <c r="J18" i="23"/>
  <c r="J28" i="23"/>
  <c r="J31" i="23"/>
  <c r="J30" i="23"/>
  <c r="J146" i="23"/>
  <c r="J32" i="23"/>
  <c r="J25" i="23"/>
  <c r="J35" i="23"/>
  <c r="J33" i="23"/>
  <c r="J27" i="23"/>
  <c r="K146" i="23"/>
  <c r="J96" i="23"/>
  <c r="J88" i="23"/>
  <c r="J142" i="23"/>
  <c r="J99" i="23"/>
  <c r="J77" i="23"/>
  <c r="J10" i="23"/>
  <c r="J49" i="23"/>
  <c r="J115" i="23"/>
  <c r="J47" i="23"/>
  <c r="J51" i="23"/>
  <c r="J84" i="23"/>
  <c r="J24" i="23"/>
  <c r="J100" i="23"/>
  <c r="J97" i="23"/>
  <c r="J40" i="23"/>
  <c r="J71" i="23"/>
  <c r="J67" i="23"/>
  <c r="J22" i="23"/>
  <c r="J17" i="23"/>
  <c r="J44" i="23"/>
  <c r="J102" i="23"/>
  <c r="J92" i="23"/>
  <c r="J126" i="23"/>
  <c r="J43" i="23"/>
  <c r="J86" i="23"/>
  <c r="J130" i="23"/>
  <c r="J42" i="23"/>
  <c r="J116" i="23"/>
  <c r="J16" i="23"/>
  <c r="J50" i="23"/>
  <c r="J69" i="23"/>
  <c r="J105" i="23"/>
  <c r="J41" i="23"/>
  <c r="J107" i="23"/>
  <c r="J93" i="23"/>
  <c r="J73" i="23"/>
  <c r="J12" i="23"/>
  <c r="J112" i="23"/>
  <c r="J90" i="23"/>
  <c r="J85" i="23"/>
  <c r="J9" i="23"/>
  <c r="J61" i="23"/>
  <c r="J127" i="23"/>
  <c r="J76" i="23"/>
  <c r="J95" i="23"/>
  <c r="J8" i="23"/>
  <c r="J13" i="23"/>
  <c r="J21" i="23"/>
  <c r="J56" i="23"/>
  <c r="J78" i="23"/>
  <c r="J70" i="23"/>
  <c r="J136" i="23"/>
  <c r="J72" i="23"/>
  <c r="J81" i="23"/>
  <c r="J135" i="23"/>
  <c r="J101" i="23"/>
  <c r="J131" i="23"/>
  <c r="J46" i="23"/>
  <c r="J60" i="23"/>
  <c r="J45" i="23"/>
  <c r="J98" i="23"/>
  <c r="J119" i="23"/>
  <c r="J91" i="23"/>
  <c r="J89" i="23"/>
  <c r="J79" i="23"/>
  <c r="J74" i="23"/>
  <c r="J80" i="23"/>
  <c r="J52" i="23"/>
  <c r="J83" i="23"/>
  <c r="J26" i="23"/>
  <c r="J82" i="23"/>
  <c r="J23" i="23"/>
  <c r="J106" i="23"/>
  <c r="J75" i="23"/>
  <c r="J87" i="23"/>
  <c r="J68" i="23"/>
  <c r="J120" i="23"/>
  <c r="J109" i="23"/>
  <c r="J59" i="23"/>
  <c r="J94" i="23"/>
  <c r="J108" i="23"/>
  <c r="J48" i="23"/>
  <c r="J11" i="23"/>
  <c r="J134" i="23"/>
  <c r="J137" i="23"/>
  <c r="J55" i="23"/>
  <c r="J118" i="23"/>
  <c r="J129" i="23"/>
  <c r="J133" i="23"/>
  <c r="J54" i="23"/>
  <c r="J104" i="23"/>
  <c r="J39" i="23"/>
  <c r="J111" i="23"/>
  <c r="J125" i="23"/>
  <c r="J66" i="23"/>
  <c r="J114" i="23"/>
  <c r="J58" i="23"/>
  <c r="J7" i="23"/>
  <c r="J15" i="23"/>
  <c r="J20" i="23"/>
  <c r="I162" i="18"/>
  <c r="J122" i="23"/>
  <c r="J63" i="23"/>
  <c r="J141" i="23"/>
  <c r="J140" i="23"/>
  <c r="V144" i="23"/>
  <c r="V33" i="23"/>
  <c r="V36" i="23"/>
  <c r="V32" i="23"/>
  <c r="V29" i="23"/>
  <c r="V18" i="23"/>
  <c r="V146" i="23"/>
  <c r="V31" i="23"/>
  <c r="U148" i="23"/>
  <c r="V37" i="23"/>
  <c r="V30" i="23"/>
  <c r="V27" i="23"/>
  <c r="V28" i="23"/>
  <c r="V35" i="23"/>
  <c r="W146" i="23"/>
  <c r="V34" i="23"/>
  <c r="V61" i="23"/>
  <c r="V99" i="23"/>
  <c r="V60" i="23"/>
  <c r="V120" i="23"/>
  <c r="V105" i="23"/>
  <c r="V81" i="23"/>
  <c r="V49" i="23"/>
  <c r="V55" i="23"/>
  <c r="V100" i="23"/>
  <c r="V50" i="23"/>
  <c r="V48" i="23"/>
  <c r="V127" i="23"/>
  <c r="V9" i="23"/>
  <c r="V131" i="23"/>
  <c r="V77" i="23"/>
  <c r="V72" i="23"/>
  <c r="V94" i="23"/>
  <c r="V91" i="23"/>
  <c r="V12" i="23"/>
  <c r="V43" i="23"/>
  <c r="V82" i="23"/>
  <c r="V80" i="23"/>
  <c r="V86" i="23"/>
  <c r="V95" i="23"/>
  <c r="V75" i="23"/>
  <c r="V76" i="23"/>
  <c r="V107" i="23"/>
  <c r="V71" i="23"/>
  <c r="V10" i="23"/>
  <c r="V134" i="23"/>
  <c r="V45" i="23"/>
  <c r="V78" i="23"/>
  <c r="V24" i="23"/>
  <c r="V135" i="23"/>
  <c r="V51" i="23"/>
  <c r="V44" i="23"/>
  <c r="V8" i="23"/>
  <c r="V92" i="23"/>
  <c r="V79" i="23"/>
  <c r="V126" i="23"/>
  <c r="V90" i="23"/>
  <c r="V46" i="23"/>
  <c r="V52" i="23"/>
  <c r="V25" i="23"/>
  <c r="V21" i="23"/>
  <c r="V67" i="23"/>
  <c r="V97" i="23"/>
  <c r="V41" i="23"/>
  <c r="V116" i="23"/>
  <c r="V137" i="23"/>
  <c r="V84" i="23"/>
  <c r="V109" i="23"/>
  <c r="V70" i="23"/>
  <c r="V87" i="23"/>
  <c r="V17" i="23"/>
  <c r="V59" i="23"/>
  <c r="V112" i="23"/>
  <c r="V40" i="23"/>
  <c r="V16" i="23"/>
  <c r="V119" i="23"/>
  <c r="V73" i="23"/>
  <c r="V13" i="23"/>
  <c r="V130" i="23"/>
  <c r="V88" i="23"/>
  <c r="V42" i="23"/>
  <c r="V106" i="23"/>
  <c r="V101" i="23"/>
  <c r="V85" i="23"/>
  <c r="V26" i="23"/>
  <c r="V68" i="23"/>
  <c r="V69" i="23"/>
  <c r="V108" i="23"/>
  <c r="V56" i="23"/>
  <c r="V98" i="23"/>
  <c r="V47" i="23"/>
  <c r="V23" i="23"/>
  <c r="V11" i="23"/>
  <c r="V102" i="23"/>
  <c r="V89" i="23"/>
  <c r="V136" i="23"/>
  <c r="V96" i="23"/>
  <c r="V93" i="23"/>
  <c r="V115" i="23"/>
  <c r="V22" i="23"/>
  <c r="V74" i="23"/>
  <c r="V83" i="23"/>
  <c r="V142" i="23"/>
  <c r="V104" i="23"/>
  <c r="V118" i="23"/>
  <c r="V39" i="23"/>
  <c r="V54" i="23"/>
  <c r="V125" i="23"/>
  <c r="V133" i="23"/>
  <c r="V58" i="23"/>
  <c r="V15" i="23"/>
  <c r="V66" i="23"/>
  <c r="V114" i="23"/>
  <c r="V20" i="23"/>
  <c r="V7" i="23"/>
  <c r="V111" i="23"/>
  <c r="V129" i="23"/>
  <c r="V63" i="23"/>
  <c r="V122" i="23"/>
  <c r="U162" i="18"/>
  <c r="V141" i="23"/>
  <c r="V140" i="23"/>
  <c r="P31" i="23"/>
  <c r="P18" i="23"/>
  <c r="O148" i="23"/>
  <c r="P33" i="23"/>
  <c r="P35" i="23"/>
  <c r="P25" i="23"/>
  <c r="Q146" i="23"/>
  <c r="P32" i="23"/>
  <c r="P27" i="23"/>
  <c r="P29" i="23"/>
  <c r="P36" i="23"/>
  <c r="P34" i="23"/>
  <c r="P146" i="23"/>
  <c r="P28" i="23"/>
  <c r="P30" i="23"/>
  <c r="P37" i="23"/>
  <c r="P92" i="23"/>
  <c r="P86" i="23"/>
  <c r="P131" i="23"/>
  <c r="P45" i="23"/>
  <c r="P26" i="23"/>
  <c r="P101" i="23"/>
  <c r="P8" i="23"/>
  <c r="P126" i="23"/>
  <c r="P51" i="23"/>
  <c r="P91" i="23"/>
  <c r="P67" i="23"/>
  <c r="P47" i="23"/>
  <c r="P43" i="23"/>
  <c r="P48" i="23"/>
  <c r="P108" i="23"/>
  <c r="P52" i="23"/>
  <c r="P107" i="23"/>
  <c r="P60" i="23"/>
  <c r="P142" i="23"/>
  <c r="P50" i="23"/>
  <c r="P73" i="23"/>
  <c r="P100" i="23"/>
  <c r="P82" i="23"/>
  <c r="P88" i="23"/>
  <c r="P127" i="23"/>
  <c r="P42" i="23"/>
  <c r="P22" i="23"/>
  <c r="P68" i="23"/>
  <c r="P17" i="23"/>
  <c r="P99" i="23"/>
  <c r="P119" i="23"/>
  <c r="P10" i="23"/>
  <c r="P96" i="23"/>
  <c r="P49" i="23"/>
  <c r="P56" i="23"/>
  <c r="P134" i="23"/>
  <c r="P70" i="23"/>
  <c r="P87" i="23"/>
  <c r="P102" i="23"/>
  <c r="P59" i="23"/>
  <c r="P79" i="23"/>
  <c r="P76" i="23"/>
  <c r="P98" i="23"/>
  <c r="P12" i="23"/>
  <c r="P137" i="23"/>
  <c r="P89" i="23"/>
  <c r="P77" i="23"/>
  <c r="P116" i="23"/>
  <c r="P44" i="23"/>
  <c r="P94" i="23"/>
  <c r="P75" i="23"/>
  <c r="P78" i="23"/>
  <c r="P46" i="23"/>
  <c r="P136" i="23"/>
  <c r="P80" i="23"/>
  <c r="P11" i="23"/>
  <c r="P105" i="23"/>
  <c r="P71" i="23"/>
  <c r="P16" i="23"/>
  <c r="P93" i="23"/>
  <c r="P61" i="23"/>
  <c r="P115" i="23"/>
  <c r="P69" i="23"/>
  <c r="P120" i="23"/>
  <c r="P55" i="23"/>
  <c r="P112" i="23"/>
  <c r="P90" i="23"/>
  <c r="P97" i="23"/>
  <c r="P41" i="23"/>
  <c r="P84" i="23"/>
  <c r="P81" i="23"/>
  <c r="P40" i="23"/>
  <c r="P13" i="23"/>
  <c r="P74" i="23"/>
  <c r="P23" i="23"/>
  <c r="P21" i="23"/>
  <c r="P24" i="23"/>
  <c r="P9" i="23"/>
  <c r="P109" i="23"/>
  <c r="P135" i="23"/>
  <c r="P85" i="23"/>
  <c r="P83" i="23"/>
  <c r="P130" i="23"/>
  <c r="P95" i="23"/>
  <c r="P72" i="23"/>
  <c r="P106" i="23"/>
  <c r="P20" i="23"/>
  <c r="P125" i="23"/>
  <c r="P118" i="23"/>
  <c r="P104" i="23"/>
  <c r="P66" i="23"/>
  <c r="P111" i="23"/>
  <c r="P58" i="23"/>
  <c r="P7" i="23"/>
  <c r="P129" i="23"/>
  <c r="P39" i="23"/>
  <c r="P15" i="23"/>
  <c r="P54" i="23"/>
  <c r="P133" i="23"/>
  <c r="P114" i="23"/>
  <c r="P122" i="23"/>
  <c r="P63" i="23"/>
  <c r="O162" i="18"/>
  <c r="P141" i="23"/>
  <c r="T146" i="23"/>
  <c r="P140" i="23"/>
  <c r="AK144" i="23"/>
  <c r="AH32" i="23"/>
  <c r="AH34" i="23"/>
  <c r="AH28" i="23"/>
  <c r="AH36" i="23"/>
  <c r="AH31" i="23"/>
  <c r="AH27" i="23"/>
  <c r="AH29" i="23"/>
  <c r="AH37" i="23"/>
  <c r="AH18" i="23"/>
  <c r="AH30" i="23"/>
  <c r="AH33" i="23"/>
  <c r="AI146" i="23"/>
  <c r="AG148" i="23"/>
  <c r="AH35" i="23"/>
  <c r="AH146" i="23"/>
  <c r="AH44" i="23"/>
  <c r="AH101" i="23"/>
  <c r="AH73" i="23"/>
  <c r="AH78" i="23"/>
  <c r="AH89" i="23"/>
  <c r="AH131" i="23"/>
  <c r="AH61" i="23"/>
  <c r="AH93" i="23"/>
  <c r="AH24" i="23"/>
  <c r="AH67" i="23"/>
  <c r="AH120" i="23"/>
  <c r="AH86" i="23"/>
  <c r="AH77" i="23"/>
  <c r="AH48" i="23"/>
  <c r="AH40" i="23"/>
  <c r="AH134" i="23"/>
  <c r="AH112" i="23"/>
  <c r="AH25" i="23"/>
  <c r="AH108" i="23"/>
  <c r="AH70" i="23"/>
  <c r="AH47" i="23"/>
  <c r="AH75" i="23"/>
  <c r="AH68" i="23"/>
  <c r="AH51" i="23"/>
  <c r="AH82" i="23"/>
  <c r="AH105" i="23"/>
  <c r="AH83" i="23"/>
  <c r="AH23" i="23"/>
  <c r="AH59" i="23"/>
  <c r="AH88" i="23"/>
  <c r="AH90" i="23"/>
  <c r="AH119" i="23"/>
  <c r="AH42" i="23"/>
  <c r="AH79" i="23"/>
  <c r="AH69" i="23"/>
  <c r="AH52" i="23"/>
  <c r="AH136" i="23"/>
  <c r="AH116" i="23"/>
  <c r="AH21" i="23"/>
  <c r="AH85" i="23"/>
  <c r="AH49" i="23"/>
  <c r="AH13" i="23"/>
  <c r="AH95" i="23"/>
  <c r="AH135" i="23"/>
  <c r="AH92" i="23"/>
  <c r="AH17" i="23"/>
  <c r="AH22" i="23"/>
  <c r="AH84" i="23"/>
  <c r="AH11" i="23"/>
  <c r="AH130" i="23"/>
  <c r="AH94" i="23"/>
  <c r="AH87" i="23"/>
  <c r="AH142" i="23"/>
  <c r="AH81" i="23"/>
  <c r="AH71" i="23"/>
  <c r="AH26" i="23"/>
  <c r="AH43" i="23"/>
  <c r="AH56" i="23"/>
  <c r="AH76" i="23"/>
  <c r="AH46" i="23"/>
  <c r="AH80" i="23"/>
  <c r="AH9" i="23"/>
  <c r="AH41" i="23"/>
  <c r="AH102" i="23"/>
  <c r="AH16" i="23"/>
  <c r="AH10" i="23"/>
  <c r="AH109" i="23"/>
  <c r="AH107" i="23"/>
  <c r="AH91" i="23"/>
  <c r="AH126" i="23"/>
  <c r="AH12" i="23"/>
  <c r="AH100" i="23"/>
  <c r="AH45" i="23"/>
  <c r="AH106" i="23"/>
  <c r="AH60" i="23"/>
  <c r="AH127" i="23"/>
  <c r="AH99" i="23"/>
  <c r="AH50" i="23"/>
  <c r="AH8" i="23"/>
  <c r="AH55" i="23"/>
  <c r="AH96" i="23"/>
  <c r="AH115" i="23"/>
  <c r="AH137" i="23"/>
  <c r="AH72" i="23"/>
  <c r="AH74" i="23"/>
  <c r="AH98" i="23"/>
  <c r="AH97" i="23"/>
  <c r="AH114" i="23"/>
  <c r="AH7" i="23"/>
  <c r="AH15" i="23"/>
  <c r="AH66" i="23"/>
  <c r="AH118" i="23"/>
  <c r="AH129" i="23"/>
  <c r="AH111" i="23"/>
  <c r="AH104" i="23"/>
  <c r="AH58" i="23"/>
  <c r="AH20" i="23"/>
  <c r="AH39" i="23"/>
  <c r="AH133" i="23"/>
  <c r="AH125" i="23"/>
  <c r="AH54" i="23"/>
  <c r="AG162" i="18"/>
  <c r="AH63" i="23"/>
  <c r="AH122" i="23"/>
  <c r="AH141" i="23"/>
  <c r="AH140" i="23"/>
  <c r="Z146" i="23"/>
  <c r="J144" i="23"/>
  <c r="U212" i="29" l="1"/>
  <c r="X212" i="29" l="1"/>
  <c r="AA212" i="29" l="1"/>
  <c r="AD212" i="29" l="1"/>
  <c r="AG212" i="29" l="1"/>
  <c r="AJ212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tc={6B9D0EDC-9F1D-4565-8069-C1A0925A3B12}</author>
    <author>tc={495325F3-2032-401E-BB22-0D6BBBE326C0}</author>
    <author>tc={E3AB28A8-0D5A-4363-8002-FE72F5962705}</author>
    <author>tc={42EF2908-6761-4170-BE37-8575FB39BB2F}</author>
  </authors>
  <commentList>
    <comment ref="Q6" authorId="0" shapeId="0" xr:uid="{6B9D0EDC-9F1D-4565-8069-C1A0925A3B1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 cada 1 real de dividas a curto prazo, a empresa possui 1,40 para honrar com tais obrigações</t>
      </text>
    </comment>
    <comment ref="Q11" authorId="1" shapeId="0" xr:uid="{495325F3-2032-401E-BB22-0D6BBBE326C0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A cada 1 real de dividas a curto prazo, a empresa possui 1,06 para honrar suas obrigações sem o estoque
</t>
      </text>
    </comment>
    <comment ref="Q15" authorId="2" shapeId="0" xr:uid="{E3AB28A8-0D5A-4363-8002-FE72F596270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 cada 1 real de dividas a curto prazo, a empresa possui 0,47 para honrar suas obrigações sem o estoque</t>
      </text>
    </comment>
    <comment ref="Q20" authorId="3" shapeId="0" xr:uid="{42EF2908-6761-4170-BE37-8575FB39BB2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 cada 1 real de dividas a curto prazo e longo prazo, a empresa possui 1,56 para honrar suas obrigações</t>
      </text>
    </comment>
  </commentList>
</comments>
</file>

<file path=xl/sharedStrings.xml><?xml version="1.0" encoding="utf-8"?>
<sst xmlns="http://schemas.openxmlformats.org/spreadsheetml/2006/main" count="10122" uniqueCount="1008">
  <si>
    <t>DESCRIÇÃO</t>
  </si>
  <si>
    <t>TP</t>
  </si>
  <si>
    <t>NV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</si>
  <si>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</si>
  <si>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</si>
  <si>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</si>
  <si>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</si>
  <si>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</si>
  <si>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</si>
  <si>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</si>
  <si>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</si>
  <si>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</si>
  <si>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</si>
  <si>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</si>
  <si>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</si>
  <si>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ATIVO</t>
  </si>
  <si>
    <t>A</t>
  </si>
  <si>
    <t>PASSIVO</t>
  </si>
  <si>
    <t>RECEITAS</t>
  </si>
  <si>
    <t>R</t>
  </si>
  <si>
    <t>C</t>
  </si>
  <si>
    <t xml:space="preserve">  </t>
  </si>
  <si>
    <t>Check</t>
  </si>
  <si>
    <t>CONTA</t>
  </si>
  <si>
    <t>SALDO
ANTERIOR</t>
  </si>
  <si>
    <t>DÉBITO</t>
  </si>
  <si>
    <t>CRÉDITO</t>
  </si>
  <si>
    <t>MOVIMENTO</t>
  </si>
  <si>
    <t>SALDO
ATUAL</t>
  </si>
  <si>
    <t>CHK</t>
  </si>
  <si>
    <t>BALANÇO PATRIMONIAL - Em Reais</t>
  </si>
  <si>
    <t>Circulante</t>
  </si>
  <si>
    <t>Caixa e equivalentes de caixa</t>
  </si>
  <si>
    <t>Estoques</t>
  </si>
  <si>
    <t>Não circulante</t>
  </si>
  <si>
    <t>Imobilizado</t>
  </si>
  <si>
    <t>ANTERIOR</t>
  </si>
  <si>
    <t>TOTAL DO ATIVO</t>
  </si>
  <si>
    <t>AC1</t>
  </si>
  <si>
    <t>AC2</t>
  </si>
  <si>
    <t>AC3</t>
  </si>
  <si>
    <t>AC4</t>
  </si>
  <si>
    <t>AC5</t>
  </si>
  <si>
    <t>AC6</t>
  </si>
  <si>
    <t>DC</t>
  </si>
  <si>
    <t>DIFERENÇA</t>
  </si>
  <si>
    <t>SALDO FINAL
ANTERIOR</t>
  </si>
  <si>
    <t>% V</t>
  </si>
  <si>
    <t>% H</t>
  </si>
  <si>
    <t>TOTAL DO PASSIVO</t>
  </si>
  <si>
    <t>PC1</t>
  </si>
  <si>
    <t>PC2</t>
  </si>
  <si>
    <t>PC3</t>
  </si>
  <si>
    <t>PC4</t>
  </si>
  <si>
    <t>PC5</t>
  </si>
  <si>
    <t>PC6</t>
  </si>
  <si>
    <t>Fornecedores</t>
  </si>
  <si>
    <t>Empréstimos e financiamentos</t>
  </si>
  <si>
    <t>Obrigações tributárias</t>
  </si>
  <si>
    <t>Capital social</t>
  </si>
  <si>
    <t>Patrimônio líquido</t>
  </si>
  <si>
    <t>PL1</t>
  </si>
  <si>
    <t>PL2</t>
  </si>
  <si>
    <t>Check (Ativo X Passivo)</t>
  </si>
  <si>
    <t>DEMONSTRAÇÃO DO RESULTADO - Em Reais</t>
  </si>
  <si>
    <t>Lucro Bruto</t>
  </si>
  <si>
    <t>R10</t>
  </si>
  <si>
    <t>R11</t>
  </si>
  <si>
    <t>Resultado financeiro</t>
  </si>
  <si>
    <t>Receitas financeiras</t>
  </si>
  <si>
    <t>Despesas financeiras</t>
  </si>
  <si>
    <t>R12</t>
  </si>
  <si>
    <t>R13</t>
  </si>
  <si>
    <t>BALANÇO PATRIMONIAL</t>
  </si>
  <si>
    <t>DEMONSTRAÇÃO DO RESULTADO DO PERÍODO</t>
  </si>
  <si>
    <t>Lucro bruto</t>
  </si>
  <si>
    <t>Não Circulante</t>
  </si>
  <si>
    <t>Total do Ativo</t>
  </si>
  <si>
    <t>Total do Passivo + Patrimônio Líquido</t>
  </si>
  <si>
    <t>DATA</t>
  </si>
  <si>
    <t>PERÍODO</t>
  </si>
  <si>
    <t>S/A</t>
  </si>
  <si>
    <t>Despesas administrativas</t>
  </si>
  <si>
    <t>Outras receitas / (despesas) operacionais</t>
  </si>
  <si>
    <t>Lucro operacional</t>
  </si>
  <si>
    <t>Resultado líquido financeiro</t>
  </si>
  <si>
    <t>Demais despesas / receitas operacionais</t>
  </si>
  <si>
    <t>Impostos e contribuições a recuperar</t>
  </si>
  <si>
    <t>Obrigações trabalhistas e previdenciárias</t>
  </si>
  <si>
    <t>Outras contas a pagar</t>
  </si>
  <si>
    <t>Depósitos judiciais</t>
  </si>
  <si>
    <t>AN3</t>
  </si>
  <si>
    <t>AN1</t>
  </si>
  <si>
    <t>AN2</t>
  </si>
  <si>
    <t>PN4</t>
  </si>
  <si>
    <t>PN1</t>
  </si>
  <si>
    <t>PN3</t>
  </si>
  <si>
    <t>PN2</t>
  </si>
  <si>
    <t>Resultado líquido do mês</t>
  </si>
  <si>
    <t>Contas a receber</t>
  </si>
  <si>
    <t>Outros valores a receber</t>
  </si>
  <si>
    <t>R01</t>
  </si>
  <si>
    <t>R02</t>
  </si>
  <si>
    <t>R03</t>
  </si>
  <si>
    <t>R04</t>
  </si>
  <si>
    <t>R05</t>
  </si>
  <si>
    <t>R06</t>
  </si>
  <si>
    <t>R07</t>
  </si>
  <si>
    <t>R08</t>
  </si>
  <si>
    <t>R09</t>
  </si>
  <si>
    <t>PASSIVO &amp; PATRIMÔNIO LÍQUIDO</t>
  </si>
  <si>
    <t>CUSTOS &amp; DESPESAS</t>
  </si>
  <si>
    <t>EBTIDA</t>
  </si>
  <si>
    <t>ANUAL</t>
  </si>
  <si>
    <t>DRE / EBTIDA (Movimento Mensal) - Em Reais</t>
  </si>
  <si>
    <t>EBTIDA  (%)</t>
  </si>
  <si>
    <t>P</t>
  </si>
  <si>
    <t>AN4</t>
  </si>
  <si>
    <t>AN5</t>
  </si>
  <si>
    <t>Transações com partes relacionadas</t>
  </si>
  <si>
    <t>Passivos contingentes</t>
  </si>
  <si>
    <t>RESULTADO DO PERÍODO</t>
  </si>
  <si>
    <t>PN5</t>
  </si>
  <si>
    <t>Outras Receitas / (Despesas) Operacionais</t>
  </si>
  <si>
    <t>AV</t>
  </si>
  <si>
    <t>Liquidez corrente</t>
  </si>
  <si>
    <t>Liquidez seca</t>
  </si>
  <si>
    <t>Margem contribuição</t>
  </si>
  <si>
    <t>Margem líquida</t>
  </si>
  <si>
    <t>Margem Ebitda</t>
  </si>
  <si>
    <t>ROIC (lucro / capital)</t>
  </si>
  <si>
    <t>Margem operacional</t>
  </si>
  <si>
    <t>ROE (lucro/PL)</t>
  </si>
  <si>
    <t>PME</t>
  </si>
  <si>
    <t>PMR</t>
  </si>
  <si>
    <t>PMP</t>
  </si>
  <si>
    <t>NCG (Ciclo financeiro)</t>
  </si>
  <si>
    <t>Resultado líquido no mês</t>
  </si>
  <si>
    <t>Aplicações financeiras</t>
  </si>
  <si>
    <t>Adiantamentos</t>
  </si>
  <si>
    <t>Despesas antecipadas</t>
  </si>
  <si>
    <t>AC7</t>
  </si>
  <si>
    <t>AC8</t>
  </si>
  <si>
    <t>AN6</t>
  </si>
  <si>
    <t>Adiantamento de clientes</t>
  </si>
  <si>
    <t>Receita bruta de vendas e serviços</t>
  </si>
  <si>
    <t>Despesas com pessoal</t>
  </si>
  <si>
    <t>Despesas com terceiros</t>
  </si>
  <si>
    <t>Despsas comerciais</t>
  </si>
  <si>
    <t>Despesas tributárias</t>
  </si>
  <si>
    <t>Despesas de depreciação e amortização</t>
  </si>
  <si>
    <t>Receita líquida de vendas e serviços</t>
  </si>
  <si>
    <t>Custos dos produtos e serviços vendidos</t>
  </si>
  <si>
    <t>Custos dos produtos vendidos</t>
  </si>
  <si>
    <t>(em Reais)</t>
  </si>
  <si>
    <t>(-) Impostos sobre vendas</t>
  </si>
  <si>
    <t>MATERIAL DE ESCRITÓRIO</t>
  </si>
  <si>
    <t>Provisão de contribuição social e imposto de renda</t>
  </si>
  <si>
    <t>Contribuição social</t>
  </si>
  <si>
    <t>Imposto de renda</t>
  </si>
  <si>
    <t>R14</t>
  </si>
  <si>
    <t>Resultado do exercício</t>
  </si>
  <si>
    <t>Adiantamento para aumento de capital</t>
  </si>
  <si>
    <t>PL3</t>
  </si>
  <si>
    <t>SEED ACC Consultoria Contábil e Tributária Ltda</t>
  </si>
  <si>
    <t>CRC/RJ 5.845/O-8</t>
  </si>
  <si>
    <t>CNPJ: 13.889.587/0001-83</t>
  </si>
  <si>
    <t>Despesas comerciais</t>
  </si>
  <si>
    <t>REDUZIDO</t>
  </si>
  <si>
    <t>3.2.1.06.0015</t>
  </si>
  <si>
    <t>Impostos e taxas</t>
  </si>
  <si>
    <t>Jonathan Ventura de Sá</t>
  </si>
  <si>
    <t>Contador CRC/RJ 123930/O-4</t>
  </si>
  <si>
    <t>CPF 128.005.047-06</t>
  </si>
  <si>
    <t>Lucros ou Prejuizos acumulados</t>
  </si>
  <si>
    <t>1.1.01.01.001</t>
  </si>
  <si>
    <t>1.1.01.01.002</t>
  </si>
  <si>
    <t>1.1.01.02.006</t>
  </si>
  <si>
    <t>1.1.01.04.002</t>
  </si>
  <si>
    <t>1.1.03.01.001</t>
  </si>
  <si>
    <t>VALORES A IDENTIFICAR - MATRIZ</t>
  </si>
  <si>
    <t>1.2.03.01.004</t>
  </si>
  <si>
    <t>1.2.03.01.005</t>
  </si>
  <si>
    <t>1.2.03.01.006</t>
  </si>
  <si>
    <t>1.2.03.01.008</t>
  </si>
  <si>
    <t>1.2.03.01.010</t>
  </si>
  <si>
    <t>1.2.03.02.001</t>
  </si>
  <si>
    <t>1.2.03.02.003</t>
  </si>
  <si>
    <t>1.2.03.02.004</t>
  </si>
  <si>
    <t>1.2.03.02.005</t>
  </si>
  <si>
    <t>1.2.03.02.006</t>
  </si>
  <si>
    <t>2.1.03.01.001</t>
  </si>
  <si>
    <t>2.1.03.01.002</t>
  </si>
  <si>
    <t>2.3.01.01.001</t>
  </si>
  <si>
    <t>3.1.01.06.001</t>
  </si>
  <si>
    <t>4.1.01.01.001</t>
  </si>
  <si>
    <t>FGTS</t>
  </si>
  <si>
    <t>1.1</t>
  </si>
  <si>
    <t>ATIVO CIRCULANTE</t>
  </si>
  <si>
    <t>1.1.01</t>
  </si>
  <si>
    <t>DISPONÍVEL</t>
  </si>
  <si>
    <t>1.1.01.01</t>
  </si>
  <si>
    <t>1.1.01.02</t>
  </si>
  <si>
    <t>1.1.01.04</t>
  </si>
  <si>
    <t>1.1.02</t>
  </si>
  <si>
    <t>1.1.02.02</t>
  </si>
  <si>
    <t>1.1.03</t>
  </si>
  <si>
    <t>ESTOQUES</t>
  </si>
  <si>
    <t>1.1.03.01</t>
  </si>
  <si>
    <t>1.1.05</t>
  </si>
  <si>
    <t>1.1.05.01</t>
  </si>
  <si>
    <t>1.2</t>
  </si>
  <si>
    <t>PERMANENTE</t>
  </si>
  <si>
    <t>1.2.03</t>
  </si>
  <si>
    <t>1.2.03.01</t>
  </si>
  <si>
    <t>1.2.03.02</t>
  </si>
  <si>
    <t>2.1</t>
  </si>
  <si>
    <t>PASSIVO CIRCULANTE</t>
  </si>
  <si>
    <t>2.1.02</t>
  </si>
  <si>
    <t>2.1.02.01</t>
  </si>
  <si>
    <t>2.1.02.04</t>
  </si>
  <si>
    <t>2.1.03</t>
  </si>
  <si>
    <t>2.1.03.01</t>
  </si>
  <si>
    <t>2.1.03.02</t>
  </si>
  <si>
    <t>2.1.05</t>
  </si>
  <si>
    <t>2.1.05.01</t>
  </si>
  <si>
    <t>2.2</t>
  </si>
  <si>
    <t>PASSIVO NÃO CIRCULANTE</t>
  </si>
  <si>
    <t>2.3</t>
  </si>
  <si>
    <t>2.3.01</t>
  </si>
  <si>
    <t>2.3.01.01</t>
  </si>
  <si>
    <t>3.1</t>
  </si>
  <si>
    <t>3.1.01</t>
  </si>
  <si>
    <t>3.1.01.06</t>
  </si>
  <si>
    <t>4.1</t>
  </si>
  <si>
    <t>4.1.01</t>
  </si>
  <si>
    <t>4.1.01.01</t>
  </si>
  <si>
    <t>4.1.02</t>
  </si>
  <si>
    <t>4.1.02.01</t>
  </si>
  <si>
    <t>Colocar no check list que precisa da emissão das notas todo mês</t>
  </si>
  <si>
    <t xml:space="preserve">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</si>
  <si>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</si>
  <si>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</si>
  <si>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</si>
  <si>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Relatório de caixa</t>
  </si>
  <si>
    <t>Pontuar inventário físico</t>
  </si>
  <si>
    <t>Consórcio</t>
  </si>
  <si>
    <t>Ativo Circulante</t>
  </si>
  <si>
    <t>Passivo Circulante</t>
  </si>
  <si>
    <t xml:space="preserve">Liquidez Seca = </t>
  </si>
  <si>
    <t>(Ativo Circulante-Estoques)</t>
  </si>
  <si>
    <t>Disponível</t>
  </si>
  <si>
    <t xml:space="preserve">Liquidez Geral = </t>
  </si>
  <si>
    <t>(Passivo Circulante + Passivo Não circulante)</t>
  </si>
  <si>
    <t>Janeiro</t>
  </si>
  <si>
    <t>Fevereiro</t>
  </si>
  <si>
    <t>Março</t>
  </si>
  <si>
    <t>Abril</t>
  </si>
  <si>
    <t>Maio</t>
  </si>
  <si>
    <t>Junho</t>
  </si>
  <si>
    <t xml:space="preserve">Liquidez Imediata = </t>
  </si>
  <si>
    <t>Liquidez Corrente =</t>
  </si>
  <si>
    <t>ÍNDICES</t>
  </si>
  <si>
    <t>(Ativo Circulante + Realizavel a Longo prazo)</t>
  </si>
  <si>
    <t>2.1.03.01.003</t>
  </si>
  <si>
    <t>julho</t>
  </si>
  <si>
    <t>agosto</t>
  </si>
  <si>
    <t>setembro</t>
  </si>
  <si>
    <t>outubro</t>
  </si>
  <si>
    <t>iremos circularizar com os advogados para fechar dezembro correto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</si>
  <si>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</si>
  <si>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novembro</t>
  </si>
  <si>
    <t>dezembro</t>
  </si>
  <si>
    <t>Fundo Fixo</t>
  </si>
  <si>
    <t>Caixa Pequeno</t>
  </si>
  <si>
    <t>1.1.01.01.003</t>
  </si>
  <si>
    <t>Caixa Pequeno Bradesco Loja</t>
  </si>
  <si>
    <t>1.1.01.02.002</t>
  </si>
  <si>
    <t>Bradesco AG. 227 C/C 115400-1</t>
  </si>
  <si>
    <t>Itaú AG. 0389 C/C 09889-8</t>
  </si>
  <si>
    <t>1.1.01.02.007</t>
  </si>
  <si>
    <t>Itaú AG. 0389 C/C 99755-2</t>
  </si>
  <si>
    <t>1.1.01.02.008</t>
  </si>
  <si>
    <t>Bradesco AG. 227 C/C 27527-1</t>
  </si>
  <si>
    <t>Aplicação Bradesco C/C 115400-1</t>
  </si>
  <si>
    <t>1.1.01.04.004</t>
  </si>
  <si>
    <t>Bradesco - Poupança Fácil 115400-1</t>
  </si>
  <si>
    <t>1.1.01.04.008</t>
  </si>
  <si>
    <t>Aplicação Itaú C/C 09889-8</t>
  </si>
  <si>
    <t>1.1.01.04.010</t>
  </si>
  <si>
    <t>Aplicação Bradesco C/C 27527-1</t>
  </si>
  <si>
    <t>1.1.02.02.004</t>
  </si>
  <si>
    <t>Venda de Mercadorias</t>
  </si>
  <si>
    <t>Adiantamentos a Fornecedores</t>
  </si>
  <si>
    <t>1.1.03.01.006</t>
  </si>
  <si>
    <t>Antecipação de Férias</t>
  </si>
  <si>
    <t>1.1.03.02.007</t>
  </si>
  <si>
    <t>INSS a Recuperar</t>
  </si>
  <si>
    <t>1.1.05.01.001</t>
  </si>
  <si>
    <t>Prêmios de Seguros a Apropriar</t>
  </si>
  <si>
    <t>1.2.01.02.001</t>
  </si>
  <si>
    <t>Depósitos Judiciais</t>
  </si>
  <si>
    <t>1.2.02.01.002</t>
  </si>
  <si>
    <t>Imóveis Próprios</t>
  </si>
  <si>
    <t>1.2.02.01.003</t>
  </si>
  <si>
    <t>Ajuste Valor Justo</t>
  </si>
  <si>
    <t>1.2.02.02.001</t>
  </si>
  <si>
    <t>Obras de Arte</t>
  </si>
  <si>
    <t>1.2.02.03.001</t>
  </si>
  <si>
    <t>Fundo de Investimento</t>
  </si>
  <si>
    <t>1.2.03.01.001</t>
  </si>
  <si>
    <t>Terrenos</t>
  </si>
  <si>
    <t>1.2.03.01.002</t>
  </si>
  <si>
    <t>Imóveis</t>
  </si>
  <si>
    <t>Instalações</t>
  </si>
  <si>
    <t>Máquinas e Equipamentos</t>
  </si>
  <si>
    <t>Equipamentos de Informática</t>
  </si>
  <si>
    <t>1.2.03.01.007</t>
  </si>
  <si>
    <t>Equipamentos de Comunicação</t>
  </si>
  <si>
    <t>Móveis e Utensílios</t>
  </si>
  <si>
    <t>Softwares</t>
  </si>
  <si>
    <t>1.2.03.01.011</t>
  </si>
  <si>
    <t>Equipamentos Médicos</t>
  </si>
  <si>
    <t>1.2.03.02.007</t>
  </si>
  <si>
    <t>1.2.03.02.009</t>
  </si>
  <si>
    <t>1.2.03.02.010</t>
  </si>
  <si>
    <t>2.1.01.01.001</t>
  </si>
  <si>
    <t>Salários a Pagar</t>
  </si>
  <si>
    <t>2.1.01.01.002</t>
  </si>
  <si>
    <t>Recisões a Pagar</t>
  </si>
  <si>
    <t>2.1.01.01.004</t>
  </si>
  <si>
    <t>Pensão Alimenticia</t>
  </si>
  <si>
    <t>2.1.01.02.001</t>
  </si>
  <si>
    <t>Provisões de 13º Salário a Pagar</t>
  </si>
  <si>
    <t>2.1.01.03.001</t>
  </si>
  <si>
    <t>Provisões de Férias a Pagar</t>
  </si>
  <si>
    <t>2.1.01.04.001</t>
  </si>
  <si>
    <t>INSS - FOPAG e Contribuinte Individual a Recolher</t>
  </si>
  <si>
    <t>2.1.01.04.002</t>
  </si>
  <si>
    <t>INSS - Cessão Mão de Obra a Recolher</t>
  </si>
  <si>
    <t>2.1.01.06.001</t>
  </si>
  <si>
    <t>FGTS s/FOPAG a Pagar</t>
  </si>
  <si>
    <t>2.1.01.06.002</t>
  </si>
  <si>
    <t>PIS s/FOPAG a Pagar</t>
  </si>
  <si>
    <t>2.1.02.01.001</t>
  </si>
  <si>
    <t>2.1.02.04.001</t>
  </si>
  <si>
    <t>Procedimentos Clínicos e Hospitalares a Pagar</t>
  </si>
  <si>
    <t>IRRF - Pessoa Juridica a Recolher</t>
  </si>
  <si>
    <t>IRRF - FOPAG a Recolher</t>
  </si>
  <si>
    <t>IRRF S/Trab. Sem Vínc. Empreg.</t>
  </si>
  <si>
    <t>2.1.03.01.005</t>
  </si>
  <si>
    <t>COFINS/CSLL/PIS/PASEP a Recolher</t>
  </si>
  <si>
    <t>2.1.03.01.006</t>
  </si>
  <si>
    <t>ISSQN - Pessoas Jurídicas a Recolher</t>
  </si>
  <si>
    <t>2.1.03.02.003</t>
  </si>
  <si>
    <t>ICMS a Recolher</t>
  </si>
  <si>
    <t>2.1.05.01.003</t>
  </si>
  <si>
    <t>Cartão de Crédito a Pagar</t>
  </si>
  <si>
    <t>2.1.06.01.002</t>
  </si>
  <si>
    <t>Adiantamento de Clientes</t>
  </si>
  <si>
    <t>2.2.04.01.003</t>
  </si>
  <si>
    <t>Provisões Trabalhistas</t>
  </si>
  <si>
    <t>2.2.04.01.004</t>
  </si>
  <si>
    <t>Provisões Cíveis</t>
  </si>
  <si>
    <t>Patrimônio Social</t>
  </si>
  <si>
    <t>2.3.01.04.002</t>
  </si>
  <si>
    <t>Défict do Exercício</t>
  </si>
  <si>
    <t>Atendimento Ambulatorial Gratuito</t>
  </si>
  <si>
    <t>3.1.03.01.001</t>
  </si>
  <si>
    <t>Pessoas Jurídicas</t>
  </si>
  <si>
    <t>3.1.03.01.002</t>
  </si>
  <si>
    <t>Pessoas Físicas</t>
  </si>
  <si>
    <t>3.1.03.01.003</t>
  </si>
  <si>
    <t>Doações Internacionais</t>
  </si>
  <si>
    <t>3.1.03.01.005</t>
  </si>
  <si>
    <t>Doação Patrimonial</t>
  </si>
  <si>
    <t>3.1.03.02.001</t>
  </si>
  <si>
    <t>Serviços Voluntários Obtidos</t>
  </si>
  <si>
    <t>3.1.06.01.004</t>
  </si>
  <si>
    <t>Recuperação de Vale Transporte</t>
  </si>
  <si>
    <t>3.1.06.01.006</t>
  </si>
  <si>
    <t>Recuperação de Assistência Médica</t>
  </si>
  <si>
    <t>3.4.01.01.001</t>
  </si>
  <si>
    <t>3.4.02.01.001</t>
  </si>
  <si>
    <t>Descontos Concedidos Incondic.</t>
  </si>
  <si>
    <t>3.4.02.02.001</t>
  </si>
  <si>
    <t>Cancelamentos e Devoluções</t>
  </si>
  <si>
    <t>3.4.03.01.002</t>
  </si>
  <si>
    <t>Contrato Atípico Fixo</t>
  </si>
  <si>
    <t>3.4.03.01.003</t>
  </si>
  <si>
    <t>Contrato Atípico Variável</t>
  </si>
  <si>
    <t>3.5.02.01.004</t>
  </si>
  <si>
    <t>Descontos Obtidos</t>
  </si>
  <si>
    <t>3.5.03.01.001</t>
  </si>
  <si>
    <t>Rendimentos de Aplic. Financeiras</t>
  </si>
  <si>
    <t>3.6.03.01.001</t>
  </si>
  <si>
    <t>Condenações Pecuniárias - TJRJ</t>
  </si>
  <si>
    <t>4.1.01.04.001</t>
  </si>
  <si>
    <t>Medicamentos</t>
  </si>
  <si>
    <t>4.1.01.04.002</t>
  </si>
  <si>
    <t>Materiais Hospitalares</t>
  </si>
  <si>
    <t>4.1.01.04.005</t>
  </si>
  <si>
    <t>Materiais Diversos</t>
  </si>
  <si>
    <t>4.1.01.05.006</t>
  </si>
  <si>
    <t>Serviços de Manutenção e Reparos</t>
  </si>
  <si>
    <t>4.1.01.05.008</t>
  </si>
  <si>
    <t>Serviço Hospitalar e Clínico</t>
  </si>
  <si>
    <t>4.1.01.05.016</t>
  </si>
  <si>
    <t>Serviços Prestados Pessoa Física</t>
  </si>
  <si>
    <t>4.1.01.05.017</t>
  </si>
  <si>
    <t>Serviços de Assistência Familiar</t>
  </si>
  <si>
    <t>4.1.01.06.001</t>
  </si>
  <si>
    <t>Materiais e Medicamentos</t>
  </si>
  <si>
    <t>4.1.01.06.002</t>
  </si>
  <si>
    <t>Gêneros Alimentícios</t>
  </si>
  <si>
    <t>4.1.01.06.003</t>
  </si>
  <si>
    <t>Conduções</t>
  </si>
  <si>
    <t>4.1.01.06.005</t>
  </si>
  <si>
    <t>Materiais e Suprimentos</t>
  </si>
  <si>
    <t>4.1.01.07.001</t>
  </si>
  <si>
    <t>Direito de Uso - Software</t>
  </si>
  <si>
    <t>4.1.02.01.011</t>
  </si>
  <si>
    <t>Atendimento Hospitalar Gratuito - CSV</t>
  </si>
  <si>
    <t>4.1.02.01.013</t>
  </si>
  <si>
    <t>Atendimento Hospitalar Particular - CSV</t>
  </si>
  <si>
    <t>4.4.01.01.001</t>
  </si>
  <si>
    <t>Custo das Mecadorias Vendidas</t>
  </si>
  <si>
    <t>Salários e Ordenados</t>
  </si>
  <si>
    <t>4.1.01.01.002</t>
  </si>
  <si>
    <t>Gratificações</t>
  </si>
  <si>
    <t>4.1.01.01.003</t>
  </si>
  <si>
    <t>Férias</t>
  </si>
  <si>
    <t>4.1.01.01.004</t>
  </si>
  <si>
    <t>13º Salário</t>
  </si>
  <si>
    <t>4.1.01.02.001</t>
  </si>
  <si>
    <t>Assistência Médica</t>
  </si>
  <si>
    <t>4.1.01.03.001</t>
  </si>
  <si>
    <t>Contribuição Previdenciaria</t>
  </si>
  <si>
    <t>4.1.01.03.002</t>
  </si>
  <si>
    <t>4.1.01.03.003</t>
  </si>
  <si>
    <t>PIS Sobre Folha</t>
  </si>
  <si>
    <t>5.1.01.01.001</t>
  </si>
  <si>
    <t>5.1.01.01.002</t>
  </si>
  <si>
    <t>5.1.01.01.003</t>
  </si>
  <si>
    <t>5.1.01.01.004</t>
  </si>
  <si>
    <t>5.1.01.01.007</t>
  </si>
  <si>
    <t>Horas Extras</t>
  </si>
  <si>
    <t>5.1.01.01.008</t>
  </si>
  <si>
    <t>Bolsa Auxílio de Estagiários</t>
  </si>
  <si>
    <t>5.1.01.01.010</t>
  </si>
  <si>
    <t>Recrutamento e Seleção</t>
  </si>
  <si>
    <t>5.1.01.03.001</t>
  </si>
  <si>
    <t>5.1.01.03.002</t>
  </si>
  <si>
    <t>5.1.01.03.003</t>
  </si>
  <si>
    <t>PIS s/ Folha</t>
  </si>
  <si>
    <t>5.1.01.02.006</t>
  </si>
  <si>
    <t>Anuidade - Conselhos Regionais</t>
  </si>
  <si>
    <t>5.1.01.04.001</t>
  </si>
  <si>
    <t>Exames Médicos</t>
  </si>
  <si>
    <t>5.1.02.01.001</t>
  </si>
  <si>
    <t>Assessoria Contábil</t>
  </si>
  <si>
    <t>5.1.02.01.002</t>
  </si>
  <si>
    <t>Assessoria Jurídica</t>
  </si>
  <si>
    <t>5.1.02.01.003</t>
  </si>
  <si>
    <t>Auditoria</t>
  </si>
  <si>
    <t>5.1.02.01.004</t>
  </si>
  <si>
    <t>Consultoria</t>
  </si>
  <si>
    <t>5.1.02.01.007</t>
  </si>
  <si>
    <t>Segurança e Vigilância</t>
  </si>
  <si>
    <t>5.1.02.01.010</t>
  </si>
  <si>
    <t>Assessoria em TI</t>
  </si>
  <si>
    <t>5.1.02.01.011</t>
  </si>
  <si>
    <t>Serviço de Limpeza</t>
  </si>
  <si>
    <t>5.1.02.01.005</t>
  </si>
  <si>
    <t>Propaganda e Publicidade</t>
  </si>
  <si>
    <t>5.1.02.01.008</t>
  </si>
  <si>
    <t>Treinamento de Pessoal</t>
  </si>
  <si>
    <t>5.1.02.01.014</t>
  </si>
  <si>
    <t>Eventos e Programação Visual</t>
  </si>
  <si>
    <t>5.1.02.02.001</t>
  </si>
  <si>
    <t>5.1.02.03.004</t>
  </si>
  <si>
    <t>Voluntários - Dirigentes Estatutários</t>
  </si>
  <si>
    <t>5.1.03.01.001</t>
  </si>
  <si>
    <t>Material de Escritório</t>
  </si>
  <si>
    <t>5.1.03.01.003</t>
  </si>
  <si>
    <t>Higiene e Limpeza</t>
  </si>
  <si>
    <t>5.1.03.01.004</t>
  </si>
  <si>
    <t>Copa, Cozinha e Refeitório</t>
  </si>
  <si>
    <t>5.1.03.01.005</t>
  </si>
  <si>
    <t>5.1.03.02.001</t>
  </si>
  <si>
    <t>Equipamentos Não Imobilizado</t>
  </si>
  <si>
    <t>5.1.04.01.001</t>
  </si>
  <si>
    <t>Energia Elétrica</t>
  </si>
  <si>
    <t>5.1.04.01.002</t>
  </si>
  <si>
    <t>Água e Esgoto</t>
  </si>
  <si>
    <t>5.1.04.01.003</t>
  </si>
  <si>
    <t>Telefone, Internet e Tv a Cabo</t>
  </si>
  <si>
    <t>5.1.04.02.001</t>
  </si>
  <si>
    <t>Correios</t>
  </si>
  <si>
    <t>5.1.04.02.002</t>
  </si>
  <si>
    <t>Reprodução e Serv. Gráficos</t>
  </si>
  <si>
    <t>5.1.04.02.003</t>
  </si>
  <si>
    <t>Legais e Judiciais</t>
  </si>
  <si>
    <t>5.1.04.02.004</t>
  </si>
  <si>
    <t>Tarifas e Taxas Bancárias</t>
  </si>
  <si>
    <t>5.1.04.02.005</t>
  </si>
  <si>
    <t>Taxas Operadoras de Cartão</t>
  </si>
  <si>
    <t>5.1.06.01.002</t>
  </si>
  <si>
    <t>Condomínio</t>
  </si>
  <si>
    <t>5.1.06.02.001</t>
  </si>
  <si>
    <t>Seguros Imóveis</t>
  </si>
  <si>
    <t>5.1.06.03.001</t>
  </si>
  <si>
    <t>Locação de Equipamentos</t>
  </si>
  <si>
    <t>5.1.06.03.002</t>
  </si>
  <si>
    <t>Locação de Bens Móveis</t>
  </si>
  <si>
    <t>5.1.06.04.001</t>
  </si>
  <si>
    <t>5.1.06.05.001</t>
  </si>
  <si>
    <t>Manutenção e Reparo - Itens não Ativados</t>
  </si>
  <si>
    <t>5.1.07.01.999</t>
  </si>
  <si>
    <t>Serviços em Ativo Imobilizado</t>
  </si>
  <si>
    <t>5.1.08.01.001</t>
  </si>
  <si>
    <t>Depreciação</t>
  </si>
  <si>
    <t>5.1.09.01.005</t>
  </si>
  <si>
    <t>Taxas Municipais e Estaduais</t>
  </si>
  <si>
    <t>5.1.09.01.007</t>
  </si>
  <si>
    <t>IOF s/ Aplicações Financeiras</t>
  </si>
  <si>
    <t>5.1.09.01.009</t>
  </si>
  <si>
    <t>Despesas com ICMS</t>
  </si>
  <si>
    <t>5.1.09.02.001</t>
  </si>
  <si>
    <t>5.1.09.02.003</t>
  </si>
  <si>
    <t>Fretes e Carretos</t>
  </si>
  <si>
    <t>5.1.09.02.004</t>
  </si>
  <si>
    <t>Lanches e Refeições</t>
  </si>
  <si>
    <t>5.1.09.02.005</t>
  </si>
  <si>
    <t>Eventos</t>
  </si>
  <si>
    <t>5.1.09.02.008</t>
  </si>
  <si>
    <t>Programação e Comunicação Visual</t>
  </si>
  <si>
    <t>5.1.09.02.010</t>
  </si>
  <si>
    <t>Multa por Atraso de Pagamento</t>
  </si>
  <si>
    <t>5.1.09.02.012</t>
  </si>
  <si>
    <t>Gerenciamento e Guarda de Volumes</t>
  </si>
  <si>
    <t>5.1.09.02.999</t>
  </si>
  <si>
    <t>Despesas Gerais</t>
  </si>
  <si>
    <t>5.1.10.01.002</t>
  </si>
  <si>
    <t>Perdas nos Recebimentos de Particulares</t>
  </si>
  <si>
    <t>5.5.01.03.002</t>
  </si>
  <si>
    <t>Juros Sobre Pagamentos em Atraso</t>
  </si>
  <si>
    <t>5.5.01.04.001</t>
  </si>
  <si>
    <t>Perdas na Variação Cambial</t>
  </si>
  <si>
    <t>5.6.01.01.005</t>
  </si>
  <si>
    <t>Despesas c/comissão de corretagem de imóveis</t>
  </si>
  <si>
    <t>1.1.03.02</t>
  </si>
  <si>
    <t>1.2.01</t>
  </si>
  <si>
    <t>1.2.01.02</t>
  </si>
  <si>
    <t>1.2.02</t>
  </si>
  <si>
    <t>1.2.02.01</t>
  </si>
  <si>
    <t>1.2.02.02</t>
  </si>
  <si>
    <t>1.2.02.03</t>
  </si>
  <si>
    <t>2.1.01</t>
  </si>
  <si>
    <t>2.1.01.01</t>
  </si>
  <si>
    <t>2.1.01.02</t>
  </si>
  <si>
    <t>2.1.01.03</t>
  </si>
  <si>
    <t>2.1.01.04</t>
  </si>
  <si>
    <t>2.1.01.06</t>
  </si>
  <si>
    <t>2.1.06</t>
  </si>
  <si>
    <t>2.1.06.01</t>
  </si>
  <si>
    <t>2.2.04</t>
  </si>
  <si>
    <t>2.2.04.01</t>
  </si>
  <si>
    <t>2.3.01.04</t>
  </si>
  <si>
    <t>3.1.03</t>
  </si>
  <si>
    <t>3.1.03.01</t>
  </si>
  <si>
    <t>3.1.03.02</t>
  </si>
  <si>
    <t>3.1.06</t>
  </si>
  <si>
    <t>3.1.06.01</t>
  </si>
  <si>
    <t>3.4</t>
  </si>
  <si>
    <t>3.4.01</t>
  </si>
  <si>
    <t>3.4.01.01</t>
  </si>
  <si>
    <t>3.4.02</t>
  </si>
  <si>
    <t>3.4.02.01</t>
  </si>
  <si>
    <t>3.4.02.02</t>
  </si>
  <si>
    <t>3.4.03</t>
  </si>
  <si>
    <t>3.4.03.01</t>
  </si>
  <si>
    <t>3.5</t>
  </si>
  <si>
    <t>3.5.02</t>
  </si>
  <si>
    <t>3.5.02.01</t>
  </si>
  <si>
    <t>3.5.03</t>
  </si>
  <si>
    <t>3.5.03.01</t>
  </si>
  <si>
    <t>3.6</t>
  </si>
  <si>
    <t>3.6.03</t>
  </si>
  <si>
    <t>3.6.03.01</t>
  </si>
  <si>
    <t>4.1.01.02</t>
  </si>
  <si>
    <t>4.1.01.03</t>
  </si>
  <si>
    <t>4.1.01.04</t>
  </si>
  <si>
    <t>4.1.01.05</t>
  </si>
  <si>
    <t>4.1.01.06</t>
  </si>
  <si>
    <t>4.1.01.07</t>
  </si>
  <si>
    <t>4.4</t>
  </si>
  <si>
    <t>4.4.01</t>
  </si>
  <si>
    <t>4.4.01.01</t>
  </si>
  <si>
    <t>5.1</t>
  </si>
  <si>
    <t>5.1.01</t>
  </si>
  <si>
    <t>5.1.01.01</t>
  </si>
  <si>
    <t>5.1.01.02</t>
  </si>
  <si>
    <t>5.1.01.03</t>
  </si>
  <si>
    <t>5.1.01.04</t>
  </si>
  <si>
    <t>5.1.02</t>
  </si>
  <si>
    <t>5.1.02.01</t>
  </si>
  <si>
    <t>5.1.02.02</t>
  </si>
  <si>
    <t>5.1.02.03</t>
  </si>
  <si>
    <t>5.1.03</t>
  </si>
  <si>
    <t>5.1.03.01</t>
  </si>
  <si>
    <t>5.1.03.02</t>
  </si>
  <si>
    <t>5.1.04</t>
  </si>
  <si>
    <t>5.1.04.01</t>
  </si>
  <si>
    <t>5.1.04.02</t>
  </si>
  <si>
    <t>5.1.06</t>
  </si>
  <si>
    <t>5.1.06.01</t>
  </si>
  <si>
    <t>5.1.06.02</t>
  </si>
  <si>
    <t>5.1.06.03</t>
  </si>
  <si>
    <t>5.1.06.04</t>
  </si>
  <si>
    <t>5.1.06.05</t>
  </si>
  <si>
    <t>5.1.07</t>
  </si>
  <si>
    <t>5.1.07.01</t>
  </si>
  <si>
    <t>5.1.08</t>
  </si>
  <si>
    <t>5.1.08.01</t>
  </si>
  <si>
    <t>5.1.09</t>
  </si>
  <si>
    <t>5.1.09.01</t>
  </si>
  <si>
    <t>5.1.09.02</t>
  </si>
  <si>
    <t>5.1.10</t>
  </si>
  <si>
    <t>5.1.10.01</t>
  </si>
  <si>
    <t>5.5</t>
  </si>
  <si>
    <t>5.5.01</t>
  </si>
  <si>
    <t>5.5.01.03</t>
  </si>
  <si>
    <t>5.5.01.04</t>
  </si>
  <si>
    <t>5.6</t>
  </si>
  <si>
    <t>5.6.01</t>
  </si>
  <si>
    <t>5.6.01.01</t>
  </si>
  <si>
    <t>Ativo</t>
  </si>
  <si>
    <t>Caixa e equivalente de caixa</t>
  </si>
  <si>
    <t>Caixa</t>
  </si>
  <si>
    <t>Bancos Conta Movimento - Recursos Livres</t>
  </si>
  <si>
    <t>Aplicações Financeiras - Recursos Livres</t>
  </si>
  <si>
    <t>Clientes e Créditos Recebíveis</t>
  </si>
  <si>
    <t>Titulos a Receber</t>
  </si>
  <si>
    <t>Outros Créditos</t>
  </si>
  <si>
    <t>Tributos a Compensar e Recuperar</t>
  </si>
  <si>
    <t>Despesas Antecipadas</t>
  </si>
  <si>
    <t>Ativo Realizável a Longo Prazo</t>
  </si>
  <si>
    <t>Investimentos</t>
  </si>
  <si>
    <t>Propriedades para Investimentos</t>
  </si>
  <si>
    <t>Outros Investimentos</t>
  </si>
  <si>
    <t>Bens em Operação - Custo</t>
  </si>
  <si>
    <t>(-) Depreciação, Amortização e Exaustão Acumuladas</t>
  </si>
  <si>
    <t>Passivo</t>
  </si>
  <si>
    <t>Salários e Encargos Sociais</t>
  </si>
  <si>
    <t>Salários e Recisões a Pagar</t>
  </si>
  <si>
    <t>Provisões de 13º Salário e Encargos</t>
  </si>
  <si>
    <t>Provisões de Férias e Encargos</t>
  </si>
  <si>
    <t>Obrigações Previdenciárias</t>
  </si>
  <si>
    <t>Outros Encargos Sociais</t>
  </si>
  <si>
    <t>Fornecedores e Repasse a Realizar</t>
  </si>
  <si>
    <t>Obrigações Fiscais</t>
  </si>
  <si>
    <t>Impostos e Contribuições Retidas na Fonte</t>
  </si>
  <si>
    <t>Impostos a Recolher</t>
  </si>
  <si>
    <t>Outras Obrigações a Pagar</t>
  </si>
  <si>
    <t>Contas a Pagar</t>
  </si>
  <si>
    <t>Antecipações de Receitas</t>
  </si>
  <si>
    <t>Receitas Antecipadas</t>
  </si>
  <si>
    <t>Provisões</t>
  </si>
  <si>
    <t>Provisões Contingênciais</t>
  </si>
  <si>
    <t>Patrimônio Líquido</t>
  </si>
  <si>
    <t>Resultado do Período</t>
  </si>
  <si>
    <t>Receitas</t>
  </si>
  <si>
    <t>Atividades de Saúde</t>
  </si>
  <si>
    <t>Prestação de Serviços de Saúde</t>
  </si>
  <si>
    <t>Serviço de Saúde Gratuito</t>
  </si>
  <si>
    <t>Doações e Voluntários</t>
  </si>
  <si>
    <t>Doações - Recursos Livres</t>
  </si>
  <si>
    <t>Recuperação de Despesas e Revessão de Estimativa</t>
  </si>
  <si>
    <t>Recuperação de Despesas</t>
  </si>
  <si>
    <t>Atividades de Geração de Recursos - Sustentáveis</t>
  </si>
  <si>
    <t>Receitas de Vendas e Serviços</t>
  </si>
  <si>
    <t>Vendas de Mercadorias</t>
  </si>
  <si>
    <t>(-) Deduções da Receita de Vendas e Serviços</t>
  </si>
  <si>
    <t>(-) Descontos Concedidos Incondic.</t>
  </si>
  <si>
    <t>(-) Cancelamentos e Devoluções</t>
  </si>
  <si>
    <t>Locação de Bens</t>
  </si>
  <si>
    <t>Aluguéis de Propriedades para Investimentos</t>
  </si>
  <si>
    <t>Receitas Financeiras</t>
  </si>
  <si>
    <t>Descontos Financeiros Obtidos</t>
  </si>
  <si>
    <t>Rendimentos Financeiros</t>
  </si>
  <si>
    <t>Outras Receitas</t>
  </si>
  <si>
    <t>Receitas Jurídicas</t>
  </si>
  <si>
    <t>Custos</t>
  </si>
  <si>
    <t>Atividade de Saúde</t>
  </si>
  <si>
    <t>Custos da Prestação dos Servicos de Saúde</t>
  </si>
  <si>
    <t>Custos com Remuneração de Pessoal</t>
  </si>
  <si>
    <t>Custos com Benefícios</t>
  </si>
  <si>
    <t>Custos com Encargos Sociais</t>
  </si>
  <si>
    <t>Custos com Materiais e Medicamentos</t>
  </si>
  <si>
    <t>Custos com Outros Serviços</t>
  </si>
  <si>
    <t>Custos com Assistência Social</t>
  </si>
  <si>
    <t>Custos dos Atendimentos Hospitalares/Ambulatoriais</t>
  </si>
  <si>
    <t>Custos dos Produtos e Serviços</t>
  </si>
  <si>
    <t>Custos das Mercadorias Vendidas</t>
  </si>
  <si>
    <t>Despesas</t>
  </si>
  <si>
    <t>Pessoal</t>
  </si>
  <si>
    <t>Remuneração</t>
  </si>
  <si>
    <t>Benefícios</t>
  </si>
  <si>
    <t>Encargos Sociais</t>
  </si>
  <si>
    <t>Medicina do Trabalho</t>
  </si>
  <si>
    <t>Serviços de Terceiros</t>
  </si>
  <si>
    <t>Serviços Prestados Pessoa Jurídica</t>
  </si>
  <si>
    <t>Serviços Prestados - Terceiros Voluntários</t>
  </si>
  <si>
    <t>Despesas com Materiais</t>
  </si>
  <si>
    <t>Bens de Pequeno Valor</t>
  </si>
  <si>
    <t>Serviços de Infra-Estrutura e Utilidades</t>
  </si>
  <si>
    <t>Infra-Estrutura</t>
  </si>
  <si>
    <t>Utilidades</t>
  </si>
  <si>
    <t>Despesas com Bens de Uso</t>
  </si>
  <si>
    <t>Aluguéis e Condomínios</t>
  </si>
  <si>
    <t>Seguros</t>
  </si>
  <si>
    <t>Locação de Bens Móveis e Equipamentos</t>
  </si>
  <si>
    <t>Despesas com Manutenção e Reparos</t>
  </si>
  <si>
    <t>Depreciação e Amortizações</t>
  </si>
  <si>
    <t>Impostos e Taxas</t>
  </si>
  <si>
    <t>Perdas de Ativos Operacionais</t>
  </si>
  <si>
    <t>Créditos Incobráveis</t>
  </si>
  <si>
    <t>Despesas Financeiras</t>
  </si>
  <si>
    <t>Juros de Mora</t>
  </si>
  <si>
    <t>Outras Despesas</t>
  </si>
  <si>
    <t>Perdas em Itens Monetários</t>
  </si>
  <si>
    <t>Perdas na Alienação de Ativos</t>
  </si>
  <si>
    <t xml:space="preserve">AC7
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</si>
  <si>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</si>
  <si>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3.1.01.07</t>
  </si>
  <si>
    <t>Convênio Gratuidade</t>
  </si>
  <si>
    <t>3.1.01.07.001</t>
  </si>
  <si>
    <t>4.1.02.01.012</t>
  </si>
  <si>
    <t>5.1.06.02.002</t>
  </si>
  <si>
    <t>Seguros Móveis</t>
  </si>
  <si>
    <t>5.1.02.03.002</t>
  </si>
  <si>
    <t>Voluntários - Pessoa Jurídica</t>
  </si>
  <si>
    <t>2.3.01.04.001</t>
  </si>
  <si>
    <t>Superávit do Exercício</t>
  </si>
  <si>
    <t>2.3.01.05</t>
  </si>
  <si>
    <t>Ajustes de Exercício Anteriores</t>
  </si>
  <si>
    <t>2.3.01.05.001</t>
  </si>
  <si>
    <t>4.1.01.01.005</t>
  </si>
  <si>
    <t>Indenizações</t>
  </si>
  <si>
    <t>4.1.01.02.003</t>
  </si>
  <si>
    <t>Vale Transporte</t>
  </si>
  <si>
    <t>5.1.03.01.002</t>
  </si>
  <si>
    <t>Materiais de Manutenção e Conservação</t>
  </si>
  <si>
    <t>PRO CRIANÇA CARDIACA</t>
  </si>
  <si>
    <t>C.N.P.J.: 10.489.487/0001-71 </t>
  </si>
  <si>
    <t>Receita de doação</t>
  </si>
  <si>
    <t>Custos dos serviços prestados</t>
  </si>
  <si>
    <t>Patrimonio Social</t>
  </si>
  <si>
    <t>Deficit acumulado</t>
  </si>
  <si>
    <t>Superavit (deficit) do exercicio</t>
  </si>
  <si>
    <t>Deficiti (superavit) Antes do Resultado Financeiro</t>
  </si>
  <si>
    <t>Superavit / (deficit) líquido do exercício</t>
  </si>
  <si>
    <t>Deixar pontuado que o desconto do vale transporte e assitencia medica estsa na conta efetiva de assistencia médica</t>
  </si>
  <si>
    <t>ver a diferença com o de baixo</t>
  </si>
  <si>
    <t>serviços assitencias - serviços medicos - serviços multidisciplinar - - fazer o comparativo de 2023</t>
  </si>
  <si>
    <t>verificar se foi pago e tambem o conselho regional</t>
  </si>
  <si>
    <t>verificar - mudes verificar onde esta</t>
  </si>
  <si>
    <t>verificar as linhas de alimenntação</t>
  </si>
  <si>
    <t>na veia - leite doado verificar melhor classificação</t>
  </si>
  <si>
    <t>cesta basica</t>
  </si>
  <si>
    <t>pagamnto realizado emnsalmente</t>
  </si>
  <si>
    <t>5.1.01.02.001</t>
  </si>
  <si>
    <t>5.1.01.02.003</t>
  </si>
  <si>
    <t>Verificar o lançamento 5.5k para seed</t>
  </si>
  <si>
    <t>5.1.01.01.005</t>
  </si>
  <si>
    <t xml:space="preserve">Pedir pra Jessica </t>
  </si>
  <si>
    <t>Não identificado</t>
  </si>
  <si>
    <t>2.1.01.02.002</t>
  </si>
  <si>
    <t>Provisões de FGTS s/ 13º Salário a Pagar</t>
  </si>
  <si>
    <t>2.1.01.02.003</t>
  </si>
  <si>
    <t>Provisões de PIS s/ 13º Salário a Pagar</t>
  </si>
  <si>
    <t>2.1.01.02.004</t>
  </si>
  <si>
    <t>Provisões de INSS s/ 13º Salário a Pagar</t>
  </si>
  <si>
    <t>2.1.01.03.002</t>
  </si>
  <si>
    <t>Provisões de FGTS s/ Férias a Pagar</t>
  </si>
  <si>
    <t>2.1.01.03.003</t>
  </si>
  <si>
    <t>Provisões de PIS s/ Férias a Pagar</t>
  </si>
  <si>
    <t>2.1.01.03.004</t>
  </si>
  <si>
    <t>Provisão de INSS s/ Férias a pagar</t>
  </si>
  <si>
    <t>4.1.01.01.009</t>
  </si>
  <si>
    <t>Provisão de INSS s/ Férias</t>
  </si>
  <si>
    <t>4.1.01.01.010</t>
  </si>
  <si>
    <t>Provisão de FGTS s/ Férias</t>
  </si>
  <si>
    <t>4.1.01.01.011</t>
  </si>
  <si>
    <t>Provisão de PIS s/ Férias</t>
  </si>
  <si>
    <t>4.1.01.01.012</t>
  </si>
  <si>
    <t>Provisão de INSS s/ 13º Salário</t>
  </si>
  <si>
    <t>4.1.01.01.013</t>
  </si>
  <si>
    <t>Provisão de FGTS s/ 13º Salário</t>
  </si>
  <si>
    <t>4.1.01.01.014</t>
  </si>
  <si>
    <t>Provisão de PIS s/ 13º Salário</t>
  </si>
  <si>
    <t>5.1.01.01.011</t>
  </si>
  <si>
    <t>5.1.01.01.012</t>
  </si>
  <si>
    <t>5.1.01.01.013</t>
  </si>
  <si>
    <t>5.1.01.01.014</t>
  </si>
  <si>
    <t>5.1.01.01.015</t>
  </si>
  <si>
    <t>5.1.01.01.016</t>
  </si>
  <si>
    <t>1.1.01.04.011</t>
  </si>
  <si>
    <t>Aplicação Bradesco - Max DI 115400-1</t>
  </si>
  <si>
    <t>1.1.03.01.004</t>
  </si>
  <si>
    <t>Antecipação de Salários e Ordenados</t>
  </si>
  <si>
    <t>1.1.03.01.005</t>
  </si>
  <si>
    <t>Antecipação de 13º Salário</t>
  </si>
  <si>
    <t>Serviços hospitalares - Gratuitos</t>
  </si>
  <si>
    <t>Venda de Mercadoria</t>
  </si>
  <si>
    <t>Receita de arrendamento</t>
  </si>
  <si>
    <t>Custo Assistencial</t>
  </si>
  <si>
    <t>Custos com Pessoal</t>
  </si>
  <si>
    <t>Custos com Assistência Social [Doações]</t>
  </si>
  <si>
    <t>Custo de materias e medicamentos</t>
  </si>
  <si>
    <t>Despesas Administrativas</t>
  </si>
  <si>
    <t>5.6.01.02</t>
  </si>
  <si>
    <t>Ajuste exercício anterior</t>
  </si>
  <si>
    <t>5.6.01.02.001</t>
  </si>
  <si>
    <t>5.6.03</t>
  </si>
  <si>
    <t>Outras Despesas e Receitas Não Operacionais</t>
  </si>
  <si>
    <t>5.6.03.01</t>
  </si>
  <si>
    <t>5.6.03.01.001</t>
  </si>
  <si>
    <t xml:space="preserve">Outras Despesas e Receitas </t>
  </si>
  <si>
    <t xml:space="preserve">BRUNA VAI ENVIAR CMV </t>
  </si>
  <si>
    <t>1.1.03.02.008</t>
  </si>
  <si>
    <t>ICMS a Recuperar</t>
  </si>
  <si>
    <t>5.1.02.03.003</t>
  </si>
  <si>
    <t>Voluntários - Pessoa Física</t>
  </si>
  <si>
    <t>1.1.02.04</t>
  </si>
  <si>
    <t>Cartões de Crédito a Receber</t>
  </si>
  <si>
    <t>1.1.02.04.001</t>
  </si>
  <si>
    <t>1.1.03.02.004</t>
  </si>
  <si>
    <t>Outros Tributos a Compensar</t>
  </si>
  <si>
    <t>1.1.04</t>
  </si>
  <si>
    <t>Estoque</t>
  </si>
  <si>
    <t>1.1.04.04</t>
  </si>
  <si>
    <t>Mercadorias para Revenda</t>
  </si>
  <si>
    <t>1.1.04.04.001</t>
  </si>
  <si>
    <t>3.1.03.01.004</t>
  </si>
  <si>
    <t>Doações de Materiais</t>
  </si>
  <si>
    <t>3.4.02.03</t>
  </si>
  <si>
    <t>(-) Impostos s/ Receitas</t>
  </si>
  <si>
    <t>3.4.02.03.003</t>
  </si>
  <si>
    <t>ICMS S/ Venda de Mercadorias</t>
  </si>
  <si>
    <t>1.2.03.02.008</t>
  </si>
  <si>
    <t>10075</t>
  </si>
  <si>
    <t>10110</t>
  </si>
  <si>
    <t>10131</t>
  </si>
  <si>
    <t>10132</t>
  </si>
  <si>
    <t>10133</t>
  </si>
  <si>
    <t>10200</t>
  </si>
  <si>
    <t>10223</t>
  </si>
  <si>
    <t>10377</t>
  </si>
  <si>
    <t>10660</t>
  </si>
  <si>
    <t>10735</t>
  </si>
  <si>
    <t>10867</t>
  </si>
  <si>
    <t>10874</t>
  </si>
  <si>
    <t>1.1.04.05</t>
  </si>
  <si>
    <t>Doações</t>
  </si>
  <si>
    <t>10888</t>
  </si>
  <si>
    <t>1.1.04.05.001</t>
  </si>
  <si>
    <t xml:space="preserve">Doações de Alimentos </t>
  </si>
  <si>
    <t>11005</t>
  </si>
  <si>
    <t>11140</t>
  </si>
  <si>
    <t>11205</t>
  </si>
  <si>
    <t>11210</t>
  </si>
  <si>
    <t>11230</t>
  </si>
  <si>
    <t>11240</t>
  </si>
  <si>
    <t>11275</t>
  </si>
  <si>
    <t>11290</t>
  </si>
  <si>
    <t>11320</t>
  </si>
  <si>
    <t>11335</t>
  </si>
  <si>
    <t>11350</t>
  </si>
  <si>
    <t>11365</t>
  </si>
  <si>
    <t>11380</t>
  </si>
  <si>
    <t>11410</t>
  </si>
  <si>
    <t>11415</t>
  </si>
  <si>
    <t>11440</t>
  </si>
  <si>
    <t>11470</t>
  </si>
  <si>
    <t>11485</t>
  </si>
  <si>
    <t>11500</t>
  </si>
  <si>
    <t>11515</t>
  </si>
  <si>
    <t>11530</t>
  </si>
  <si>
    <t>11560</t>
  </si>
  <si>
    <t>11565</t>
  </si>
  <si>
    <t>20060</t>
  </si>
  <si>
    <t>20105</t>
  </si>
  <si>
    <t>20135</t>
  </si>
  <si>
    <t>20150</t>
  </si>
  <si>
    <t>20165</t>
  </si>
  <si>
    <t>10097</t>
  </si>
  <si>
    <t>20195</t>
  </si>
  <si>
    <t>20210</t>
  </si>
  <si>
    <t>20225</t>
  </si>
  <si>
    <t>10104</t>
  </si>
  <si>
    <t>20255</t>
  </si>
  <si>
    <t>20270</t>
  </si>
  <si>
    <t>20360</t>
  </si>
  <si>
    <t>20375</t>
  </si>
  <si>
    <t>20420</t>
  </si>
  <si>
    <t>20460</t>
  </si>
  <si>
    <t>20495</t>
  </si>
  <si>
    <t>20510</t>
  </si>
  <si>
    <t>20515</t>
  </si>
  <si>
    <t>20525</t>
  </si>
  <si>
    <t>20540</t>
  </si>
  <si>
    <t>20576</t>
  </si>
  <si>
    <t>20750</t>
  </si>
  <si>
    <t>20790</t>
  </si>
  <si>
    <t>21170</t>
  </si>
  <si>
    <t>21185</t>
  </si>
  <si>
    <t>21245</t>
  </si>
  <si>
    <t>21320</t>
  </si>
  <si>
    <t>21335</t>
  </si>
  <si>
    <t>21365</t>
  </si>
  <si>
    <t>30471</t>
  </si>
  <si>
    <t>30476</t>
  </si>
  <si>
    <t>30675</t>
  </si>
  <si>
    <t>30690</t>
  </si>
  <si>
    <t>10895</t>
  </si>
  <si>
    <t>3.1.03.01.006</t>
  </si>
  <si>
    <t xml:space="preserve">Doações de Generos Alimentícios </t>
  </si>
  <si>
    <t>30735</t>
  </si>
  <si>
    <t>31291</t>
  </si>
  <si>
    <t>31645</t>
  </si>
  <si>
    <t>31680</t>
  </si>
  <si>
    <t>30736</t>
  </si>
  <si>
    <t>40060</t>
  </si>
  <si>
    <t>40075</t>
  </si>
  <si>
    <t>40085</t>
  </si>
  <si>
    <t>10111</t>
  </si>
  <si>
    <t>10118</t>
  </si>
  <si>
    <t>10139</t>
  </si>
  <si>
    <t>10146</t>
  </si>
  <si>
    <t>10153</t>
  </si>
  <si>
    <t>10160</t>
  </si>
  <si>
    <t>40165</t>
  </si>
  <si>
    <t>40195</t>
  </si>
  <si>
    <t>40225</t>
  </si>
  <si>
    <t>40240</t>
  </si>
  <si>
    <t>40255</t>
  </si>
  <si>
    <t>40300</t>
  </si>
  <si>
    <t>40339</t>
  </si>
  <si>
    <t>40341</t>
  </si>
  <si>
    <t>40350</t>
  </si>
  <si>
    <t>40354</t>
  </si>
  <si>
    <t>40355</t>
  </si>
  <si>
    <t>40366</t>
  </si>
  <si>
    <t>40425</t>
  </si>
  <si>
    <t>40468</t>
  </si>
  <si>
    <t>40469</t>
  </si>
  <si>
    <t>50060</t>
  </si>
  <si>
    <t>50090</t>
  </si>
  <si>
    <t>50105</t>
  </si>
  <si>
    <t>10167</t>
  </si>
  <si>
    <t>10174</t>
  </si>
  <si>
    <t>10181</t>
  </si>
  <si>
    <t>10188</t>
  </si>
  <si>
    <t>10202</t>
  </si>
  <si>
    <t>10209</t>
  </si>
  <si>
    <t>50165</t>
  </si>
  <si>
    <t>50195</t>
  </si>
  <si>
    <t>50211</t>
  </si>
  <si>
    <t>50225</t>
  </si>
  <si>
    <t>50240</t>
  </si>
  <si>
    <t>50255</t>
  </si>
  <si>
    <t>50295</t>
  </si>
  <si>
    <t>50315</t>
  </si>
  <si>
    <t>50330</t>
  </si>
  <si>
    <t>50360</t>
  </si>
  <si>
    <t>50375</t>
  </si>
  <si>
    <t>50405</t>
  </si>
  <si>
    <t>50430</t>
  </si>
  <si>
    <t>50432</t>
  </si>
  <si>
    <t>50480</t>
  </si>
  <si>
    <t>50495</t>
  </si>
  <si>
    <t>50500</t>
  </si>
  <si>
    <t>50540</t>
  </si>
  <si>
    <t>50570</t>
  </si>
  <si>
    <t>50690</t>
  </si>
  <si>
    <t>50705</t>
  </si>
  <si>
    <t>50720</t>
  </si>
  <si>
    <t>50780</t>
  </si>
  <si>
    <t>50795</t>
  </si>
  <si>
    <t>50810</t>
  </si>
  <si>
    <t>50945</t>
  </si>
  <si>
    <t>50965</t>
  </si>
  <si>
    <t>50975</t>
  </si>
  <si>
    <t>51019</t>
  </si>
  <si>
    <t>51080</t>
  </si>
  <si>
    <t>51200</t>
  </si>
  <si>
    <t>51245</t>
  </si>
  <si>
    <t>51290</t>
  </si>
  <si>
    <t>51305</t>
  </si>
  <si>
    <t>51335</t>
  </si>
  <si>
    <t>51337</t>
  </si>
  <si>
    <t>10237</t>
  </si>
  <si>
    <t>5.1.10.02</t>
  </si>
  <si>
    <t>Estoques Vencidos, Quebras e Contaminações</t>
  </si>
  <si>
    <t>5.1.10.02.099</t>
  </si>
  <si>
    <t>Perdas em Estoques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</si>
</sst>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* #,##0.00_);[Red]_(* \(#,##0.00\);_(* &quot;-&quot;??_);_(@_)"/>
    <numFmt numFmtId="165" formatCode="_(* #,##0.00%_);[Red]_(* \(#,##0.00%\);_(* &quot;-&quot;??_);_(@_)"/>
    <numFmt numFmtId="166" formatCode="_(* #,##0_);_(* \(#,##0\);_(* &quot;-&quot;??_);_(@_)"/>
    <numFmt numFmtId="167" formatCode="_(* #,##0_);[Red]_(* \(#,##0\);_(* &quot;-&quot;??_);_(@_)"/>
    <numFmt numFmtId="168" formatCode="_(* #,##0%_);[Red]_(* \(#,##0%\);_(* &quot;-&quot;??_);_(@_)"/>
    <numFmt numFmtId="169" formatCode="mmm/yyyy"/>
  </numFmts>
  <fonts count="24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FF00"/>
      <name val="Calibri"/>
      <family val="2"/>
      <scheme val="minor"/>
    </font>
    <font>
      <sz val="12"/>
      <color indexed="9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Arial"/>
      <family val="2"/>
    </font>
    <font>
      <sz val="10"/>
      <color indexed="8"/>
      <name val="Calibri"/>
      <family val="2"/>
      <scheme val="minor"/>
    </font>
    <font>
      <b/>
      <sz val="16"/>
      <color indexed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indexed="8"/>
      <name val="Tahoma"/>
      <family val="2"/>
    </font>
    <font>
      <u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theme="4" tint="0.3999755851924192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6">
    <xf numFmtId="0" fontId="0" fillId="0" borderId="0"/>
    <xf numFmtId="0" fontId="7" fillId="0" borderId="0"/>
    <xf numFmtId="0" fontId="6" fillId="0" borderId="0"/>
    <xf numFmtId="0" fontId="15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</cellStyleXfs>
  <cellXfs count="19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indent="1"/>
    </xf>
    <xf numFmtId="164" fontId="0" fillId="0" borderId="0" xfId="0" applyNumberFormat="1" applyAlignment="1">
      <alignment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164" fontId="2" fillId="0" borderId="2" xfId="0" applyNumberFormat="1" applyFont="1" applyBorder="1" applyAlignment="1">
      <alignment vertical="center"/>
    </xf>
    <xf numFmtId="0" fontId="2" fillId="0" borderId="0" xfId="0" applyFont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164" fontId="2" fillId="2" borderId="0" xfId="0" applyNumberFormat="1" applyFont="1" applyFill="1" applyAlignment="1">
      <alignment vertical="center"/>
    </xf>
    <xf numFmtId="164" fontId="2" fillId="0" borderId="0" xfId="0" applyNumberFormat="1" applyFon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left" vertical="center" indent="3"/>
    </xf>
    <xf numFmtId="164" fontId="2" fillId="0" borderId="3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164" fontId="2" fillId="0" borderId="4" xfId="0" applyNumberFormat="1" applyFont="1" applyBorder="1" applyAlignment="1">
      <alignment vertical="center"/>
    </xf>
    <xf numFmtId="0" fontId="3" fillId="0" borderId="0" xfId="0" applyFont="1" applyAlignment="1">
      <alignment horizontal="left" vertical="center" indent="1"/>
    </xf>
    <xf numFmtId="164" fontId="4" fillId="3" borderId="0" xfId="0" applyNumberFormat="1" applyFont="1" applyFill="1" applyAlignment="1">
      <alignment horizontal="center" vertical="center"/>
    </xf>
    <xf numFmtId="0" fontId="2" fillId="0" borderId="0" xfId="0" applyFont="1" applyAlignment="1">
      <alignment vertical="top"/>
    </xf>
    <xf numFmtId="165" fontId="0" fillId="0" borderId="0" xfId="0" applyNumberFormat="1" applyAlignment="1">
      <alignment vertical="center"/>
    </xf>
    <xf numFmtId="0" fontId="8" fillId="0" borderId="0" xfId="1" applyFont="1" applyAlignment="1" applyProtection="1">
      <alignment vertical="center"/>
      <protection hidden="1"/>
    </xf>
    <xf numFmtId="166" fontId="8" fillId="0" borderId="0" xfId="1" applyNumberFormat="1" applyFont="1" applyAlignment="1" applyProtection="1">
      <alignment vertical="center"/>
      <protection hidden="1"/>
    </xf>
    <xf numFmtId="0" fontId="9" fillId="0" borderId="0" xfId="1" applyFont="1" applyAlignment="1" applyProtection="1">
      <alignment vertical="center"/>
      <protection hidden="1"/>
    </xf>
    <xf numFmtId="37" fontId="8" fillId="0" borderId="0" xfId="1" applyNumberFormat="1" applyFont="1" applyAlignment="1" applyProtection="1">
      <alignment vertical="center"/>
      <protection hidden="1"/>
    </xf>
    <xf numFmtId="0" fontId="6" fillId="0" borderId="0" xfId="2" applyAlignment="1" applyProtection="1">
      <alignment vertical="center"/>
      <protection hidden="1"/>
    </xf>
    <xf numFmtId="14" fontId="6" fillId="0" borderId="0" xfId="2" applyNumberFormat="1" applyAlignment="1" applyProtection="1">
      <alignment horizontal="center" vertical="center"/>
      <protection hidden="1"/>
    </xf>
    <xf numFmtId="0" fontId="10" fillId="0" borderId="0" xfId="1" applyFont="1" applyAlignment="1" applyProtection="1">
      <alignment horizontal="left" vertical="center" indent="1"/>
      <protection hidden="1"/>
    </xf>
    <xf numFmtId="166" fontId="10" fillId="0" borderId="0" xfId="1" applyNumberFormat="1" applyFont="1" applyAlignment="1" applyProtection="1">
      <alignment vertical="center"/>
      <protection hidden="1"/>
    </xf>
    <xf numFmtId="0" fontId="10" fillId="0" borderId="0" xfId="1" applyFont="1" applyAlignment="1" applyProtection="1">
      <alignment vertical="center"/>
      <protection hidden="1"/>
    </xf>
    <xf numFmtId="0" fontId="11" fillId="0" borderId="0" xfId="1" applyFont="1" applyAlignment="1" applyProtection="1">
      <alignment vertical="center"/>
      <protection hidden="1"/>
    </xf>
    <xf numFmtId="0" fontId="11" fillId="0" borderId="0" xfId="1" applyFont="1" applyAlignment="1" applyProtection="1">
      <alignment horizontal="left" vertical="center" indent="1"/>
      <protection hidden="1"/>
    </xf>
    <xf numFmtId="166" fontId="11" fillId="0" borderId="0" xfId="1" applyNumberFormat="1" applyFont="1" applyAlignment="1" applyProtection="1">
      <alignment vertical="center"/>
      <protection hidden="1"/>
    </xf>
    <xf numFmtId="0" fontId="10" fillId="0" borderId="0" xfId="1" applyFont="1" applyAlignment="1" applyProtection="1">
      <alignment horizontal="center" vertical="center"/>
      <protection hidden="1"/>
    </xf>
    <xf numFmtId="37" fontId="11" fillId="0" borderId="0" xfId="1" applyNumberFormat="1" applyFont="1" applyAlignment="1" applyProtection="1">
      <alignment vertical="center"/>
      <protection hidden="1"/>
    </xf>
    <xf numFmtId="166" fontId="10" fillId="0" borderId="0" xfId="1" applyNumberFormat="1" applyFont="1" applyAlignment="1" applyProtection="1">
      <alignment horizontal="center" vertical="center"/>
      <protection hidden="1"/>
    </xf>
    <xf numFmtId="37" fontId="10" fillId="0" borderId="0" xfId="1" applyNumberFormat="1" applyFont="1" applyAlignment="1" applyProtection="1">
      <alignment horizontal="center" vertical="center"/>
      <protection hidden="1"/>
    </xf>
    <xf numFmtId="0" fontId="13" fillId="0" borderId="0" xfId="1" applyFont="1" applyAlignment="1" applyProtection="1">
      <alignment vertical="center"/>
      <protection hidden="1"/>
    </xf>
    <xf numFmtId="0" fontId="5" fillId="0" borderId="5" xfId="1" applyFont="1" applyBorder="1" applyAlignment="1" applyProtection="1">
      <alignment horizontal="left" vertical="center" indent="1"/>
      <protection hidden="1"/>
    </xf>
    <xf numFmtId="0" fontId="5" fillId="0" borderId="6" xfId="1" applyFont="1" applyBorder="1" applyAlignment="1" applyProtection="1">
      <alignment horizontal="center" vertical="center"/>
      <protection hidden="1"/>
    </xf>
    <xf numFmtId="0" fontId="5" fillId="0" borderId="2" xfId="1" applyFont="1" applyBorder="1" applyAlignment="1" applyProtection="1">
      <alignment horizontal="left" vertical="center" indent="1"/>
      <protection hidden="1"/>
    </xf>
    <xf numFmtId="0" fontId="5" fillId="0" borderId="5" xfId="1" applyFont="1" applyBorder="1" applyAlignment="1" applyProtection="1">
      <alignment horizontal="left" vertical="center" wrapText="1" indent="1"/>
      <protection hidden="1"/>
    </xf>
    <xf numFmtId="37" fontId="5" fillId="0" borderId="6" xfId="1" quotePrefix="1" applyNumberFormat="1" applyFont="1" applyBorder="1" applyAlignment="1" applyProtection="1">
      <alignment horizontal="right" vertical="center"/>
      <protection hidden="1"/>
    </xf>
    <xf numFmtId="0" fontId="5" fillId="0" borderId="9" xfId="1" applyFont="1" applyBorder="1" applyAlignment="1" applyProtection="1">
      <alignment horizontal="left" vertical="center" indent="1"/>
      <protection hidden="1"/>
    </xf>
    <xf numFmtId="0" fontId="5" fillId="0" borderId="10" xfId="1" applyFont="1" applyBorder="1" applyAlignment="1" applyProtection="1">
      <alignment horizontal="center" vertical="center"/>
      <protection hidden="1"/>
    </xf>
    <xf numFmtId="0" fontId="5" fillId="0" borderId="0" xfId="1" applyFont="1" applyAlignment="1" applyProtection="1">
      <alignment horizontal="left" vertical="center" indent="1"/>
      <protection hidden="1"/>
    </xf>
    <xf numFmtId="166" fontId="5" fillId="0" borderId="0" xfId="3" applyNumberFormat="1" applyFont="1" applyAlignment="1" applyProtection="1">
      <alignment vertical="center"/>
      <protection hidden="1"/>
    </xf>
    <xf numFmtId="37" fontId="5" fillId="0" borderId="10" xfId="3" applyNumberFormat="1" applyFont="1" applyBorder="1" applyAlignment="1" applyProtection="1">
      <alignment vertical="center"/>
      <protection hidden="1"/>
    </xf>
    <xf numFmtId="0" fontId="6" fillId="0" borderId="0" xfId="2" applyAlignment="1" applyProtection="1">
      <alignment horizontal="left" vertical="center" indent="1"/>
      <protection hidden="1"/>
    </xf>
    <xf numFmtId="0" fontId="5" fillId="0" borderId="9" xfId="1" applyFont="1" applyBorder="1" applyAlignment="1" applyProtection="1">
      <alignment horizontal="left" vertical="center" indent="2"/>
      <protection hidden="1"/>
    </xf>
    <xf numFmtId="0" fontId="8" fillId="0" borderId="10" xfId="1" applyFont="1" applyBorder="1" applyAlignment="1" applyProtection="1">
      <alignment vertical="center"/>
      <protection hidden="1"/>
    </xf>
    <xf numFmtId="0" fontId="14" fillId="0" borderId="0" xfId="1" applyFont="1" applyAlignment="1" applyProtection="1">
      <alignment horizontal="left" vertical="center" indent="2"/>
      <protection hidden="1"/>
    </xf>
    <xf numFmtId="166" fontId="8" fillId="0" borderId="0" xfId="3" applyNumberFormat="1" applyFont="1" applyAlignment="1" applyProtection="1">
      <alignment vertical="center"/>
      <protection hidden="1"/>
    </xf>
    <xf numFmtId="0" fontId="16" fillId="0" borderId="9" xfId="1" applyFont="1" applyBorder="1" applyAlignment="1" applyProtection="1">
      <alignment horizontal="left" vertical="center" indent="3"/>
      <protection hidden="1"/>
    </xf>
    <xf numFmtId="37" fontId="8" fillId="0" borderId="10" xfId="1" applyNumberFormat="1" applyFont="1" applyBorder="1" applyAlignment="1" applyProtection="1">
      <alignment vertical="center"/>
      <protection hidden="1"/>
    </xf>
    <xf numFmtId="166" fontId="8" fillId="0" borderId="1" xfId="3" applyNumberFormat="1" applyFont="1" applyBorder="1" applyAlignment="1" applyProtection="1">
      <alignment vertical="center"/>
      <protection hidden="1"/>
    </xf>
    <xf numFmtId="37" fontId="5" fillId="0" borderId="10" xfId="1" applyNumberFormat="1" applyFont="1" applyBorder="1" applyAlignment="1" applyProtection="1">
      <alignment vertical="center"/>
      <protection hidden="1"/>
    </xf>
    <xf numFmtId="37" fontId="8" fillId="0" borderId="10" xfId="3" applyNumberFormat="1" applyFont="1" applyBorder="1" applyAlignment="1" applyProtection="1">
      <alignment vertical="center"/>
      <protection hidden="1"/>
    </xf>
    <xf numFmtId="0" fontId="8" fillId="0" borderId="9" xfId="1" applyFont="1" applyBorder="1" applyAlignment="1" applyProtection="1">
      <alignment horizontal="left" vertical="center" indent="1"/>
      <protection hidden="1"/>
    </xf>
    <xf numFmtId="0" fontId="8" fillId="0" borderId="9" xfId="1" applyFont="1" applyBorder="1" applyAlignment="1" applyProtection="1">
      <alignment horizontal="left" vertical="center" indent="2"/>
      <protection hidden="1"/>
    </xf>
    <xf numFmtId="0" fontId="5" fillId="0" borderId="0" xfId="1" applyFont="1" applyAlignment="1" applyProtection="1">
      <alignment horizontal="left" vertical="center" indent="2"/>
      <protection hidden="1"/>
    </xf>
    <xf numFmtId="0" fontId="8" fillId="0" borderId="9" xfId="1" applyFont="1" applyBorder="1" applyAlignment="1" applyProtection="1">
      <alignment horizontal="left" vertical="center" indent="3"/>
      <protection hidden="1"/>
    </xf>
    <xf numFmtId="0" fontId="8" fillId="0" borderId="0" xfId="1" applyFont="1" applyAlignment="1" applyProtection="1">
      <alignment horizontal="left" vertical="center" indent="1"/>
      <protection hidden="1"/>
    </xf>
    <xf numFmtId="0" fontId="14" fillId="0" borderId="0" xfId="1" applyFont="1" applyAlignment="1" applyProtection="1">
      <alignment horizontal="left" vertical="center" indent="1"/>
      <protection hidden="1"/>
    </xf>
    <xf numFmtId="0" fontId="8" fillId="0" borderId="7" xfId="1" applyFont="1" applyBorder="1" applyAlignment="1" applyProtection="1">
      <alignment horizontal="left" vertical="center" indent="1"/>
      <protection hidden="1"/>
    </xf>
    <xf numFmtId="0" fontId="8" fillId="0" borderId="8" xfId="1" applyFont="1" applyBorder="1" applyAlignment="1" applyProtection="1">
      <alignment vertical="center"/>
      <protection hidden="1"/>
    </xf>
    <xf numFmtId="0" fontId="8" fillId="0" borderId="1" xfId="1" applyFont="1" applyBorder="1" applyAlignment="1" applyProtection="1">
      <alignment horizontal="left" vertical="center" indent="1"/>
      <protection hidden="1"/>
    </xf>
    <xf numFmtId="166" fontId="8" fillId="0" borderId="1" xfId="1" applyNumberFormat="1" applyFont="1" applyBorder="1" applyAlignment="1" applyProtection="1">
      <alignment vertical="center"/>
      <protection hidden="1"/>
    </xf>
    <xf numFmtId="0" fontId="5" fillId="0" borderId="0" xfId="1" applyFont="1" applyAlignment="1" applyProtection="1">
      <alignment vertical="center"/>
      <protection hidden="1"/>
    </xf>
    <xf numFmtId="166" fontId="17" fillId="0" borderId="0" xfId="1" applyNumberFormat="1" applyFont="1" applyAlignment="1" applyProtection="1">
      <alignment horizontal="left" vertical="center"/>
      <protection hidden="1"/>
    </xf>
    <xf numFmtId="0" fontId="5" fillId="0" borderId="2" xfId="1" applyFont="1" applyBorder="1" applyAlignment="1" applyProtection="1">
      <alignment horizontal="left" vertical="center" wrapText="1" indent="1"/>
      <protection hidden="1"/>
    </xf>
    <xf numFmtId="166" fontId="17" fillId="0" borderId="0" xfId="1" applyNumberFormat="1" applyFont="1" applyAlignment="1" applyProtection="1">
      <alignment vertical="center"/>
      <protection hidden="1"/>
    </xf>
    <xf numFmtId="0" fontId="0" fillId="6" borderId="0" xfId="0" applyFill="1" applyAlignment="1">
      <alignment horizontal="left" vertical="center" indent="1"/>
    </xf>
    <xf numFmtId="0" fontId="0" fillId="6" borderId="0" xfId="0" applyFill="1" applyAlignment="1">
      <alignment horizontal="left" vertical="center" indent="2"/>
    </xf>
    <xf numFmtId="164" fontId="0" fillId="6" borderId="0" xfId="0" applyNumberFormat="1" applyFill="1" applyAlignment="1">
      <alignment vertical="center"/>
    </xf>
    <xf numFmtId="165" fontId="18" fillId="6" borderId="0" xfId="0" applyNumberFormat="1" applyFont="1" applyFill="1" applyAlignment="1">
      <alignment vertical="center"/>
    </xf>
    <xf numFmtId="165" fontId="18" fillId="0" borderId="0" xfId="0" applyNumberFormat="1" applyFont="1" applyAlignment="1">
      <alignment vertical="center"/>
    </xf>
    <xf numFmtId="165" fontId="19" fillId="0" borderId="0" xfId="0" applyNumberFormat="1" applyFont="1" applyAlignment="1">
      <alignment vertical="center"/>
    </xf>
    <xf numFmtId="165" fontId="19" fillId="0" borderId="3" xfId="0" applyNumberFormat="1" applyFont="1" applyBorder="1" applyAlignment="1">
      <alignment vertical="center"/>
    </xf>
    <xf numFmtId="165" fontId="19" fillId="0" borderId="4" xfId="0" applyNumberFormat="1" applyFont="1" applyBorder="1" applyAlignment="1">
      <alignment vertical="center"/>
    </xf>
    <xf numFmtId="165" fontId="2" fillId="0" borderId="0" xfId="0" applyNumberFormat="1" applyFont="1" applyAlignment="1">
      <alignment vertical="center"/>
    </xf>
    <xf numFmtId="165" fontId="19" fillId="0" borderId="2" xfId="0" applyNumberFormat="1" applyFont="1" applyBorder="1" applyAlignment="1">
      <alignment vertical="center"/>
    </xf>
    <xf numFmtId="165" fontId="20" fillId="3" borderId="0" xfId="0" applyNumberFormat="1" applyFont="1" applyFill="1" applyAlignment="1">
      <alignment horizontal="center" vertical="center"/>
    </xf>
    <xf numFmtId="165" fontId="4" fillId="3" borderId="0" xfId="0" applyNumberFormat="1" applyFont="1" applyFill="1" applyAlignment="1">
      <alignment horizontal="center" vertical="center"/>
    </xf>
    <xf numFmtId="14" fontId="4" fillId="5" borderId="12" xfId="2" applyNumberFormat="1" applyFont="1" applyFill="1" applyBorder="1" applyAlignment="1" applyProtection="1">
      <alignment horizontal="center" vertical="center"/>
      <protection hidden="1"/>
    </xf>
    <xf numFmtId="14" fontId="2" fillId="0" borderId="13" xfId="2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right" vertical="center" indent="1"/>
    </xf>
    <xf numFmtId="0" fontId="0" fillId="0" borderId="0" xfId="0" applyAlignment="1">
      <alignment horizontal="right" vertical="center" indent="1"/>
    </xf>
    <xf numFmtId="0" fontId="5" fillId="0" borderId="0" xfId="1" applyFont="1" applyAlignment="1" applyProtection="1">
      <alignment horizontal="right" vertical="center" indent="1"/>
      <protection hidden="1"/>
    </xf>
    <xf numFmtId="0" fontId="6" fillId="0" borderId="9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indent="1"/>
    </xf>
    <xf numFmtId="167" fontId="5" fillId="0" borderId="0" xfId="0" applyNumberFormat="1" applyFont="1" applyAlignment="1">
      <alignment horizontal="left" vertical="center" indent="1"/>
    </xf>
    <xf numFmtId="167" fontId="2" fillId="7" borderId="0" xfId="0" applyNumberFormat="1" applyFont="1" applyFill="1" applyAlignment="1">
      <alignment horizontal="left" vertical="center" indent="1"/>
    </xf>
    <xf numFmtId="0" fontId="2" fillId="8" borderId="0" xfId="0" applyFont="1" applyFill="1" applyAlignment="1">
      <alignment vertical="center"/>
    </xf>
    <xf numFmtId="165" fontId="2" fillId="8" borderId="0" xfId="0" applyNumberFormat="1" applyFont="1" applyFill="1" applyAlignment="1">
      <alignment vertical="center"/>
    </xf>
    <xf numFmtId="166" fontId="5" fillId="0" borderId="0" xfId="3" applyNumberFormat="1" applyFont="1" applyBorder="1" applyAlignment="1" applyProtection="1">
      <alignment vertical="center"/>
      <protection hidden="1"/>
    </xf>
    <xf numFmtId="166" fontId="8" fillId="0" borderId="0" xfId="3" applyNumberFormat="1" applyFont="1" applyBorder="1" applyAlignment="1" applyProtection="1">
      <alignment vertical="center"/>
      <protection hidden="1"/>
    </xf>
    <xf numFmtId="0" fontId="0" fillId="0" borderId="9" xfId="0" applyBorder="1" applyAlignment="1">
      <alignment horizontal="left" vertical="center" indent="1"/>
    </xf>
    <xf numFmtId="0" fontId="8" fillId="0" borderId="0" xfId="1" applyFont="1" applyAlignment="1" applyProtection="1">
      <alignment horizontal="center" vertical="center"/>
      <protection hidden="1"/>
    </xf>
    <xf numFmtId="0" fontId="11" fillId="0" borderId="0" xfId="1" applyFont="1" applyAlignment="1" applyProtection="1">
      <alignment horizontal="center" vertical="center"/>
      <protection hidden="1"/>
    </xf>
    <xf numFmtId="0" fontId="5" fillId="0" borderId="0" xfId="1" applyFont="1" applyAlignment="1" applyProtection="1">
      <alignment horizontal="center" vertical="center"/>
      <protection hidden="1"/>
    </xf>
    <xf numFmtId="166" fontId="8" fillId="0" borderId="0" xfId="1" applyNumberFormat="1" applyFont="1" applyAlignment="1" applyProtection="1">
      <alignment horizontal="center" vertical="center"/>
      <protection hidden="1"/>
    </xf>
    <xf numFmtId="166" fontId="11" fillId="0" borderId="0" xfId="1" applyNumberFormat="1" applyFont="1" applyAlignment="1" applyProtection="1">
      <alignment horizontal="center" vertical="center"/>
      <protection hidden="1"/>
    </xf>
    <xf numFmtId="0" fontId="12" fillId="4" borderId="5" xfId="1" applyFont="1" applyFill="1" applyBorder="1" applyAlignment="1" applyProtection="1">
      <alignment horizontal="centerContinuous" vertical="center"/>
      <protection hidden="1"/>
    </xf>
    <xf numFmtId="0" fontId="12" fillId="4" borderId="2" xfId="1" applyFont="1" applyFill="1" applyBorder="1" applyAlignment="1" applyProtection="1">
      <alignment horizontal="centerContinuous" vertical="center"/>
      <protection hidden="1"/>
    </xf>
    <xf numFmtId="0" fontId="12" fillId="4" borderId="6" xfId="1" applyFont="1" applyFill="1" applyBorder="1" applyAlignment="1" applyProtection="1">
      <alignment horizontal="centerContinuous" vertical="center"/>
      <protection hidden="1"/>
    </xf>
    <xf numFmtId="2" fontId="12" fillId="4" borderId="7" xfId="1" applyNumberFormat="1" applyFont="1" applyFill="1" applyBorder="1" applyAlignment="1" applyProtection="1">
      <alignment horizontal="centerContinuous" vertical="center"/>
      <protection hidden="1"/>
    </xf>
    <xf numFmtId="2" fontId="12" fillId="4" borderId="1" xfId="1" applyNumberFormat="1" applyFont="1" applyFill="1" applyBorder="1" applyAlignment="1" applyProtection="1">
      <alignment horizontal="centerContinuous" vertical="center"/>
      <protection hidden="1"/>
    </xf>
    <xf numFmtId="2" fontId="12" fillId="4" borderId="8" xfId="1" applyNumberFormat="1" applyFont="1" applyFill="1" applyBorder="1" applyAlignment="1" applyProtection="1">
      <alignment horizontal="centerContinuous" vertical="center"/>
      <protection hidden="1"/>
    </xf>
    <xf numFmtId="0" fontId="12" fillId="4" borderId="1" xfId="1" applyFont="1" applyFill="1" applyBorder="1" applyAlignment="1" applyProtection="1">
      <alignment horizontal="centerContinuous" vertical="center"/>
      <protection hidden="1"/>
    </xf>
    <xf numFmtId="0" fontId="12" fillId="4" borderId="8" xfId="1" applyFont="1" applyFill="1" applyBorder="1" applyAlignment="1" applyProtection="1">
      <alignment horizontal="centerContinuous" vertical="center"/>
      <protection hidden="1"/>
    </xf>
    <xf numFmtId="168" fontId="8" fillId="0" borderId="0" xfId="3" applyNumberFormat="1" applyFont="1" applyAlignment="1" applyProtection="1">
      <alignment vertical="center"/>
      <protection hidden="1"/>
    </xf>
    <xf numFmtId="168" fontId="5" fillId="0" borderId="3" xfId="3" applyNumberFormat="1" applyFont="1" applyBorder="1" applyAlignment="1" applyProtection="1">
      <alignment vertical="center"/>
      <protection hidden="1"/>
    </xf>
    <xf numFmtId="168" fontId="5" fillId="0" borderId="1" xfId="3" applyNumberFormat="1" applyFont="1" applyBorder="1" applyAlignment="1" applyProtection="1">
      <alignment vertical="center"/>
      <protection hidden="1"/>
    </xf>
    <xf numFmtId="168" fontId="8" fillId="0" borderId="0" xfId="3" applyNumberFormat="1" applyFont="1" applyBorder="1" applyAlignment="1" applyProtection="1">
      <alignment vertical="center"/>
      <protection hidden="1"/>
    </xf>
    <xf numFmtId="168" fontId="5" fillId="0" borderId="0" xfId="3" applyNumberFormat="1" applyFont="1" applyAlignment="1" applyProtection="1">
      <alignment vertical="center"/>
      <protection hidden="1"/>
    </xf>
    <xf numFmtId="168" fontId="5" fillId="0" borderId="4" xfId="3" applyNumberFormat="1" applyFont="1" applyBorder="1" applyAlignment="1" applyProtection="1">
      <alignment vertical="center"/>
      <protection hidden="1"/>
    </xf>
    <xf numFmtId="168" fontId="5" fillId="0" borderId="2" xfId="3" applyNumberFormat="1" applyFont="1" applyBorder="1" applyAlignment="1" applyProtection="1">
      <alignment vertical="center"/>
      <protection hidden="1"/>
    </xf>
    <xf numFmtId="168" fontId="6" fillId="0" borderId="0" xfId="2" applyNumberFormat="1" applyAlignment="1" applyProtection="1">
      <alignment vertical="center"/>
      <protection hidden="1"/>
    </xf>
    <xf numFmtId="0" fontId="8" fillId="0" borderId="1" xfId="1" applyFont="1" applyBorder="1" applyAlignment="1" applyProtection="1">
      <alignment vertical="center"/>
      <protection hidden="1"/>
    </xf>
    <xf numFmtId="0" fontId="5" fillId="0" borderId="10" xfId="1" applyFont="1" applyBorder="1" applyAlignment="1" applyProtection="1">
      <alignment vertical="center"/>
      <protection hidden="1"/>
    </xf>
    <xf numFmtId="0" fontId="14" fillId="0" borderId="0" xfId="1" applyFont="1" applyAlignment="1" applyProtection="1">
      <alignment vertical="center"/>
      <protection hidden="1"/>
    </xf>
    <xf numFmtId="169" fontId="2" fillId="0" borderId="1" xfId="0" applyNumberFormat="1" applyFont="1" applyBorder="1" applyAlignment="1">
      <alignment horizontal="right" vertical="center" indent="1"/>
    </xf>
    <xf numFmtId="164" fontId="2" fillId="0" borderId="1" xfId="0" applyNumberFormat="1" applyFont="1" applyBorder="1" applyAlignment="1">
      <alignment vertical="center"/>
    </xf>
    <xf numFmtId="164" fontId="8" fillId="0" borderId="0" xfId="3" applyNumberFormat="1" applyFont="1" applyAlignment="1" applyProtection="1">
      <alignment vertical="center"/>
      <protection hidden="1"/>
    </xf>
    <xf numFmtId="164" fontId="5" fillId="0" borderId="2" xfId="3" applyNumberFormat="1" applyFont="1" applyBorder="1" applyAlignment="1" applyProtection="1">
      <alignment vertical="center"/>
      <protection hidden="1"/>
    </xf>
    <xf numFmtId="164" fontId="5" fillId="0" borderId="0" xfId="3" applyNumberFormat="1" applyFont="1" applyAlignment="1" applyProtection="1">
      <alignment vertical="center"/>
      <protection hidden="1"/>
    </xf>
    <xf numFmtId="164" fontId="6" fillId="0" borderId="0" xfId="2" applyNumberFormat="1" applyAlignment="1" applyProtection="1">
      <alignment vertical="center"/>
      <protection hidden="1"/>
    </xf>
    <xf numFmtId="164" fontId="8" fillId="0" borderId="1" xfId="3" applyNumberFormat="1" applyFont="1" applyBorder="1" applyAlignment="1" applyProtection="1">
      <alignment vertical="center"/>
      <protection hidden="1"/>
    </xf>
    <xf numFmtId="164" fontId="5" fillId="0" borderId="11" xfId="3" applyNumberFormat="1" applyFont="1" applyBorder="1" applyAlignment="1" applyProtection="1">
      <alignment vertical="center"/>
      <protection hidden="1"/>
    </xf>
    <xf numFmtId="164" fontId="8" fillId="0" borderId="0" xfId="3" applyNumberFormat="1" applyFont="1" applyBorder="1" applyAlignment="1" applyProtection="1">
      <alignment vertical="center"/>
      <protection hidden="1"/>
    </xf>
    <xf numFmtId="164" fontId="5" fillId="0" borderId="3" xfId="3" applyNumberFormat="1" applyFont="1" applyBorder="1" applyAlignment="1" applyProtection="1">
      <alignment vertical="center"/>
      <protection hidden="1"/>
    </xf>
    <xf numFmtId="164" fontId="5" fillId="0" borderId="1" xfId="3" applyNumberFormat="1" applyFont="1" applyBorder="1" applyAlignment="1" applyProtection="1">
      <alignment vertical="center"/>
      <protection hidden="1"/>
    </xf>
    <xf numFmtId="164" fontId="5" fillId="0" borderId="4" xfId="3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right" indent="1"/>
    </xf>
    <xf numFmtId="0" fontId="21" fillId="0" borderId="0" xfId="0" applyFont="1" applyAlignment="1">
      <alignment vertical="top" wrapText="1"/>
    </xf>
    <xf numFmtId="49" fontId="21" fillId="0" borderId="0" xfId="0" applyNumberFormat="1" applyFont="1" applyAlignment="1">
      <alignment vertical="top" wrapText="1"/>
    </xf>
    <xf numFmtId="0" fontId="22" fillId="0" borderId="0" xfId="0" applyFont="1" applyAlignment="1">
      <alignment vertical="center"/>
    </xf>
    <xf numFmtId="43" fontId="0" fillId="0" borderId="0" xfId="5" applyFont="1" applyAlignment="1">
      <alignment vertical="center"/>
    </xf>
    <xf numFmtId="43" fontId="0" fillId="0" borderId="0" xfId="0" applyNumberFormat="1" applyAlignment="1">
      <alignment vertical="center"/>
    </xf>
    <xf numFmtId="43" fontId="8" fillId="0" borderId="0" xfId="1" applyNumberFormat="1" applyFont="1" applyAlignment="1" applyProtection="1">
      <alignment vertical="center"/>
      <protection hidden="1"/>
    </xf>
    <xf numFmtId="2" fontId="6" fillId="0" borderId="0" xfId="2" applyNumberFormat="1" applyAlignment="1" applyProtection="1">
      <alignment horizontal="center" vertical="center"/>
      <protection hidden="1"/>
    </xf>
    <xf numFmtId="43" fontId="6" fillId="0" borderId="0" xfId="2" applyNumberFormat="1" applyAlignment="1" applyProtection="1">
      <alignment vertical="center"/>
      <protection hidden="1"/>
    </xf>
    <xf numFmtId="43" fontId="10" fillId="0" borderId="0" xfId="5" applyFont="1" applyAlignment="1" applyProtection="1">
      <alignment horizontal="center" vertical="center"/>
      <protection hidden="1"/>
    </xf>
    <xf numFmtId="164" fontId="8" fillId="0" borderId="0" xfId="3" applyNumberFormat="1" applyFont="1" applyFill="1" applyAlignment="1" applyProtection="1">
      <alignment vertical="center"/>
      <protection hidden="1"/>
    </xf>
    <xf numFmtId="168" fontId="8" fillId="0" borderId="0" xfId="3" applyNumberFormat="1" applyFont="1" applyFill="1" applyAlignment="1" applyProtection="1">
      <alignment vertical="center"/>
      <protection hidden="1"/>
    </xf>
    <xf numFmtId="0" fontId="16" fillId="0" borderId="0" xfId="1" applyFont="1" applyAlignment="1" applyProtection="1">
      <alignment horizontal="left" vertical="center" indent="3"/>
      <protection hidden="1"/>
    </xf>
    <xf numFmtId="164" fontId="5" fillId="0" borderId="2" xfId="3" applyNumberFormat="1" applyFont="1" applyFill="1" applyBorder="1" applyAlignment="1" applyProtection="1">
      <alignment vertical="center"/>
      <protection hidden="1"/>
    </xf>
    <xf numFmtId="168" fontId="5" fillId="0" borderId="2" xfId="3" applyNumberFormat="1" applyFont="1" applyFill="1" applyBorder="1" applyAlignment="1" applyProtection="1">
      <alignment vertical="center"/>
      <protection hidden="1"/>
    </xf>
    <xf numFmtId="168" fontId="5" fillId="0" borderId="0" xfId="3" applyNumberFormat="1" applyFont="1" applyFill="1" applyAlignment="1" applyProtection="1">
      <alignment vertical="center"/>
      <protection hidden="1"/>
    </xf>
    <xf numFmtId="164" fontId="5" fillId="0" borderId="0" xfId="3" applyNumberFormat="1" applyFont="1" applyFill="1" applyAlignment="1" applyProtection="1">
      <alignment vertical="center"/>
      <protection hidden="1"/>
    </xf>
    <xf numFmtId="0" fontId="8" fillId="0" borderId="0" xfId="1" applyFont="1" applyAlignment="1" applyProtection="1">
      <alignment horizontal="left" vertical="center" indent="2"/>
      <protection hidden="1"/>
    </xf>
    <xf numFmtId="164" fontId="8" fillId="0" borderId="0" xfId="1" applyNumberFormat="1" applyFont="1" applyAlignment="1" applyProtection="1">
      <alignment vertical="center"/>
      <protection hidden="1"/>
    </xf>
    <xf numFmtId="0" fontId="2" fillId="0" borderId="0" xfId="0" applyFont="1"/>
    <xf numFmtId="2" fontId="0" fillId="0" borderId="14" xfId="0" applyNumberFormat="1" applyBorder="1"/>
    <xf numFmtId="0" fontId="0" fillId="0" borderId="17" xfId="0" applyBorder="1"/>
    <xf numFmtId="0" fontId="0" fillId="0" borderId="18" xfId="0" applyBorder="1"/>
    <xf numFmtId="0" fontId="2" fillId="0" borderId="19" xfId="0" applyFont="1" applyBorder="1"/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2" fillId="0" borderId="22" xfId="0" applyFont="1" applyBorder="1"/>
    <xf numFmtId="0" fontId="0" fillId="0" borderId="23" xfId="0" applyBorder="1" applyAlignment="1">
      <alignment horizontal="center"/>
    </xf>
    <xf numFmtId="164" fontId="0" fillId="2" borderId="0" xfId="0" applyNumberFormat="1" applyFill="1" applyAlignment="1">
      <alignment vertical="center"/>
    </xf>
    <xf numFmtId="2" fontId="0" fillId="0" borderId="0" xfId="0" applyNumberFormat="1"/>
    <xf numFmtId="164" fontId="8" fillId="0" borderId="0" xfId="3" applyNumberFormat="1" applyFont="1" applyFill="1" applyBorder="1" applyAlignment="1" applyProtection="1">
      <alignment vertical="center"/>
      <protection hidden="1"/>
    </xf>
    <xf numFmtId="167" fontId="2" fillId="2" borderId="0" xfId="2" applyNumberFormat="1" applyFont="1" applyFill="1" applyAlignment="1" applyProtection="1">
      <alignment vertical="center"/>
      <protection hidden="1"/>
    </xf>
    <xf numFmtId="167" fontId="2" fillId="9" borderId="24" xfId="2" applyNumberFormat="1" applyFont="1" applyFill="1" applyBorder="1" applyAlignment="1" applyProtection="1">
      <alignment vertical="center"/>
      <protection locked="0"/>
    </xf>
    <xf numFmtId="43" fontId="0" fillId="0" borderId="0" xfId="5" applyFont="1"/>
    <xf numFmtId="43" fontId="0" fillId="0" borderId="14" xfId="5" applyFont="1" applyBorder="1"/>
    <xf numFmtId="2" fontId="0" fillId="0" borderId="0" xfId="0" applyNumberFormat="1" applyAlignment="1">
      <alignment vertical="center"/>
    </xf>
    <xf numFmtId="4" fontId="0" fillId="0" borderId="0" xfId="0" applyNumberFormat="1" applyAlignment="1">
      <alignment vertical="center"/>
    </xf>
    <xf numFmtId="164" fontId="5" fillId="0" borderId="0" xfId="3" applyNumberFormat="1" applyFont="1" applyBorder="1" applyAlignment="1" applyProtection="1">
      <alignment vertical="center"/>
      <protection hidden="1"/>
    </xf>
    <xf numFmtId="168" fontId="5" fillId="0" borderId="0" xfId="3" applyNumberFormat="1" applyFont="1" applyBorder="1" applyAlignment="1" applyProtection="1">
      <alignment vertical="center"/>
      <protection hidden="1"/>
    </xf>
    <xf numFmtId="0" fontId="0" fillId="2" borderId="0" xfId="0" applyFill="1" applyAlignment="1">
      <alignment horizontal="left" vertical="center" indent="2"/>
    </xf>
    <xf numFmtId="0" fontId="0" fillId="2" borderId="0" xfId="0" applyFill="1" applyAlignment="1">
      <alignment vertical="center"/>
    </xf>
    <xf numFmtId="0" fontId="0" fillId="0" borderId="0" xfId="0" applyAlignment="1">
      <alignment horizontal="right" indent="2"/>
    </xf>
    <xf numFmtId="0" fontId="0" fillId="0" borderId="0" xfId="0" applyAlignment="1">
      <alignment horizontal="right" indent="3"/>
    </xf>
    <xf numFmtId="0" fontId="0" fillId="0" borderId="0" xfId="0" applyAlignment="1">
      <alignment horizontal="right" indent="4"/>
    </xf>
    <xf numFmtId="0" fontId="0" fillId="10" borderId="25" xfId="0" applyFill="1" applyBorder="1" applyAlignment="1">
      <alignment horizontal="left" vertical="center" indent="1"/>
    </xf>
    <xf numFmtId="0" fontId="23" fillId="0" borderId="0" xfId="0" applyFont="1" applyAlignment="1">
      <alignment horizontal="left" vertical="center" indent="1"/>
    </xf>
    <xf numFmtId="43" fontId="8" fillId="0" borderId="0" xfId="5" applyFont="1" applyAlignment="1" applyProtection="1">
      <alignment vertical="center"/>
      <protection hidden="1"/>
    </xf>
    <xf numFmtId="0" fontId="0" fillId="2" borderId="0" xfId="0" applyFill="1" applyAlignment="1">
      <alignment horizontal="left" vertical="center" indent="1"/>
    </xf>
    <xf numFmtId="0" fontId="0" fillId="0" borderId="0" xfId="0" applyAlignment="1">
      <alignment horizontal="right" indent="5"/>
    </xf>
    <xf numFmtId="0" fontId="0" fillId="0" borderId="0" xfId="0" applyAlignment="1">
      <alignment horizontal="right" indent="6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right" indent="1"/>
    </xf>
    <xf numFmtId="0" fontId="0" fillId="0" borderId="0" xfId="0" applyAlignment="1">
      <alignment horizontal="right" indent="7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10" borderId="0" xfId="0" applyFill="1" applyAlignment="1">
      <alignment horizontal="left" vertical="center" indent="1"/>
    </xf>
    <xf numFmtId="0" fontId="0" fillId="0" borderId="25" xfId="0" applyBorder="1" applyAlignment="1">
      <alignment horizontal="left" vertical="center" indent="2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</cellXfs>
  <cellStyles count="6">
    <cellStyle name="Normal" xfId="0" builtinId="0"/>
    <cellStyle name="Normal 2" xfId="1" xr:uid="{006EAA20-F8E9-4ACB-A57E-F96C873BA84F}"/>
    <cellStyle name="Normal 3" xfId="2" xr:uid="{2A901AB4-2D5D-4114-A97C-A1EE32372B2A}"/>
    <cellStyle name="Normal 4" xfId="4" xr:uid="{E819A3E7-A861-41BB-BF53-95443CB19606}"/>
    <cellStyle name="Vírgula" xfId="5" builtinId="3"/>
    <cellStyle name="Vírgula 2" xfId="3" xr:uid="{9373B100-FA44-493D-867B-5D09637D727E}"/>
  </cellStyles>
  <dxfs count="261"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</dxf>
    <dxf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alignment horizont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alignment horizont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alignment horizontal="right" textRotation="0" wrapTex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</dxf>
    <dxf>
      <fill>
        <patternFill patternType="none">
          <fgColor indexed="64"/>
          <bgColor auto="1"/>
        </patternFill>
      </fill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alignment horizontal="right" textRotation="0" wrapText="0" relativeIndent="1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alignment horizontal="right" vertical="center" textRotation="0" wrapText="0" relativeIndent="1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</dxf>
    <dxf>
      <fill>
        <patternFill patternType="none">
          <fgColor indexed="64"/>
          <bgColor auto="1"/>
        </patternFill>
      </fill>
      <alignment horizontal="right" textRotation="0" wrapText="0" relativeIndent="1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2" formatCode="0.00"/>
    </dxf>
    <dxf>
      <numFmt numFmtId="0" formatCode="General"/>
    </dxf>
    <dxf>
      <numFmt numFmtId="0" formatCode="General"/>
    </dxf>
    <dxf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font>
        <b val="0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</font>
      <alignment horizontal="left" vertical="center" textRotation="0" wrapText="0" indent="1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left" vertical="center" textRotation="0" wrapText="0" indent="1" justifyLastLine="0" shrinkToFit="0" readingOrder="0"/>
    </dxf>
    <dxf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numFmt numFmtId="164" formatCode="_(* #,##0.00_);[Red]_(* \(#,##0.00\);_(* &quot;-&quot;??_);_(@_)"/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left" vertical="center" textRotation="0" wrapText="0" indent="1" justifyLastLine="0" shrinkToFit="0" readingOrder="0"/>
    </dxf>
    <dxf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numFmt numFmtId="164" formatCode="_(* #,##0.00_);[Red]_(* \(#,##0.00\);_(* &quot;-&quot;??_);_(@_)"/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</dxf>
    <dxf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numFmt numFmtId="164" formatCode="_(* #,##0.00_);[Red]_(* \(#,##0.00\);_(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protection locked="1" hidden="1"/>
    </dxf>
  </dxfs>
  <tableStyles count="0" defaultTableStyle="TableStyleMedium2" defaultPivotStyle="PivotStyleLight16"/>
  <colors>
    <mruColors>
      <color rgb="FF0000FF"/>
      <color rgb="FF99FF99"/>
      <color rgb="FF000080"/>
      <color rgb="FF66FF66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17/10/relationships/person" Target="persons/person.xml"/><Relationship Id="rId30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Jonathan Sá" id="{FC5CB3C4-C029-45E5-914E-8989B6DA1CDE}" userId="S::jonathan.sa@seedacc.com.br::c2fad077-b38b-47ca-9f42-4609681a2caa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DD782172-60E4-4051-A1F3-76557C2BDFAE}" name="Tab_Data" displayName="Tab_Data" ref="Y10:Y22" totalsRowShown="0" headerRowDxfId="260" dataDxfId="259" dataCellStyle="Normal 3">
  <autoFilter ref="Y10:Y22" xr:uid="{FCF1B103-BBDA-4202-A3A4-D2816C9E9210}"/>
  <tableColumns count="1">
    <tableColumn id="1" xr3:uid="{536795E5-7B84-4641-9237-367879F2A778}" name="DATA" dataDxfId="258" dataCellStyle="Normal 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BB5A0B8-8B74-4944-A6D7-C4EBE68A2870}" name="Tab_05.Mai" displayName="Tab_05.Mai" ref="B14:O284" totalsRowShown="0" headerRowDxfId="126" dataDxfId="125">
  <autoFilter ref="B14:O284" xr:uid="{8138E661-209A-4055-9483-F6E64ADE52E3}"/>
  <tableColumns count="14">
    <tableColumn id="11" xr3:uid="{298C394D-F355-448E-897C-58C10A819ABB}" name="TP" dataDxfId="124">
      <calculatedColumnFormula>_xlfn.XLOOKUP($I15,Tab_00.Trial[CONTA],Tab_00.Trial[TP],"",0,1)</calculatedColumnFormula>
    </tableColumn>
    <tableColumn id="9" xr3:uid="{5D5CE328-6F70-469E-85B6-96D19D5CB7E6}" name="NV" dataDxfId="123">
      <calculatedColumnFormula>_xlfn.XLOOKUP($I15,Tab_00.Trial[CONTA],Tab_00.Trial[NV],"",0,1)</calculatedColumnFormula>
    </tableColumn>
    <tableColumn id="10" xr3:uid="{05C0D332-1AFE-4817-B4C8-76F691BB5B42}" name="S/A" dataDxfId="122">
      <calculatedColumnFormula>_xlfn.XLOOKUP($I15,Tab_00.Trial[CONTA],Tab_00.Trial[S/A],"",0,1)</calculatedColumnFormula>
    </tableColumn>
    <tableColumn id="12" xr3:uid="{A0598F29-5610-456B-A9C2-2B20DA9BC29A}" name="CHK" dataDxfId="121">
      <calculatedColumnFormula>IF($I15="","",COUNTIFS(Tab_00.Trial[CONTA],$I15))</calculatedColumnFormula>
    </tableColumn>
    <tableColumn id="13" xr3:uid="{4B8D1215-8974-46F7-BFF0-978F3DF512AA}" name="SALDO FINAL_x000a_ANTERIOR" dataDxfId="120">
      <calculatedColumnFormula>SUMIFS(Tab_04.Abr[SALDO
ATUAL],Tab_04.Abr[CONTA],$I15)</calculatedColumnFormula>
    </tableColumn>
    <tableColumn id="14" xr3:uid="{458716B3-373F-4523-B233-CCC8220834E1}" name="DIFERENÇA" dataDxfId="119">
      <calculatedColumnFormula>$F15-$K15</calculatedColumnFormula>
    </tableColumn>
    <tableColumn id="2" xr3:uid="{CD1DA9C1-56DF-43F9-BFAE-5B2B7E9CBE0D}" name="REDUZIDO"/>
    <tableColumn id="1" xr3:uid="{CCD78BD4-E919-4472-AC65-C9DF3DCD0A0E}" name="CONTA" dataDxfId="118"/>
    <tableColumn id="3" xr3:uid="{B4F62DF8-3730-4C43-8DED-DDBC8E507B6F}" name="DESCRIÇÃO" dataDxfId="117"/>
    <tableColumn id="4" xr3:uid="{F28C5E1E-61B7-4BBF-AEA2-AF6BBC2D169B}" name="SALDO_x000a_ANTERIOR" dataDxfId="116"/>
    <tableColumn id="5" xr3:uid="{48122707-849C-4733-B897-17DAC649F487}" name="DÉBITO" dataDxfId="115"/>
    <tableColumn id="6" xr3:uid="{AD777AC0-297E-44B1-A015-37D480A8521A}" name="CRÉDITO" dataDxfId="114"/>
    <tableColumn id="8" xr3:uid="{F671124B-1993-475A-8AAA-DAEA4BE810E9}" name="SALDO_x000a_ATUAL" dataDxfId="113"/>
    <tableColumn id="7" xr3:uid="{A976C07F-D81C-482F-BCEA-49FB14CA48C0}" name="MOVIMENTO" dataDxfId="112">
      <calculatedColumnFormula>Tab_05.Mai[[#This Row],[DÉBITO]]-Tab_05.Mai[[#This Row],[CRÉDITO]]</calculatedColumnFormula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AF38374-1E45-43AC-8920-D29DF6155F56}" name="Tab_06.Jun" displayName="Tab_06.Jun" ref="B14:O288" totalsRowShown="0" headerRowDxfId="111" dataDxfId="110">
  <autoFilter ref="B14:O288" xr:uid="{8138E661-209A-4055-9483-F6E64ADE52E3}"/>
  <tableColumns count="14">
    <tableColumn id="11" xr3:uid="{38459530-3169-4B0B-998D-D1E45DB23A4F}" name="TP" dataDxfId="109">
      <calculatedColumnFormula>_xlfn.XLOOKUP($I15,Tab_00.Trial[CONTA],Tab_00.Trial[TP],"",0,1)</calculatedColumnFormula>
    </tableColumn>
    <tableColumn id="9" xr3:uid="{E201213B-97E9-47C4-ADF5-716EDCA90B0D}" name="NV" dataDxfId="108">
      <calculatedColumnFormula>_xlfn.XLOOKUP($I15,Tab_00.Trial[CONTA],Tab_00.Trial[NV],"",0,1)</calculatedColumnFormula>
    </tableColumn>
    <tableColumn id="10" xr3:uid="{728BD264-676C-4209-ACAD-D08F4349C5F9}" name="S/A" dataDxfId="107">
      <calculatedColumnFormula>_xlfn.XLOOKUP($I15,Tab_00.Trial[CONTA],Tab_00.Trial[S/A],"",0,1)</calculatedColumnFormula>
    </tableColumn>
    <tableColumn id="12" xr3:uid="{0D4E81EB-5716-40C1-8E1F-AE412B1999BD}" name="CHK" dataDxfId="106">
      <calculatedColumnFormula>IF($I15="","",COUNTIFS(Tab_00.Trial[CONTA],$I15))</calculatedColumnFormula>
    </tableColumn>
    <tableColumn id="13" xr3:uid="{4ADA37D6-BE9E-4FC9-A678-7607256DECE2}" name="SALDO FINAL_x000a_ANTERIOR" dataDxfId="105">
      <calculatedColumnFormula>SUMIFS(Tab_05.Mai[SALDO
ATUAL],Tab_05.Mai[CONTA],$I15)</calculatedColumnFormula>
    </tableColumn>
    <tableColumn id="14" xr3:uid="{493E9279-4597-49AC-80EE-862306E1FBA6}" name="DIFERENÇA" dataDxfId="104">
      <calculatedColumnFormula>$F15-$K15</calculatedColumnFormula>
    </tableColumn>
    <tableColumn id="2" xr3:uid="{8B7E2D71-4863-448B-855C-C4520DCF8008}" name="REDUZIDO"/>
    <tableColumn id="1" xr3:uid="{A010BF4E-5B67-4455-A19F-8CD11D3AF7E0}" name="CONTA" dataDxfId="103"/>
    <tableColumn id="3" xr3:uid="{6FF2B3BC-247C-4D1B-A6E6-9EA3891DE69E}" name="DESCRIÇÃO" dataDxfId="102"/>
    <tableColumn id="4" xr3:uid="{1893F894-7350-4B30-813B-A087A24E7B39}" name="SALDO_x000a_ANTERIOR" dataDxfId="101"/>
    <tableColumn id="5" xr3:uid="{5FC18AA9-E703-434B-B4E3-F8AC1586FD04}" name="DÉBITO" dataDxfId="100"/>
    <tableColumn id="6" xr3:uid="{B48B421C-84EE-40A6-B56E-237E7EEA35B4}" name="CRÉDITO" dataDxfId="99"/>
    <tableColumn id="8" xr3:uid="{955C1EA1-D70E-477F-800A-27B52B57DEA7}" name="SALDO_x000a_ATUAL" dataDxfId="98"/>
    <tableColumn id="7" xr3:uid="{7FEA543C-A2C2-424C-8D76-B753ED1928C5}" name="MOVIMENTO" dataDxfId="97">
      <calculatedColumnFormula>Tab_06.Jun[[#This Row],[DÉBITO]]-Tab_06.Jun[[#This Row],[CRÉDITO]]</calculatedColumn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255091C-289A-412E-AEFD-49DC2D13C23D}" name="Tab_07.Jul" displayName="Tab_07.Jul" ref="B14:O295" totalsRowShown="0" headerRowDxfId="96" dataDxfId="95">
  <autoFilter ref="B14:O295" xr:uid="{8138E661-209A-4055-9483-F6E64ADE52E3}"/>
  <tableColumns count="14">
    <tableColumn id="11" xr3:uid="{928BC998-2CD1-4B00-A7B1-0F8F6C9BC03A}" name="TP" dataDxfId="94">
      <calculatedColumnFormula>_xlfn.XLOOKUP($I15,Tab_00.Trial[CONTA],Tab_00.Trial[TP],"",0,1)</calculatedColumnFormula>
    </tableColumn>
    <tableColumn id="9" xr3:uid="{92CA752E-0019-4DB3-B489-B2798250B4E1}" name="NV" dataDxfId="93">
      <calculatedColumnFormula>_xlfn.XLOOKUP($I15,Tab_00.Trial[CONTA],Tab_00.Trial[NV],"",0,1)</calculatedColumnFormula>
    </tableColumn>
    <tableColumn id="10" xr3:uid="{FE3CEBD1-C009-4698-8971-580D126775DE}" name="S/A" dataDxfId="92">
      <calculatedColumnFormula>_xlfn.XLOOKUP($I15,Tab_00.Trial[CONTA],Tab_00.Trial[S/A],"",0,1)</calculatedColumnFormula>
    </tableColumn>
    <tableColumn id="12" xr3:uid="{80E6CCBD-8BFE-4F44-8602-67DBF6B8528D}" name="CHK" dataDxfId="91">
      <calculatedColumnFormula>IF($I15="","",COUNTIFS(Tab_00.Trial[CONTA],$I15))</calculatedColumnFormula>
    </tableColumn>
    <tableColumn id="13" xr3:uid="{5A4FDA11-804D-40A4-8475-AB388AE30F9A}" name="SALDO FINAL_x000a_ANTERIOR" dataDxfId="90">
      <calculatedColumnFormula>SUMIFS(Tab_06.Jun[SALDO
ATUAL],Tab_06.Jun[CONTA],$I15)</calculatedColumnFormula>
    </tableColumn>
    <tableColumn id="14" xr3:uid="{B6540FBD-5BE2-4A33-A60D-84D5213B963B}" name="DIFERENÇA" dataDxfId="89">
      <calculatedColumnFormula>$F15-$K15</calculatedColumnFormula>
    </tableColumn>
    <tableColumn id="2" xr3:uid="{A32EDEF5-3C5D-4D5C-801F-BE6DD92F77A2}" name="REDUZIDO" dataDxfId="88"/>
    <tableColumn id="1" xr3:uid="{AA92EB1C-2DBE-48DE-B0AA-60FAE8D49FFA}" name="CONTA" dataDxfId="87"/>
    <tableColumn id="3" xr3:uid="{B89A979B-93ED-4512-A780-337794524B30}" name="DESCRIÇÃO" dataDxfId="86"/>
    <tableColumn id="4" xr3:uid="{AD1D6544-DF44-4968-A924-32BEC73B3E55}" name="SALDO_x000a_ANTERIOR" dataDxfId="85"/>
    <tableColumn id="5" xr3:uid="{4EB45F2E-AF2B-4FBC-9FCB-2145A4266114}" name="DÉBITO" dataDxfId="84"/>
    <tableColumn id="6" xr3:uid="{96080E80-A809-4E23-819E-7DF0C51A9CAB}" name="CRÉDITO" dataDxfId="83"/>
    <tableColumn id="8" xr3:uid="{F2E82034-3CD6-44FE-B4E3-205DF5A89FF4}" name="SALDO_x000a_ATUAL" dataDxfId="82"/>
    <tableColumn id="7" xr3:uid="{75ED89F0-59FD-4C13-9AC7-6AC3295F0DB9}" name="MOVIMENTO" dataDxfId="81">
      <calculatedColumnFormula>Tab_07.Jul[[#This Row],[DÉBITO]]-Tab_07.Jul[[#This Row],[CRÉDITO]]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C8A3CD9-C100-402A-9F37-3EB7FB8C2C17}" name="Tab_08.Ago" displayName="Tab_08.Ago" ref="B14:O296" totalsRowShown="0" headerRowDxfId="80" dataDxfId="79">
  <autoFilter ref="B14:O296" xr:uid="{8138E661-209A-4055-9483-F6E64ADE52E3}"/>
  <tableColumns count="14">
    <tableColumn id="11" xr3:uid="{4288C136-4ED1-44CC-9E7A-4178883E75AA}" name="TP" dataDxfId="78">
      <calculatedColumnFormula>_xlfn.XLOOKUP($I15,Tab_00.Trial[CONTA],Tab_00.Trial[TP],"",0,1)</calculatedColumnFormula>
    </tableColumn>
    <tableColumn id="9" xr3:uid="{84658014-8624-44B8-A3A1-B1FD1EEB4687}" name="NV" dataDxfId="77">
      <calculatedColumnFormula>_xlfn.XLOOKUP($I15,Tab_00.Trial[CONTA],Tab_00.Trial[NV],"",0,1)</calculatedColumnFormula>
    </tableColumn>
    <tableColumn id="10" xr3:uid="{3EE111E2-4DDD-4D3C-9582-41F8A0AE096E}" name="S/A" dataDxfId="76">
      <calculatedColumnFormula>_xlfn.XLOOKUP($I15,Tab_00.Trial[CONTA],Tab_00.Trial[S/A],"",0,1)</calculatedColumnFormula>
    </tableColumn>
    <tableColumn id="12" xr3:uid="{14762C56-723F-4EFE-9A87-9606BCD44C34}" name="CHK" dataDxfId="75">
      <calculatedColumnFormula>IF($I15="","",COUNTIFS(Tab_00.Trial[CONTA],$I15))</calculatedColumnFormula>
    </tableColumn>
    <tableColumn id="13" xr3:uid="{E5F3E0C2-BE8D-4EE7-AECF-C3DBCFB27C78}" name="SALDO FINAL_x000a_ANTERIOR" dataDxfId="74">
      <calculatedColumnFormula>SUMIFS(Tab_07.Jul[SALDO
ATUAL],Tab_07.Jul[CONTA],$I15)</calculatedColumnFormula>
    </tableColumn>
    <tableColumn id="14" xr3:uid="{66F66A3D-A7E8-431A-9EAD-29020952EA4C}" name="DIFERENÇA" dataDxfId="73">
      <calculatedColumnFormula>$F15-$K15</calculatedColumnFormula>
    </tableColumn>
    <tableColumn id="2" xr3:uid="{26CE4BC3-0A3A-4D55-BF1F-F27A3E3124C9}" name="REDUZIDO"/>
    <tableColumn id="1" xr3:uid="{0F4C8FE6-0940-4540-9FB0-DE82A3D19E3A}" name="CONTA" dataDxfId="72"/>
    <tableColumn id="3" xr3:uid="{802A510E-788D-452F-9941-04B596ACE917}" name="DESCRIÇÃO" dataDxfId="71"/>
    <tableColumn id="4" xr3:uid="{8205B22B-7003-4B65-AACD-6A709946AA76}" name="SALDO_x000a_ANTERIOR" dataDxfId="70"/>
    <tableColumn id="5" xr3:uid="{C72CC8A6-F236-4B17-82DC-43056D2281B0}" name="DÉBITO" dataDxfId="69"/>
    <tableColumn id="6" xr3:uid="{A0BE4154-BE6B-4089-857D-EF9F86A42CF2}" name="CRÉDITO" dataDxfId="68"/>
    <tableColumn id="8" xr3:uid="{2263944D-B433-47E8-BE51-1C804CE6F548}" name="SALDO_x000a_ATUAL" dataDxfId="67"/>
    <tableColumn id="7" xr3:uid="{E8539B61-343E-4E99-9EC6-3F9D6ACE4A2A}" name="MOVIMENTO" dataDxfId="66">
      <calculatedColumnFormula>Tab_08.Ago[[#This Row],[DÉBITO]]-Tab_08.Ago[[#This Row],[CRÉDITO]]</calculatedColumnFormula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6E91480-49BA-4FD4-A090-DDD67E4C4F0D}" name="Tab_09.Set" displayName="Tab_09.Set" ref="B14:O302" totalsRowShown="0" headerRowDxfId="65" dataDxfId="64">
  <autoFilter ref="B14:O302" xr:uid="{8138E661-209A-4055-9483-F6E64ADE52E3}"/>
  <tableColumns count="14">
    <tableColumn id="11" xr3:uid="{73568155-1E5B-4B53-89D2-FAA77E276A68}" name="TP" dataDxfId="63">
      <calculatedColumnFormula>_xlfn.XLOOKUP($I15,Tab_00.Trial[CONTA],Tab_00.Trial[TP],"",0,1)</calculatedColumnFormula>
    </tableColumn>
    <tableColumn id="9" xr3:uid="{644A43EE-FB79-42F3-9C67-E288C641BB9B}" name="NV" dataDxfId="62">
      <calculatedColumnFormula>_xlfn.XLOOKUP($I15,Tab_00.Trial[CONTA],Tab_00.Trial[NV],"",0,1)</calculatedColumnFormula>
    </tableColumn>
    <tableColumn id="10" xr3:uid="{BF3685B3-96B4-412B-A3E4-C8EBE9C47649}" name="S/A" dataDxfId="61">
      <calculatedColumnFormula>_xlfn.XLOOKUP($I15,Tab_00.Trial[CONTA],Tab_00.Trial[S/A],"",0,1)</calculatedColumnFormula>
    </tableColumn>
    <tableColumn id="12" xr3:uid="{39E0BD15-E735-4FF9-A200-734C9997B382}" name="CHK" dataDxfId="60">
      <calculatedColumnFormula>IF($I15="","",COUNTIFS(Tab_00.Trial[CONTA],$I15))</calculatedColumnFormula>
    </tableColumn>
    <tableColumn id="13" xr3:uid="{D47D363B-7B5E-4F3F-9824-D3D0317F1F35}" name="SALDO FINAL_x000a_ANTERIOR" dataDxfId="59">
      <calculatedColumnFormula>SUMIFS(Tab_08.Ago[SALDO
ATUAL],Tab_08.Ago[CONTA],$I15)</calculatedColumnFormula>
    </tableColumn>
    <tableColumn id="14" xr3:uid="{17B8D553-07DC-4B1A-BAB1-9D67DA35104D}" name="DIFERENÇA" dataDxfId="58">
      <calculatedColumnFormula>$F15-$K15</calculatedColumnFormula>
    </tableColumn>
    <tableColumn id="2" xr3:uid="{B62C1F25-C4C3-454A-BBD2-185FE796A167}" name="REDUZIDO" dataDxfId="57"/>
    <tableColumn id="1" xr3:uid="{C6554AB7-1B60-4946-A75A-9E079205A1F9}" name="CONTA" dataDxfId="56"/>
    <tableColumn id="3" xr3:uid="{DD1C17D6-D59A-4FC2-8179-E5D29F4FFD77}" name="DESCRIÇÃO" dataDxfId="55"/>
    <tableColumn id="4" xr3:uid="{DA827D61-41F1-43B0-B30A-77FB07671326}" name="SALDO_x000a_ANTERIOR" dataDxfId="54"/>
    <tableColumn id="5" xr3:uid="{8D7662E4-0984-4192-B69B-77943F4B8793}" name="DÉBITO" dataDxfId="53"/>
    <tableColumn id="6" xr3:uid="{756086A7-D6AE-4AC0-9E70-DF995271183B}" name="CRÉDITO" dataDxfId="52"/>
    <tableColumn id="8" xr3:uid="{05EAD936-4E68-4712-B211-0B48A9642460}" name="SALDO_x000a_ATUAL" dataDxfId="51"/>
    <tableColumn id="7" xr3:uid="{DB04AB6D-5263-478C-9FD8-E61AE420E68F}" name="MOVIMENTO" dataDxfId="50">
      <calculatedColumnFormula>Tab_09.Set[[#This Row],[DÉBITO]]-Tab_09.Set[[#This Row],[CRÉDITO]]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6A625D9-7BFF-4468-9686-EE20D778D0B9}" name="Tab_10.Out" displayName="Tab_10.Out" ref="B14:O301" totalsRowShown="0" headerRowDxfId="49" dataDxfId="48">
  <autoFilter ref="B14:O301" xr:uid="{8138E661-209A-4055-9483-F6E64ADE52E3}"/>
  <tableColumns count="14">
    <tableColumn id="11" xr3:uid="{C7A55173-BD3B-4C35-9200-FA40B4E9C98D}" name="TP" dataDxfId="47">
      <calculatedColumnFormula>_xlfn.XLOOKUP($I15,Tab_00.Trial[CONTA],Tab_00.Trial[TP],"",0,1)</calculatedColumnFormula>
    </tableColumn>
    <tableColumn id="9" xr3:uid="{F768BE8B-2CF4-488E-848E-1AC75C6FF587}" name="NV" dataDxfId="46">
      <calculatedColumnFormula>_xlfn.XLOOKUP($I15,Tab_00.Trial[CONTA],Tab_00.Trial[NV],"",0,1)</calculatedColumnFormula>
    </tableColumn>
    <tableColumn id="10" xr3:uid="{32FDA1B3-6570-49DF-A222-4A43B400D72C}" name="S/A" dataDxfId="45">
      <calculatedColumnFormula>_xlfn.XLOOKUP($I15,Tab_00.Trial[CONTA],Tab_00.Trial[S/A],"",0,1)</calculatedColumnFormula>
    </tableColumn>
    <tableColumn id="12" xr3:uid="{BA3CF99A-E43A-4626-8C27-D87B6D312A18}" name="CHK" dataDxfId="44">
      <calculatedColumnFormula>IF($I15="","",COUNTIFS(Tab_00.Trial[CONTA],$I15))</calculatedColumnFormula>
    </tableColumn>
    <tableColumn id="13" xr3:uid="{8088741C-9604-473F-AF1A-5EC843E6DB2C}" name="SALDO FINAL_x000a_ANTERIOR" dataDxfId="43">
      <calculatedColumnFormula>SUMIFS(Tab_09.Set[SALDO
ATUAL],Tab_09.Set[CONTA],$I15)</calculatedColumnFormula>
    </tableColumn>
    <tableColumn id="14" xr3:uid="{80C82A30-9134-4122-BB86-5DE9DC0CEDAA}" name="DIFERENÇA" dataDxfId="42">
      <calculatedColumnFormula>$F15-$K15</calculatedColumnFormula>
    </tableColumn>
    <tableColumn id="2" xr3:uid="{97CD3672-A24B-4268-9A85-B61C28475F96}" name="REDUZIDO" dataDxfId="41"/>
    <tableColumn id="1" xr3:uid="{8EB59ADB-4912-4724-B64D-F98A8876E6D3}" name="CONTA" dataDxfId="40"/>
    <tableColumn id="3" xr3:uid="{CC371D34-5808-4AE1-92CD-0A5C97CD77CE}" name="DESCRIÇÃO" dataDxfId="39"/>
    <tableColumn id="4" xr3:uid="{922CCA60-6410-44DE-BAA3-45166875FA20}" name="SALDO_x000a_ANTERIOR" dataDxfId="38"/>
    <tableColumn id="5" xr3:uid="{B4171E1B-9E3F-4DA8-9AD5-BC109452F33E}" name="DÉBITO" dataDxfId="37"/>
    <tableColumn id="6" xr3:uid="{7894405B-A33F-4327-955C-F3165D919461}" name="CRÉDITO" dataDxfId="36"/>
    <tableColumn id="8" xr3:uid="{825EA38A-0EF7-430F-8BE8-03654E96910D}" name="SALDO_x000a_ATUAL" dataDxfId="35"/>
    <tableColumn id="7" xr3:uid="{BAD79AFB-E55B-460B-AE82-B0E065BD2F62}" name="MOVIMENTO" dataDxfId="34">
      <calculatedColumnFormula>Tab_10.Out[[#This Row],[DÉBITO]]-Tab_10.Out[[#This Row],[CRÉDITO]]</calculatedColumnFormula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95A627A8-E99B-4ECD-B662-D2C42ACD8DA8}" name="Tab_11.Nov" displayName="Tab_11.Nov" ref="B14:O303" totalsRowShown="0" headerRowDxfId="33" dataDxfId="32">
  <autoFilter ref="B14:O303" xr:uid="{8138E661-209A-4055-9483-F6E64ADE52E3}"/>
  <tableColumns count="14">
    <tableColumn id="11" xr3:uid="{07FE41DE-2D49-4A54-9B0A-9E604B215542}" name="TP" dataDxfId="31">
      <calculatedColumnFormula>_xlfn.XLOOKUP($I15,Tab_00.Trial[CONTA],Tab_00.Trial[TP],"",0,1)</calculatedColumnFormula>
    </tableColumn>
    <tableColumn id="9" xr3:uid="{2AD848D1-0123-4913-B0DB-04798B49FDCC}" name="NV" dataDxfId="30">
      <calculatedColumnFormula>_xlfn.XLOOKUP($I15,Tab_00.Trial[CONTA],Tab_00.Trial[NV],"",0,1)</calculatedColumnFormula>
    </tableColumn>
    <tableColumn id="10" xr3:uid="{09AA2265-25A0-4A80-8854-C2F7FDD2679A}" name="S/A" dataDxfId="29">
      <calculatedColumnFormula>_xlfn.XLOOKUP($I15,Tab_00.Trial[CONTA],Tab_00.Trial[S/A],"",0,1)</calculatedColumnFormula>
    </tableColumn>
    <tableColumn id="12" xr3:uid="{D0340E3A-602A-4452-8BF0-E919447955A2}" name="CHK" dataDxfId="28">
      <calculatedColumnFormula>IF($I15="","",COUNTIFS(Tab_00.Trial[CONTA],$I15))</calculatedColumnFormula>
    </tableColumn>
    <tableColumn id="13" xr3:uid="{66FD983B-FBC1-4241-BEB2-0C23725AE76B}" name="SALDO FINAL_x000a_ANTERIOR" dataDxfId="27">
      <calculatedColumnFormula>SUMIFS(Tab_10.Out[SALDO
ATUAL],Tab_10.Out[CONTA],$I15)</calculatedColumnFormula>
    </tableColumn>
    <tableColumn id="14" xr3:uid="{810AB283-7EC1-4292-8AD0-6482434ED886}" name="DIFERENÇA" dataDxfId="26">
      <calculatedColumnFormula>$F15-$K15</calculatedColumnFormula>
    </tableColumn>
    <tableColumn id="2" xr3:uid="{32867100-F683-409B-BF88-404FE0106048}" name="REDUZIDO"/>
    <tableColumn id="1" xr3:uid="{BF83A334-161F-4FE3-8E4D-3222C1C9CB8C}" name="CONTA" dataDxfId="25"/>
    <tableColumn id="3" xr3:uid="{78F9B63E-17DC-4E11-AF86-D99DDAD9A160}" name="DESCRIÇÃO" dataDxfId="24"/>
    <tableColumn id="4" xr3:uid="{DF131163-90B9-4E73-8AB0-E41B9E119B50}" name="SALDO_x000a_ANTERIOR" dataDxfId="23"/>
    <tableColumn id="5" xr3:uid="{4FD46328-F570-4B0B-9A77-715A411F28F4}" name="DÉBITO" dataDxfId="22"/>
    <tableColumn id="6" xr3:uid="{A63E0C78-2AAC-4542-9874-66E26AB137BD}" name="CRÉDITO" dataDxfId="21"/>
    <tableColumn id="8" xr3:uid="{A0DA3FB1-09ED-4608-906B-4F442D2B3E96}" name="SALDO_x000a_ATUAL" dataDxfId="20"/>
    <tableColumn id="7" xr3:uid="{9B72F041-FF8E-42AD-87F6-0469F15E6EB7}" name="MOVIMENTO" dataDxfId="19">
      <calculatedColumnFormula>Tab_11.Nov[[#This Row],[DÉBITO]]-Tab_11.Nov[[#This Row],[CRÉDITO]]</calculatedColumnFormula>
    </tableColumn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31ED570-1261-40C4-9274-E81812F22A14}" name="Tab_12.Dez" displayName="Tab_12.Dez" ref="B14:O304" totalsRowShown="0" headerRowDxfId="18" dataDxfId="17">
  <autoFilter ref="B14:O304" xr:uid="{8138E661-209A-4055-9483-F6E64ADE52E3}"/>
  <tableColumns count="14">
    <tableColumn id="11" xr3:uid="{1346835A-E1EA-4D8C-A126-9CAE5ED76FE6}" name="TP" dataDxfId="16">
      <calculatedColumnFormula>_xlfn.XLOOKUP($I15,Tab_00.Trial[CONTA],Tab_00.Trial[TP],"",0,1)</calculatedColumnFormula>
    </tableColumn>
    <tableColumn id="9" xr3:uid="{FAAD0DEE-AF53-45A9-9257-1A5D9E525CC0}" name="NV" dataDxfId="15">
      <calculatedColumnFormula>_xlfn.XLOOKUP($I15,Tab_00.Trial[CONTA],Tab_00.Trial[NV],"",0,1)</calculatedColumnFormula>
    </tableColumn>
    <tableColumn id="10" xr3:uid="{77746E4F-7546-4A1A-94C3-00A3CACAAD05}" name="S/A" dataDxfId="14">
      <calculatedColumnFormula>_xlfn.XLOOKUP($I15,Tab_00.Trial[CONTA],Tab_00.Trial[S/A],"",0,1)</calculatedColumnFormula>
    </tableColumn>
    <tableColumn id="12" xr3:uid="{527AC49B-627F-4A28-A067-2A8D6DED8F6A}" name="CHK" dataDxfId="13">
      <calculatedColumnFormula>IF($I15="","",COUNTIFS(Tab_00.Trial[CONTA],$I15))</calculatedColumnFormula>
    </tableColumn>
    <tableColumn id="13" xr3:uid="{0A51F6ED-8E28-4A41-8865-378FD8FA4969}" name="SALDO FINAL_x000a_ANTERIOR" dataDxfId="12">
      <calculatedColumnFormula>SUMIFS(Tab_11.Nov[SALDO
ATUAL],Tab_11.Nov[CONTA],$I15)</calculatedColumnFormula>
    </tableColumn>
    <tableColumn id="14" xr3:uid="{55A01EC5-4C49-4839-A48F-22526A803941}" name="DIFERENÇA" dataDxfId="11">
      <calculatedColumnFormula>$F15-$K15</calculatedColumnFormula>
    </tableColumn>
    <tableColumn id="2" xr3:uid="{192B207D-B768-4431-9B00-B0BDE86A7E68}" name="REDUZIDO" dataDxfId="10"/>
    <tableColumn id="1" xr3:uid="{0FB99694-9CC8-4121-BEFA-9E1DB501CD99}" name="CONTA" dataDxfId="9"/>
    <tableColumn id="3" xr3:uid="{7D488711-2946-4E02-BEC1-783BCD86B219}" name="DESCRIÇÃO" dataDxfId="8"/>
    <tableColumn id="4" xr3:uid="{8AF88AA7-D2B0-44B7-9C12-96DA77442F6D}" name="SALDO_x000a_ANTERIOR" dataDxfId="7"/>
    <tableColumn id="5" xr3:uid="{C2A1DA1B-2932-4C3C-B71E-7C626794D593}" name="DÉBITO" dataDxfId="6"/>
    <tableColumn id="6" xr3:uid="{E209B234-0582-44B3-90DD-6DDAEA345046}" name="CRÉDITO" dataDxfId="5"/>
    <tableColumn id="8" xr3:uid="{13CD7413-E7A0-4535-89AA-19234740E0E0}" name="SALDO_x000a_ATUAL" dataDxfId="4"/>
    <tableColumn id="7" xr3:uid="{7FCCD942-783B-4C1D-8D90-52FB3ED8534C}" name="MOVIMENTO" dataDxfId="3">
      <calculatedColumnFormula>Tab_12.Dez[[#This Row],[DÉBITO]]-Tab_12.Dez[[#This Row],[CRÉDITO]]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BA248045-0558-4770-ADCF-021C96F8EB23}" name="Tab_99.Trial" displayName="Tab_99.Trial" ref="B14:S572" totalsRowShown="0" headerRowDxfId="257" dataDxfId="256">
  <autoFilter ref="B14:S572" xr:uid="{87DB4697-5BBE-42AF-83A4-6F806B324E26}"/>
  <tableColumns count="18">
    <tableColumn id="19" xr3:uid="{D30DA1B6-EA01-44EF-BE5A-F92D74E7DE4E}" name="DC" dataDxfId="255"/>
    <tableColumn id="3" xr3:uid="{7051EECF-4AFA-4B7E-807A-CA59F8E720B0}" name="TP" dataDxfId="254">
      <calculatedColumnFormula>IF($F15="","",IF(LEFT($F15,1)*1=1,"A",IF(LEFT($F15,1)*1=2,"P",IF(LEFT($F15,1)*1=3,"C",IF(LEFT($F15,1)*1=4,"C",IF(LEFT($F15,1)*1=5,"R",""))))))</calculatedColumnFormula>
    </tableColumn>
    <tableColumn id="4" xr3:uid="{AC4C02CA-D02B-447D-9EF2-DF27E2623A14}" name="S/A" dataDxfId="253"/>
    <tableColumn id="5" xr3:uid="{C8BE8F44-9525-4A4A-A838-9F0B5BE403DB}" name="NV" dataDxfId="252">
      <calculatedColumnFormula>IF($F15="","",IF(LEN($F15)=1,1,IF(LEN($F15)=3,2,IF(LEN($F15)=6,3,IF(LEN($F15)=9,4,IF(LEN($F15)=12,5,6))))))</calculatedColumnFormula>
    </tableColumn>
    <tableColumn id="1" xr3:uid="{5143721F-8C5C-40A0-9610-66F0DCD4D20B}" name="CONTA" dataDxfId="251"/>
    <tableColumn id="2" xr3:uid="{32F7DDFF-376D-4330-A213-172DACDFA19A}" name="DESCRIÇÃO" dataDxfId="250"/>
    <tableColumn id="6" xr3:uid="{89E951C2-FA69-4F0A-86E7-C39BD9E61EC6}" name="JANEIRO" dataDxfId="249"/>
    <tableColumn id="7" xr3:uid="{0C90AC01-FE4E-44B7-90DF-9B353508C679}" name="FEVEREIRO" dataDxfId="248"/>
    <tableColumn id="8" xr3:uid="{E6699718-F62E-4923-A761-46F1C1881F6C}" name="MARÇO" dataDxfId="247"/>
    <tableColumn id="9" xr3:uid="{CBBA02F5-E663-4E82-AD30-0930784957BB}" name="ABRIL" dataDxfId="246"/>
    <tableColumn id="10" xr3:uid="{EF0491D8-96CA-4FEF-B43D-FB85B7CA8478}" name="MAIO" dataDxfId="245"/>
    <tableColumn id="11" xr3:uid="{A2264E1D-3D3B-4C84-842F-2C3CAE86F05C}" name="JUNHO" dataDxfId="244"/>
    <tableColumn id="12" xr3:uid="{44B7D6BB-5E81-40D7-BB87-4BB72A558854}" name="JULHO" dataDxfId="243"/>
    <tableColumn id="13" xr3:uid="{78B9A121-9960-4DE8-80D2-43080C5DB20D}" name="AGOSTO" dataDxfId="242"/>
    <tableColumn id="14" xr3:uid="{07271456-ADFB-4253-B409-440734B575AC}" name="SETEMBRO" dataDxfId="241"/>
    <tableColumn id="15" xr3:uid="{DAAABE6E-B9BA-4FE5-996B-5ED99BCC1418}" name="OUTUBRO" dataDxfId="240"/>
    <tableColumn id="16" xr3:uid="{50E1D48B-5007-4882-8A87-CDC79E640309}" name="NOVEMBRO" dataDxfId="239"/>
    <tableColumn id="17" xr3:uid="{202C8315-AA51-4667-AF9E-6AB14CBA2709}" name="DEZEMBRO" dataDxfId="23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9640237-4293-4D5A-A6D4-FC08C32D7CCC}" name="Tab_00.Trial" displayName="Tab_00.Trial" ref="B14:S357" totalsRowShown="0" headerRowDxfId="237" dataDxfId="236">
  <autoFilter ref="B14:S357" xr:uid="{87DB4697-5BBE-42AF-83A4-6F806B324E26}"/>
  <tableColumns count="18">
    <tableColumn id="19" xr3:uid="{FD2A6108-AB9C-4E38-BDD8-CE11F1B71AC4}" name="DC" dataDxfId="235"/>
    <tableColumn id="3" xr3:uid="{E5563FA4-367C-4366-92DB-F9F493BD8C69}" name="TP" dataDxfId="234">
      <calculatedColumnFormula>IF($F15="","",IF(LEFT($F15,1)*1=1,"A",IF(LEFT($F15,1)*1=2,"P",IF(LEFT($F15,1)*1=3,"R",IF(LEFT($F15,1)*1=4,"C",IF(LEFT($F15,1)*1=5,"C",""))))))</calculatedColumnFormula>
    </tableColumn>
    <tableColumn id="4" xr3:uid="{F9FC4F9E-96C0-47DB-8DCA-0DDDF5330AE0}" name="S/A" dataDxfId="233">
      <calculatedColumnFormula>IF($F15="","",IF(LEN($F15)=13,"A","S"))</calculatedColumnFormula>
    </tableColumn>
    <tableColumn id="5" xr3:uid="{AC42329E-7104-498A-95B8-A3BA4731B3CE}" name="NV" dataDxfId="232">
      <calculatedColumnFormula>IF($F15="","",IF(LEN($F15)=1,1,IF(LEN($F15)=3,2,IF(LEN($F15)=5,3,IF(LEN($F15)=8,4,5)))))</calculatedColumnFormula>
    </tableColumn>
    <tableColumn id="1" xr3:uid="{1264E270-E351-4F15-85BD-9787F94FA9C8}" name="CONTA" dataDxfId="231"/>
    <tableColumn id="2" xr3:uid="{DF6B5A87-8D53-4F4D-A804-A794669E7CFA}" name="DESCRIÇÃO" dataDxfId="230"/>
    <tableColumn id="6" xr3:uid="{803202E6-173C-4132-9D10-7FF0C960E3CE}" name="JANEIRO" dataDxfId="229">
      <calculatedColumnFormula>SUMIFS(Tab_01.Jan[SALDO
ATUAL],Tab_01.Jan[CONTA],$F15)</calculatedColumnFormula>
    </tableColumn>
    <tableColumn id="7" xr3:uid="{7631660E-2912-4007-8216-47895853B5AF}" name="FEVEREIRO" dataDxfId="228">
      <calculatedColumnFormula>SUMIFS(Tab_02.Fev[SALDO
ATUAL],Tab_02.Fev[CONTA],$F15)</calculatedColumnFormula>
    </tableColumn>
    <tableColumn id="8" xr3:uid="{D5CC0C9F-BE88-45F3-A948-2A70E94ADFF0}" name="MARÇO" dataDxfId="227">
      <calculatedColumnFormula>SUMIFS(Tab_03.Mar[SALDO
ATUAL],Tab_03.Mar[CONTA],$F15)</calculatedColumnFormula>
    </tableColumn>
    <tableColumn id="9" xr3:uid="{AC8A25CB-AF45-46E6-B2E1-1ED583A6E95C}" name="ABRIL" dataDxfId="226">
      <calculatedColumnFormula>SUMIFS(Tab_04.Abr[SALDO
ATUAL],Tab_04.Abr[CONTA],$F15)</calculatedColumnFormula>
    </tableColumn>
    <tableColumn id="10" xr3:uid="{CAC0A3E0-CA82-465E-8FB2-21A604225032}" name="MAIO" dataDxfId="225">
      <calculatedColumnFormula>SUMIFS(Tab_05.Mai[SALDO
ATUAL],Tab_05.Mai[CONTA],$F15)</calculatedColumnFormula>
    </tableColumn>
    <tableColumn id="11" xr3:uid="{EAC87FEE-F831-4DE3-8483-0346208ACF03}" name="JUNHO" dataDxfId="224">
      <calculatedColumnFormula>SUMIFS(Tab_06.Jun[SALDO
ATUAL],Tab_06.Jun[CONTA],$F15)</calculatedColumnFormula>
    </tableColumn>
    <tableColumn id="12" xr3:uid="{131AA2CE-C21D-48A6-A04E-F53F86F300CB}" name="JULHO" dataDxfId="223">
      <calculatedColumnFormula>SUMIFS(Tab_07.Jul[SALDO
ATUAL],Tab_07.Jul[CONTA],$F15)</calculatedColumnFormula>
    </tableColumn>
    <tableColumn id="13" xr3:uid="{C7B64915-33FE-4345-BC28-401C4D7CC01C}" name="AGOSTO" dataDxfId="222">
      <calculatedColumnFormula>SUMIFS(Tab_08.Ago[SALDO
ATUAL],Tab_08.Ago[CONTA],$F15)</calculatedColumnFormula>
    </tableColumn>
    <tableColumn id="14" xr3:uid="{6961D97B-C4A3-4924-98C7-B2D570A252B3}" name="SETEMBRO" dataDxfId="221">
      <calculatedColumnFormula>SUMIFS(Tab_09.Set[SALDO
ATUAL],Tab_09.Set[CONTA],$F15)</calculatedColumnFormula>
    </tableColumn>
    <tableColumn id="15" xr3:uid="{57FD009A-0C72-47C3-8D11-C0A9EB7F7F9C}" name="OUTUBRO" dataDxfId="220">
      <calculatedColumnFormula>SUMIFS(Tab_10.Out[SALDO
ATUAL],Tab_10.Out[CONTA],$F15)</calculatedColumnFormula>
    </tableColumn>
    <tableColumn id="16" xr3:uid="{DBB729FA-5C57-4965-9E81-6F93777D4A9F}" name="NOVEMBRO" dataDxfId="219">
      <calculatedColumnFormula>SUMIFS(Tab_11.Nov[SALDO
ATUAL],Tab_11.Nov[CONTA],$F15)</calculatedColumnFormula>
    </tableColumn>
    <tableColumn id="17" xr3:uid="{AB71C8A8-2AF9-4E9D-8961-A6C2ABC61DCB}" name="DEZEMBRO" dataDxfId="218">
      <calculatedColumnFormula>SUMIFS(Tab_12.Dez[SALDO
ATUAL],Tab_12.Dez[CONTA],$F15)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9A592DCC-3F8A-4068-87C8-B750F38521D7}" name="Tab_000.Trial" displayName="Tab_000.Trial" ref="B14:S357" totalsRowShown="0" headerRowDxfId="217" dataDxfId="216">
  <autoFilter ref="B14:S357" xr:uid="{87DB4697-5BBE-42AF-83A4-6F806B324E26}"/>
  <tableColumns count="18">
    <tableColumn id="19" xr3:uid="{049C0FFD-E07A-4B2D-AFD0-22F512CB85DD}" name="DC" dataDxfId="215"/>
    <tableColumn id="3" xr3:uid="{782A62FA-C47B-4B16-A339-8A435F8357D5}" name="TP" dataDxfId="214">
      <calculatedColumnFormula>IF($F15="","",IF(LEFT($F15,1)*1=1,"A",IF(LEFT($F15,1)*1=2,"P",IF(LEFT($F15,1)*1=3,"R",IF(LEFT($F15,1)*1=4,"C",IF(LEFT($F15,1)*1=5,"C",IF(LEFT($F15,1)*1=6,"C","")))))))</calculatedColumnFormula>
    </tableColumn>
    <tableColumn id="4" xr3:uid="{2706141C-FA28-4D5F-83E1-17D32118647B}" name="S/A" dataDxfId="213">
      <calculatedColumnFormula>IF($F15="","",IF(LEN($F15)=13,"A","S"))</calculatedColumnFormula>
    </tableColumn>
    <tableColumn id="5" xr3:uid="{96D03FB2-B9A1-4C29-905E-7B360919EF27}" name="NV" dataDxfId="212">
      <calculatedColumnFormula>IF($F15="","",IF(LEN($F15)=1,1,IF(LEN($F15)=3,2,IF(LEN($F15)=5,3,IF(LEN($F15)=8,4,5)))))</calculatedColumnFormula>
    </tableColumn>
    <tableColumn id="1" xr3:uid="{0E22760E-3D67-49BF-98C0-00A306338E5A}" name="CONTA" dataDxfId="211"/>
    <tableColumn id="2" xr3:uid="{4AFF931C-8701-462D-BAAC-0E6662B0705A}" name="DESCRIÇÃO" dataDxfId="210"/>
    <tableColumn id="6" xr3:uid="{FBAC07FE-6E17-4D05-B2F6-028BE4B29457}" name="JANEIRO" dataDxfId="209">
      <calculatedColumnFormula>SUMIFS(Tab_01.Jan[MOVIMENTO],Tab_01.Jan[CONTA],$F15)</calculatedColumnFormula>
    </tableColumn>
    <tableColumn id="7" xr3:uid="{E24DDFC0-83D8-489D-8943-E212DD770FA8}" name="FEVEREIRO" dataDxfId="208">
      <calculatedColumnFormula>SUMIFS(Tab_02.Fev[MOVIMENTO],Tab_02.Fev[CONTA],$F15)</calculatedColumnFormula>
    </tableColumn>
    <tableColumn id="8" xr3:uid="{33366E88-C954-4CD3-BA58-E0EA4CB6FF71}" name="MARÇO" dataDxfId="207">
      <calculatedColumnFormula>SUMIFS(Tab_03.Mar[MOVIMENTO],Tab_03.Mar[CONTA],$F15)</calculatedColumnFormula>
    </tableColumn>
    <tableColumn id="9" xr3:uid="{EC4B4CA1-7073-44FA-B939-75C7E95EF255}" name="ABRIL" dataDxfId="206">
      <calculatedColumnFormula>SUMIFS(Tab_04.Abr[MOVIMENTO],Tab_04.Abr[CONTA],$F15)</calculatedColumnFormula>
    </tableColumn>
    <tableColumn id="10" xr3:uid="{D289C84A-AA86-4EDA-86E7-CEC9D333401D}" name="MAIO" dataDxfId="205">
      <calculatedColumnFormula>SUMIFS(Tab_05.Mai[MOVIMENTO],Tab_05.Mai[CONTA],$F15)</calculatedColumnFormula>
    </tableColumn>
    <tableColumn id="11" xr3:uid="{B72CD1C8-4BCF-4DEF-A1B4-94DE2731AE18}" name="JUNHO" dataDxfId="204">
      <calculatedColumnFormula>SUMIFS(Tab_06.Jun[MOVIMENTO],Tab_06.Jun[CONTA],$F15)</calculatedColumnFormula>
    </tableColumn>
    <tableColumn id="12" xr3:uid="{D5B8D9F4-760C-4311-BDC5-1BF3562B23F5}" name="JULHO" dataDxfId="203">
      <calculatedColumnFormula>SUMIFS(Tab_07.Jul[MOVIMENTO],Tab_07.Jul[CONTA],$F15)</calculatedColumnFormula>
    </tableColumn>
    <tableColumn id="13" xr3:uid="{44E4AE27-4EA5-4B98-8AE9-B17F4FDE6FA1}" name="AGOSTO" dataDxfId="202">
      <calculatedColumnFormula>SUMIFS(Tab_08.Ago[MOVIMENTO],Tab_08.Ago[CONTA],$F15)</calculatedColumnFormula>
    </tableColumn>
    <tableColumn id="14" xr3:uid="{394B9B29-3346-4EBA-9508-2D4D4EFAE6D0}" name="SETEMBRO" dataDxfId="201">
      <calculatedColumnFormula>SUMIFS(Tab_09.Set[MOVIMENTO],Tab_09.Set[CONTA],$F15)</calculatedColumnFormula>
    </tableColumn>
    <tableColumn id="15" xr3:uid="{25DCD7CB-7F7B-4C69-BA1E-5993B807232A}" name="OUTUBRO" dataDxfId="200">
      <calculatedColumnFormula>SUMIFS(Tab_10.Out[MOVIMENTO],Tab_10.Out[CONTA],$F15)</calculatedColumnFormula>
    </tableColumn>
    <tableColumn id="16" xr3:uid="{1E1A79B3-33FC-46FF-AA79-097068651E42}" name="NOVEMBRO" dataDxfId="199">
      <calculatedColumnFormula>SUMIFS(Tab_11.Nov[MOVIMENTO],Tab_11.Nov[CONTA],$F15)</calculatedColumnFormula>
    </tableColumn>
    <tableColumn id="17" xr3:uid="{94A310A3-66B6-4035-B2E4-E2D1953D2FE9}" name="DEZEMBRO" dataDxfId="198">
      <calculatedColumnFormula>SUMIFS(Tab_12.Dez[MOVIMENTO],Tab_12.Dez[CONTA],$F15)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C92E5F97-BD02-486D-BBD3-2F1D50503822}" name="Tabela18" displayName="Tabela18" ref="F4:Q21" totalsRowShown="0" headerRowDxfId="197">
  <autoFilter ref="F4:Q21" xr:uid="{C92E5F97-BD02-486D-BBD3-2F1D50503822}"/>
  <tableColumns count="12">
    <tableColumn id="1" xr3:uid="{BEF479B1-0675-41A6-91C7-6E9BE407CB94}" name="Janeiro"/>
    <tableColumn id="2" xr3:uid="{A31AE286-BDC8-4656-BD26-C0C7E2FFAF28}" name="Fevereiro"/>
    <tableColumn id="3" xr3:uid="{6146E5E2-2D69-4A29-84A2-32BF390E197B}" name="Março"/>
    <tableColumn id="4" xr3:uid="{6E9F6A67-FEEF-4B09-B26C-92445A5A1D77}" name="Abril"/>
    <tableColumn id="5" xr3:uid="{DACA2C94-A8CD-4EFA-8017-B01DEBC72A42}" name="Maio"/>
    <tableColumn id="6" xr3:uid="{A9EF7E18-5F59-4405-B602-E0C4680C557D}" name="Junho"/>
    <tableColumn id="7" xr3:uid="{AA5A73B6-D5C1-46F9-8D77-63694D0CF235}" name="julho" dataDxfId="196">
      <calculatedColumnFormula>VLOOKUP(A5,'2024'!F14:S357,9)/-(VLOOKUP(Indices!A6,'2024'!F14:S357,9,0))</calculatedColumnFormula>
    </tableColumn>
    <tableColumn id="8" xr3:uid="{86EC45FC-971E-4026-820A-1920B47FE010}" name="agosto" dataDxfId="195">
      <calculatedColumnFormula>VLOOKUP(A5,'2024'!F14:S357,9)/-(VLOOKUP(Indices!A6,'2024'!F14:S357,10,0))</calculatedColumnFormula>
    </tableColumn>
    <tableColumn id="9" xr3:uid="{285499E6-F628-4995-AF3C-31A468CCD550}" name="setembro" dataDxfId="194">
      <calculatedColumnFormula>VLOOKUP(A5,'2024'!F14:S357,11)/-(VLOOKUP(Indices!A6,'2024'!F14:S357,11,0))</calculatedColumnFormula>
    </tableColumn>
    <tableColumn id="10" xr3:uid="{55073021-4E8F-4A78-9D8C-28F21EA028BE}" name="outubro" dataDxfId="193">
      <calculatedColumnFormula>VLOOKUP(A5,'2024'!F14:S357,12)/-(VLOOKUP(Indices!A6,'2024'!F14:S357,12,0))</calculatedColumnFormula>
    </tableColumn>
    <tableColumn id="11" xr3:uid="{042D8A3C-DB55-4EBD-B908-A34C3461C452}" name="novembro" dataDxfId="192">
      <calculatedColumnFormula>VLOOKUP(A5,'2024'!F14:S357,13)/-(VLOOKUP(Indices!A6,'2024'!F14:S357,13,0))</calculatedColumnFormula>
    </tableColumn>
    <tableColumn id="12" xr3:uid="{D6B43581-514C-4787-8B1A-094A3BDE1496}" name="dezembro" dataDxfId="191">
      <calculatedColumnFormula>VLOOKUP(A5,'2024'!F14:S357,14)/-(VLOOKUP(Indices!A6,'2024'!F14:S357,14,0))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B3ECC94-359B-4CD1-9225-FE85A3304E3F}" name="Tab_01.Jan" displayName="Tab_01.Jan" ref="B14:O291" totalsRowShown="0" headerRowDxfId="190" dataDxfId="189">
  <autoFilter ref="B14:O291" xr:uid="{8138E661-209A-4055-9483-F6E64ADE52E3}"/>
  <tableColumns count="14">
    <tableColumn id="11" xr3:uid="{330CCB30-9232-4055-9C61-C6637497AA9D}" name="TP" dataDxfId="188">
      <calculatedColumnFormula>_xlfn.XLOOKUP($I15,Tab_00.Trial[CONTA],Tab_00.Trial[TP],"",0,1)</calculatedColumnFormula>
    </tableColumn>
    <tableColumn id="9" xr3:uid="{1E744799-6F08-4927-AC90-973C614E8BFF}" name="NV" dataDxfId="187">
      <calculatedColumnFormula>_xlfn.XLOOKUP($I15,Tab_00.Trial[CONTA],Tab_00.Trial[NV],"",0,1)</calculatedColumnFormula>
    </tableColumn>
    <tableColumn id="10" xr3:uid="{5078761C-A015-4D66-AD29-9ED71557DEF8}" name="S/A" dataDxfId="186">
      <calculatedColumnFormula>_xlfn.XLOOKUP($I15,Tab_00.Trial[CONTA],Tab_00.Trial[S/A],"",0,1)</calculatedColumnFormula>
    </tableColumn>
    <tableColumn id="12" xr3:uid="{948EA2AC-435A-4C71-9585-0251DBF210DF}" name="CHK" dataDxfId="185">
      <calculatedColumnFormula>IF($I15="","",COUNTIFS(Tab_00.Trial[CONTA],$I15))</calculatedColumnFormula>
    </tableColumn>
    <tableColumn id="13" xr3:uid="{6AF3257E-BBAB-4D28-B232-3303C6D765A8}" name="SALDO FINAL_x000a_ANTERIOR" dataDxfId="184">
      <calculatedColumnFormula>SUMIFS(Tab_99.Trial[DEZEMBRO],Tab_99.Trial[CONTA],$I15)</calculatedColumnFormula>
    </tableColumn>
    <tableColumn id="14" xr3:uid="{F9F74360-8B6A-45BF-92CD-67B4EE83417C}" name="DIFERENÇA" dataDxfId="183">
      <calculatedColumnFormula>IFERROR(IF(LEFT($I15)*1&gt;2,0,$F15-$K15),0)</calculatedColumnFormula>
    </tableColumn>
    <tableColumn id="2" xr3:uid="{0C22FE42-8317-466F-BC59-0492FFB092D7}" name="REDUZIDO" dataDxfId="182"/>
    <tableColumn id="1" xr3:uid="{CACDDF84-1ACE-4943-88F7-24E4F1BDB39D}" name="CONTA" dataDxfId="181"/>
    <tableColumn id="3" xr3:uid="{564A6810-9995-4CA2-89A0-A186EC21F1FB}" name="DESCRIÇÃO" dataDxfId="180"/>
    <tableColumn id="4" xr3:uid="{E3A9D725-4FA8-46AB-B33B-CDEE33E2C893}" name="SALDO_x000a_ANTERIOR" dataDxfId="179"/>
    <tableColumn id="5" xr3:uid="{78AB122F-79EA-432B-941D-944E35EE1675}" name="DÉBITO" dataDxfId="178"/>
    <tableColumn id="6" xr3:uid="{0160C9EB-5F98-43E9-B961-E51D587D0CDF}" name="CRÉDITO" dataDxfId="177"/>
    <tableColumn id="8" xr3:uid="{9F8E351D-C25D-4E15-8557-960D4F824F8E}" name="SALDO_x000a_ATUAL" dataDxfId="176"/>
    <tableColumn id="7" xr3:uid="{46CABD54-D0CC-4F10-9BED-27A27B66A299}" name="MOVIMENTO" dataDxfId="175">
      <calculatedColumnFormula>Tab_01.Jan[[#This Row],[DÉBITO]]-Tab_01.Jan[[#This Row],[CRÉDITO]]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3561937-9792-438D-80A6-34442BED198E}" name="Tab_02.Fev" displayName="Tab_02.Fev" ref="B14:O293" totalsRowShown="0" headerRowDxfId="174" dataDxfId="173">
  <autoFilter ref="B14:O293" xr:uid="{8138E661-209A-4055-9483-F6E64ADE52E3}"/>
  <tableColumns count="14">
    <tableColumn id="11" xr3:uid="{0A35A505-D4D9-4397-936B-9017EF44CBD3}" name="TP" dataDxfId="172">
      <calculatedColumnFormula>_xlfn.XLOOKUP($I15,Tab_00.Trial[CONTA],Tab_00.Trial[TP],"",0,1)</calculatedColumnFormula>
    </tableColumn>
    <tableColumn id="9" xr3:uid="{8E21EF9A-0675-4AEB-A8CA-F50D7F3602B0}" name="NV" dataDxfId="171">
      <calculatedColumnFormula>_xlfn.XLOOKUP($I15,Tab_00.Trial[CONTA],Tab_00.Trial[NV],"",0,1)</calculatedColumnFormula>
    </tableColumn>
    <tableColumn id="10" xr3:uid="{D6FDA966-4736-4DB2-8B73-D33EC4A23A55}" name="S/A" dataDxfId="170">
      <calculatedColumnFormula>_xlfn.XLOOKUP($I15,Tab_00.Trial[CONTA],Tab_00.Trial[S/A],"",0,1)</calculatedColumnFormula>
    </tableColumn>
    <tableColumn id="12" xr3:uid="{B4828139-58D7-4663-9438-F8CEB39B057E}" name="CHK" dataDxfId="169">
      <calculatedColumnFormula>IF($I15="","",COUNTIFS(Tab_00.Trial[CONTA],$I15))</calculatedColumnFormula>
    </tableColumn>
    <tableColumn id="13" xr3:uid="{AFA0DCD8-3EDF-4668-9EA2-B9C7E678A3CF}" name="SALDO FINAL_x000a_ANTERIOR" dataDxfId="168">
      <calculatedColumnFormula>SUMIFS(Tab_01.Jan[SALDO
ATUAL],Tab_01.Jan[CONTA],$I15)</calculatedColumnFormula>
    </tableColumn>
    <tableColumn id="14" xr3:uid="{E5B3A2D8-5FA0-49C4-BB10-1D5375BEF7E3}" name="DIFERENÇA" dataDxfId="167">
      <calculatedColumnFormula>$F15-$K15</calculatedColumnFormula>
    </tableColumn>
    <tableColumn id="2" xr3:uid="{F5623A41-7AE9-4D48-9BC5-B9D82A5AD248}" name="REDUZIDO" dataDxfId="166"/>
    <tableColumn id="1" xr3:uid="{7C0E5431-00AA-4B74-863A-E4CA3406DF90}" name="CONTA" dataDxfId="165"/>
    <tableColumn id="3" xr3:uid="{707105BE-9E77-43B2-A101-1969EFBC748D}" name="DESCRIÇÃO" dataDxfId="164"/>
    <tableColumn id="4" xr3:uid="{F9E28F67-DC48-40A5-9ED1-11E62CEE03C3}" name="SALDO_x000a_ANTERIOR" dataDxfId="163"/>
    <tableColumn id="5" xr3:uid="{66A22622-2DD3-46DC-9E02-36DC82FD4A46}" name="DÉBITO" dataDxfId="162"/>
    <tableColumn id="6" xr3:uid="{68B22BD2-BCD0-41E5-A6A2-5D34CD307A32}" name="CRÉDITO" dataDxfId="161"/>
    <tableColumn id="8" xr3:uid="{7825AABF-05A1-4ED7-900A-1D3346CF8EC0}" name="SALDO_x000a_ATUAL" dataDxfId="160"/>
    <tableColumn id="7" xr3:uid="{C0C96BBF-FBB1-493A-91B6-96228DD21113}" name="MOVIMENTO" dataDxfId="159">
      <calculatedColumnFormula>Tab_02.Fev[[#This Row],[DÉBITO]]-Tab_02.Fev[[#This Row],[CRÉDITO]]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7EB31C6-1819-4E0B-8E14-411CA61EA2D5}" name="Tab_03.Mar" displayName="Tab_03.Mar" ref="B14:O280" totalsRowShown="0" headerRowDxfId="158" dataDxfId="157">
  <autoFilter ref="B14:O280" xr:uid="{8138E661-209A-4055-9483-F6E64ADE52E3}"/>
  <tableColumns count="14">
    <tableColumn id="11" xr3:uid="{808A618D-C270-4762-B2DA-70E872FF8F6D}" name="TP" dataDxfId="156">
      <calculatedColumnFormula>_xlfn.XLOOKUP($I15,Tab_00.Trial[CONTA],Tab_00.Trial[TP],"",0,1)</calculatedColumnFormula>
    </tableColumn>
    <tableColumn id="9" xr3:uid="{7A54D1E7-3EEE-4CC8-BA50-66872458445C}" name="NV" dataDxfId="155">
      <calculatedColumnFormula>_xlfn.XLOOKUP($I15,Tab_00.Trial[CONTA],Tab_00.Trial[NV],"",0,1)</calculatedColumnFormula>
    </tableColumn>
    <tableColumn id="10" xr3:uid="{A2C39BD0-65C4-4579-A480-EA4AD3D2D7A5}" name="S/A" dataDxfId="154">
      <calculatedColumnFormula>_xlfn.XLOOKUP($I15,Tab_00.Trial[CONTA],Tab_00.Trial[S/A],"",0,1)</calculatedColumnFormula>
    </tableColumn>
    <tableColumn id="12" xr3:uid="{374CAC42-8B50-41B1-BACD-E0A0BD0F7341}" name="CHK" dataDxfId="153">
      <calculatedColumnFormula>IF($I15="","",COUNTIFS(Tab_00.Trial[CONTA],$I15))</calculatedColumnFormula>
    </tableColumn>
    <tableColumn id="13" xr3:uid="{1AF57643-CF51-479E-B2ED-A164FCB0D819}" name="SALDO FINAL_x000a_ANTERIOR" dataDxfId="152">
      <calculatedColumnFormula>SUMIFS(Tab_02.Fev[SALDO
ATUAL],Tab_02.Fev[CONTA],$I15)</calculatedColumnFormula>
    </tableColumn>
    <tableColumn id="14" xr3:uid="{18913ACA-665D-4460-BE05-DD9020554C95}" name="DIFERENÇA" dataDxfId="151">
      <calculatedColumnFormula>$F15-$K15</calculatedColumnFormula>
    </tableColumn>
    <tableColumn id="2" xr3:uid="{A7982A58-FF08-4099-B7A9-3BD28DF93668}" name="REDUZIDO" dataDxfId="150"/>
    <tableColumn id="1" xr3:uid="{E2980AFE-75F3-4115-A805-F9BEF0C4F6FC}" name="CONTA" dataDxfId="149"/>
    <tableColumn id="3" xr3:uid="{6C794A47-36FB-4A7D-BF15-4BAD598F116B}" name="DESCRIÇÃO" dataDxfId="148"/>
    <tableColumn id="4" xr3:uid="{02339ADD-A5AF-498D-BE6C-DAC7BEC9726B}" name="SALDO_x000a_ANTERIOR" dataDxfId="147"/>
    <tableColumn id="5" xr3:uid="{54964B28-7D35-4A7F-90BF-FEA27136BEB2}" name="DÉBITO" dataDxfId="146"/>
    <tableColumn id="6" xr3:uid="{4BDAF072-BB05-44CA-BE32-F1610BA71A76}" name="CRÉDITO" dataDxfId="145"/>
    <tableColumn id="8" xr3:uid="{9E5F1563-02F4-4655-A496-43BD11F89B43}" name="SALDO_x000a_ATUAL" dataDxfId="144"/>
    <tableColumn id="7" xr3:uid="{687FBDB1-1A87-4CAC-BDA7-A5822B75E4EF}" name="MOVIMENTO" dataDxfId="143">
      <calculatedColumnFormula>Tab_03.Mar[[#This Row],[DÉBITO]]-Tab_03.Mar[[#This Row],[CRÉDITO]]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2B9ECBE-184B-4FF9-90E9-7A5AB264112F}" name="Tab_04.Abr" displayName="Tab_04.Abr" ref="B14:O285" totalsRowShown="0" headerRowDxfId="142" dataDxfId="141">
  <autoFilter ref="B14:O285" xr:uid="{8138E661-209A-4055-9483-F6E64ADE52E3}">
    <filterColumn colId="12">
      <filters>
        <filter val="(89.524,57)"/>
      </filters>
    </filterColumn>
  </autoFilter>
  <tableColumns count="14">
    <tableColumn id="11" xr3:uid="{0C81C5E6-2410-42DE-9893-DAE14F8A8F2C}" name="TP" dataDxfId="140">
      <calculatedColumnFormula>_xlfn.XLOOKUP($I15,Tab_00.Trial[CONTA],Tab_00.Trial[TP],"",0,1)</calculatedColumnFormula>
    </tableColumn>
    <tableColumn id="9" xr3:uid="{9030B176-64A6-4513-A792-F055C9C992CB}" name="NV" dataDxfId="139">
      <calculatedColumnFormula>_xlfn.XLOOKUP($I15,Tab_00.Trial[CONTA],Tab_00.Trial[NV],"",0,1)</calculatedColumnFormula>
    </tableColumn>
    <tableColumn id="10" xr3:uid="{4008B073-9672-46E2-B95D-91C5EC84C761}" name="S/A" dataDxfId="138">
      <calculatedColumnFormula>_xlfn.XLOOKUP($I15,Tab_00.Trial[CONTA],Tab_00.Trial[S/A],"",0,1)</calculatedColumnFormula>
    </tableColumn>
    <tableColumn id="12" xr3:uid="{3F9DF086-B3E7-4884-92DE-25CBC68D2F2D}" name="CHK" dataDxfId="137">
      <calculatedColumnFormula>IF($I15="","",COUNTIFS(Tab_00.Trial[CONTA],$I15))</calculatedColumnFormula>
    </tableColumn>
    <tableColumn id="13" xr3:uid="{B580BBB4-189D-4B06-9D88-882549E19E61}" name="SALDO FINAL_x000a_ANTERIOR" dataDxfId="136">
      <calculatedColumnFormula>SUMIFS(Tab_03.Mar[SALDO
ATUAL],Tab_03.Mar[CONTA],$I15)</calculatedColumnFormula>
    </tableColumn>
    <tableColumn id="14" xr3:uid="{DE783B4C-7E51-4F2D-BB95-42C8E1D63599}" name="DIFERENÇA" dataDxfId="135">
      <calculatedColumnFormula>$F15-$K15</calculatedColumnFormula>
    </tableColumn>
    <tableColumn id="2" xr3:uid="{65577343-2458-44B3-B974-689CC986D425}" name="REDUZIDO" dataDxfId="134"/>
    <tableColumn id="1" xr3:uid="{02F8FA46-B724-446E-93BB-BC697279A07B}" name="CONTA" dataDxfId="133"/>
    <tableColumn id="3" xr3:uid="{56D3D9F9-6039-46DE-8B75-A7D5442210A4}" name="DESCRIÇÃO" dataDxfId="132"/>
    <tableColumn id="4" xr3:uid="{A65C7F17-39C0-4D92-A0D0-427A3BF72394}" name="SALDO_x000a_ANTERIOR" dataDxfId="131"/>
    <tableColumn id="5" xr3:uid="{D354A1C0-345D-4769-ADF4-5C08CF76C232}" name="DÉBITO" dataDxfId="130"/>
    <tableColumn id="6" xr3:uid="{AE4BA7E3-9BA4-4856-8C27-809B27338292}" name="CRÉDITO" dataDxfId="129"/>
    <tableColumn id="8" xr3:uid="{FCE22661-09E4-4B71-90CE-EEBBAD8DC3E7}" name="SALDO_x000a_ATUAL" dataDxfId="128"/>
    <tableColumn id="7" xr3:uid="{B996B068-AD2B-4975-A49E-AA84377B5BA7}" name="MOVIMENTO" dataDxfId="127">
      <calculatedColumnFormula>Tab_04.Abr[[#This Row],[DÉBITO]]-Tab_04.Abr[[#This Row],[CRÉDITO]]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6" dT="2024-01-16T11:35:20.11" personId="{FC5CB3C4-C029-45E5-914E-8989B6DA1CDE}" id="{6B9D0EDC-9F1D-4565-8069-C1A0925A3B12}">
    <text>A cada 1 real de dividas a curto prazo, a empresa possui 1,40 para honrar com tais obrigações</text>
  </threadedComment>
  <threadedComment ref="Q11" dT="2024-01-16T11:35:29.26" personId="{FC5CB3C4-C029-45E5-914E-8989B6DA1CDE}" id="{495325F3-2032-401E-BB22-0D6BBBE326C0}">
    <text xml:space="preserve">A cada 1 real de dividas a curto prazo, a empresa possui 1,06 para honrar suas obrigações sem o estoque
</text>
  </threadedComment>
  <threadedComment ref="Q15" dT="2024-01-16T11:35:41.68" personId="{FC5CB3C4-C029-45E5-914E-8989B6DA1CDE}" id="{E3AB28A8-0D5A-4363-8002-FE72F5962705}">
    <text>A cada 1 real de dividas a curto prazo, a empresa possui 0,47 para honrar suas obrigações sem o estoque</text>
  </threadedComment>
  <threadedComment ref="Q20" dT="2024-01-16T11:35:50.06" personId="{FC5CB3C4-C029-45E5-914E-8989B6DA1CDE}" id="{42EF2908-6761-4170-BE37-8575FB39BB2F}">
    <text>A cada 1 real de dividas a curto prazo e longo prazo, a empresa possui 1,56 para honrar suas obrigações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997AB-0B01-42E4-AEEA-5DAFE8E45800}">
  <sheetPr codeName="Planilha1"/>
  <dimension ref="B2:E14"/>
  <sheetViews>
    <sheetView showGridLines="0" showRowColHeaders="0" workbookViewId="0">
      <selection activeCell="K12" sqref="K12"/>
    </sheetView>
  </sheetViews>
  <sheetFormatPr defaultColWidth="9.109375" defaultRowHeight="13.8" x14ac:dyDescent="0.3"/>
  <cols>
    <col min="1" max="1" width="2.6640625" style="1" customWidth="1"/>
    <col min="2" max="2" width="25.6640625" style="1" customWidth="1"/>
    <col min="3" max="3" width="13.6640625" style="1" customWidth="1"/>
    <col min="4" max="4" width="2.6640625" style="1" customWidth="1"/>
    <col min="5" max="5" width="13.6640625" style="1" customWidth="1"/>
    <col min="6" max="16384" width="9.109375" style="1"/>
  </cols>
  <sheetData>
    <row r="2" spans="2:5" ht="20.100000000000001" customHeight="1" x14ac:dyDescent="0.3">
      <c r="C2" s="125">
        <f>BALANÇO!$F$2</f>
        <v>45657</v>
      </c>
      <c r="E2" s="125">
        <f>EOMONTH($C$2,-12)</f>
        <v>45291</v>
      </c>
    </row>
    <row r="3" spans="2:5" ht="15" customHeight="1" x14ac:dyDescent="0.3">
      <c r="B3" s="3" t="s">
        <v>125</v>
      </c>
      <c r="C3" s="4">
        <f ca="1">IFERROR(BALANÇO!$D$22/BALANÇO!$K$20,0)</f>
        <v>17.57</v>
      </c>
      <c r="E3" s="4">
        <f ca="1">IFERROR(BALANÇO!$F$22/BALANÇO!$M$20,0)</f>
        <v>0</v>
      </c>
    </row>
    <row r="4" spans="2:5" ht="15" customHeight="1" x14ac:dyDescent="0.3">
      <c r="B4" s="3" t="s">
        <v>126</v>
      </c>
      <c r="C4" s="4">
        <f ca="1">IFERROR((BALANÇO!$D$22-BALANÇO!$D$17)/BALANÇO!$K$20,0)</f>
        <v>17.18</v>
      </c>
      <c r="E4" s="4">
        <f ca="1">IFERROR((BALANÇO!$F$22-BALANÇO!$F$17)/BALANÇO!$M$20,0)</f>
        <v>0</v>
      </c>
    </row>
    <row r="5" spans="2:5" ht="15" customHeight="1" x14ac:dyDescent="0.3">
      <c r="B5" s="3" t="s">
        <v>127</v>
      </c>
      <c r="C5" s="22">
        <f ca="1">IFERROR(BALANÇO!$S$21/BALANÇO!$S$13,0)</f>
        <v>0.3019</v>
      </c>
      <c r="E5" s="22">
        <f ca="1">IFERROR(BALANÇO!$U$21/BALANÇO!$U$13,0)</f>
        <v>0</v>
      </c>
    </row>
    <row r="6" spans="2:5" ht="15" customHeight="1" x14ac:dyDescent="0.3">
      <c r="B6" s="3" t="s">
        <v>128</v>
      </c>
      <c r="C6" s="22">
        <f ca="1">IFERROR(BALANÇO!$S$44/BALANÇO!$S$13,0)</f>
        <v>0.13719999999999999</v>
      </c>
      <c r="E6" s="22">
        <f ca="1">IFERROR(BALANÇO!$U$44/BALANÇO!$U$13,0)</f>
        <v>0</v>
      </c>
    </row>
    <row r="7" spans="2:5" ht="15" customHeight="1" x14ac:dyDescent="0.3">
      <c r="B7" s="3" t="s">
        <v>129</v>
      </c>
      <c r="C7" s="22">
        <f ca="1">IFERROR((BALANÇO!$S$32-BALANÇO!$S$29)/BALANÇO!$S$13,0)</f>
        <v>-6.13E-2</v>
      </c>
      <c r="E7" s="22">
        <f ca="1">IFERROR((BALANÇO!$U$32-BALANÇO!$U$29)/BALANÇO!$U$13,0)</f>
        <v>0</v>
      </c>
    </row>
    <row r="8" spans="2:5" ht="15" customHeight="1" x14ac:dyDescent="0.3">
      <c r="B8" s="3" t="s">
        <v>130</v>
      </c>
      <c r="C8" s="22">
        <f ca="1">IFERROR(BALANÇO!$S$44/BALANÇO!$K$34,0)</f>
        <v>1.7100000000000001E-2</v>
      </c>
      <c r="E8" s="22">
        <f ca="1">IFERROR(BALANÇO!$U$44/BALANÇO!$M$34,0)</f>
        <v>0</v>
      </c>
    </row>
    <row r="9" spans="2:5" ht="15" customHeight="1" x14ac:dyDescent="0.3">
      <c r="B9" s="3" t="s">
        <v>131</v>
      </c>
      <c r="C9" s="22">
        <f ca="1">IFERROR(BALANÇO!$S$32/BALANÇO!$S$13,0)</f>
        <v>-6.4899999999999999E-2</v>
      </c>
      <c r="E9" s="22">
        <f ca="1">IFERROR(BALANÇO!$U$32/BALANÇO!$U$13,0)</f>
        <v>0</v>
      </c>
    </row>
    <row r="10" spans="2:5" ht="15" customHeight="1" x14ac:dyDescent="0.3">
      <c r="B10" s="3" t="s">
        <v>132</v>
      </c>
      <c r="C10" s="22">
        <f ca="1">IFERROR(BALANÇO!$S$44/BALANÇO!$K$38,0)</f>
        <v>2.1100000000000001E-2</v>
      </c>
      <c r="E10" s="22">
        <f ca="1">IFERROR(BALANÇO!$U$44/BALANÇO!$M$38,0)</f>
        <v>0</v>
      </c>
    </row>
    <row r="11" spans="2:5" ht="15" customHeight="1" x14ac:dyDescent="0.3">
      <c r="B11" s="3" t="s">
        <v>133</v>
      </c>
      <c r="C11" s="4">
        <f ca="1">IFERROR((BALANÇO!$D$17/-BALANÇO!$S$19)*270,0)</f>
        <v>7.58</v>
      </c>
      <c r="E11" s="4">
        <f ca="1">IFERROR((BALANÇO!$F$17/-BALANÇO!$U$19)*270,0)</f>
        <v>0</v>
      </c>
    </row>
    <row r="12" spans="2:5" ht="15" customHeight="1" x14ac:dyDescent="0.3">
      <c r="B12" s="3" t="s">
        <v>134</v>
      </c>
      <c r="C12" s="4">
        <f ca="1">IFERROR((BALANÇO!$D$16/BALANÇO!$S$13)*270,0)</f>
        <v>0.1</v>
      </c>
      <c r="E12" s="4">
        <f ca="1">IFERROR((BALANÇO!$F$16/BALANÇO!$U$13)*270,0)</f>
        <v>0</v>
      </c>
    </row>
    <row r="13" spans="2:5" ht="15" customHeight="1" x14ac:dyDescent="0.3">
      <c r="B13" s="3" t="s">
        <v>135</v>
      </c>
      <c r="C13" s="4">
        <f ca="1">IFERROR((BALANÇO!$K$14/-BALANÇO!$S$18)*270,0)</f>
        <v>10.4</v>
      </c>
      <c r="E13" s="4">
        <f ca="1">IFERROR((BALANÇO!$M$14/-BALANÇO!$U$18)*270,0)</f>
        <v>0</v>
      </c>
    </row>
    <row r="14" spans="2:5" ht="15" customHeight="1" x14ac:dyDescent="0.3">
      <c r="B14" s="3" t="s">
        <v>136</v>
      </c>
      <c r="C14" s="4">
        <f ca="1">SUM(C$11,C$12,-C$13)</f>
        <v>-2.72</v>
      </c>
      <c r="E14" s="4">
        <f ca="1">SUM(E$11,E$12,-E$13)</f>
        <v>0</v>
      </c>
    </row>
  </sheetData>
  <sheetProtection sheet="1" objects="1" scenarios="1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DEAC7-EECC-4110-824D-A6A45F80B7B2}">
  <sheetPr codeName="Planilha9">
    <outlinePr summaryRight="0"/>
  </sheetPr>
  <dimension ref="A1:S357"/>
  <sheetViews>
    <sheetView showGridLines="0" showRowColHeaders="0" zoomScale="90" zoomScaleNormal="90" workbookViewId="0">
      <pane xSplit="7" ySplit="14" topLeftCell="H331" activePane="bottomRight" state="frozen"/>
      <selection activeCell="L574" sqref="L574"/>
      <selection pane="topRight" activeCell="L574" sqref="L574"/>
      <selection pane="bottomLeft" activeCell="L574" sqref="L574"/>
      <selection pane="bottomRight" activeCell="F343" sqref="F343"/>
    </sheetView>
  </sheetViews>
  <sheetFormatPr defaultColWidth="8.88671875" defaultRowHeight="13.8" outlineLevelRow="1" x14ac:dyDescent="0.3"/>
  <cols>
    <col min="1" max="1" width="2.6640625" style="1" customWidth="1"/>
    <col min="2" max="2" width="8.6640625" customWidth="1"/>
    <col min="3" max="4" width="4.6640625" customWidth="1"/>
    <col min="5" max="5" width="4.6640625" style="2" customWidth="1"/>
    <col min="6" max="6" width="19.6640625" customWidth="1"/>
    <col min="7" max="7" width="80.6640625" style="2" customWidth="1"/>
    <col min="8" max="9" width="16.6640625" style="3" customWidth="1"/>
    <col min="10" max="10" width="16.6640625" style="3" customWidth="1" collapsed="1"/>
    <col min="11" max="15" width="16.6640625" customWidth="1"/>
    <col min="16" max="17" width="16.6640625" style="2" customWidth="1"/>
    <col min="18" max="19" width="16.6640625" style="4" customWidth="1"/>
    <col min="20" max="16384" width="8.88671875" style="1"/>
  </cols>
  <sheetData>
    <row r="1" spans="1:19" x14ac:dyDescent="0.3">
      <c r="B1" s="3"/>
      <c r="C1" s="2"/>
      <c r="D1" s="2"/>
      <c r="F1" s="3"/>
      <c r="G1" s="3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9" outlineLevel="1" x14ac:dyDescent="0.3">
      <c r="B2" s="3"/>
      <c r="C2" s="2" t="s">
        <v>16</v>
      </c>
      <c r="D2" s="2"/>
      <c r="F2" s="3"/>
      <c r="G2" s="88" t="s">
        <v>15</v>
      </c>
      <c r="H2" s="7">
        <f ca="1">SUMIFS(INDIRECT("Tab_000.Trial["&amp;H$14&amp;"]"),Tab_000.Trial[TP],$C2,Tab_000.Trial[S/A],"A")</f>
        <v>595004.93000000005</v>
      </c>
      <c r="I2" s="7">
        <f ca="1">SUMIFS(INDIRECT("Tab_000.Trial["&amp;I$14&amp;"]"),Tab_000.Trial[TP],$C2,Tab_000.Trial[S/A],"A")</f>
        <v>-655281.87</v>
      </c>
      <c r="J2" s="7">
        <f ca="1">SUMIFS(INDIRECT("Tab_000.Trial["&amp;J$14&amp;"]"),Tab_000.Trial[TP],$C2,Tab_000.Trial[S/A],"A")</f>
        <v>83119.240000000005</v>
      </c>
      <c r="K2" s="7">
        <f ca="1">SUMIFS(INDIRECT("Tab_000.Trial["&amp;K$14&amp;"]"),Tab_000.Trial[TP],$C2,Tab_000.Trial[S/A],"A")</f>
        <v>349475.34</v>
      </c>
      <c r="L2" s="7">
        <f ca="1">SUMIFS(INDIRECT("Tab_000.Trial["&amp;L$14&amp;"]"),Tab_000.Trial[TP],$C2,Tab_000.Trial[S/A],"A")</f>
        <v>334826.89</v>
      </c>
      <c r="M2" s="7">
        <f ca="1">SUMIFS(INDIRECT("Tab_000.Trial["&amp;M$14&amp;"]"),Tab_000.Trial[TP],$C2,Tab_000.Trial[S/A],"A")</f>
        <v>239227.38</v>
      </c>
      <c r="N2" s="7">
        <f ca="1">SUMIFS(INDIRECT("Tab_000.Trial["&amp;N$14&amp;"]"),Tab_000.Trial[TP],$C2,Tab_000.Trial[S/A],"A")</f>
        <v>543455.79</v>
      </c>
      <c r="O2" s="7">
        <f ca="1">SUMIFS(INDIRECT("Tab_000.Trial["&amp;O$14&amp;"]"),Tab_000.Trial[TP],$C2,Tab_000.Trial[S/A],"A")</f>
        <v>395742.14</v>
      </c>
      <c r="P2" s="7">
        <f ca="1">SUMIFS(INDIRECT("Tab_000.Trial["&amp;P$14&amp;"]"),Tab_000.Trial[TP],$C2,Tab_000.Trial[S/A],"A")</f>
        <v>-77.06</v>
      </c>
      <c r="Q2" s="7">
        <f ca="1">SUMIFS(INDIRECT("Tab_000.Trial["&amp;Q$14&amp;"]"),Tab_000.Trial[TP],$C2,Tab_000.Trial[S/A],"A")</f>
        <v>225757.36</v>
      </c>
      <c r="R2" s="7">
        <f ca="1">SUMIFS(INDIRECT("Tab_000.Trial["&amp;R$14&amp;"]"),Tab_000.Trial[TP],$C2,Tab_000.Trial[S/A],"A")</f>
        <v>315795.53999999998</v>
      </c>
      <c r="S2" s="7">
        <f ca="1">SUMIFS(INDIRECT("Tab_000.Trial["&amp;S$14&amp;"]"),Tab_000.Trial[TP],$C2,Tab_000.Trial[S/A],"A")</f>
        <v>-105888.25</v>
      </c>
    </row>
    <row r="3" spans="1:19" outlineLevel="1" x14ac:dyDescent="0.3">
      <c r="B3" s="3"/>
      <c r="C3" s="2" t="s">
        <v>116</v>
      </c>
      <c r="D3" s="2"/>
      <c r="F3" s="3"/>
      <c r="G3" s="88" t="s">
        <v>110</v>
      </c>
      <c r="H3" s="7">
        <f ca="1">SUMIFS(INDIRECT("Tab_000.Trial["&amp;H$14&amp;"]"),Tab_000.Trial[TP],$C3,Tab_000.Trial[S/A],"A")</f>
        <v>-706269.69</v>
      </c>
      <c r="I3" s="7">
        <f ca="1">SUMIFS(INDIRECT("Tab_000.Trial["&amp;I$14&amp;"]"),Tab_000.Trial[TP],$C3,Tab_000.Trial[S/A],"A")</f>
        <v>158881.98000000001</v>
      </c>
      <c r="J3" s="7">
        <f ca="1">SUMIFS(INDIRECT("Tab_000.Trial["&amp;J$14&amp;"]"),Tab_000.Trial[TP],$C3,Tab_000.Trial[S/A],"A")</f>
        <v>452196.63</v>
      </c>
      <c r="K3" s="7">
        <f ca="1">SUMIFS(INDIRECT("Tab_000.Trial["&amp;K$14&amp;"]"),Tab_000.Trial[TP],$C3,Tab_000.Trial[S/A],"A")</f>
        <v>-347197.14</v>
      </c>
      <c r="L3" s="7">
        <f ca="1">SUMIFS(INDIRECT("Tab_000.Trial["&amp;L$14&amp;"]"),Tab_000.Trial[TP],$C3,Tab_000.Trial[S/A],"A")</f>
        <v>127679</v>
      </c>
      <c r="M3" s="7">
        <f ca="1">SUMIFS(INDIRECT("Tab_000.Trial["&amp;M$14&amp;"]"),Tab_000.Trial[TP],$C3,Tab_000.Trial[S/A],"A")</f>
        <v>112336.62</v>
      </c>
      <c r="N3" s="7">
        <f ca="1">SUMIFS(INDIRECT("Tab_000.Trial["&amp;N$14&amp;"]"),Tab_000.Trial[TP],$C3,Tab_000.Trial[S/A],"A")</f>
        <v>-134375.84</v>
      </c>
      <c r="O3" s="7">
        <f ca="1">SUMIFS(INDIRECT("Tab_000.Trial["&amp;O$14&amp;"]"),Tab_000.Trial[TP],$C3,Tab_000.Trial[S/A],"A")</f>
        <v>-59356.19</v>
      </c>
      <c r="P3" s="7">
        <f ca="1">SUMIFS(INDIRECT("Tab_000.Trial["&amp;P$14&amp;"]"),Tab_000.Trial[TP],$C3,Tab_000.Trial[S/A],"A")</f>
        <v>62705.120000000003</v>
      </c>
      <c r="Q3" s="7">
        <f ca="1">SUMIFS(INDIRECT("Tab_000.Trial["&amp;Q$14&amp;"]"),Tab_000.Trial[TP],$C3,Tab_000.Trial[S/A],"A")</f>
        <v>1173.82</v>
      </c>
      <c r="R3" s="7">
        <f ca="1">SUMIFS(INDIRECT("Tab_000.Trial["&amp;R$14&amp;"]"),Tab_000.Trial[TP],$C3,Tab_000.Trial[S/A],"A")</f>
        <v>185563.39</v>
      </c>
      <c r="S3" s="7">
        <f ca="1">SUMIFS(INDIRECT("Tab_000.Trial["&amp;S$14&amp;"]"),Tab_000.Trial[TP],$C3,Tab_000.Trial[S/A],"A")</f>
        <v>-385153.55</v>
      </c>
    </row>
    <row r="4" spans="1:19" outlineLevel="1" x14ac:dyDescent="0.3">
      <c r="B4" s="3"/>
      <c r="C4" s="2"/>
      <c r="D4" s="2"/>
      <c r="F4" s="3"/>
      <c r="G4" s="88"/>
      <c r="H4" s="8">
        <f t="shared" ref="H4:S4" ca="1" si="0">SUM(H$2:H$3)</f>
        <v>-111264.76</v>
      </c>
      <c r="I4" s="8">
        <f t="shared" ca="1" si="0"/>
        <v>-496399.89</v>
      </c>
      <c r="J4" s="8">
        <f t="shared" ca="1" si="0"/>
        <v>535315.87</v>
      </c>
      <c r="K4" s="8">
        <f t="shared" ca="1" si="0"/>
        <v>2278.1999999999998</v>
      </c>
      <c r="L4" s="8">
        <f t="shared" ca="1" si="0"/>
        <v>462505.89</v>
      </c>
      <c r="M4" s="8">
        <f t="shared" ca="1" si="0"/>
        <v>351564</v>
      </c>
      <c r="N4" s="8">
        <f t="shared" ca="1" si="0"/>
        <v>409079.95</v>
      </c>
      <c r="O4" s="8">
        <f t="shared" ca="1" si="0"/>
        <v>336385.95</v>
      </c>
      <c r="P4" s="8">
        <f t="shared" ca="1" si="0"/>
        <v>62628.06</v>
      </c>
      <c r="Q4" s="8">
        <f t="shared" ca="1" si="0"/>
        <v>226931.18</v>
      </c>
      <c r="R4" s="8">
        <f t="shared" ca="1" si="0"/>
        <v>501358.93</v>
      </c>
      <c r="S4" s="8">
        <f t="shared" ca="1" si="0"/>
        <v>-491041.8</v>
      </c>
    </row>
    <row r="5" spans="1:19" ht="5.0999999999999996" customHeight="1" outlineLevel="1" x14ac:dyDescent="0.3">
      <c r="B5" s="3"/>
      <c r="C5" s="2"/>
      <c r="D5" s="2"/>
      <c r="F5" s="3"/>
      <c r="G5" s="89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9" outlineLevel="1" x14ac:dyDescent="0.3">
      <c r="B6" s="3"/>
      <c r="C6" s="2" t="s">
        <v>19</v>
      </c>
      <c r="D6" s="2"/>
      <c r="F6" s="3"/>
      <c r="G6" s="88" t="s">
        <v>18</v>
      </c>
      <c r="H6" s="7">
        <f ca="1">SUMIFS(INDIRECT("Tab_000.Trial["&amp;H$14&amp;"]"),Tab_000.Trial[TP],$C6,Tab_000.Trial[S/A],"A")</f>
        <v>-1152924.6399999999</v>
      </c>
      <c r="I6" s="7">
        <f ca="1">SUMIFS(INDIRECT("Tab_000.Trial["&amp;I$14&amp;"]"),Tab_000.Trial[TP],$C6,Tab_000.Trial[S/A],"A")</f>
        <v>-1193936.95</v>
      </c>
      <c r="J6" s="7">
        <f ca="1">SUMIFS(INDIRECT("Tab_000.Trial["&amp;J$14&amp;"]"),Tab_000.Trial[TP],$C6,Tab_000.Trial[S/A],"A")</f>
        <v>-1357483.78</v>
      </c>
      <c r="K6" s="7">
        <f ca="1">SUMIFS(INDIRECT("Tab_000.Trial["&amp;K$14&amp;"]"),Tab_000.Trial[TP],$C6,Tab_000.Trial[S/A],"A")</f>
        <v>-1081999.94</v>
      </c>
      <c r="L6" s="7">
        <f ca="1">SUMIFS(INDIRECT("Tab_000.Trial["&amp;L$14&amp;"]"),Tab_000.Trial[TP],$C6,Tab_000.Trial[S/A],"A")</f>
        <v>-1538527.4</v>
      </c>
      <c r="M6" s="7">
        <f ca="1">SUMIFS(INDIRECT("Tab_000.Trial["&amp;M$14&amp;"]"),Tab_000.Trial[TP],$C6,Tab_000.Trial[S/A],"A")</f>
        <v>-1211414.56</v>
      </c>
      <c r="N6" s="7">
        <f ca="1">SUMIFS(INDIRECT("Tab_000.Trial["&amp;N$14&amp;"]"),Tab_000.Trial[TP],$C6,Tab_000.Trial[S/A],"A")</f>
        <v>-1510566.84</v>
      </c>
      <c r="O6" s="7">
        <f ca="1">SUMIFS(INDIRECT("Tab_000.Trial["&amp;O$14&amp;"]"),Tab_000.Trial[TP],$C6,Tab_000.Trial[S/A],"A")</f>
        <v>-1419820.44</v>
      </c>
      <c r="P6" s="7">
        <f ca="1">SUMIFS(INDIRECT("Tab_000.Trial["&amp;P$14&amp;"]"),Tab_000.Trial[TP],$C6,Tab_000.Trial[S/A],"A")</f>
        <v>-1116916.67</v>
      </c>
      <c r="Q6" s="7">
        <f ca="1">SUMIFS(INDIRECT("Tab_000.Trial["&amp;Q$14&amp;"]"),Tab_000.Trial[TP],$C6,Tab_000.Trial[S/A],"A")</f>
        <v>-1457061.12</v>
      </c>
      <c r="R6" s="7">
        <f ca="1">SUMIFS(INDIRECT("Tab_000.Trial["&amp;R$14&amp;"]"),Tab_000.Trial[TP],$C6,Tab_000.Trial[S/A],"A")</f>
        <v>-1249238.18</v>
      </c>
      <c r="S6" s="7">
        <f ca="1">SUMIFS(INDIRECT("Tab_000.Trial["&amp;S$14&amp;"]"),Tab_000.Trial[TP],$C6,Tab_000.Trial[S/A],"A")</f>
        <v>-1390317.56</v>
      </c>
    </row>
    <row r="7" spans="1:19" outlineLevel="1" x14ac:dyDescent="0.3">
      <c r="B7" s="3"/>
      <c r="C7" s="2" t="s">
        <v>20</v>
      </c>
      <c r="D7" s="2"/>
      <c r="F7" s="3"/>
      <c r="G7" s="88" t="s">
        <v>111</v>
      </c>
      <c r="H7" s="7">
        <f ca="1">SUMIFS(INDIRECT("Tab_000.Trial["&amp;H$14&amp;"]"),Tab_000.Trial[TP],$C7,Tab_000.Trial[S/A],"A")</f>
        <v>1264189.3999999999</v>
      </c>
      <c r="I7" s="7">
        <f ca="1">SUMIFS(INDIRECT("Tab_000.Trial["&amp;I$14&amp;"]"),Tab_000.Trial[TP],$C7,Tab_000.Trial[S/A],"A")</f>
        <v>1690336.84</v>
      </c>
      <c r="J7" s="7">
        <f ca="1">SUMIFS(INDIRECT("Tab_000.Trial["&amp;J$14&amp;"]"),Tab_000.Trial[TP],$C7,Tab_000.Trial[S/A],"A")</f>
        <v>822167.91</v>
      </c>
      <c r="K7" s="7">
        <f ca="1">SUMIFS(INDIRECT("Tab_000.Trial["&amp;K$14&amp;"]"),Tab_000.Trial[TP],$C7,Tab_000.Trial[S/A],"A")</f>
        <v>1079721.74</v>
      </c>
      <c r="L7" s="7">
        <f ca="1">SUMIFS(INDIRECT("Tab_000.Trial["&amp;L$14&amp;"]"),Tab_000.Trial[TP],$C7,Tab_000.Trial[S/A],"A")</f>
        <v>1076021.51</v>
      </c>
      <c r="M7" s="7">
        <f ca="1">SUMIFS(INDIRECT("Tab_000.Trial["&amp;M$14&amp;"]"),Tab_000.Trial[TP],$C7,Tab_000.Trial[S/A],"A")</f>
        <v>859850.56</v>
      </c>
      <c r="N7" s="7">
        <f ca="1">SUMIFS(INDIRECT("Tab_000.Trial["&amp;N$14&amp;"]"),Tab_000.Trial[TP],$C7,Tab_000.Trial[S/A],"A")</f>
        <v>1101486.8899999999</v>
      </c>
      <c r="O7" s="7">
        <f ca="1">SUMIFS(INDIRECT("Tab_000.Trial["&amp;O$14&amp;"]"),Tab_000.Trial[TP],$C7,Tab_000.Trial[S/A],"A")</f>
        <v>1083434.49</v>
      </c>
      <c r="P7" s="7">
        <f ca="1">SUMIFS(INDIRECT("Tab_000.Trial["&amp;P$14&amp;"]"),Tab_000.Trial[TP],$C7,Tab_000.Trial[S/A],"A")</f>
        <v>1054288.6100000001</v>
      </c>
      <c r="Q7" s="7">
        <f ca="1">SUMIFS(INDIRECT("Tab_000.Trial["&amp;Q$14&amp;"]"),Tab_000.Trial[TP],$C7,Tab_000.Trial[S/A],"A")</f>
        <v>1230129.94</v>
      </c>
      <c r="R7" s="7">
        <f ca="1">SUMIFS(INDIRECT("Tab_000.Trial["&amp;R$14&amp;"]"),Tab_000.Trial[TP],$C7,Tab_000.Trial[S/A],"A")</f>
        <v>747879.25</v>
      </c>
      <c r="S7" s="7">
        <f ca="1">SUMIFS(INDIRECT("Tab_000.Trial["&amp;S$14&amp;"]"),Tab_000.Trial[TP],$C7,Tab_000.Trial[S/A],"A")</f>
        <v>1881359.3600000001</v>
      </c>
    </row>
    <row r="8" spans="1:19" outlineLevel="1" x14ac:dyDescent="0.3">
      <c r="A8" s="1" t="s">
        <v>21</v>
      </c>
      <c r="B8" s="3"/>
      <c r="C8" s="2"/>
      <c r="D8" s="2"/>
      <c r="F8" s="3"/>
      <c r="G8" s="88"/>
      <c r="H8" s="8">
        <f ca="1">SUM(H$6:H$7)</f>
        <v>111264.76</v>
      </c>
      <c r="I8" s="8">
        <f t="shared" ref="I8:S8" ca="1" si="1">SUM(I$6:I$7)</f>
        <v>496399.89</v>
      </c>
      <c r="J8" s="8">
        <f t="shared" ca="1" si="1"/>
        <v>-535315.87</v>
      </c>
      <c r="K8" s="8">
        <f t="shared" ca="1" si="1"/>
        <v>-2278.1999999999998</v>
      </c>
      <c r="L8" s="8">
        <f t="shared" ca="1" si="1"/>
        <v>-462505.89</v>
      </c>
      <c r="M8" s="8">
        <f t="shared" ca="1" si="1"/>
        <v>-351564</v>
      </c>
      <c r="N8" s="8">
        <f t="shared" ca="1" si="1"/>
        <v>-409079.95</v>
      </c>
      <c r="O8" s="8">
        <f t="shared" ca="1" si="1"/>
        <v>-336385.95</v>
      </c>
      <c r="P8" s="8">
        <f t="shared" ca="1" si="1"/>
        <v>-62628.06</v>
      </c>
      <c r="Q8" s="8">
        <f t="shared" ca="1" si="1"/>
        <v>-226931.18</v>
      </c>
      <c r="R8" s="8">
        <f t="shared" ca="1" si="1"/>
        <v>-501358.93</v>
      </c>
      <c r="S8" s="8">
        <f t="shared" ca="1" si="1"/>
        <v>491041.8</v>
      </c>
    </row>
    <row r="9" spans="1:19" ht="5.0999999999999996" customHeight="1" outlineLevel="1" x14ac:dyDescent="0.3">
      <c r="B9" s="3"/>
      <c r="C9" s="2"/>
      <c r="D9" s="2"/>
      <c r="F9" s="3"/>
      <c r="G9" s="89"/>
      <c r="H9" s="4"/>
      <c r="I9" s="4"/>
      <c r="J9" s="4"/>
      <c r="K9" s="4"/>
      <c r="L9" s="4"/>
      <c r="M9" s="4"/>
      <c r="N9" s="4"/>
      <c r="O9" s="4"/>
      <c r="P9" s="4"/>
      <c r="Q9" s="4"/>
    </row>
    <row r="10" spans="1:19" x14ac:dyDescent="0.3">
      <c r="B10" s="3"/>
      <c r="C10" s="2"/>
      <c r="D10" s="2"/>
      <c r="F10" s="3"/>
      <c r="G10" s="88" t="s">
        <v>22</v>
      </c>
      <c r="H10" s="11">
        <f t="shared" ref="H10:Q10" ca="1" si="2">SUM(H$4,H$8)</f>
        <v>0</v>
      </c>
      <c r="I10" s="11">
        <f t="shared" ca="1" si="2"/>
        <v>0</v>
      </c>
      <c r="J10" s="11">
        <f t="shared" ca="1" si="2"/>
        <v>0</v>
      </c>
      <c r="K10" s="11">
        <f t="shared" ca="1" si="2"/>
        <v>0</v>
      </c>
      <c r="L10" s="11">
        <f t="shared" ca="1" si="2"/>
        <v>0</v>
      </c>
      <c r="M10" s="11">
        <f t="shared" ca="1" si="2"/>
        <v>0</v>
      </c>
      <c r="N10" s="11">
        <f t="shared" ca="1" si="2"/>
        <v>0</v>
      </c>
      <c r="O10" s="11">
        <f t="shared" ca="1" si="2"/>
        <v>0</v>
      </c>
      <c r="P10" s="11">
        <f t="shared" ca="1" si="2"/>
        <v>0</v>
      </c>
      <c r="Q10" s="11">
        <f t="shared" ca="1" si="2"/>
        <v>0</v>
      </c>
      <c r="R10" s="11">
        <f ca="1">SUM(R$4,R$8)</f>
        <v>0</v>
      </c>
      <c r="S10" s="11">
        <f ca="1">SUM(S$4,S$8)</f>
        <v>0</v>
      </c>
    </row>
    <row r="11" spans="1:19" ht="5.0999999999999996" customHeight="1" x14ac:dyDescent="0.3">
      <c r="B11" s="3"/>
      <c r="C11" s="2"/>
      <c r="D11" s="2"/>
      <c r="F11" s="3"/>
      <c r="G11" s="3"/>
      <c r="H11" s="4"/>
      <c r="I11" s="4"/>
      <c r="J11" s="4"/>
      <c r="K11" s="4"/>
      <c r="L11" s="4"/>
      <c r="M11" s="4"/>
      <c r="N11" s="4"/>
      <c r="O11" s="4"/>
      <c r="P11" s="4"/>
      <c r="Q11" s="4"/>
    </row>
    <row r="12" spans="1:19" x14ac:dyDescent="0.3">
      <c r="C12" s="2"/>
      <c r="D12" s="2"/>
      <c r="F12" s="95">
        <f>COUNTA(Tab_000.Trial[CONTA])</f>
        <v>343</v>
      </c>
      <c r="G12" s="3"/>
      <c r="H12" s="7">
        <f>SUBTOTAL(9,Tab_000.Trial[JANEIRO])</f>
        <v>0</v>
      </c>
      <c r="I12" s="7">
        <f>SUBTOTAL(9,Tab_000.Trial[FEVEREIRO])</f>
        <v>0</v>
      </c>
      <c r="J12" s="7">
        <f>SUBTOTAL(9,Tab_000.Trial[MARÇO])</f>
        <v>0</v>
      </c>
      <c r="K12" s="7">
        <f>SUBTOTAL(9,Tab_000.Trial[ABRIL])</f>
        <v>0</v>
      </c>
      <c r="L12" s="7">
        <f>SUBTOTAL(9,Tab_000.Trial[MAIO])</f>
        <v>0</v>
      </c>
      <c r="M12" s="7">
        <f>SUBTOTAL(9,Tab_000.Trial[JUNHO])</f>
        <v>0</v>
      </c>
      <c r="N12" s="7">
        <f>SUBTOTAL(9,Tab_000.Trial[JULHO])</f>
        <v>0</v>
      </c>
      <c r="O12" s="7">
        <f>SUBTOTAL(9,Tab_000.Trial[AGOSTO])</f>
        <v>0</v>
      </c>
      <c r="P12" s="7">
        <f>SUBTOTAL(9,Tab_000.Trial[SETEMBRO])</f>
        <v>0</v>
      </c>
      <c r="Q12" s="7">
        <f>SUBTOTAL(9,Tab_000.Trial[OUTUBRO])</f>
        <v>0</v>
      </c>
      <c r="R12" s="7">
        <f>SUBTOTAL(9,Tab_000.Trial[NOVEMBRO])</f>
        <v>0</v>
      </c>
      <c r="S12" s="7">
        <f>SUBTOTAL(9,Tab_000.Trial[DEZEMBRO])</f>
        <v>0</v>
      </c>
    </row>
    <row r="13" spans="1:19" ht="5.0999999999999996" customHeight="1" x14ac:dyDescent="0.3">
      <c r="B13" s="3"/>
      <c r="C13" s="2"/>
      <c r="D13" s="2"/>
      <c r="F13" s="3"/>
      <c r="G13" s="3"/>
      <c r="H13" s="4"/>
      <c r="I13" s="4"/>
      <c r="J13" s="4"/>
      <c r="K13" s="4"/>
      <c r="L13" s="4"/>
      <c r="M13" s="4"/>
      <c r="N13" s="4"/>
      <c r="O13" s="4"/>
      <c r="P13" s="4"/>
      <c r="Q13" s="4"/>
    </row>
    <row r="14" spans="1:19" ht="24.9" customHeight="1" x14ac:dyDescent="0.3">
      <c r="B14" s="19" t="s">
        <v>44</v>
      </c>
      <c r="C14" s="5" t="s">
        <v>1</v>
      </c>
      <c r="D14" s="5" t="s">
        <v>81</v>
      </c>
      <c r="E14" s="5" t="s">
        <v>2</v>
      </c>
      <c r="F14" s="5" t="s">
        <v>23</v>
      </c>
      <c r="G14" s="5" t="s">
        <v>0</v>
      </c>
      <c r="H14" s="6" t="s">
        <v>3</v>
      </c>
      <c r="I14" s="6" t="s">
        <v>4</v>
      </c>
      <c r="J14" s="6" t="s">
        <v>5</v>
      </c>
      <c r="K14" s="6" t="s">
        <v>6</v>
      </c>
      <c r="L14" s="6" t="s">
        <v>7</v>
      </c>
      <c r="M14" s="6" t="s">
        <v>8</v>
      </c>
      <c r="N14" s="6" t="s">
        <v>9</v>
      </c>
      <c r="O14" s="6" t="s">
        <v>10</v>
      </c>
      <c r="P14" s="6" t="s">
        <v>11</v>
      </c>
      <c r="Q14" s="6" t="s">
        <v>12</v>
      </c>
      <c r="R14" s="6" t="s">
        <v>13</v>
      </c>
      <c r="S14" s="6" t="s">
        <v>14</v>
      </c>
    </row>
    <row r="15" spans="1:19" x14ac:dyDescent="0.3">
      <c r="B15" s="3"/>
      <c r="C15" s="2" t="str">
        <f t="shared" ref="C15:C17" si="3">IF($F15="","",IF(LEFT($F15,1)*1=1,"A",IF(LEFT($F15,1)*1=2,"P",IF(LEFT($F15,1)*1=3,"R",IF(LEFT($F15,1)*1=4,"C",IF(LEFT($F15,1)*1=5,"C",IF(LEFT($F15,1)*1=6,"C","")))))))</f>
        <v>A</v>
      </c>
      <c r="D15" s="2" t="str">
        <f t="shared" ref="D15:D17" si="4">IF($F15="","",IF(LEN($F15)=13,"A","S"))</f>
        <v>S</v>
      </c>
      <c r="E15" s="2">
        <f t="shared" ref="E15:E17" si="5">IF($F15="","",IF(LEN($F15)=1,1,IF(LEN($F15)=3,2,IF(LEN($F15)=5,3,IF(LEN($F15)=8,4,5)))))</f>
        <v>1</v>
      </c>
      <c r="F15" s="3">
        <v>1</v>
      </c>
      <c r="G15" s="3" t="s">
        <v>637</v>
      </c>
      <c r="H15" s="4">
        <f>SUMIFS(Tab_01.Jan[MOVIMENTO],Tab_01.Jan[CONTA],$F15)</f>
        <v>595004.93000000005</v>
      </c>
      <c r="I15" s="4">
        <f>SUMIFS(Tab_02.Fev[MOVIMENTO],Tab_02.Fev[CONTA],$F15)</f>
        <v>-655281.87</v>
      </c>
      <c r="J15" s="4">
        <f>SUMIFS(Tab_03.Mar[MOVIMENTO],Tab_03.Mar[CONTA],$F15)</f>
        <v>83119.240000000005</v>
      </c>
      <c r="K15" s="4">
        <f>SUMIFS(Tab_04.Abr[MOVIMENTO],Tab_04.Abr[CONTA],$F15)</f>
        <v>349475.34</v>
      </c>
      <c r="L15" s="4">
        <f>SUMIFS(Tab_05.Mai[MOVIMENTO],Tab_05.Mai[CONTA],$F15)</f>
        <v>334826.89</v>
      </c>
      <c r="M15" s="4">
        <f>SUMIFS(Tab_06.Jun[MOVIMENTO],Tab_06.Jun[CONTA],$F15)</f>
        <v>239227.38</v>
      </c>
      <c r="N15" s="4">
        <f>SUMIFS(Tab_07.Jul[MOVIMENTO],Tab_07.Jul[CONTA],$F15)</f>
        <v>543455.79</v>
      </c>
      <c r="O15" s="4">
        <f>SUMIFS(Tab_08.Ago[MOVIMENTO],Tab_08.Ago[CONTA],$F15)</f>
        <v>395742.14</v>
      </c>
      <c r="P15" s="4">
        <f>SUMIFS(Tab_09.Set[MOVIMENTO],Tab_09.Set[CONTA],$F15)</f>
        <v>-77.06</v>
      </c>
      <c r="Q15" s="4">
        <f>SUMIFS(Tab_10.Out[MOVIMENTO],Tab_10.Out[CONTA],$F15)</f>
        <v>225757.36</v>
      </c>
      <c r="R15" s="4">
        <f>SUMIFS(Tab_11.Nov[MOVIMENTO],Tab_11.Nov[CONTA],$F15)</f>
        <v>315795.53999999998</v>
      </c>
      <c r="S15" s="4">
        <f>SUMIFS(Tab_12.Dez[MOVIMENTO],Tab_12.Dez[CONTA],$F15)</f>
        <v>-105888.25</v>
      </c>
    </row>
    <row r="16" spans="1:19" x14ac:dyDescent="0.3">
      <c r="B16" s="3"/>
      <c r="C16" s="2" t="str">
        <f t="shared" si="3"/>
        <v>A</v>
      </c>
      <c r="D16" s="2" t="str">
        <f t="shared" si="4"/>
        <v>S</v>
      </c>
      <c r="E16" s="2">
        <f t="shared" si="5"/>
        <v>2</v>
      </c>
      <c r="F16" s="3" t="s">
        <v>197</v>
      </c>
      <c r="G16" s="3" t="s">
        <v>247</v>
      </c>
      <c r="H16" s="4">
        <f>SUMIFS(Tab_01.Jan[MOVIMENTO],Tab_01.Jan[CONTA],$F16)</f>
        <v>485180.31</v>
      </c>
      <c r="I16" s="4">
        <f>SUMIFS(Tab_02.Fev[MOVIMENTO],Tab_02.Fev[CONTA],$F16)</f>
        <v>-782968.99</v>
      </c>
      <c r="J16" s="4">
        <f>SUMIFS(Tab_03.Mar[MOVIMENTO],Tab_03.Mar[CONTA],$F16)</f>
        <v>-150616.72</v>
      </c>
      <c r="K16" s="4">
        <f>SUMIFS(Tab_04.Abr[MOVIMENTO],Tab_04.Abr[CONTA],$F16)</f>
        <v>447233.17</v>
      </c>
      <c r="L16" s="4">
        <f>SUMIFS(Tab_05.Mai[MOVIMENTO],Tab_05.Mai[CONTA],$F16)</f>
        <v>78979.59</v>
      </c>
      <c r="M16" s="4">
        <f>SUMIFS(Tab_06.Jun[MOVIMENTO],Tab_06.Jun[CONTA],$F16)</f>
        <v>123161.58</v>
      </c>
      <c r="N16" s="4">
        <f>SUMIFS(Tab_07.Jul[MOVIMENTO],Tab_07.Jul[CONTA],$F16)</f>
        <v>209959.95</v>
      </c>
      <c r="O16" s="4">
        <f>SUMIFS(Tab_08.Ago[MOVIMENTO],Tab_08.Ago[CONTA],$F16)</f>
        <v>117133.89</v>
      </c>
      <c r="P16" s="4">
        <f>SUMIFS(Tab_09.Set[MOVIMENTO],Tab_09.Set[CONTA],$F16)</f>
        <v>-56090.83</v>
      </c>
      <c r="Q16" s="4">
        <f>SUMIFS(Tab_10.Out[MOVIMENTO],Tab_10.Out[CONTA],$F16)</f>
        <v>118707.7</v>
      </c>
      <c r="R16" s="4">
        <f>SUMIFS(Tab_11.Nov[MOVIMENTO],Tab_11.Nov[CONTA],$F16)</f>
        <v>73070.87</v>
      </c>
      <c r="S16" s="4">
        <f>SUMIFS(Tab_12.Dez[MOVIMENTO],Tab_12.Dez[CONTA],$F16)</f>
        <v>32221.22</v>
      </c>
    </row>
    <row r="17" spans="2:19" x14ac:dyDescent="0.3">
      <c r="B17" s="3"/>
      <c r="C17" s="2" t="str">
        <f t="shared" si="3"/>
        <v>A</v>
      </c>
      <c r="D17" s="2" t="str">
        <f t="shared" si="4"/>
        <v>S</v>
      </c>
      <c r="E17" s="2">
        <f t="shared" si="5"/>
        <v>5</v>
      </c>
      <c r="F17" s="3" t="s">
        <v>199</v>
      </c>
      <c r="G17" s="3" t="s">
        <v>638</v>
      </c>
      <c r="H17" s="4">
        <f>SUMIFS(Tab_01.Jan[MOVIMENTO],Tab_01.Jan[CONTA],$F17)</f>
        <v>254995.16</v>
      </c>
      <c r="I17" s="4">
        <f>SUMIFS(Tab_02.Fev[MOVIMENTO],Tab_02.Fev[CONTA],$F17)</f>
        <v>-777875.35</v>
      </c>
      <c r="J17" s="4">
        <f>SUMIFS(Tab_03.Mar[MOVIMENTO],Tab_03.Mar[CONTA],$F17)</f>
        <v>-150100.98000000001</v>
      </c>
      <c r="K17" s="4">
        <f>SUMIFS(Tab_04.Abr[MOVIMENTO],Tab_04.Abr[CONTA],$F17)</f>
        <v>358174.36</v>
      </c>
      <c r="L17" s="4">
        <f>SUMIFS(Tab_05.Mai[MOVIMENTO],Tab_05.Mai[CONTA],$F17)</f>
        <v>79311.91</v>
      </c>
      <c r="M17" s="4">
        <f>SUMIFS(Tab_06.Jun[MOVIMENTO],Tab_06.Jun[CONTA],$F17)</f>
        <v>104518.96</v>
      </c>
      <c r="N17" s="4">
        <f>SUMIFS(Tab_07.Jul[MOVIMENTO],Tab_07.Jul[CONTA],$F17)</f>
        <v>229205.22</v>
      </c>
      <c r="O17" s="4">
        <f>SUMIFS(Tab_08.Ago[MOVIMENTO],Tab_08.Ago[CONTA],$F17)</f>
        <v>91239.55</v>
      </c>
      <c r="P17" s="4">
        <f>SUMIFS(Tab_09.Set[MOVIMENTO],Tab_09.Set[CONTA],$F17)</f>
        <v>32793.269999999997</v>
      </c>
      <c r="Q17" s="4">
        <f>SUMIFS(Tab_10.Out[MOVIMENTO],Tab_10.Out[CONTA],$F17)</f>
        <v>108824.31</v>
      </c>
      <c r="R17" s="4">
        <f>SUMIFS(Tab_11.Nov[MOVIMENTO],Tab_11.Nov[CONTA],$F17)</f>
        <v>-1617.1</v>
      </c>
      <c r="S17" s="4">
        <f>SUMIFS(Tab_12.Dez[MOVIMENTO],Tab_12.Dez[CONTA],$F17)</f>
        <v>209667.86</v>
      </c>
    </row>
    <row r="18" spans="2:19" x14ac:dyDescent="0.3">
      <c r="B18" s="3"/>
      <c r="C18" s="2" t="str">
        <f t="shared" ref="C18:C62" si="6">IF($F18="","",IF(LEFT($F18,1)*1=1,"A",IF(LEFT($F18,1)*1=2,"P",IF(LEFT($F18,1)*1=3,"R",IF(LEFT($F18,1)*1=4,"C",IF(LEFT($F18,1)*1=5,"C",IF(LEFT($F18,1)*1=6,"C","")))))))</f>
        <v>A</v>
      </c>
      <c r="D18" s="2" t="str">
        <f t="shared" ref="D18:D62" si="7">IF($F18="","",IF(LEN($F18)=13,"A","S"))</f>
        <v>S</v>
      </c>
      <c r="E18" s="2">
        <f t="shared" ref="E18:E62" si="8">IF($F18="","",IF(LEN($F18)=1,1,IF(LEN($F18)=3,2,IF(LEN($F18)=5,3,IF(LEN($F18)=8,4,5)))))</f>
        <v>5</v>
      </c>
      <c r="F18" s="3" t="s">
        <v>201</v>
      </c>
      <c r="G18" s="3" t="s">
        <v>639</v>
      </c>
      <c r="H18" s="4">
        <f>SUMIFS(Tab_01.Jan[MOVIMENTO],Tab_01.Jan[CONTA],$F18)</f>
        <v>-229.59</v>
      </c>
      <c r="I18" s="4">
        <f>SUMIFS(Tab_02.Fev[MOVIMENTO],Tab_02.Fev[CONTA],$F18)</f>
        <v>-112.84</v>
      </c>
      <c r="J18" s="4">
        <f>SUMIFS(Tab_03.Mar[MOVIMENTO],Tab_03.Mar[CONTA],$F18)</f>
        <v>-394.22</v>
      </c>
      <c r="K18" s="4">
        <f>SUMIFS(Tab_04.Abr[MOVIMENTO],Tab_04.Abr[CONTA],$F18)</f>
        <v>-418.26</v>
      </c>
      <c r="L18" s="4">
        <f>SUMIFS(Tab_05.Mai[MOVIMENTO],Tab_05.Mai[CONTA],$F18)</f>
        <v>-451.58</v>
      </c>
      <c r="M18" s="4">
        <f>SUMIFS(Tab_06.Jun[MOVIMENTO],Tab_06.Jun[CONTA],$F18)</f>
        <v>-391.27</v>
      </c>
      <c r="N18" s="4">
        <f>SUMIFS(Tab_07.Jul[MOVIMENTO],Tab_07.Jul[CONTA],$F18)</f>
        <v>-906.62</v>
      </c>
      <c r="O18" s="4">
        <f>SUMIFS(Tab_08.Ago[MOVIMENTO],Tab_08.Ago[CONTA],$F18)</f>
        <v>685.03</v>
      </c>
      <c r="P18" s="4">
        <f>SUMIFS(Tab_09.Set[MOVIMENTO],Tab_09.Set[CONTA],$F18)</f>
        <v>-600.34</v>
      </c>
      <c r="Q18" s="4">
        <f>SUMIFS(Tab_10.Out[MOVIMENTO],Tab_10.Out[CONTA],$F18)</f>
        <v>-780.9</v>
      </c>
      <c r="R18" s="4">
        <f>SUMIFS(Tab_11.Nov[MOVIMENTO],Tab_11.Nov[CONTA],$F18)</f>
        <v>-73.28</v>
      </c>
      <c r="S18" s="4">
        <f>SUMIFS(Tab_12.Dez[MOVIMENTO],Tab_12.Dez[CONTA],$F18)</f>
        <v>954.17</v>
      </c>
    </row>
    <row r="19" spans="2:19" x14ac:dyDescent="0.3">
      <c r="B19" s="3" t="s">
        <v>38</v>
      </c>
      <c r="C19" s="2" t="str">
        <f t="shared" si="6"/>
        <v>A</v>
      </c>
      <c r="D19" s="2" t="str">
        <f t="shared" si="7"/>
        <v>A</v>
      </c>
      <c r="E19" s="2">
        <f t="shared" si="8"/>
        <v>5</v>
      </c>
      <c r="F19" s="3" t="s">
        <v>175</v>
      </c>
      <c r="G19" s="3" t="s">
        <v>273</v>
      </c>
      <c r="H19" s="4">
        <f>SUMIFS(Tab_01.Jan[MOVIMENTO],Tab_01.Jan[CONTA],$F19)</f>
        <v>0</v>
      </c>
      <c r="I19" s="4">
        <f>SUMIFS(Tab_02.Fev[MOVIMENTO],Tab_02.Fev[CONTA],$F19)</f>
        <v>0</v>
      </c>
      <c r="J19" s="4">
        <f>SUMIFS(Tab_03.Mar[MOVIMENTO],Tab_03.Mar[CONTA],$F19)</f>
        <v>0</v>
      </c>
      <c r="K19" s="4">
        <f>SUMIFS(Tab_04.Abr[MOVIMENTO],Tab_04.Abr[CONTA],$F19)</f>
        <v>0</v>
      </c>
      <c r="L19" s="4">
        <f>SUMIFS(Tab_05.Mai[MOVIMENTO],Tab_05.Mai[CONTA],$F19)</f>
        <v>0</v>
      </c>
      <c r="M19" s="4">
        <f>SUMIFS(Tab_06.Jun[MOVIMENTO],Tab_06.Jun[CONTA],$F19)</f>
        <v>0</v>
      </c>
      <c r="N19" s="4">
        <f>SUMIFS(Tab_07.Jul[MOVIMENTO],Tab_07.Jul[CONTA],$F19)</f>
        <v>0</v>
      </c>
      <c r="O19" s="4">
        <f>SUMIFS(Tab_08.Ago[MOVIMENTO],Tab_08.Ago[CONTA],$F19)</f>
        <v>0</v>
      </c>
      <c r="P19" s="4">
        <f>SUMIFS(Tab_09.Set[MOVIMENTO],Tab_09.Set[CONTA],$F19)</f>
        <v>0</v>
      </c>
      <c r="Q19" s="4">
        <f>SUMIFS(Tab_10.Out[MOVIMENTO],Tab_10.Out[CONTA],$F19)</f>
        <v>0</v>
      </c>
      <c r="R19" s="4">
        <f>SUMIFS(Tab_11.Nov[MOVIMENTO],Tab_11.Nov[CONTA],$F19)</f>
        <v>0</v>
      </c>
      <c r="S19" s="4">
        <f>SUMIFS(Tab_12.Dez[MOVIMENTO],Tab_12.Dez[CONTA],$F19)</f>
        <v>0</v>
      </c>
    </row>
    <row r="20" spans="2:19" x14ac:dyDescent="0.3">
      <c r="B20" s="3" t="s">
        <v>38</v>
      </c>
      <c r="C20" s="2" t="str">
        <f t="shared" si="6"/>
        <v>A</v>
      </c>
      <c r="D20" s="2" t="str">
        <f t="shared" si="7"/>
        <v>A</v>
      </c>
      <c r="E20" s="2">
        <f t="shared" si="8"/>
        <v>5</v>
      </c>
      <c r="F20" s="3" t="s">
        <v>176</v>
      </c>
      <c r="G20" s="3" t="s">
        <v>274</v>
      </c>
      <c r="H20" s="4">
        <f>SUMIFS(Tab_01.Jan[MOVIMENTO],Tab_01.Jan[CONTA],$F20)</f>
        <v>-229.59</v>
      </c>
      <c r="I20" s="4">
        <f>SUMIFS(Tab_02.Fev[MOVIMENTO],Tab_02.Fev[CONTA],$F20)</f>
        <v>-112.84</v>
      </c>
      <c r="J20" s="4">
        <f>SUMIFS(Tab_03.Mar[MOVIMENTO],Tab_03.Mar[CONTA],$F20)</f>
        <v>-394.22</v>
      </c>
      <c r="K20" s="4">
        <f>SUMIFS(Tab_04.Abr[MOVIMENTO],Tab_04.Abr[CONTA],$F20)</f>
        <v>-418.26</v>
      </c>
      <c r="L20" s="4">
        <f>SUMIFS(Tab_05.Mai[MOVIMENTO],Tab_05.Mai[CONTA],$F20)</f>
        <v>-451.58</v>
      </c>
      <c r="M20" s="4">
        <f>SUMIFS(Tab_06.Jun[MOVIMENTO],Tab_06.Jun[CONTA],$F20)</f>
        <v>-391.27</v>
      </c>
      <c r="N20" s="4">
        <f>SUMIFS(Tab_07.Jul[MOVIMENTO],Tab_07.Jul[CONTA],$F20)</f>
        <v>-906.62</v>
      </c>
      <c r="O20" s="4">
        <f>SUMIFS(Tab_08.Ago[MOVIMENTO],Tab_08.Ago[CONTA],$F20)</f>
        <v>685.03</v>
      </c>
      <c r="P20" s="4">
        <f>SUMIFS(Tab_09.Set[MOVIMENTO],Tab_09.Set[CONTA],$F20)</f>
        <v>-600.34</v>
      </c>
      <c r="Q20" s="4">
        <f>SUMIFS(Tab_10.Out[MOVIMENTO],Tab_10.Out[CONTA],$F20)</f>
        <v>-780.9</v>
      </c>
      <c r="R20" s="4">
        <f>SUMIFS(Tab_11.Nov[MOVIMENTO],Tab_11.Nov[CONTA],$F20)</f>
        <v>-73.28</v>
      </c>
      <c r="S20" s="4">
        <f>SUMIFS(Tab_12.Dez[MOVIMENTO],Tab_12.Dez[CONTA],$F20)</f>
        <v>954.17</v>
      </c>
    </row>
    <row r="21" spans="2:19" x14ac:dyDescent="0.3">
      <c r="B21" s="3" t="s">
        <v>38</v>
      </c>
      <c r="C21" s="2" t="str">
        <f t="shared" si="6"/>
        <v>A</v>
      </c>
      <c r="D21" s="2" t="str">
        <f t="shared" si="7"/>
        <v>A</v>
      </c>
      <c r="E21" s="2">
        <f t="shared" si="8"/>
        <v>5</v>
      </c>
      <c r="F21" s="3" t="s">
        <v>275</v>
      </c>
      <c r="G21" s="3" t="s">
        <v>276</v>
      </c>
      <c r="H21" s="4">
        <f>SUMIFS(Tab_01.Jan[MOVIMENTO],Tab_01.Jan[CONTA],$F21)</f>
        <v>0</v>
      </c>
      <c r="I21" s="4">
        <f>SUMIFS(Tab_02.Fev[MOVIMENTO],Tab_02.Fev[CONTA],$F21)</f>
        <v>0</v>
      </c>
      <c r="J21" s="4">
        <f>SUMIFS(Tab_03.Mar[MOVIMENTO],Tab_03.Mar[CONTA],$F21)</f>
        <v>0</v>
      </c>
      <c r="K21" s="4">
        <f>SUMIFS(Tab_04.Abr[MOVIMENTO],Tab_04.Abr[CONTA],$F21)</f>
        <v>0</v>
      </c>
      <c r="L21" s="4">
        <f>SUMIFS(Tab_05.Mai[MOVIMENTO],Tab_05.Mai[CONTA],$F21)</f>
        <v>0</v>
      </c>
      <c r="M21" s="4">
        <f>SUMIFS(Tab_06.Jun[MOVIMENTO],Tab_06.Jun[CONTA],$F21)</f>
        <v>0</v>
      </c>
      <c r="N21" s="4">
        <f>SUMIFS(Tab_07.Jul[MOVIMENTO],Tab_07.Jul[CONTA],$F21)</f>
        <v>0</v>
      </c>
      <c r="O21" s="4">
        <f>SUMIFS(Tab_08.Ago[MOVIMENTO],Tab_08.Ago[CONTA],$F21)</f>
        <v>0</v>
      </c>
      <c r="P21" s="4">
        <f>SUMIFS(Tab_09.Set[MOVIMENTO],Tab_09.Set[CONTA],$F21)</f>
        <v>0</v>
      </c>
      <c r="Q21" s="4">
        <f>SUMIFS(Tab_10.Out[MOVIMENTO],Tab_10.Out[CONTA],$F21)</f>
        <v>0</v>
      </c>
      <c r="R21" s="4">
        <f>SUMIFS(Tab_11.Nov[MOVIMENTO],Tab_11.Nov[CONTA],$F21)</f>
        <v>0</v>
      </c>
      <c r="S21" s="4">
        <f>SUMIFS(Tab_12.Dez[MOVIMENTO],Tab_12.Dez[CONTA],$F21)</f>
        <v>0</v>
      </c>
    </row>
    <row r="22" spans="2:19" x14ac:dyDescent="0.3">
      <c r="B22" s="3"/>
      <c r="C22" s="2" t="str">
        <f t="shared" si="6"/>
        <v>A</v>
      </c>
      <c r="D22" s="2" t="str">
        <f t="shared" si="7"/>
        <v>S</v>
      </c>
      <c r="E22" s="2">
        <f t="shared" si="8"/>
        <v>5</v>
      </c>
      <c r="F22" s="3" t="s">
        <v>202</v>
      </c>
      <c r="G22" s="3" t="s">
        <v>640</v>
      </c>
      <c r="H22" s="4">
        <f>SUMIFS(Tab_01.Jan[MOVIMENTO],Tab_01.Jan[CONTA],$F22)</f>
        <v>-23104.55</v>
      </c>
      <c r="I22" s="4">
        <f>SUMIFS(Tab_02.Fev[MOVIMENTO],Tab_02.Fev[CONTA],$F22)</f>
        <v>5276.08</v>
      </c>
      <c r="J22" s="4">
        <f>SUMIFS(Tab_03.Mar[MOVIMENTO],Tab_03.Mar[CONTA],$F22)</f>
        <v>-2562.58</v>
      </c>
      <c r="K22" s="4">
        <f>SUMIFS(Tab_04.Abr[MOVIMENTO],Tab_04.Abr[CONTA],$F22)</f>
        <v>-13027.92</v>
      </c>
      <c r="L22" s="4">
        <f>SUMIFS(Tab_05.Mai[MOVIMENTO],Tab_05.Mai[CONTA],$F22)</f>
        <v>-8175.5</v>
      </c>
      <c r="M22" s="4">
        <f>SUMIFS(Tab_06.Jun[MOVIMENTO],Tab_06.Jun[CONTA],$F22)</f>
        <v>17284.810000000001</v>
      </c>
      <c r="N22" s="4">
        <f>SUMIFS(Tab_07.Jul[MOVIMENTO],Tab_07.Jul[CONTA],$F22)</f>
        <v>-3203.77</v>
      </c>
      <c r="O22" s="4">
        <f>SUMIFS(Tab_08.Ago[MOVIMENTO],Tab_08.Ago[CONTA],$F22)</f>
        <v>15941.59</v>
      </c>
      <c r="P22" s="4">
        <f>SUMIFS(Tab_09.Set[MOVIMENTO],Tab_09.Set[CONTA],$F22)</f>
        <v>8184.16</v>
      </c>
      <c r="Q22" s="4">
        <f>SUMIFS(Tab_10.Out[MOVIMENTO],Tab_10.Out[CONTA],$F22)</f>
        <v>-18345.28</v>
      </c>
      <c r="R22" s="4">
        <f>SUMIFS(Tab_11.Nov[MOVIMENTO],Tab_11.Nov[CONTA],$F22)</f>
        <v>25948.73</v>
      </c>
      <c r="S22" s="4">
        <f>SUMIFS(Tab_12.Dez[MOVIMENTO],Tab_12.Dez[CONTA],$F22)</f>
        <v>124149.96</v>
      </c>
    </row>
    <row r="23" spans="2:19" x14ac:dyDescent="0.3">
      <c r="B23" s="3" t="s">
        <v>38</v>
      </c>
      <c r="C23" s="2" t="str">
        <f t="shared" si="6"/>
        <v>A</v>
      </c>
      <c r="D23" s="2" t="str">
        <f t="shared" si="7"/>
        <v>A</v>
      </c>
      <c r="E23" s="2">
        <f t="shared" si="8"/>
        <v>5</v>
      </c>
      <c r="F23" s="3" t="s">
        <v>277</v>
      </c>
      <c r="G23" s="3" t="s">
        <v>278</v>
      </c>
      <c r="H23" s="4">
        <f>SUMIFS(Tab_01.Jan[MOVIMENTO],Tab_01.Jan[CONTA],$F23)</f>
        <v>-800</v>
      </c>
      <c r="I23" s="4">
        <f>SUMIFS(Tab_02.Fev[MOVIMENTO],Tab_02.Fev[CONTA],$F23)</f>
        <v>0</v>
      </c>
      <c r="J23" s="4">
        <f>SUMIFS(Tab_03.Mar[MOVIMENTO],Tab_03.Mar[CONTA],$F23)</f>
        <v>-0.01</v>
      </c>
      <c r="K23" s="4">
        <f>SUMIFS(Tab_04.Abr[MOVIMENTO],Tab_04.Abr[CONTA],$F23)</f>
        <v>0.01</v>
      </c>
      <c r="L23" s="4">
        <f>SUMIFS(Tab_05.Mai[MOVIMENTO],Tab_05.Mai[CONTA],$F23)</f>
        <v>0</v>
      </c>
      <c r="M23" s="4">
        <f>SUMIFS(Tab_06.Jun[MOVIMENTO],Tab_06.Jun[CONTA],$F23)</f>
        <v>0.01</v>
      </c>
      <c r="N23" s="4">
        <f>SUMIFS(Tab_07.Jul[MOVIMENTO],Tab_07.Jul[CONTA],$F23)</f>
        <v>0</v>
      </c>
      <c r="O23" s="4">
        <f>SUMIFS(Tab_08.Ago[MOVIMENTO],Tab_08.Ago[CONTA],$F23)</f>
        <v>0.01</v>
      </c>
      <c r="P23" s="4">
        <f>SUMIFS(Tab_09.Set[MOVIMENTO],Tab_09.Set[CONTA],$F23)</f>
        <v>0</v>
      </c>
      <c r="Q23" s="4">
        <f>SUMIFS(Tab_10.Out[MOVIMENTO],Tab_10.Out[CONTA],$F23)</f>
        <v>0</v>
      </c>
      <c r="R23" s="4">
        <f>SUMIFS(Tab_11.Nov[MOVIMENTO],Tab_11.Nov[CONTA],$F23)</f>
        <v>0</v>
      </c>
      <c r="S23" s="4">
        <f>SUMIFS(Tab_12.Dez[MOVIMENTO],Tab_12.Dez[CONTA],$F23)</f>
        <v>163717.85999999999</v>
      </c>
    </row>
    <row r="24" spans="2:19" x14ac:dyDescent="0.3">
      <c r="B24" s="3" t="s">
        <v>38</v>
      </c>
      <c r="C24" s="2" t="str">
        <f t="shared" si="6"/>
        <v>A</v>
      </c>
      <c r="D24" s="2" t="str">
        <f t="shared" si="7"/>
        <v>A</v>
      </c>
      <c r="E24" s="2">
        <f t="shared" si="8"/>
        <v>5</v>
      </c>
      <c r="F24" s="3" t="s">
        <v>177</v>
      </c>
      <c r="G24" s="3" t="s">
        <v>279</v>
      </c>
      <c r="H24" s="4">
        <f>SUMIFS(Tab_01.Jan[MOVIMENTO],Tab_01.Jan[CONTA],$F24)</f>
        <v>-16418.21</v>
      </c>
      <c r="I24" s="4">
        <f>SUMIFS(Tab_02.Fev[MOVIMENTO],Tab_02.Fev[CONTA],$F24)</f>
        <v>5683.98</v>
      </c>
      <c r="J24" s="4">
        <f>SUMIFS(Tab_03.Mar[MOVIMENTO],Tab_03.Mar[CONTA],$F24)</f>
        <v>-2154.67</v>
      </c>
      <c r="K24" s="4">
        <f>SUMIFS(Tab_04.Abr[MOVIMENTO],Tab_04.Abr[CONTA],$F24)</f>
        <v>-12127.85</v>
      </c>
      <c r="L24" s="4">
        <f>SUMIFS(Tab_05.Mai[MOVIMENTO],Tab_05.Mai[CONTA],$F24)</f>
        <v>-7909.5</v>
      </c>
      <c r="M24" s="4">
        <f>SUMIFS(Tab_06.Jun[MOVIMENTO],Tab_06.Jun[CONTA],$F24)</f>
        <v>17550.8</v>
      </c>
      <c r="N24" s="4">
        <f>SUMIFS(Tab_07.Jul[MOVIMENTO],Tab_07.Jul[CONTA],$F24)</f>
        <v>-147.27000000000001</v>
      </c>
      <c r="O24" s="4">
        <f>SUMIFS(Tab_08.Ago[MOVIMENTO],Tab_08.Ago[CONTA],$F24)</f>
        <v>16063</v>
      </c>
      <c r="P24" s="4">
        <f>SUMIFS(Tab_09.Set[MOVIMENTO],Tab_09.Set[CONTA],$F24)</f>
        <v>3305.16</v>
      </c>
      <c r="Q24" s="4">
        <f>SUMIFS(Tab_10.Out[MOVIMENTO],Tab_10.Out[CONTA],$F24)</f>
        <v>-20351.21</v>
      </c>
      <c r="R24" s="4">
        <f>SUMIFS(Tab_11.Nov[MOVIMENTO],Tab_11.Nov[CONTA],$F24)</f>
        <v>24511.91</v>
      </c>
      <c r="S24" s="4">
        <f>SUMIFS(Tab_12.Dez[MOVIMENTO],Tab_12.Dez[CONTA],$F24)</f>
        <v>-38866.75</v>
      </c>
    </row>
    <row r="25" spans="2:19" x14ac:dyDescent="0.3">
      <c r="B25" s="3" t="s">
        <v>38</v>
      </c>
      <c r="C25" s="2" t="str">
        <f t="shared" si="6"/>
        <v>A</v>
      </c>
      <c r="D25" s="2" t="str">
        <f t="shared" si="7"/>
        <v>A</v>
      </c>
      <c r="E25" s="2">
        <f t="shared" si="8"/>
        <v>5</v>
      </c>
      <c r="F25" s="3" t="s">
        <v>280</v>
      </c>
      <c r="G25" s="3" t="s">
        <v>281</v>
      </c>
      <c r="H25" s="4">
        <f>SUMIFS(Tab_01.Jan[MOVIMENTO],Tab_01.Jan[CONTA],$F25)</f>
        <v>-228.44</v>
      </c>
      <c r="I25" s="4">
        <f>SUMIFS(Tab_02.Fev[MOVIMENTO],Tab_02.Fev[CONTA],$F25)</f>
        <v>0</v>
      </c>
      <c r="J25" s="4">
        <f>SUMIFS(Tab_03.Mar[MOVIMENTO],Tab_03.Mar[CONTA],$F25)</f>
        <v>0</v>
      </c>
      <c r="K25" s="4">
        <f>SUMIFS(Tab_04.Abr[MOVIMENTO],Tab_04.Abr[CONTA],$F25)</f>
        <v>3762.87</v>
      </c>
      <c r="L25" s="4">
        <f>SUMIFS(Tab_05.Mai[MOVIMENTO],Tab_05.Mai[CONTA],$F25)</f>
        <v>-266</v>
      </c>
      <c r="M25" s="4">
        <f>SUMIFS(Tab_06.Jun[MOVIMENTO],Tab_06.Jun[CONTA],$F25)</f>
        <v>-266</v>
      </c>
      <c r="N25" s="4">
        <f>SUMIFS(Tab_07.Jul[MOVIMENTO],Tab_07.Jul[CONTA],$F25)</f>
        <v>-3056.5</v>
      </c>
      <c r="O25" s="4">
        <f>SUMIFS(Tab_08.Ago[MOVIMENTO],Tab_08.Ago[CONTA],$F25)</f>
        <v>-121.42</v>
      </c>
      <c r="P25" s="4">
        <f>SUMIFS(Tab_09.Set[MOVIMENTO],Tab_09.Set[CONTA],$F25)</f>
        <v>4879</v>
      </c>
      <c r="Q25" s="4">
        <f>SUMIFS(Tab_10.Out[MOVIMENTO],Tab_10.Out[CONTA],$F25)</f>
        <v>2005.93</v>
      </c>
      <c r="R25" s="4">
        <f>SUMIFS(Tab_11.Nov[MOVIMENTO],Tab_11.Nov[CONTA],$F25)</f>
        <v>1436.82</v>
      </c>
      <c r="S25" s="4">
        <f>SUMIFS(Tab_12.Dez[MOVIMENTO],Tab_12.Dez[CONTA],$F25)</f>
        <v>-701.15</v>
      </c>
    </row>
    <row r="26" spans="2:19" x14ac:dyDescent="0.3">
      <c r="B26" s="3" t="s">
        <v>38</v>
      </c>
      <c r="C26" s="2" t="str">
        <f t="shared" si="6"/>
        <v>A</v>
      </c>
      <c r="D26" s="2" t="str">
        <f t="shared" si="7"/>
        <v>A</v>
      </c>
      <c r="E26" s="2">
        <f t="shared" si="8"/>
        <v>5</v>
      </c>
      <c r="F26" s="3" t="s">
        <v>282</v>
      </c>
      <c r="G26" s="3" t="s">
        <v>283</v>
      </c>
      <c r="H26" s="4">
        <f>SUMIFS(Tab_01.Jan[MOVIMENTO],Tab_01.Jan[CONTA],$F26)</f>
        <v>-5657.9</v>
      </c>
      <c r="I26" s="4">
        <f>SUMIFS(Tab_02.Fev[MOVIMENTO],Tab_02.Fev[CONTA],$F26)</f>
        <v>-407.9</v>
      </c>
      <c r="J26" s="4">
        <f>SUMIFS(Tab_03.Mar[MOVIMENTO],Tab_03.Mar[CONTA],$F26)</f>
        <v>-407.9</v>
      </c>
      <c r="K26" s="4">
        <f>SUMIFS(Tab_04.Abr[MOVIMENTO],Tab_04.Abr[CONTA],$F26)</f>
        <v>-4662.95</v>
      </c>
      <c r="L26" s="4">
        <f>SUMIFS(Tab_05.Mai[MOVIMENTO],Tab_05.Mai[CONTA],$F26)</f>
        <v>0</v>
      </c>
      <c r="M26" s="4">
        <f>SUMIFS(Tab_06.Jun[MOVIMENTO],Tab_06.Jun[CONTA],$F26)</f>
        <v>0</v>
      </c>
      <c r="N26" s="4">
        <f>SUMIFS(Tab_07.Jul[MOVIMENTO],Tab_07.Jul[CONTA],$F26)</f>
        <v>0</v>
      </c>
      <c r="O26" s="4">
        <f>SUMIFS(Tab_08.Ago[MOVIMENTO],Tab_08.Ago[CONTA],$F26)</f>
        <v>0</v>
      </c>
      <c r="P26" s="4">
        <f>SUMIFS(Tab_09.Set[MOVIMENTO],Tab_09.Set[CONTA],$F26)</f>
        <v>0</v>
      </c>
      <c r="Q26" s="4">
        <f>SUMIFS(Tab_10.Out[MOVIMENTO],Tab_10.Out[CONTA],$F26)</f>
        <v>0</v>
      </c>
      <c r="R26" s="4">
        <f>SUMIFS(Tab_11.Nov[MOVIMENTO],Tab_11.Nov[CONTA],$F26)</f>
        <v>0</v>
      </c>
      <c r="S26" s="4">
        <f>SUMIFS(Tab_12.Dez[MOVIMENTO],Tab_12.Dez[CONTA],$F26)</f>
        <v>0</v>
      </c>
    </row>
    <row r="27" spans="2:19" x14ac:dyDescent="0.3">
      <c r="B27" s="3"/>
      <c r="C27" s="2" t="str">
        <f t="shared" si="6"/>
        <v>A</v>
      </c>
      <c r="D27" s="2" t="str">
        <f t="shared" si="7"/>
        <v>S</v>
      </c>
      <c r="E27" s="2">
        <f t="shared" si="8"/>
        <v>5</v>
      </c>
      <c r="F27" s="3" t="s">
        <v>203</v>
      </c>
      <c r="G27" s="3" t="s">
        <v>641</v>
      </c>
      <c r="H27" s="4">
        <f>SUMIFS(Tab_01.Jan[MOVIMENTO],Tab_01.Jan[CONTA],$F27)</f>
        <v>278329.3</v>
      </c>
      <c r="I27" s="4">
        <f>SUMIFS(Tab_02.Fev[MOVIMENTO],Tab_02.Fev[CONTA],$F27)</f>
        <v>-783038.59</v>
      </c>
      <c r="J27" s="4">
        <f>SUMIFS(Tab_03.Mar[MOVIMENTO],Tab_03.Mar[CONTA],$F27)</f>
        <v>-147144.18</v>
      </c>
      <c r="K27" s="4">
        <f>SUMIFS(Tab_04.Abr[MOVIMENTO],Tab_04.Abr[CONTA],$F27)</f>
        <v>371620.54</v>
      </c>
      <c r="L27" s="4">
        <f>SUMIFS(Tab_05.Mai[MOVIMENTO],Tab_05.Mai[CONTA],$F27)</f>
        <v>87938.99</v>
      </c>
      <c r="M27" s="4">
        <f>SUMIFS(Tab_06.Jun[MOVIMENTO],Tab_06.Jun[CONTA],$F27)</f>
        <v>87625.42</v>
      </c>
      <c r="N27" s="4">
        <f>SUMIFS(Tab_07.Jul[MOVIMENTO],Tab_07.Jul[CONTA],$F27)</f>
        <v>233315.61</v>
      </c>
      <c r="O27" s="4">
        <f>SUMIFS(Tab_08.Ago[MOVIMENTO],Tab_08.Ago[CONTA],$F27)</f>
        <v>74612.929999999993</v>
      </c>
      <c r="P27" s="4">
        <f>SUMIFS(Tab_09.Set[MOVIMENTO],Tab_09.Set[CONTA],$F27)</f>
        <v>25209.45</v>
      </c>
      <c r="Q27" s="4">
        <f>SUMIFS(Tab_10.Out[MOVIMENTO],Tab_10.Out[CONTA],$F27)</f>
        <v>127950.49</v>
      </c>
      <c r="R27" s="4">
        <f>SUMIFS(Tab_11.Nov[MOVIMENTO],Tab_11.Nov[CONTA],$F27)</f>
        <v>-27492.55</v>
      </c>
      <c r="S27" s="4">
        <f>SUMIFS(Tab_12.Dez[MOVIMENTO],Tab_12.Dez[CONTA],$F27)</f>
        <v>84563.73</v>
      </c>
    </row>
    <row r="28" spans="2:19" x14ac:dyDescent="0.3">
      <c r="B28" s="3" t="s">
        <v>39</v>
      </c>
      <c r="C28" s="2" t="str">
        <f t="shared" si="6"/>
        <v>A</v>
      </c>
      <c r="D28" s="2" t="str">
        <f t="shared" si="7"/>
        <v>A</v>
      </c>
      <c r="E28" s="2">
        <f t="shared" si="8"/>
        <v>5</v>
      </c>
      <c r="F28" s="3" t="s">
        <v>178</v>
      </c>
      <c r="G28" s="3" t="s">
        <v>284</v>
      </c>
      <c r="H28" s="4">
        <f>SUMIFS(Tab_01.Jan[MOVIMENTO],Tab_01.Jan[CONTA],$F28)</f>
        <v>198905.73</v>
      </c>
      <c r="I28" s="4">
        <f>SUMIFS(Tab_02.Fev[MOVIMENTO],Tab_02.Fev[CONTA],$F28)</f>
        <v>-826106.68</v>
      </c>
      <c r="J28" s="4">
        <f>SUMIFS(Tab_03.Mar[MOVIMENTO],Tab_03.Mar[CONTA],$F28)</f>
        <v>-192330.23999999999</v>
      </c>
      <c r="K28" s="4">
        <f>SUMIFS(Tab_04.Abr[MOVIMENTO],Tab_04.Abr[CONTA],$F28)</f>
        <v>323490.99</v>
      </c>
      <c r="L28" s="4">
        <f>SUMIFS(Tab_05.Mai[MOVIMENTO],Tab_05.Mai[CONTA],$F28)</f>
        <v>42572.57</v>
      </c>
      <c r="M28" s="4">
        <f>SUMIFS(Tab_06.Jun[MOVIMENTO],Tab_06.Jun[CONTA],$F28)</f>
        <v>3852.99</v>
      </c>
      <c r="N28" s="4">
        <f>SUMIFS(Tab_07.Jul[MOVIMENTO],Tab_07.Jul[CONTA],$F28)</f>
        <v>182444.01</v>
      </c>
      <c r="O28" s="4">
        <f>SUMIFS(Tab_08.Ago[MOVIMENTO],Tab_08.Ago[CONTA],$F28)</f>
        <v>25174.29</v>
      </c>
      <c r="P28" s="4">
        <f>SUMIFS(Tab_09.Set[MOVIMENTO],Tab_09.Set[CONTA],$F28)</f>
        <v>-22473.47</v>
      </c>
      <c r="Q28" s="4">
        <f>SUMIFS(Tab_10.Out[MOVIMENTO],Tab_10.Out[CONTA],$F28)</f>
        <v>74441.58</v>
      </c>
      <c r="R28" s="4">
        <f>SUMIFS(Tab_11.Nov[MOVIMENTO],Tab_11.Nov[CONTA],$F28)</f>
        <v>-8950.67</v>
      </c>
      <c r="S28" s="4">
        <f>SUMIFS(Tab_12.Dez[MOVIMENTO],Tab_12.Dez[CONTA],$F28)</f>
        <v>40977.06</v>
      </c>
    </row>
    <row r="29" spans="2:19" x14ac:dyDescent="0.3">
      <c r="B29" s="3" t="s">
        <v>39</v>
      </c>
      <c r="C29" s="2" t="str">
        <f t="shared" si="6"/>
        <v>A</v>
      </c>
      <c r="D29" s="2" t="str">
        <f t="shared" si="7"/>
        <v>A</v>
      </c>
      <c r="E29" s="2">
        <f t="shared" si="8"/>
        <v>5</v>
      </c>
      <c r="F29" s="3" t="s">
        <v>285</v>
      </c>
      <c r="G29" s="3" t="s">
        <v>286</v>
      </c>
      <c r="H29" s="4">
        <f>SUMIFS(Tab_01.Jan[MOVIMENTO],Tab_01.Jan[CONTA],$F29)</f>
        <v>0</v>
      </c>
      <c r="I29" s="4">
        <f>SUMIFS(Tab_02.Fev[MOVIMENTO],Tab_02.Fev[CONTA],$F29)</f>
        <v>0</v>
      </c>
      <c r="J29" s="4">
        <f>SUMIFS(Tab_03.Mar[MOVIMENTO],Tab_03.Mar[CONTA],$F29)</f>
        <v>0</v>
      </c>
      <c r="K29" s="4">
        <f>SUMIFS(Tab_04.Abr[MOVIMENTO],Tab_04.Abr[CONTA],$F29)</f>
        <v>0</v>
      </c>
      <c r="L29" s="4">
        <f>SUMIFS(Tab_05.Mai[MOVIMENTO],Tab_05.Mai[CONTA],$F29)</f>
        <v>0</v>
      </c>
      <c r="M29" s="4">
        <f>SUMIFS(Tab_06.Jun[MOVIMENTO],Tab_06.Jun[CONTA],$F29)</f>
        <v>0</v>
      </c>
      <c r="N29" s="4">
        <f>SUMIFS(Tab_07.Jul[MOVIMENTO],Tab_07.Jul[CONTA],$F29)</f>
        <v>0</v>
      </c>
      <c r="O29" s="4">
        <f>SUMIFS(Tab_08.Ago[MOVIMENTO],Tab_08.Ago[CONTA],$F29)</f>
        <v>0</v>
      </c>
      <c r="P29" s="4">
        <f>SUMIFS(Tab_09.Set[MOVIMENTO],Tab_09.Set[CONTA],$F29)</f>
        <v>0</v>
      </c>
      <c r="Q29" s="4">
        <f>SUMIFS(Tab_10.Out[MOVIMENTO],Tab_10.Out[CONTA],$F29)</f>
        <v>0</v>
      </c>
      <c r="R29" s="4">
        <f>SUMIFS(Tab_11.Nov[MOVIMENTO],Tab_11.Nov[CONTA],$F29)</f>
        <v>0</v>
      </c>
      <c r="S29" s="4">
        <f>SUMIFS(Tab_12.Dez[MOVIMENTO],Tab_12.Dez[CONTA],$F29)</f>
        <v>0</v>
      </c>
    </row>
    <row r="30" spans="2:19" x14ac:dyDescent="0.3">
      <c r="B30" s="3" t="s">
        <v>39</v>
      </c>
      <c r="C30" s="2" t="str">
        <f t="shared" si="6"/>
        <v>A</v>
      </c>
      <c r="D30" s="2" t="str">
        <f t="shared" si="7"/>
        <v>A</v>
      </c>
      <c r="E30" s="2">
        <f t="shared" si="8"/>
        <v>5</v>
      </c>
      <c r="F30" s="3" t="s">
        <v>287</v>
      </c>
      <c r="G30" s="3" t="s">
        <v>288</v>
      </c>
      <c r="H30" s="4">
        <f>SUMIFS(Tab_01.Jan[MOVIMENTO],Tab_01.Jan[CONTA],$F30)</f>
        <v>79423.570000000007</v>
      </c>
      <c r="I30" s="4">
        <f>SUMIFS(Tab_02.Fev[MOVIMENTO],Tab_02.Fev[CONTA],$F30)</f>
        <v>43068.09</v>
      </c>
      <c r="J30" s="4">
        <f>SUMIFS(Tab_03.Mar[MOVIMENTO],Tab_03.Mar[CONTA],$F30)</f>
        <v>45186.06</v>
      </c>
      <c r="K30" s="4">
        <f>SUMIFS(Tab_04.Abr[MOVIMENTO],Tab_04.Abr[CONTA],$F30)</f>
        <v>48129.55</v>
      </c>
      <c r="L30" s="4">
        <f>SUMIFS(Tab_05.Mai[MOVIMENTO],Tab_05.Mai[CONTA],$F30)</f>
        <v>45366.42</v>
      </c>
      <c r="M30" s="4">
        <f>SUMIFS(Tab_06.Jun[MOVIMENTO],Tab_06.Jun[CONTA],$F30)</f>
        <v>83772.429999999993</v>
      </c>
      <c r="N30" s="4">
        <f>SUMIFS(Tab_07.Jul[MOVIMENTO],Tab_07.Jul[CONTA],$F30)</f>
        <v>50871.6</v>
      </c>
      <c r="O30" s="4">
        <f>SUMIFS(Tab_08.Ago[MOVIMENTO],Tab_08.Ago[CONTA],$F30)</f>
        <v>49438.64</v>
      </c>
      <c r="P30" s="4">
        <f>SUMIFS(Tab_09.Set[MOVIMENTO],Tab_09.Set[CONTA],$F30)</f>
        <v>47682.92</v>
      </c>
      <c r="Q30" s="4">
        <f>SUMIFS(Tab_10.Out[MOVIMENTO],Tab_10.Out[CONTA],$F30)</f>
        <v>53508.91</v>
      </c>
      <c r="R30" s="4">
        <f>SUMIFS(Tab_11.Nov[MOVIMENTO],Tab_11.Nov[CONTA],$F30)</f>
        <v>-18541.88</v>
      </c>
      <c r="S30" s="4">
        <f>SUMIFS(Tab_12.Dez[MOVIMENTO],Tab_12.Dez[CONTA],$F30)</f>
        <v>-294415.78000000003</v>
      </c>
    </row>
    <row r="31" spans="2:19" x14ac:dyDescent="0.3">
      <c r="B31" s="3" t="s">
        <v>39</v>
      </c>
      <c r="C31" s="2" t="str">
        <f t="shared" si="6"/>
        <v>A</v>
      </c>
      <c r="D31" s="2" t="str">
        <f t="shared" si="7"/>
        <v>A</v>
      </c>
      <c r="E31" s="2">
        <f t="shared" si="8"/>
        <v>5</v>
      </c>
      <c r="F31" s="3" t="s">
        <v>289</v>
      </c>
      <c r="G31" s="3" t="s">
        <v>290</v>
      </c>
      <c r="H31" s="4">
        <f>SUMIFS(Tab_01.Jan[MOVIMENTO],Tab_01.Jan[CONTA],$F31)</f>
        <v>0</v>
      </c>
      <c r="I31" s="4">
        <f>SUMIFS(Tab_02.Fev[MOVIMENTO],Tab_02.Fev[CONTA],$F31)</f>
        <v>0</v>
      </c>
      <c r="J31" s="4">
        <f>SUMIFS(Tab_03.Mar[MOVIMENTO],Tab_03.Mar[CONTA],$F31)</f>
        <v>0</v>
      </c>
      <c r="K31" s="4">
        <f>SUMIFS(Tab_04.Abr[MOVIMENTO],Tab_04.Abr[CONTA],$F31)</f>
        <v>0</v>
      </c>
      <c r="L31" s="4">
        <f>SUMIFS(Tab_05.Mai[MOVIMENTO],Tab_05.Mai[CONTA],$F31)</f>
        <v>0</v>
      </c>
      <c r="M31" s="4">
        <f>SUMIFS(Tab_06.Jun[MOVIMENTO],Tab_06.Jun[CONTA],$F31)</f>
        <v>0</v>
      </c>
      <c r="N31" s="4">
        <f>SUMIFS(Tab_07.Jul[MOVIMENTO],Tab_07.Jul[CONTA],$F31)</f>
        <v>0</v>
      </c>
      <c r="O31" s="4">
        <f>SUMIFS(Tab_08.Ago[MOVIMENTO],Tab_08.Ago[CONTA],$F31)</f>
        <v>0</v>
      </c>
      <c r="P31" s="4">
        <f>SUMIFS(Tab_09.Set[MOVIMENTO],Tab_09.Set[CONTA],$F31)</f>
        <v>0</v>
      </c>
      <c r="Q31" s="4">
        <f>SUMIFS(Tab_10.Out[MOVIMENTO],Tab_10.Out[CONTA],$F31)</f>
        <v>0</v>
      </c>
      <c r="R31" s="4">
        <f>SUMIFS(Tab_11.Nov[MOVIMENTO],Tab_11.Nov[CONTA],$F31)</f>
        <v>0</v>
      </c>
      <c r="S31" s="4">
        <f>SUMIFS(Tab_12.Dez[MOVIMENTO],Tab_12.Dez[CONTA],$F31)</f>
        <v>0</v>
      </c>
    </row>
    <row r="32" spans="2:19" x14ac:dyDescent="0.3">
      <c r="B32" s="3" t="s">
        <v>39</v>
      </c>
      <c r="C32" s="2" t="str">
        <f>IF($F32="","",IF(LEFT($F32,1)*1=1,"A",IF(LEFT($F32,1)*1=2,"P",IF(LEFT($F32,1)*1=3,"R",IF(LEFT($F32,1)*1=4,"C",IF(LEFT($F32,1)*1=5,"C",IF(LEFT($F32,1)*1=6,"C","")))))))</f>
        <v>A</v>
      </c>
      <c r="D32" s="2" t="str">
        <f>IF($F32="","",IF(LEN($F32)=13,"A","S"))</f>
        <v>A</v>
      </c>
      <c r="E32" s="2">
        <f>IF($F32="","",IF(LEN($F32)=1,1,IF(LEN($F32)=3,2,IF(LEN($F32)=5,3,IF(LEN($F32)=8,4,5)))))</f>
        <v>5</v>
      </c>
      <c r="F32" s="3" t="s">
        <v>808</v>
      </c>
      <c r="G32" s="3" t="s">
        <v>809</v>
      </c>
      <c r="H32" s="4">
        <f>SUMIFS(Tab_01.Jan[MOVIMENTO],Tab_01.Jan[CONTA],$F32)</f>
        <v>0</v>
      </c>
      <c r="I32" s="4">
        <f>SUMIFS(Tab_02.Fev[MOVIMENTO],Tab_02.Fev[CONTA],$F32)</f>
        <v>0</v>
      </c>
      <c r="J32" s="4">
        <f>SUMIFS(Tab_03.Mar[MOVIMENTO],Tab_03.Mar[CONTA],$F32)</f>
        <v>0</v>
      </c>
      <c r="K32" s="4">
        <f>SUMIFS(Tab_04.Abr[MOVIMENTO],Tab_04.Abr[CONTA],$F32)</f>
        <v>0</v>
      </c>
      <c r="L32" s="4">
        <f>SUMIFS(Tab_05.Mai[MOVIMENTO],Tab_05.Mai[CONTA],$F32)</f>
        <v>0</v>
      </c>
      <c r="M32" s="4">
        <f>SUMIFS(Tab_06.Jun[MOVIMENTO],Tab_06.Jun[CONTA],$F32)</f>
        <v>0</v>
      </c>
      <c r="N32" s="4">
        <f>SUMIFS(Tab_07.Jul[MOVIMENTO],Tab_07.Jul[CONTA],$F32)</f>
        <v>0</v>
      </c>
      <c r="O32" s="4">
        <f>SUMIFS(Tab_08.Ago[MOVIMENTO],Tab_08.Ago[CONTA],$F32)</f>
        <v>0</v>
      </c>
      <c r="P32" s="4">
        <f>SUMIFS(Tab_09.Set[MOVIMENTO],Tab_09.Set[CONTA],$F32)</f>
        <v>0</v>
      </c>
      <c r="Q32" s="4">
        <f>SUMIFS(Tab_10.Out[MOVIMENTO],Tab_10.Out[CONTA],$F32)</f>
        <v>0</v>
      </c>
      <c r="R32" s="4">
        <f>SUMIFS(Tab_11.Nov[MOVIMENTO],Tab_11.Nov[CONTA],$F32)</f>
        <v>0</v>
      </c>
      <c r="S32" s="4">
        <f>SUMIFS(Tab_12.Dez[MOVIMENTO],Tab_12.Dez[CONTA],$F32)</f>
        <v>338002.45</v>
      </c>
    </row>
    <row r="33" spans="2:19" x14ac:dyDescent="0.3">
      <c r="B33" s="3"/>
      <c r="C33" s="2" t="str">
        <f t="shared" si="6"/>
        <v>A</v>
      </c>
      <c r="D33" s="2" t="str">
        <f t="shared" si="7"/>
        <v>S</v>
      </c>
      <c r="E33" s="2">
        <f t="shared" si="8"/>
        <v>5</v>
      </c>
      <c r="F33" s="3" t="s">
        <v>204</v>
      </c>
      <c r="G33" s="3" t="s">
        <v>642</v>
      </c>
      <c r="H33" s="4">
        <f>SUMIFS(Tab_01.Jan[MOVIMENTO],Tab_01.Jan[CONTA],$F33)</f>
        <v>0</v>
      </c>
      <c r="I33" s="4">
        <f>SUMIFS(Tab_02.Fev[MOVIMENTO],Tab_02.Fev[CONTA],$F33)</f>
        <v>0</v>
      </c>
      <c r="J33" s="4">
        <f>SUMIFS(Tab_03.Mar[MOVIMENTO],Tab_03.Mar[CONTA],$F33)</f>
        <v>0</v>
      </c>
      <c r="K33" s="4">
        <f>SUMIFS(Tab_04.Abr[MOVIMENTO],Tab_04.Abr[CONTA],$F33)</f>
        <v>0</v>
      </c>
      <c r="L33" s="4">
        <f>SUMIFS(Tab_05.Mai[MOVIMENTO],Tab_05.Mai[CONTA],$F33)</f>
        <v>0</v>
      </c>
      <c r="M33" s="4">
        <f>SUMIFS(Tab_06.Jun[MOVIMENTO],Tab_06.Jun[CONTA],$F33)</f>
        <v>0</v>
      </c>
      <c r="N33" s="4">
        <f>SUMIFS(Tab_07.Jul[MOVIMENTO],Tab_07.Jul[CONTA],$F33)</f>
        <v>0</v>
      </c>
      <c r="O33" s="4">
        <f>SUMIFS(Tab_08.Ago[MOVIMENTO],Tab_08.Ago[CONTA],$F33)</f>
        <v>0</v>
      </c>
      <c r="P33" s="4">
        <f>SUMIFS(Tab_09.Set[MOVIMENTO],Tab_09.Set[CONTA],$F33)</f>
        <v>0</v>
      </c>
      <c r="Q33" s="4">
        <f>SUMIFS(Tab_10.Out[MOVIMENTO],Tab_10.Out[CONTA],$F33)</f>
        <v>50</v>
      </c>
      <c r="R33" s="4">
        <f>SUMIFS(Tab_11.Nov[MOVIMENTO],Tab_11.Nov[CONTA],$F33)</f>
        <v>4705.95</v>
      </c>
      <c r="S33" s="4">
        <f>SUMIFS(Tab_12.Dez[MOVIMENTO],Tab_12.Dez[CONTA],$F33)</f>
        <v>-99324.97</v>
      </c>
    </row>
    <row r="34" spans="2:19" x14ac:dyDescent="0.3">
      <c r="B34" s="3"/>
      <c r="C34" s="2" t="str">
        <f t="shared" si="6"/>
        <v>A</v>
      </c>
      <c r="D34" s="2" t="str">
        <f t="shared" si="7"/>
        <v>S</v>
      </c>
      <c r="E34" s="2">
        <f t="shared" si="8"/>
        <v>5</v>
      </c>
      <c r="F34" s="3" t="s">
        <v>205</v>
      </c>
      <c r="G34" s="3" t="s">
        <v>643</v>
      </c>
      <c r="H34" s="4">
        <f>SUMIFS(Tab_01.Jan[MOVIMENTO],Tab_01.Jan[CONTA],$F34)</f>
        <v>0</v>
      </c>
      <c r="I34" s="4">
        <f>SUMIFS(Tab_02.Fev[MOVIMENTO],Tab_02.Fev[CONTA],$F34)</f>
        <v>0</v>
      </c>
      <c r="J34" s="4">
        <f>SUMIFS(Tab_03.Mar[MOVIMENTO],Tab_03.Mar[CONTA],$F34)</f>
        <v>0</v>
      </c>
      <c r="K34" s="4">
        <f>SUMIFS(Tab_04.Abr[MOVIMENTO],Tab_04.Abr[CONTA],$F34)</f>
        <v>0</v>
      </c>
      <c r="L34" s="4">
        <f>SUMIFS(Tab_05.Mai[MOVIMENTO],Tab_05.Mai[CONTA],$F34)</f>
        <v>0</v>
      </c>
      <c r="M34" s="4">
        <f>SUMIFS(Tab_06.Jun[MOVIMENTO],Tab_06.Jun[CONTA],$F34)</f>
        <v>0</v>
      </c>
      <c r="N34" s="4">
        <f>SUMIFS(Tab_07.Jul[MOVIMENTO],Tab_07.Jul[CONTA],$F34)</f>
        <v>0</v>
      </c>
      <c r="O34" s="4">
        <f>SUMIFS(Tab_08.Ago[MOVIMENTO],Tab_08.Ago[CONTA],$F34)</f>
        <v>0</v>
      </c>
      <c r="P34" s="4">
        <f>SUMIFS(Tab_09.Set[MOVIMENTO],Tab_09.Set[CONTA],$F34)</f>
        <v>0</v>
      </c>
      <c r="Q34" s="4">
        <f>SUMIFS(Tab_10.Out[MOVIMENTO],Tab_10.Out[CONTA],$F34)</f>
        <v>50</v>
      </c>
      <c r="R34" s="4">
        <f>SUMIFS(Tab_11.Nov[MOVIMENTO],Tab_11.Nov[CONTA],$F34)</f>
        <v>0</v>
      </c>
      <c r="S34" s="4">
        <f>SUMIFS(Tab_12.Dez[MOVIMENTO],Tab_12.Dez[CONTA],$F34)</f>
        <v>-99324.97</v>
      </c>
    </row>
    <row r="35" spans="2:19" x14ac:dyDescent="0.3">
      <c r="B35" s="3" t="s">
        <v>40</v>
      </c>
      <c r="C35" s="2" t="str">
        <f t="shared" si="6"/>
        <v>A</v>
      </c>
      <c r="D35" s="2" t="str">
        <f t="shared" si="7"/>
        <v>A</v>
      </c>
      <c r="E35" s="2">
        <f t="shared" si="8"/>
        <v>5</v>
      </c>
      <c r="F35" s="3" t="s">
        <v>291</v>
      </c>
      <c r="G35" s="3" t="s">
        <v>292</v>
      </c>
      <c r="H35" s="4">
        <f>SUMIFS(Tab_01.Jan[MOVIMENTO],Tab_01.Jan[CONTA],$F35)</f>
        <v>0</v>
      </c>
      <c r="I35" s="4">
        <f>SUMIFS(Tab_02.Fev[MOVIMENTO],Tab_02.Fev[CONTA],$F35)</f>
        <v>0</v>
      </c>
      <c r="J35" s="4">
        <f>SUMIFS(Tab_03.Mar[MOVIMENTO],Tab_03.Mar[CONTA],$F35)</f>
        <v>0</v>
      </c>
      <c r="K35" s="4">
        <f>SUMIFS(Tab_04.Abr[MOVIMENTO],Tab_04.Abr[CONTA],$F35)</f>
        <v>0</v>
      </c>
      <c r="L35" s="4">
        <f>SUMIFS(Tab_05.Mai[MOVIMENTO],Tab_05.Mai[CONTA],$F35)</f>
        <v>0</v>
      </c>
      <c r="M35" s="4">
        <f>SUMIFS(Tab_06.Jun[MOVIMENTO],Tab_06.Jun[CONTA],$F35)</f>
        <v>0</v>
      </c>
      <c r="N35" s="4">
        <f>SUMIFS(Tab_07.Jul[MOVIMENTO],Tab_07.Jul[CONTA],$F35)</f>
        <v>0</v>
      </c>
      <c r="O35" s="4">
        <f>SUMIFS(Tab_08.Ago[MOVIMENTO],Tab_08.Ago[CONTA],$F35)</f>
        <v>0</v>
      </c>
      <c r="P35" s="4">
        <f>SUMIFS(Tab_09.Set[MOVIMENTO],Tab_09.Set[CONTA],$F35)</f>
        <v>0</v>
      </c>
      <c r="Q35" s="4">
        <f>SUMIFS(Tab_10.Out[MOVIMENTO],Tab_10.Out[CONTA],$F35)</f>
        <v>50</v>
      </c>
      <c r="R35" s="4">
        <f>SUMIFS(Tab_11.Nov[MOVIMENTO],Tab_11.Nov[CONTA],$F35)</f>
        <v>0</v>
      </c>
      <c r="S35" s="4">
        <f>SUMIFS(Tab_12.Dez[MOVIMENTO],Tab_12.Dez[CONTA],$F35)</f>
        <v>-99324.97</v>
      </c>
    </row>
    <row r="36" spans="2:19" x14ac:dyDescent="0.3">
      <c r="B36" s="3"/>
      <c r="C36" s="2" t="str">
        <f>IF($F36="","",IF(LEFT($F36,1)*1=1,"A",IF(LEFT($F36,1)*1=2,"P",IF(LEFT($F36,1)*1=3,"R",IF(LEFT($F36,1)*1=4,"C",IF(LEFT($F36,1)*1=5,"C",IF(LEFT($F36,1)*1=6,"C","")))))))</f>
        <v>A</v>
      </c>
      <c r="D36" s="2" t="str">
        <f>IF($F36="","",IF(LEN($F36)=13,"A","S"))</f>
        <v>S</v>
      </c>
      <c r="E36" s="2">
        <f>IF($F36="","",IF(LEN($F36)=1,1,IF(LEN($F36)=3,2,IF(LEN($F36)=5,3,IF(LEN($F36)=8,4,5)))))</f>
        <v>5</v>
      </c>
      <c r="F36" s="3" t="s">
        <v>835</v>
      </c>
      <c r="G36" s="3" t="s">
        <v>836</v>
      </c>
      <c r="H36" s="4">
        <f>SUMIFS(Tab_01.Jan[MOVIMENTO],Tab_01.Jan[CONTA],$F36)</f>
        <v>0</v>
      </c>
      <c r="I36" s="4">
        <f>SUMIFS(Tab_02.Fev[MOVIMENTO],Tab_02.Fev[CONTA],$F36)</f>
        <v>0</v>
      </c>
      <c r="J36" s="4">
        <f>SUMIFS(Tab_03.Mar[MOVIMENTO],Tab_03.Mar[CONTA],$F36)</f>
        <v>0</v>
      </c>
      <c r="K36" s="4">
        <f>SUMIFS(Tab_04.Abr[MOVIMENTO],Tab_04.Abr[CONTA],$F36)</f>
        <v>0</v>
      </c>
      <c r="L36" s="4">
        <f>SUMIFS(Tab_05.Mai[MOVIMENTO],Tab_05.Mai[CONTA],$F36)</f>
        <v>0</v>
      </c>
      <c r="M36" s="4">
        <f>SUMIFS(Tab_06.Jun[MOVIMENTO],Tab_06.Jun[CONTA],$F36)</f>
        <v>0</v>
      </c>
      <c r="N36" s="4">
        <f>SUMIFS(Tab_07.Jul[MOVIMENTO],Tab_07.Jul[CONTA],$F36)</f>
        <v>0</v>
      </c>
      <c r="O36" s="4">
        <f>SUMIFS(Tab_08.Ago[MOVIMENTO],Tab_08.Ago[CONTA],$F36)</f>
        <v>0</v>
      </c>
      <c r="P36" s="4">
        <f>SUMIFS(Tab_09.Set[MOVIMENTO],Tab_09.Set[CONTA],$F36)</f>
        <v>0</v>
      </c>
      <c r="Q36" s="4">
        <f>SUMIFS(Tab_10.Out[MOVIMENTO],Tab_10.Out[CONTA],$F36)</f>
        <v>0</v>
      </c>
      <c r="R36" s="4">
        <f>SUMIFS(Tab_11.Nov[MOVIMENTO],Tab_11.Nov[CONTA],$F36)</f>
        <v>4705.95</v>
      </c>
      <c r="S36" s="4">
        <f>SUMIFS(Tab_12.Dez[MOVIMENTO],Tab_12.Dez[CONTA],$F36)</f>
        <v>0</v>
      </c>
    </row>
    <row r="37" spans="2:19" x14ac:dyDescent="0.3">
      <c r="B37" s="3" t="s">
        <v>40</v>
      </c>
      <c r="C37" s="2" t="str">
        <f>IF($F37="","",IF(LEFT($F37,1)*1=1,"A",IF(LEFT($F37,1)*1=2,"P",IF(LEFT($F37,1)*1=3,"R",IF(LEFT($F37,1)*1=4,"C",IF(LEFT($F37,1)*1=5,"C",IF(LEFT($F37,1)*1=6,"C","")))))))</f>
        <v>A</v>
      </c>
      <c r="D37" s="2" t="str">
        <f>IF($F37="","",IF(LEN($F37)=13,"A","S"))</f>
        <v>A</v>
      </c>
      <c r="E37" s="2">
        <f>IF($F37="","",IF(LEN($F37)=1,1,IF(LEN($F37)=3,2,IF(LEN($F37)=5,3,IF(LEN($F37)=8,4,5)))))</f>
        <v>5</v>
      </c>
      <c r="F37" s="3" t="s">
        <v>837</v>
      </c>
      <c r="G37" s="3" t="s">
        <v>836</v>
      </c>
      <c r="H37" s="4">
        <f>SUMIFS(Tab_01.Jan[MOVIMENTO],Tab_01.Jan[CONTA],$F37)</f>
        <v>0</v>
      </c>
      <c r="I37" s="4">
        <f>SUMIFS(Tab_02.Fev[MOVIMENTO],Tab_02.Fev[CONTA],$F37)</f>
        <v>0</v>
      </c>
      <c r="J37" s="4">
        <f>SUMIFS(Tab_03.Mar[MOVIMENTO],Tab_03.Mar[CONTA],$F37)</f>
        <v>0</v>
      </c>
      <c r="K37" s="4">
        <f>SUMIFS(Tab_04.Abr[MOVIMENTO],Tab_04.Abr[CONTA],$F37)</f>
        <v>0</v>
      </c>
      <c r="L37" s="4">
        <f>SUMIFS(Tab_05.Mai[MOVIMENTO],Tab_05.Mai[CONTA],$F37)</f>
        <v>0</v>
      </c>
      <c r="M37" s="4">
        <f>SUMIFS(Tab_06.Jun[MOVIMENTO],Tab_06.Jun[CONTA],$F37)</f>
        <v>0</v>
      </c>
      <c r="N37" s="4">
        <f>SUMIFS(Tab_07.Jul[MOVIMENTO],Tab_07.Jul[CONTA],$F37)</f>
        <v>0</v>
      </c>
      <c r="O37" s="4">
        <f>SUMIFS(Tab_08.Ago[MOVIMENTO],Tab_08.Ago[CONTA],$F37)</f>
        <v>0</v>
      </c>
      <c r="P37" s="4">
        <f>SUMIFS(Tab_09.Set[MOVIMENTO],Tab_09.Set[CONTA],$F37)</f>
        <v>0</v>
      </c>
      <c r="Q37" s="4">
        <f>SUMIFS(Tab_10.Out[MOVIMENTO],Tab_10.Out[CONTA],$F37)</f>
        <v>0</v>
      </c>
      <c r="R37" s="4">
        <f>SUMIFS(Tab_11.Nov[MOVIMENTO],Tab_11.Nov[CONTA],$F37)</f>
        <v>4705.95</v>
      </c>
      <c r="S37" s="4">
        <f>SUMIFS(Tab_12.Dez[MOVIMENTO],Tab_12.Dez[CONTA],$F37)</f>
        <v>0</v>
      </c>
    </row>
    <row r="38" spans="2:19" x14ac:dyDescent="0.3">
      <c r="B38" s="3"/>
      <c r="C38" s="2" t="str">
        <f t="shared" si="6"/>
        <v>A</v>
      </c>
      <c r="D38" s="2" t="str">
        <f t="shared" si="7"/>
        <v>S</v>
      </c>
      <c r="E38" s="2">
        <f t="shared" si="8"/>
        <v>5</v>
      </c>
      <c r="F38" s="3" t="s">
        <v>206</v>
      </c>
      <c r="G38" s="3" t="s">
        <v>644</v>
      </c>
      <c r="H38" s="4">
        <f>SUMIFS(Tab_01.Jan[MOVIMENTO],Tab_01.Jan[CONTA],$F38)</f>
        <v>-1964.35</v>
      </c>
      <c r="I38" s="4">
        <f>SUMIFS(Tab_02.Fev[MOVIMENTO],Tab_02.Fev[CONTA],$F38)</f>
        <v>-4805.8999999999996</v>
      </c>
      <c r="J38" s="4">
        <f>SUMIFS(Tab_03.Mar[MOVIMENTO],Tab_03.Mar[CONTA],$F38)</f>
        <v>-228</v>
      </c>
      <c r="K38" s="4">
        <f>SUMIFS(Tab_04.Abr[MOVIMENTO],Tab_04.Abr[CONTA],$F38)</f>
        <v>10565.01</v>
      </c>
      <c r="L38" s="4">
        <f>SUMIFS(Tab_05.Mai[MOVIMENTO],Tab_05.Mai[CONTA],$F38)</f>
        <v>-44.58</v>
      </c>
      <c r="M38" s="4">
        <f>SUMIFS(Tab_06.Jun[MOVIMENTO],Tab_06.Jun[CONTA],$F38)</f>
        <v>18930.36</v>
      </c>
      <c r="N38" s="4">
        <f>SUMIFS(Tab_07.Jul[MOVIMENTO],Tab_07.Jul[CONTA],$F38)</f>
        <v>-18941.36</v>
      </c>
      <c r="O38" s="4">
        <f>SUMIFS(Tab_08.Ago[MOVIMENTO],Tab_08.Ago[CONTA],$F38)</f>
        <v>26108.09</v>
      </c>
      <c r="P38" s="4">
        <f>SUMIFS(Tab_09.Set[MOVIMENTO],Tab_09.Set[CONTA],$F38)</f>
        <v>-32908.800000000003</v>
      </c>
      <c r="Q38" s="4">
        <f>SUMIFS(Tab_10.Out[MOVIMENTO],Tab_10.Out[CONTA],$F38)</f>
        <v>6640.18</v>
      </c>
      <c r="R38" s="4">
        <f>SUMIFS(Tab_11.Nov[MOVIMENTO],Tab_11.Nov[CONTA],$F38)</f>
        <v>70703.94</v>
      </c>
      <c r="S38" s="4">
        <f>SUMIFS(Tab_12.Dez[MOVIMENTO],Tab_12.Dez[CONTA],$F38)</f>
        <v>-77829.91</v>
      </c>
    </row>
    <row r="39" spans="2:19" x14ac:dyDescent="0.3">
      <c r="B39" s="3"/>
      <c r="C39" s="2" t="str">
        <f t="shared" si="6"/>
        <v>A</v>
      </c>
      <c r="D39" s="2" t="str">
        <f t="shared" si="7"/>
        <v>S</v>
      </c>
      <c r="E39" s="2">
        <f t="shared" si="8"/>
        <v>5</v>
      </c>
      <c r="F39" s="3" t="s">
        <v>208</v>
      </c>
      <c r="G39" s="3" t="s">
        <v>139</v>
      </c>
      <c r="H39" s="4">
        <f>SUMIFS(Tab_01.Jan[MOVIMENTO],Tab_01.Jan[CONTA],$F39)</f>
        <v>-6446.09</v>
      </c>
      <c r="I39" s="4">
        <f>SUMIFS(Tab_02.Fev[MOVIMENTO],Tab_02.Fev[CONTA],$F39)</f>
        <v>-4805.8999999999996</v>
      </c>
      <c r="J39" s="4">
        <f>SUMIFS(Tab_03.Mar[MOVIMENTO],Tab_03.Mar[CONTA],$F39)</f>
        <v>-228</v>
      </c>
      <c r="K39" s="4">
        <f>SUMIFS(Tab_04.Abr[MOVIMENTO],Tab_04.Abr[CONTA],$F39)</f>
        <v>-178.02</v>
      </c>
      <c r="L39" s="4">
        <f>SUMIFS(Tab_05.Mai[MOVIMENTO],Tab_05.Mai[CONTA],$F39)</f>
        <v>-44.58</v>
      </c>
      <c r="M39" s="4">
        <f>SUMIFS(Tab_06.Jun[MOVIMENTO],Tab_06.Jun[CONTA],$F39)</f>
        <v>18930.36</v>
      </c>
      <c r="N39" s="4">
        <f>SUMIFS(Tab_07.Jul[MOVIMENTO],Tab_07.Jul[CONTA],$F39)</f>
        <v>-18930.36</v>
      </c>
      <c r="O39" s="4">
        <f>SUMIFS(Tab_08.Ago[MOVIMENTO],Tab_08.Ago[CONTA],$F39)</f>
        <v>26127.32</v>
      </c>
      <c r="P39" s="4">
        <f>SUMIFS(Tab_09.Set[MOVIMENTO],Tab_09.Set[CONTA],$F39)</f>
        <v>-25820.62</v>
      </c>
      <c r="Q39" s="4">
        <f>SUMIFS(Tab_10.Out[MOVIMENTO],Tab_10.Out[CONTA],$F39)</f>
        <v>6565.75</v>
      </c>
      <c r="R39" s="4">
        <f>SUMIFS(Tab_11.Nov[MOVIMENTO],Tab_11.Nov[CONTA],$F39)</f>
        <v>72590.84</v>
      </c>
      <c r="S39" s="4">
        <f>SUMIFS(Tab_12.Dez[MOVIMENTO],Tab_12.Dez[CONTA],$F39)</f>
        <v>-79463.289999999994</v>
      </c>
    </row>
    <row r="40" spans="2:19" x14ac:dyDescent="0.3">
      <c r="B40" s="3" t="s">
        <v>43</v>
      </c>
      <c r="C40" s="2" t="str">
        <f t="shared" si="6"/>
        <v>A</v>
      </c>
      <c r="D40" s="2" t="str">
        <f t="shared" si="7"/>
        <v>A</v>
      </c>
      <c r="E40" s="2">
        <f t="shared" si="8"/>
        <v>5</v>
      </c>
      <c r="F40" s="3" t="s">
        <v>179</v>
      </c>
      <c r="G40" s="3" t="s">
        <v>293</v>
      </c>
      <c r="H40" s="4">
        <f>SUMIFS(Tab_01.Jan[MOVIMENTO],Tab_01.Jan[CONTA],$F40)</f>
        <v>0</v>
      </c>
      <c r="I40" s="4">
        <f>SUMIFS(Tab_02.Fev[MOVIMENTO],Tab_02.Fev[CONTA],$F40)</f>
        <v>0</v>
      </c>
      <c r="J40" s="4">
        <f>SUMIFS(Tab_03.Mar[MOVIMENTO],Tab_03.Mar[CONTA],$F40)</f>
        <v>0</v>
      </c>
      <c r="K40" s="4">
        <f>SUMIFS(Tab_04.Abr[MOVIMENTO],Tab_04.Abr[CONTA],$F40)</f>
        <v>0</v>
      </c>
      <c r="L40" s="4">
        <f>SUMIFS(Tab_05.Mai[MOVIMENTO],Tab_05.Mai[CONTA],$F40)</f>
        <v>-44.58</v>
      </c>
      <c r="M40" s="4">
        <f>SUMIFS(Tab_06.Jun[MOVIMENTO],Tab_06.Jun[CONTA],$F40)</f>
        <v>0</v>
      </c>
      <c r="N40" s="4">
        <f>SUMIFS(Tab_07.Jul[MOVIMENTO],Tab_07.Jul[CONTA],$F40)</f>
        <v>0</v>
      </c>
      <c r="O40" s="4">
        <f>SUMIFS(Tab_08.Ago[MOVIMENTO],Tab_08.Ago[CONTA],$F40)</f>
        <v>0</v>
      </c>
      <c r="P40" s="4">
        <f>SUMIFS(Tab_09.Set[MOVIMENTO],Tab_09.Set[CONTA],$F40)</f>
        <v>0</v>
      </c>
      <c r="Q40" s="4">
        <f>SUMIFS(Tab_10.Out[MOVIMENTO],Tab_10.Out[CONTA],$F40)</f>
        <v>0</v>
      </c>
      <c r="R40" s="4">
        <f>SUMIFS(Tab_11.Nov[MOVIMENTO],Tab_11.Nov[CONTA],$F40)</f>
        <v>0</v>
      </c>
      <c r="S40" s="4">
        <f>SUMIFS(Tab_12.Dez[MOVIMENTO],Tab_12.Dez[CONTA],$F40)</f>
        <v>0</v>
      </c>
    </row>
    <row r="41" spans="2:19" x14ac:dyDescent="0.3">
      <c r="B41" s="3" t="s">
        <v>43</v>
      </c>
      <c r="C41" s="2" t="str">
        <f>IF($F41="","",IF(LEFT($F41,1)*1=1,"A",IF(LEFT($F41,1)*1=2,"P",IF(LEFT($F41,1)*1=3,"R",IF(LEFT($F41,1)*1=4,"C",IF(LEFT($F41,1)*1=5,"C",IF(LEFT($F41,1)*1=6,"C","")))))))</f>
        <v>A</v>
      </c>
      <c r="D41" s="2" t="str">
        <f>IF($F41="","",IF(LEN($F41)=13,"A","S"))</f>
        <v>A</v>
      </c>
      <c r="E41" s="2">
        <f>IF($F41="","",IF(LEN($F41)=1,1,IF(LEN($F41)=3,2,IF(LEN($F41)=5,3,IF(LEN($F41)=8,4,5)))))</f>
        <v>5</v>
      </c>
      <c r="F41" s="3" t="s">
        <v>810</v>
      </c>
      <c r="G41" s="3" t="s">
        <v>811</v>
      </c>
      <c r="H41" s="4">
        <f>SUMIFS(Tab_01.Jan[MOVIMENTO],Tab_01.Jan[CONTA],$F41)</f>
        <v>0</v>
      </c>
      <c r="I41" s="4">
        <f>SUMIFS(Tab_02.Fev[MOVIMENTO],Tab_02.Fev[CONTA],$F41)</f>
        <v>0</v>
      </c>
      <c r="J41" s="4">
        <f>SUMIFS(Tab_03.Mar[MOVIMENTO],Tab_03.Mar[CONTA],$F41)</f>
        <v>0</v>
      </c>
      <c r="K41" s="4">
        <f>SUMIFS(Tab_04.Abr[MOVIMENTO],Tab_04.Abr[CONTA],$F41)</f>
        <v>0</v>
      </c>
      <c r="L41" s="4">
        <f>SUMIFS(Tab_05.Mai[MOVIMENTO],Tab_05.Mai[CONTA],$F41)</f>
        <v>0</v>
      </c>
      <c r="M41" s="4">
        <f>SUMIFS(Tab_06.Jun[MOVIMENTO],Tab_06.Jun[CONTA],$F41)</f>
        <v>0</v>
      </c>
      <c r="N41" s="4">
        <f>SUMIFS(Tab_07.Jul[MOVIMENTO],Tab_07.Jul[CONTA],$F41)</f>
        <v>0</v>
      </c>
      <c r="O41" s="4">
        <f>SUMIFS(Tab_08.Ago[MOVIMENTO],Tab_08.Ago[CONTA],$F41)</f>
        <v>0</v>
      </c>
      <c r="P41" s="4">
        <f>SUMIFS(Tab_09.Set[MOVIMENTO],Tab_09.Set[CONTA],$F41)</f>
        <v>0</v>
      </c>
      <c r="Q41" s="4">
        <f>SUMIFS(Tab_10.Out[MOVIMENTO],Tab_10.Out[CONTA],$F41)</f>
        <v>0</v>
      </c>
      <c r="R41" s="4">
        <f>SUMIFS(Tab_11.Nov[MOVIMENTO],Tab_11.Nov[CONTA],$F41)</f>
        <v>0</v>
      </c>
      <c r="S41" s="4">
        <f>SUMIFS(Tab_12.Dez[MOVIMENTO],Tab_12.Dez[CONTA],$F41)</f>
        <v>0</v>
      </c>
    </row>
    <row r="42" spans="2:19" x14ac:dyDescent="0.3">
      <c r="B42" s="3" t="s">
        <v>43</v>
      </c>
      <c r="C42" s="2" t="str">
        <f>IF($F42="","",IF(LEFT($F42,1)*1=1,"A",IF(LEFT($F42,1)*1=2,"P",IF(LEFT($F42,1)*1=3,"R",IF(LEFT($F42,1)*1=4,"C",IF(LEFT($F42,1)*1=5,"C",IF(LEFT($F42,1)*1=6,"C","")))))))</f>
        <v>A</v>
      </c>
      <c r="D42" s="2" t="str">
        <f>IF($F42="","",IF(LEN($F42)=13,"A","S"))</f>
        <v>A</v>
      </c>
      <c r="E42" s="2">
        <f>IF($F42="","",IF(LEN($F42)=1,1,IF(LEN($F42)=3,2,IF(LEN($F42)=5,3,IF(LEN($F42)=8,4,5)))))</f>
        <v>5</v>
      </c>
      <c r="F42" s="3" t="s">
        <v>812</v>
      </c>
      <c r="G42" s="3" t="s">
        <v>813</v>
      </c>
      <c r="H42" s="4">
        <f>SUMIFS(Tab_01.Jan[MOVIMENTO],Tab_01.Jan[CONTA],$F42)</f>
        <v>0</v>
      </c>
      <c r="I42" s="4">
        <f>SUMIFS(Tab_02.Fev[MOVIMENTO],Tab_02.Fev[CONTA],$F42)</f>
        <v>0</v>
      </c>
      <c r="J42" s="4">
        <f>SUMIFS(Tab_03.Mar[MOVIMENTO],Tab_03.Mar[CONTA],$F42)</f>
        <v>0</v>
      </c>
      <c r="K42" s="4">
        <f>SUMIFS(Tab_04.Abr[MOVIMENTO],Tab_04.Abr[CONTA],$F42)</f>
        <v>0</v>
      </c>
      <c r="L42" s="4">
        <f>SUMIFS(Tab_05.Mai[MOVIMENTO],Tab_05.Mai[CONTA],$F42)</f>
        <v>0</v>
      </c>
      <c r="M42" s="4">
        <f>SUMIFS(Tab_06.Jun[MOVIMENTO],Tab_06.Jun[CONTA],$F42)</f>
        <v>0</v>
      </c>
      <c r="N42" s="4">
        <f>SUMIFS(Tab_07.Jul[MOVIMENTO],Tab_07.Jul[CONTA],$F42)</f>
        <v>0</v>
      </c>
      <c r="O42" s="4">
        <f>SUMIFS(Tab_08.Ago[MOVIMENTO],Tab_08.Ago[CONTA],$F42)</f>
        <v>0</v>
      </c>
      <c r="P42" s="4">
        <f>SUMIFS(Tab_09.Set[MOVIMENTO],Tab_09.Set[CONTA],$F42)</f>
        <v>0</v>
      </c>
      <c r="Q42" s="4">
        <f>SUMIFS(Tab_10.Out[MOVIMENTO],Tab_10.Out[CONTA],$F42)</f>
        <v>2779.68</v>
      </c>
      <c r="R42" s="4">
        <f>SUMIFS(Tab_11.Nov[MOVIMENTO],Tab_11.Nov[CONTA],$F42)</f>
        <v>75697.63</v>
      </c>
      <c r="S42" s="4">
        <f>SUMIFS(Tab_12.Dez[MOVIMENTO],Tab_12.Dez[CONTA],$F42)</f>
        <v>-78477.31</v>
      </c>
    </row>
    <row r="43" spans="2:19" x14ac:dyDescent="0.3">
      <c r="B43" s="3" t="s">
        <v>43</v>
      </c>
      <c r="C43" s="2" t="str">
        <f t="shared" si="6"/>
        <v>A</v>
      </c>
      <c r="D43" s="2" t="str">
        <f t="shared" si="7"/>
        <v>A</v>
      </c>
      <c r="E43" s="2">
        <f t="shared" si="8"/>
        <v>5</v>
      </c>
      <c r="F43" s="3" t="s">
        <v>294</v>
      </c>
      <c r="G43" s="3" t="s">
        <v>295</v>
      </c>
      <c r="H43" s="4">
        <f>SUMIFS(Tab_01.Jan[MOVIMENTO],Tab_01.Jan[CONTA],$F43)</f>
        <v>-6446.09</v>
      </c>
      <c r="I43" s="4">
        <f>SUMIFS(Tab_02.Fev[MOVIMENTO],Tab_02.Fev[CONTA],$F43)</f>
        <v>-4805.8999999999996</v>
      </c>
      <c r="J43" s="4">
        <f>SUMIFS(Tab_03.Mar[MOVIMENTO],Tab_03.Mar[CONTA],$F43)</f>
        <v>-228</v>
      </c>
      <c r="K43" s="4">
        <f>SUMIFS(Tab_04.Abr[MOVIMENTO],Tab_04.Abr[CONTA],$F43)</f>
        <v>-178.02</v>
      </c>
      <c r="L43" s="4">
        <f>SUMIFS(Tab_05.Mai[MOVIMENTO],Tab_05.Mai[CONTA],$F43)</f>
        <v>0</v>
      </c>
      <c r="M43" s="4">
        <f>SUMIFS(Tab_06.Jun[MOVIMENTO],Tab_06.Jun[CONTA],$F43)</f>
        <v>18930.36</v>
      </c>
      <c r="N43" s="4">
        <f>SUMIFS(Tab_07.Jul[MOVIMENTO],Tab_07.Jul[CONTA],$F43)</f>
        <v>-18930.36</v>
      </c>
      <c r="O43" s="4">
        <f>SUMIFS(Tab_08.Ago[MOVIMENTO],Tab_08.Ago[CONTA],$F43)</f>
        <v>26127.32</v>
      </c>
      <c r="P43" s="4">
        <f>SUMIFS(Tab_09.Set[MOVIMENTO],Tab_09.Set[CONTA],$F43)</f>
        <v>-25820.62</v>
      </c>
      <c r="Q43" s="4">
        <f>SUMIFS(Tab_10.Out[MOVIMENTO],Tab_10.Out[CONTA],$F43)</f>
        <v>3786.07</v>
      </c>
      <c r="R43" s="4">
        <f>SUMIFS(Tab_11.Nov[MOVIMENTO],Tab_11.Nov[CONTA],$F43)</f>
        <v>-3106.79</v>
      </c>
      <c r="S43" s="4">
        <f>SUMIFS(Tab_12.Dez[MOVIMENTO],Tab_12.Dez[CONTA],$F43)</f>
        <v>-985.98</v>
      </c>
    </row>
    <row r="44" spans="2:19" x14ac:dyDescent="0.3">
      <c r="B44" s="3"/>
      <c r="C44" s="2" t="str">
        <f>IF($F44="","",IF(LEFT($F44,1)*1=1,"A",IF(LEFT($F44,1)*1=2,"P",IF(LEFT($F44,1)*1=3,"R",IF(LEFT($F44,1)*1=4,"C",IF(LEFT($F44,1)*1=5,"C",IF(LEFT($F44,1)*1=6,"C","")))))))</f>
        <v>A</v>
      </c>
      <c r="D44" s="2" t="str">
        <f>IF($F44="","",IF(LEN($F44)=13,"A","S"))</f>
        <v>S</v>
      </c>
      <c r="E44" s="2">
        <f>IF($F44="","",IF(LEN($F44)=1,1,IF(LEN($F44)=3,2,IF(LEN($F44)=5,3,IF(LEN($F44)=8,4,5)))))</f>
        <v>5</v>
      </c>
      <c r="F44" s="3" t="s">
        <v>551</v>
      </c>
      <c r="G44" s="3" t="s">
        <v>645</v>
      </c>
      <c r="H44" s="4">
        <f>SUMIFS(Tab_01.Jan[MOVIMENTO],Tab_01.Jan[CONTA],$F44)</f>
        <v>4481.74</v>
      </c>
      <c r="I44" s="4">
        <f>SUMIFS(Tab_02.Fev[MOVIMENTO],Tab_02.Fev[CONTA],$F44)</f>
        <v>0</v>
      </c>
      <c r="J44" s="4">
        <f>SUMIFS(Tab_03.Mar[MOVIMENTO],Tab_03.Mar[CONTA],$F44)</f>
        <v>0</v>
      </c>
      <c r="K44" s="4">
        <f>SUMIFS(Tab_04.Abr[MOVIMENTO],Tab_04.Abr[CONTA],$F44)</f>
        <v>10743.03</v>
      </c>
      <c r="L44" s="4">
        <f>SUMIFS(Tab_05.Mai[MOVIMENTO],Tab_05.Mai[CONTA],$F44)</f>
        <v>0</v>
      </c>
      <c r="M44" s="4">
        <f>SUMIFS(Tab_06.Jun[MOVIMENTO],Tab_06.Jun[CONTA],$F44)</f>
        <v>0</v>
      </c>
      <c r="N44" s="4">
        <f>SUMIFS(Tab_07.Jul[MOVIMENTO],Tab_07.Jul[CONTA],$F44)</f>
        <v>-11</v>
      </c>
      <c r="O44" s="4">
        <f>SUMIFS(Tab_08.Ago[MOVIMENTO],Tab_08.Ago[CONTA],$F44)</f>
        <v>-19.23</v>
      </c>
      <c r="P44" s="4">
        <f>SUMIFS(Tab_09.Set[MOVIMENTO],Tab_09.Set[CONTA],$F44)</f>
        <v>-7088.18</v>
      </c>
      <c r="Q44" s="4">
        <f>SUMIFS(Tab_10.Out[MOVIMENTO],Tab_10.Out[CONTA],$F44)</f>
        <v>74.430000000000007</v>
      </c>
      <c r="R44" s="4">
        <f>SUMIFS(Tab_11.Nov[MOVIMENTO],Tab_11.Nov[CONTA],$F44)</f>
        <v>-1886.9</v>
      </c>
      <c r="S44" s="4">
        <f>SUMIFS(Tab_12.Dez[MOVIMENTO],Tab_12.Dez[CONTA],$F44)</f>
        <v>1633.38</v>
      </c>
    </row>
    <row r="45" spans="2:19" x14ac:dyDescent="0.3">
      <c r="B45" s="3" t="s">
        <v>42</v>
      </c>
      <c r="C45" s="2" t="str">
        <f>IF($F45="","",IF(LEFT($F45,1)*1=1,"A",IF(LEFT($F45,1)*1=2,"P",IF(LEFT($F45,1)*1=3,"R",IF(LEFT($F45,1)*1=4,"C",IF(LEFT($F45,1)*1=5,"C",IF(LEFT($F45,1)*1=6,"C","")))))))</f>
        <v>A</v>
      </c>
      <c r="D45" s="2" t="str">
        <f>IF($F45="","",IF(LEN($F45)=13,"A","S"))</f>
        <v>A</v>
      </c>
      <c r="E45" s="2">
        <f>IF($F45="","",IF(LEN($F45)=1,1,IF(LEN($F45)=3,2,IF(LEN($F45)=5,3,IF(LEN($F45)=8,4,5)))))</f>
        <v>5</v>
      </c>
      <c r="F45" s="3" t="s">
        <v>838</v>
      </c>
      <c r="G45" s="3" t="s">
        <v>839</v>
      </c>
      <c r="H45" s="4">
        <f>SUMIFS(Tab_01.Jan[MOVIMENTO],Tab_01.Jan[CONTA],$F45)</f>
        <v>0</v>
      </c>
      <c r="I45" s="4">
        <f>SUMIFS(Tab_02.Fev[MOVIMENTO],Tab_02.Fev[CONTA],$F45)</f>
        <v>0</v>
      </c>
      <c r="J45" s="4">
        <f>SUMIFS(Tab_03.Mar[MOVIMENTO],Tab_03.Mar[CONTA],$F45)</f>
        <v>0</v>
      </c>
      <c r="K45" s="4">
        <f>SUMIFS(Tab_04.Abr[MOVIMENTO],Tab_04.Abr[CONTA],$F45)</f>
        <v>0</v>
      </c>
      <c r="L45" s="4">
        <f>SUMIFS(Tab_05.Mai[MOVIMENTO],Tab_05.Mai[CONTA],$F45)</f>
        <v>0</v>
      </c>
      <c r="M45" s="4">
        <f>SUMIFS(Tab_06.Jun[MOVIMENTO],Tab_06.Jun[CONTA],$F45)</f>
        <v>0</v>
      </c>
      <c r="N45" s="4">
        <f>SUMIFS(Tab_07.Jul[MOVIMENTO],Tab_07.Jul[CONTA],$F45)</f>
        <v>0</v>
      </c>
      <c r="O45" s="4">
        <f>SUMIFS(Tab_08.Ago[MOVIMENTO],Tab_08.Ago[CONTA],$F45)</f>
        <v>0</v>
      </c>
      <c r="P45" s="4">
        <f>SUMIFS(Tab_09.Set[MOVIMENTO],Tab_09.Set[CONTA],$F45)</f>
        <v>0</v>
      </c>
      <c r="Q45" s="4">
        <f>SUMIFS(Tab_10.Out[MOVIMENTO],Tab_10.Out[CONTA],$F45)</f>
        <v>86.53</v>
      </c>
      <c r="R45" s="4">
        <f>SUMIFS(Tab_11.Nov[MOVIMENTO],Tab_11.Nov[CONTA],$F45)</f>
        <v>12.1</v>
      </c>
      <c r="S45" s="4">
        <f>SUMIFS(Tab_12.Dez[MOVIMENTO],Tab_12.Dez[CONTA],$F45)</f>
        <v>1899</v>
      </c>
    </row>
    <row r="46" spans="2:19" x14ac:dyDescent="0.3">
      <c r="B46" s="3" t="s">
        <v>42</v>
      </c>
      <c r="C46" s="2" t="str">
        <f t="shared" si="6"/>
        <v>A</v>
      </c>
      <c r="D46" s="2" t="str">
        <f t="shared" si="7"/>
        <v>A</v>
      </c>
      <c r="E46" s="2">
        <f t="shared" si="8"/>
        <v>5</v>
      </c>
      <c r="F46" s="3" t="s">
        <v>296</v>
      </c>
      <c r="G46" s="3" t="s">
        <v>297</v>
      </c>
      <c r="H46" s="4">
        <f>SUMIFS(Tab_01.Jan[MOVIMENTO],Tab_01.Jan[CONTA],$F46)</f>
        <v>0</v>
      </c>
      <c r="I46" s="4">
        <f>SUMIFS(Tab_02.Fev[MOVIMENTO],Tab_02.Fev[CONTA],$F46)</f>
        <v>0</v>
      </c>
      <c r="J46" s="4">
        <f>SUMIFS(Tab_03.Mar[MOVIMENTO],Tab_03.Mar[CONTA],$F46)</f>
        <v>0</v>
      </c>
      <c r="K46" s="4">
        <f>SUMIFS(Tab_04.Abr[MOVIMENTO],Tab_04.Abr[CONTA],$F46)</f>
        <v>0</v>
      </c>
      <c r="L46" s="4">
        <f>SUMIFS(Tab_05.Mai[MOVIMENTO],Tab_05.Mai[CONTA],$F46)</f>
        <v>0</v>
      </c>
      <c r="M46" s="4">
        <f>SUMIFS(Tab_06.Jun[MOVIMENTO],Tab_06.Jun[CONTA],$F46)</f>
        <v>0</v>
      </c>
      <c r="N46" s="4">
        <f>SUMIFS(Tab_07.Jul[MOVIMENTO],Tab_07.Jul[CONTA],$F46)</f>
        <v>0</v>
      </c>
      <c r="O46" s="4">
        <f>SUMIFS(Tab_08.Ago[MOVIMENTO],Tab_08.Ago[CONTA],$F46)</f>
        <v>0</v>
      </c>
      <c r="P46" s="4">
        <f>SUMIFS(Tab_09.Set[MOVIMENTO],Tab_09.Set[CONTA],$F46)</f>
        <v>0</v>
      </c>
      <c r="Q46" s="4">
        <f>SUMIFS(Tab_10.Out[MOVIMENTO],Tab_10.Out[CONTA],$F46)</f>
        <v>0</v>
      </c>
      <c r="R46" s="4">
        <f>SUMIFS(Tab_11.Nov[MOVIMENTO],Tab_11.Nov[CONTA],$F46)</f>
        <v>0</v>
      </c>
      <c r="S46" s="4">
        <f>SUMIFS(Tab_12.Dez[MOVIMENTO],Tab_12.Dez[CONTA],$F46)</f>
        <v>0</v>
      </c>
    </row>
    <row r="47" spans="2:19" x14ac:dyDescent="0.3">
      <c r="B47" s="3"/>
      <c r="C47" s="2" t="str">
        <f t="shared" ref="C47:C52" si="9">IF($F47="","",IF(LEFT($F47,1)*1=1,"A",IF(LEFT($F47,1)*1=2,"P",IF(LEFT($F47,1)*1=3,"R",IF(LEFT($F47,1)*1=4,"C",IF(LEFT($F47,1)*1=5,"C",IF(LEFT($F47,1)*1=6,"C","")))))))</f>
        <v>A</v>
      </c>
      <c r="D47" s="2" t="str">
        <f t="shared" ref="D47:D52" si="10">IF($F47="","",IF(LEN($F47)=13,"A","S"))</f>
        <v>A</v>
      </c>
      <c r="E47" s="2">
        <f t="shared" ref="E47:E52" si="11">IF($F47="","",IF(LEN($F47)=1,1,IF(LEN($F47)=3,2,IF(LEN($F47)=5,3,IF(LEN($F47)=8,4,5)))))</f>
        <v>5</v>
      </c>
      <c r="F47" s="3" t="s">
        <v>831</v>
      </c>
      <c r="G47" s="3" t="s">
        <v>832</v>
      </c>
      <c r="H47" s="4">
        <f>SUMIFS(Tab_01.Jan[MOVIMENTO],Tab_01.Jan[CONTA],$F47)</f>
        <v>4481.74</v>
      </c>
      <c r="I47" s="4">
        <f>SUMIFS(Tab_02.Fev[MOVIMENTO],Tab_02.Fev[CONTA],$F47)</f>
        <v>0</v>
      </c>
      <c r="J47" s="4">
        <f>SUMIFS(Tab_03.Mar[MOVIMENTO],Tab_03.Mar[CONTA],$F47)</f>
        <v>0</v>
      </c>
      <c r="K47" s="4">
        <f>SUMIFS(Tab_04.Abr[MOVIMENTO],Tab_04.Abr[CONTA],$F47)</f>
        <v>10743.03</v>
      </c>
      <c r="L47" s="4">
        <f>SUMIFS(Tab_05.Mai[MOVIMENTO],Tab_05.Mai[CONTA],$F47)</f>
        <v>0</v>
      </c>
      <c r="M47" s="4">
        <f>SUMIFS(Tab_06.Jun[MOVIMENTO],Tab_06.Jun[CONTA],$F47)</f>
        <v>0</v>
      </c>
      <c r="N47" s="4">
        <f>SUMIFS(Tab_07.Jul[MOVIMENTO],Tab_07.Jul[CONTA],$F47)</f>
        <v>-11</v>
      </c>
      <c r="O47" s="4">
        <f>SUMIFS(Tab_08.Ago[MOVIMENTO],Tab_08.Ago[CONTA],$F47)</f>
        <v>-19.23</v>
      </c>
      <c r="P47" s="4">
        <f>SUMIFS(Tab_09.Set[MOVIMENTO],Tab_09.Set[CONTA],$F47)</f>
        <v>-7088.18</v>
      </c>
      <c r="Q47" s="4">
        <f>SUMIFS(Tab_10.Out[MOVIMENTO],Tab_10.Out[CONTA],$F47)</f>
        <v>-12.1</v>
      </c>
      <c r="R47" s="4">
        <f>SUMIFS(Tab_11.Nov[MOVIMENTO],Tab_11.Nov[CONTA],$F47)</f>
        <v>-1899</v>
      </c>
      <c r="S47" s="4">
        <f>SUMIFS(Tab_12.Dez[MOVIMENTO],Tab_12.Dez[CONTA],$F47)</f>
        <v>-265.62</v>
      </c>
    </row>
    <row r="48" spans="2:19" x14ac:dyDescent="0.3">
      <c r="B48" s="3"/>
      <c r="C48" s="2" t="str">
        <f t="shared" si="9"/>
        <v>A</v>
      </c>
      <c r="D48" s="2" t="str">
        <f t="shared" si="10"/>
        <v>S</v>
      </c>
      <c r="E48" s="2">
        <f t="shared" si="11"/>
        <v>5</v>
      </c>
      <c r="F48" s="3" t="s">
        <v>840</v>
      </c>
      <c r="G48" s="3" t="s">
        <v>841</v>
      </c>
      <c r="H48" s="4">
        <f>SUMIFS(Tab_01.Jan[MOVIMENTO],Tab_01.Jan[CONTA],$F48)</f>
        <v>232437.24</v>
      </c>
      <c r="I48" s="4">
        <f>SUMIFS(Tab_02.Fev[MOVIMENTO],Tab_02.Fev[CONTA],$F48)</f>
        <v>0</v>
      </c>
      <c r="J48" s="4">
        <f>SUMIFS(Tab_03.Mar[MOVIMENTO],Tab_03.Mar[CONTA],$F48)</f>
        <v>0</v>
      </c>
      <c r="K48" s="4">
        <f>SUMIFS(Tab_04.Abr[MOVIMENTO],Tab_04.Abr[CONTA],$F48)</f>
        <v>78781.539999999994</v>
      </c>
      <c r="L48" s="4">
        <f>SUMIFS(Tab_05.Mai[MOVIMENTO],Tab_05.Mai[CONTA],$F48)</f>
        <v>0</v>
      </c>
      <c r="M48" s="4">
        <f>SUMIFS(Tab_06.Jun[MOVIMENTO],Tab_06.Jun[CONTA],$F48)</f>
        <v>0</v>
      </c>
      <c r="N48" s="4">
        <f>SUMIFS(Tab_07.Jul[MOVIMENTO],Tab_07.Jul[CONTA],$F48)</f>
        <v>-16.170000000000002</v>
      </c>
      <c r="O48" s="4">
        <f>SUMIFS(Tab_08.Ago[MOVIMENTO],Tab_08.Ago[CONTA],$F48)</f>
        <v>73.989999999999995</v>
      </c>
      <c r="P48" s="4">
        <f>SUMIFS(Tab_09.Set[MOVIMENTO],Tab_09.Set[CONTA],$F48)</f>
        <v>-55700.15</v>
      </c>
      <c r="Q48" s="4">
        <f>SUMIFS(Tab_10.Out[MOVIMENTO],Tab_10.Out[CONTA],$F48)</f>
        <v>-16.170000000000002</v>
      </c>
      <c r="R48" s="4">
        <f>SUMIFS(Tab_11.Nov[MOVIMENTO],Tab_11.Nov[CONTA],$F48)</f>
        <v>-430.16</v>
      </c>
      <c r="S48" s="4">
        <f>SUMIFS(Tab_12.Dez[MOVIMENTO],Tab_12.Dez[CONTA],$F48)</f>
        <v>0</v>
      </c>
    </row>
    <row r="49" spans="2:19" x14ac:dyDescent="0.3">
      <c r="B49" s="3"/>
      <c r="C49" s="2" t="str">
        <f t="shared" si="9"/>
        <v>A</v>
      </c>
      <c r="D49" s="2" t="str">
        <f t="shared" si="10"/>
        <v>S</v>
      </c>
      <c r="E49" s="2">
        <f t="shared" si="11"/>
        <v>5</v>
      </c>
      <c r="F49" s="3" t="s">
        <v>842</v>
      </c>
      <c r="G49" s="3" t="s">
        <v>843</v>
      </c>
      <c r="H49" s="4">
        <f>SUMIFS(Tab_01.Jan[MOVIMENTO],Tab_01.Jan[CONTA],$F49)</f>
        <v>232437.24</v>
      </c>
      <c r="I49" s="4">
        <f>SUMIFS(Tab_02.Fev[MOVIMENTO],Tab_02.Fev[CONTA],$F49)</f>
        <v>0</v>
      </c>
      <c r="J49" s="4">
        <f>SUMIFS(Tab_03.Mar[MOVIMENTO],Tab_03.Mar[CONTA],$F49)</f>
        <v>0</v>
      </c>
      <c r="K49" s="4">
        <f>SUMIFS(Tab_04.Abr[MOVIMENTO],Tab_04.Abr[CONTA],$F49)</f>
        <v>78781.539999999994</v>
      </c>
      <c r="L49" s="4">
        <f>SUMIFS(Tab_05.Mai[MOVIMENTO],Tab_05.Mai[CONTA],$F49)</f>
        <v>0</v>
      </c>
      <c r="M49" s="4">
        <f>SUMIFS(Tab_06.Jun[MOVIMENTO],Tab_06.Jun[CONTA],$F49)</f>
        <v>0</v>
      </c>
      <c r="N49" s="4">
        <f>SUMIFS(Tab_07.Jul[MOVIMENTO],Tab_07.Jul[CONTA],$F49)</f>
        <v>-16.170000000000002</v>
      </c>
      <c r="O49" s="4">
        <f>SUMIFS(Tab_08.Ago[MOVIMENTO],Tab_08.Ago[CONTA],$F49)</f>
        <v>73.989999999999995</v>
      </c>
      <c r="P49" s="4">
        <f>SUMIFS(Tab_09.Set[MOVIMENTO],Tab_09.Set[CONTA],$F49)</f>
        <v>-55700.15</v>
      </c>
      <c r="Q49" s="4">
        <f>SUMIFS(Tab_10.Out[MOVIMENTO],Tab_10.Out[CONTA],$F49)</f>
        <v>-16.170000000000002</v>
      </c>
      <c r="R49" s="4">
        <f>SUMIFS(Tab_11.Nov[MOVIMENTO],Tab_11.Nov[CONTA],$F49)</f>
        <v>-430.16</v>
      </c>
      <c r="S49" s="4">
        <f>SUMIFS(Tab_12.Dez[MOVIMENTO],Tab_12.Dez[CONTA],$F49)</f>
        <v>0</v>
      </c>
    </row>
    <row r="50" spans="2:19" x14ac:dyDescent="0.3">
      <c r="B50" s="184" t="s">
        <v>41</v>
      </c>
      <c r="C50" s="2" t="str">
        <f t="shared" si="9"/>
        <v>A</v>
      </c>
      <c r="D50" s="2" t="str">
        <f t="shared" si="10"/>
        <v>A</v>
      </c>
      <c r="E50" s="2">
        <f t="shared" si="11"/>
        <v>5</v>
      </c>
      <c r="F50" s="3" t="s">
        <v>844</v>
      </c>
      <c r="G50" s="3" t="s">
        <v>843</v>
      </c>
      <c r="H50" s="4">
        <f>SUMIFS(Tab_01.Jan[MOVIMENTO],Tab_01.Jan[CONTA],$F50)</f>
        <v>232437.24</v>
      </c>
      <c r="I50" s="4">
        <f>SUMIFS(Tab_02.Fev[MOVIMENTO],Tab_02.Fev[CONTA],$F50)</f>
        <v>0</v>
      </c>
      <c r="J50" s="4">
        <f>SUMIFS(Tab_03.Mar[MOVIMENTO],Tab_03.Mar[CONTA],$F50)</f>
        <v>0</v>
      </c>
      <c r="K50" s="4">
        <f>SUMIFS(Tab_04.Abr[MOVIMENTO],Tab_04.Abr[CONTA],$F50)</f>
        <v>78781.539999999994</v>
      </c>
      <c r="L50" s="4">
        <f>SUMIFS(Tab_05.Mai[MOVIMENTO],Tab_05.Mai[CONTA],$F50)</f>
        <v>0</v>
      </c>
      <c r="M50" s="4">
        <f>SUMIFS(Tab_06.Jun[MOVIMENTO],Tab_06.Jun[CONTA],$F50)</f>
        <v>0</v>
      </c>
      <c r="N50" s="4">
        <f>SUMIFS(Tab_07.Jul[MOVIMENTO],Tab_07.Jul[CONTA],$F50)</f>
        <v>-16.170000000000002</v>
      </c>
      <c r="O50" s="4">
        <f>SUMIFS(Tab_08.Ago[MOVIMENTO],Tab_08.Ago[CONTA],$F50)</f>
        <v>73.989999999999995</v>
      </c>
      <c r="P50" s="4">
        <f>SUMIFS(Tab_09.Set[MOVIMENTO],Tab_09.Set[CONTA],$F50)</f>
        <v>-55700.15</v>
      </c>
      <c r="Q50" s="4">
        <f>SUMIFS(Tab_10.Out[MOVIMENTO],Tab_10.Out[CONTA],$F50)</f>
        <v>-16.170000000000002</v>
      </c>
      <c r="R50" s="4">
        <f>SUMIFS(Tab_11.Nov[MOVIMENTO],Tab_11.Nov[CONTA],$F50)</f>
        <v>-430.16</v>
      </c>
      <c r="S50" s="4">
        <f>SUMIFS(Tab_12.Dez[MOVIMENTO],Tab_12.Dez[CONTA],$F50)</f>
        <v>0</v>
      </c>
    </row>
    <row r="51" spans="2:19" x14ac:dyDescent="0.3">
      <c r="B51" s="184"/>
      <c r="C51" s="2" t="str">
        <f t="shared" si="9"/>
        <v>A</v>
      </c>
      <c r="D51" s="2" t="str">
        <f t="shared" si="10"/>
        <v>S</v>
      </c>
      <c r="E51" s="2">
        <f t="shared" si="11"/>
        <v>5</v>
      </c>
      <c r="F51" s="3" t="s">
        <v>864</v>
      </c>
      <c r="G51" s="3" t="s">
        <v>865</v>
      </c>
      <c r="H51" s="4">
        <f>SUMIFS(Tab_01.Jan[MOVIMENTO],Tab_01.Jan[CONTA],$F51)</f>
        <v>0</v>
      </c>
      <c r="I51" s="4">
        <f>SUMIFS(Tab_02.Fev[MOVIMENTO],Tab_02.Fev[CONTA],$F51)</f>
        <v>0</v>
      </c>
      <c r="J51" s="4">
        <f>SUMIFS(Tab_03.Mar[MOVIMENTO],Tab_03.Mar[CONTA],$F51)</f>
        <v>0</v>
      </c>
      <c r="K51" s="4">
        <f>SUMIFS(Tab_04.Abr[MOVIMENTO],Tab_04.Abr[CONTA],$F51)</f>
        <v>0</v>
      </c>
      <c r="L51" s="4">
        <f>SUMIFS(Tab_05.Mai[MOVIMENTO],Tab_05.Mai[CONTA],$F51)</f>
        <v>0</v>
      </c>
      <c r="M51" s="4">
        <f>SUMIFS(Tab_06.Jun[MOVIMENTO],Tab_06.Jun[CONTA],$F51)</f>
        <v>0</v>
      </c>
      <c r="N51" s="4">
        <f>SUMIFS(Tab_07.Jul[MOVIMENTO],Tab_07.Jul[CONTA],$F51)</f>
        <v>0</v>
      </c>
      <c r="O51" s="4">
        <f>SUMIFS(Tab_08.Ago[MOVIMENTO],Tab_08.Ago[CONTA],$F51)</f>
        <v>0</v>
      </c>
      <c r="P51" s="4">
        <f>SUMIFS(Tab_09.Set[MOVIMENTO],Tab_09.Set[CONTA],$F51)</f>
        <v>0</v>
      </c>
      <c r="Q51" s="4">
        <f>SUMIFS(Tab_10.Out[MOVIMENTO],Tab_10.Out[CONTA],$F51)</f>
        <v>0</v>
      </c>
      <c r="R51" s="4">
        <f>SUMIFS(Tab_11.Nov[MOVIMENTO],Tab_11.Nov[CONTA],$F51)</f>
        <v>0</v>
      </c>
      <c r="S51" s="4">
        <f>SUMIFS(Tab_12.Dez[MOVIMENTO],Tab_12.Dez[CONTA],$F51)</f>
        <v>0</v>
      </c>
    </row>
    <row r="52" spans="2:19" x14ac:dyDescent="0.3">
      <c r="B52" s="184" t="s">
        <v>41</v>
      </c>
      <c r="C52" s="2" t="str">
        <f t="shared" si="9"/>
        <v>A</v>
      </c>
      <c r="D52" s="2" t="str">
        <f t="shared" si="10"/>
        <v>A</v>
      </c>
      <c r="E52" s="2">
        <f t="shared" si="11"/>
        <v>5</v>
      </c>
      <c r="F52" s="3" t="s">
        <v>867</v>
      </c>
      <c r="G52" s="3" t="s">
        <v>868</v>
      </c>
      <c r="H52" s="4">
        <f>SUMIFS(Tab_01.Jan[MOVIMENTO],Tab_01.Jan[CONTA],$F52)</f>
        <v>0</v>
      </c>
      <c r="I52" s="4">
        <f>SUMIFS(Tab_02.Fev[MOVIMENTO],Tab_02.Fev[CONTA],$F52)</f>
        <v>0</v>
      </c>
      <c r="J52" s="4">
        <f>SUMIFS(Tab_03.Mar[MOVIMENTO],Tab_03.Mar[CONTA],$F52)</f>
        <v>0</v>
      </c>
      <c r="K52" s="4">
        <f>SUMIFS(Tab_04.Abr[MOVIMENTO],Tab_04.Abr[CONTA],$F52)</f>
        <v>0</v>
      </c>
      <c r="L52" s="4">
        <f>SUMIFS(Tab_05.Mai[MOVIMENTO],Tab_05.Mai[CONTA],$F52)</f>
        <v>0</v>
      </c>
      <c r="M52" s="4">
        <f>SUMIFS(Tab_06.Jun[MOVIMENTO],Tab_06.Jun[CONTA],$F52)</f>
        <v>0</v>
      </c>
      <c r="N52" s="4">
        <f>SUMIFS(Tab_07.Jul[MOVIMENTO],Tab_07.Jul[CONTA],$F52)</f>
        <v>0</v>
      </c>
      <c r="O52" s="4">
        <f>SUMIFS(Tab_08.Ago[MOVIMENTO],Tab_08.Ago[CONTA],$F52)</f>
        <v>0</v>
      </c>
      <c r="P52" s="4">
        <f>SUMIFS(Tab_09.Set[MOVIMENTO],Tab_09.Set[CONTA],$F52)</f>
        <v>0</v>
      </c>
      <c r="Q52" s="4">
        <f>SUMIFS(Tab_10.Out[MOVIMENTO],Tab_10.Out[CONTA],$F52)</f>
        <v>0</v>
      </c>
      <c r="R52" s="4">
        <f>SUMIFS(Tab_11.Nov[MOVIMENTO],Tab_11.Nov[CONTA],$F52)</f>
        <v>0</v>
      </c>
      <c r="S52" s="4">
        <f>SUMIFS(Tab_12.Dez[MOVIMENTO],Tab_12.Dez[CONTA],$F52)</f>
        <v>0</v>
      </c>
    </row>
    <row r="53" spans="2:19" x14ac:dyDescent="0.3">
      <c r="B53" s="3"/>
      <c r="C53" s="2" t="str">
        <f t="shared" si="6"/>
        <v>A</v>
      </c>
      <c r="D53" s="2" t="str">
        <f t="shared" si="7"/>
        <v>S</v>
      </c>
      <c r="E53" s="2">
        <f t="shared" si="8"/>
        <v>5</v>
      </c>
      <c r="F53" s="3" t="s">
        <v>209</v>
      </c>
      <c r="G53" s="3" t="s">
        <v>646</v>
      </c>
      <c r="H53" s="4">
        <f>SUMIFS(Tab_01.Jan[MOVIMENTO],Tab_01.Jan[CONTA],$F53)</f>
        <v>-287.74</v>
      </c>
      <c r="I53" s="4">
        <f>SUMIFS(Tab_02.Fev[MOVIMENTO],Tab_02.Fev[CONTA],$F53)</f>
        <v>-287.74</v>
      </c>
      <c r="J53" s="4">
        <f>SUMIFS(Tab_03.Mar[MOVIMENTO],Tab_03.Mar[CONTA],$F53)</f>
        <v>-287.74</v>
      </c>
      <c r="K53" s="4">
        <f>SUMIFS(Tab_04.Abr[MOVIMENTO],Tab_04.Abr[CONTA],$F53)</f>
        <v>-287.74</v>
      </c>
      <c r="L53" s="4">
        <f>SUMIFS(Tab_05.Mai[MOVIMENTO],Tab_05.Mai[CONTA],$F53)</f>
        <v>-287.74</v>
      </c>
      <c r="M53" s="4">
        <f>SUMIFS(Tab_06.Jun[MOVIMENTO],Tab_06.Jun[CONTA],$F53)</f>
        <v>-287.74</v>
      </c>
      <c r="N53" s="4">
        <f>SUMIFS(Tab_07.Jul[MOVIMENTO],Tab_07.Jul[CONTA],$F53)</f>
        <v>-287.74</v>
      </c>
      <c r="O53" s="4">
        <f>SUMIFS(Tab_08.Ago[MOVIMENTO],Tab_08.Ago[CONTA],$F53)</f>
        <v>-287.74</v>
      </c>
      <c r="P53" s="4">
        <f>SUMIFS(Tab_09.Set[MOVIMENTO],Tab_09.Set[CONTA],$F53)</f>
        <v>-275.14999999999998</v>
      </c>
      <c r="Q53" s="4">
        <f>SUMIFS(Tab_10.Out[MOVIMENTO],Tab_10.Out[CONTA],$F53)</f>
        <v>3209.38</v>
      </c>
      <c r="R53" s="4">
        <f>SUMIFS(Tab_11.Nov[MOVIMENTO],Tab_11.Nov[CONTA],$F53)</f>
        <v>-291.76</v>
      </c>
      <c r="S53" s="4">
        <f>SUMIFS(Tab_12.Dez[MOVIMENTO],Tab_12.Dez[CONTA],$F53)</f>
        <v>-291.76</v>
      </c>
    </row>
    <row r="54" spans="2:19" x14ac:dyDescent="0.3">
      <c r="B54" s="3"/>
      <c r="C54" s="2" t="str">
        <f t="shared" si="6"/>
        <v>A</v>
      </c>
      <c r="D54" s="2" t="str">
        <f t="shared" si="7"/>
        <v>S</v>
      </c>
      <c r="E54" s="2">
        <f t="shared" si="8"/>
        <v>5</v>
      </c>
      <c r="F54" s="3" t="s">
        <v>210</v>
      </c>
      <c r="G54" s="3" t="s">
        <v>646</v>
      </c>
      <c r="H54" s="4">
        <f>SUMIFS(Tab_01.Jan[MOVIMENTO],Tab_01.Jan[CONTA],$F54)</f>
        <v>-287.74</v>
      </c>
      <c r="I54" s="4">
        <f>SUMIFS(Tab_02.Fev[MOVIMENTO],Tab_02.Fev[CONTA],$F54)</f>
        <v>-287.74</v>
      </c>
      <c r="J54" s="4">
        <f>SUMIFS(Tab_03.Mar[MOVIMENTO],Tab_03.Mar[CONTA],$F54)</f>
        <v>-287.74</v>
      </c>
      <c r="K54" s="4">
        <f>SUMIFS(Tab_04.Abr[MOVIMENTO],Tab_04.Abr[CONTA],$F54)</f>
        <v>-287.74</v>
      </c>
      <c r="L54" s="4">
        <f>SUMIFS(Tab_05.Mai[MOVIMENTO],Tab_05.Mai[CONTA],$F54)</f>
        <v>-287.74</v>
      </c>
      <c r="M54" s="4">
        <f>SUMIFS(Tab_06.Jun[MOVIMENTO],Tab_06.Jun[CONTA],$F54)</f>
        <v>-287.74</v>
      </c>
      <c r="N54" s="4">
        <f>SUMIFS(Tab_07.Jul[MOVIMENTO],Tab_07.Jul[CONTA],$F54)</f>
        <v>-287.74</v>
      </c>
      <c r="O54" s="4">
        <f>SUMIFS(Tab_08.Ago[MOVIMENTO],Tab_08.Ago[CONTA],$F54)</f>
        <v>-287.74</v>
      </c>
      <c r="P54" s="4">
        <f>SUMIFS(Tab_09.Set[MOVIMENTO],Tab_09.Set[CONTA],$F54)</f>
        <v>-275.14999999999998</v>
      </c>
      <c r="Q54" s="4">
        <f>SUMIFS(Tab_10.Out[MOVIMENTO],Tab_10.Out[CONTA],$F54)</f>
        <v>3209.38</v>
      </c>
      <c r="R54" s="4">
        <f>SUMIFS(Tab_11.Nov[MOVIMENTO],Tab_11.Nov[CONTA],$F54)</f>
        <v>-291.76</v>
      </c>
      <c r="S54" s="4">
        <f>SUMIFS(Tab_12.Dez[MOVIMENTO],Tab_12.Dez[CONTA],$F54)</f>
        <v>-291.76</v>
      </c>
    </row>
    <row r="55" spans="2:19" x14ac:dyDescent="0.3">
      <c r="B55" s="3" t="s">
        <v>733</v>
      </c>
      <c r="C55" s="2" t="str">
        <f t="shared" si="6"/>
        <v>A</v>
      </c>
      <c r="D55" s="2" t="str">
        <f t="shared" si="7"/>
        <v>A</v>
      </c>
      <c r="E55" s="2">
        <f t="shared" si="8"/>
        <v>5</v>
      </c>
      <c r="F55" s="3" t="s">
        <v>298</v>
      </c>
      <c r="G55" s="3" t="s">
        <v>299</v>
      </c>
      <c r="H55" s="4">
        <f>SUMIFS(Tab_01.Jan[MOVIMENTO],Tab_01.Jan[CONTA],$F55)</f>
        <v>-287.74</v>
      </c>
      <c r="I55" s="4">
        <f>SUMIFS(Tab_02.Fev[MOVIMENTO],Tab_02.Fev[CONTA],$F55)</f>
        <v>-287.74</v>
      </c>
      <c r="J55" s="4">
        <f>SUMIFS(Tab_03.Mar[MOVIMENTO],Tab_03.Mar[CONTA],$F55)</f>
        <v>-287.74</v>
      </c>
      <c r="K55" s="4">
        <f>SUMIFS(Tab_04.Abr[MOVIMENTO],Tab_04.Abr[CONTA],$F55)</f>
        <v>-287.74</v>
      </c>
      <c r="L55" s="4">
        <f>SUMIFS(Tab_05.Mai[MOVIMENTO],Tab_05.Mai[CONTA],$F55)</f>
        <v>-287.74</v>
      </c>
      <c r="M55" s="4">
        <f>SUMIFS(Tab_06.Jun[MOVIMENTO],Tab_06.Jun[CONTA],$F55)</f>
        <v>-287.74</v>
      </c>
      <c r="N55" s="4">
        <f>SUMIFS(Tab_07.Jul[MOVIMENTO],Tab_07.Jul[CONTA],$F55)</f>
        <v>-287.74</v>
      </c>
      <c r="O55" s="4">
        <f>SUMIFS(Tab_08.Ago[MOVIMENTO],Tab_08.Ago[CONTA],$F55)</f>
        <v>-287.74</v>
      </c>
      <c r="P55" s="4">
        <f>SUMIFS(Tab_09.Set[MOVIMENTO],Tab_09.Set[CONTA],$F55)</f>
        <v>-275.14999999999998</v>
      </c>
      <c r="Q55" s="4">
        <f>SUMIFS(Tab_10.Out[MOVIMENTO],Tab_10.Out[CONTA],$F55)</f>
        <v>3209.38</v>
      </c>
      <c r="R55" s="4">
        <f>SUMIFS(Tab_11.Nov[MOVIMENTO],Tab_11.Nov[CONTA],$F55)</f>
        <v>-291.76</v>
      </c>
      <c r="S55" s="4">
        <f>SUMIFS(Tab_12.Dez[MOVIMENTO],Tab_12.Dez[CONTA],$F55)</f>
        <v>-291.76</v>
      </c>
    </row>
    <row r="56" spans="2:19" x14ac:dyDescent="0.3">
      <c r="B56" s="3"/>
      <c r="C56" s="2" t="str">
        <f t="shared" si="6"/>
        <v>A</v>
      </c>
      <c r="D56" s="2" t="str">
        <f t="shared" si="7"/>
        <v>S</v>
      </c>
      <c r="E56" s="2">
        <f t="shared" si="8"/>
        <v>2</v>
      </c>
      <c r="F56" s="3" t="s">
        <v>211</v>
      </c>
      <c r="G56" s="3" t="s">
        <v>76</v>
      </c>
      <c r="H56" s="4">
        <f>SUMIFS(Tab_01.Jan[MOVIMENTO],Tab_01.Jan[CONTA],$F56)</f>
        <v>109824.62</v>
      </c>
      <c r="I56" s="4">
        <f>SUMIFS(Tab_02.Fev[MOVIMENTO],Tab_02.Fev[CONTA],$F56)</f>
        <v>127687.12</v>
      </c>
      <c r="J56" s="4">
        <f>SUMIFS(Tab_03.Mar[MOVIMENTO],Tab_03.Mar[CONTA],$F56)</f>
        <v>233735.96</v>
      </c>
      <c r="K56" s="4">
        <f>SUMIFS(Tab_04.Abr[MOVIMENTO],Tab_04.Abr[CONTA],$F56)</f>
        <v>-97757.83</v>
      </c>
      <c r="L56" s="4">
        <f>SUMIFS(Tab_05.Mai[MOVIMENTO],Tab_05.Mai[CONTA],$F56)</f>
        <v>255847.3</v>
      </c>
      <c r="M56" s="4">
        <f>SUMIFS(Tab_06.Jun[MOVIMENTO],Tab_06.Jun[CONTA],$F56)</f>
        <v>116065.8</v>
      </c>
      <c r="N56" s="4">
        <f>SUMIFS(Tab_07.Jul[MOVIMENTO],Tab_07.Jul[CONTA],$F56)</f>
        <v>333495.84000000003</v>
      </c>
      <c r="O56" s="4">
        <f>SUMIFS(Tab_08.Ago[MOVIMENTO],Tab_08.Ago[CONTA],$F56)</f>
        <v>278608.25</v>
      </c>
      <c r="P56" s="4">
        <f>SUMIFS(Tab_09.Set[MOVIMENTO],Tab_09.Set[CONTA],$F56)</f>
        <v>56013.77</v>
      </c>
      <c r="Q56" s="4">
        <f>SUMIFS(Tab_10.Out[MOVIMENTO],Tab_10.Out[CONTA],$F56)</f>
        <v>107049.66</v>
      </c>
      <c r="R56" s="4">
        <f>SUMIFS(Tab_11.Nov[MOVIMENTO],Tab_11.Nov[CONTA],$F56)</f>
        <v>242724.67</v>
      </c>
      <c r="S56" s="4">
        <f>SUMIFS(Tab_12.Dez[MOVIMENTO],Tab_12.Dez[CONTA],$F56)</f>
        <v>-138109.47</v>
      </c>
    </row>
    <row r="57" spans="2:19" x14ac:dyDescent="0.3">
      <c r="B57" s="3"/>
      <c r="C57" s="2" t="str">
        <f t="shared" si="6"/>
        <v>A</v>
      </c>
      <c r="D57" s="2" t="str">
        <f t="shared" si="7"/>
        <v>S</v>
      </c>
      <c r="E57" s="2">
        <f t="shared" si="8"/>
        <v>5</v>
      </c>
      <c r="F57" s="3" t="s">
        <v>552</v>
      </c>
      <c r="G57" s="3" t="s">
        <v>647</v>
      </c>
      <c r="H57" s="4">
        <f>SUMIFS(Tab_01.Jan[MOVIMENTO],Tab_01.Jan[CONTA],$F57)</f>
        <v>417.93</v>
      </c>
      <c r="I57" s="4">
        <f>SUMIFS(Tab_02.Fev[MOVIMENTO],Tab_02.Fev[CONTA],$F57)</f>
        <v>952.6</v>
      </c>
      <c r="J57" s="4">
        <f>SUMIFS(Tab_03.Mar[MOVIMENTO],Tab_03.Mar[CONTA],$F57)</f>
        <v>444.51</v>
      </c>
      <c r="K57" s="4">
        <f>SUMIFS(Tab_04.Abr[MOVIMENTO],Tab_04.Abr[CONTA],$F57)</f>
        <v>557.45000000000005</v>
      </c>
      <c r="L57" s="4">
        <f>SUMIFS(Tab_05.Mai[MOVIMENTO],Tab_05.Mai[CONTA],$F57)</f>
        <v>411.92</v>
      </c>
      <c r="M57" s="4">
        <f>SUMIFS(Tab_06.Jun[MOVIMENTO],Tab_06.Jun[CONTA],$F57)</f>
        <v>506.15</v>
      </c>
      <c r="N57" s="4">
        <f>SUMIFS(Tab_07.Jul[MOVIMENTO],Tab_07.Jul[CONTA],$F57)</f>
        <v>322.2</v>
      </c>
      <c r="O57" s="4">
        <f>SUMIFS(Tab_08.Ago[MOVIMENTO],Tab_08.Ago[CONTA],$F57)</f>
        <v>283</v>
      </c>
      <c r="P57" s="4">
        <f>SUMIFS(Tab_09.Set[MOVIMENTO],Tab_09.Set[CONTA],$F57)</f>
        <v>286.52</v>
      </c>
      <c r="Q57" s="4">
        <f>SUMIFS(Tab_10.Out[MOVIMENTO],Tab_10.Out[CONTA],$F57)</f>
        <v>314.41000000000003</v>
      </c>
      <c r="R57" s="4">
        <f>SUMIFS(Tab_11.Nov[MOVIMENTO],Tab_11.Nov[CONTA],$F57)</f>
        <v>814.42</v>
      </c>
      <c r="S57" s="4">
        <f>SUMIFS(Tab_12.Dez[MOVIMENTO],Tab_12.Dez[CONTA],$F57)</f>
        <v>0</v>
      </c>
    </row>
    <row r="58" spans="2:19" x14ac:dyDescent="0.3">
      <c r="B58" s="3"/>
      <c r="C58" s="2" t="str">
        <f t="shared" si="6"/>
        <v>A</v>
      </c>
      <c r="D58" s="2" t="str">
        <f t="shared" si="7"/>
        <v>S</v>
      </c>
      <c r="E58" s="2">
        <f t="shared" si="8"/>
        <v>5</v>
      </c>
      <c r="F58" s="3" t="s">
        <v>553</v>
      </c>
      <c r="G58" s="3" t="s">
        <v>301</v>
      </c>
      <c r="H58" s="4">
        <f>SUMIFS(Tab_01.Jan[MOVIMENTO],Tab_01.Jan[CONTA],$F58)</f>
        <v>417.93</v>
      </c>
      <c r="I58" s="4">
        <f>SUMIFS(Tab_02.Fev[MOVIMENTO],Tab_02.Fev[CONTA],$F58)</f>
        <v>952.6</v>
      </c>
      <c r="J58" s="4">
        <f>SUMIFS(Tab_03.Mar[MOVIMENTO],Tab_03.Mar[CONTA],$F58)</f>
        <v>444.51</v>
      </c>
      <c r="K58" s="4">
        <f>SUMIFS(Tab_04.Abr[MOVIMENTO],Tab_04.Abr[CONTA],$F58)</f>
        <v>557.45000000000005</v>
      </c>
      <c r="L58" s="4">
        <f>SUMIFS(Tab_05.Mai[MOVIMENTO],Tab_05.Mai[CONTA],$F58)</f>
        <v>411.92</v>
      </c>
      <c r="M58" s="4">
        <f>SUMIFS(Tab_06.Jun[MOVIMENTO],Tab_06.Jun[CONTA],$F58)</f>
        <v>506.15</v>
      </c>
      <c r="N58" s="4">
        <f>SUMIFS(Tab_07.Jul[MOVIMENTO],Tab_07.Jul[CONTA],$F58)</f>
        <v>322.2</v>
      </c>
      <c r="O58" s="4">
        <f>SUMIFS(Tab_08.Ago[MOVIMENTO],Tab_08.Ago[CONTA],$F58)</f>
        <v>283</v>
      </c>
      <c r="P58" s="4">
        <f>SUMIFS(Tab_09.Set[MOVIMENTO],Tab_09.Set[CONTA],$F58)</f>
        <v>286.52</v>
      </c>
      <c r="Q58" s="4">
        <f>SUMIFS(Tab_10.Out[MOVIMENTO],Tab_10.Out[CONTA],$F58)</f>
        <v>314.41000000000003</v>
      </c>
      <c r="R58" s="4">
        <f>SUMIFS(Tab_11.Nov[MOVIMENTO],Tab_11.Nov[CONTA],$F58)</f>
        <v>814.42</v>
      </c>
      <c r="S58" s="4">
        <f>SUMIFS(Tab_12.Dez[MOVIMENTO],Tab_12.Dez[CONTA],$F58)</f>
        <v>0</v>
      </c>
    </row>
    <row r="59" spans="2:19" x14ac:dyDescent="0.3">
      <c r="B59" s="3" t="s">
        <v>93</v>
      </c>
      <c r="C59" s="2" t="str">
        <f t="shared" si="6"/>
        <v>A</v>
      </c>
      <c r="D59" s="2" t="str">
        <f t="shared" si="7"/>
        <v>A</v>
      </c>
      <c r="E59" s="2">
        <f t="shared" si="8"/>
        <v>5</v>
      </c>
      <c r="F59" s="3" t="s">
        <v>300</v>
      </c>
      <c r="G59" s="3" t="s">
        <v>301</v>
      </c>
      <c r="H59" s="4">
        <f>SUMIFS(Tab_01.Jan[MOVIMENTO],Tab_01.Jan[CONTA],$F59)</f>
        <v>417.93</v>
      </c>
      <c r="I59" s="4">
        <f>SUMIFS(Tab_02.Fev[MOVIMENTO],Tab_02.Fev[CONTA],$F59)</f>
        <v>952.6</v>
      </c>
      <c r="J59" s="4">
        <f>SUMIFS(Tab_03.Mar[MOVIMENTO],Tab_03.Mar[CONTA],$F59)</f>
        <v>444.51</v>
      </c>
      <c r="K59" s="4">
        <f>SUMIFS(Tab_04.Abr[MOVIMENTO],Tab_04.Abr[CONTA],$F59)</f>
        <v>557.45000000000005</v>
      </c>
      <c r="L59" s="4">
        <f>SUMIFS(Tab_05.Mai[MOVIMENTO],Tab_05.Mai[CONTA],$F59)</f>
        <v>411.92</v>
      </c>
      <c r="M59" s="4">
        <f>SUMIFS(Tab_06.Jun[MOVIMENTO],Tab_06.Jun[CONTA],$F59)</f>
        <v>506.15</v>
      </c>
      <c r="N59" s="4">
        <f>SUMIFS(Tab_07.Jul[MOVIMENTO],Tab_07.Jul[CONTA],$F59)</f>
        <v>322.2</v>
      </c>
      <c r="O59" s="4">
        <f>SUMIFS(Tab_08.Ago[MOVIMENTO],Tab_08.Ago[CONTA],$F59)</f>
        <v>283</v>
      </c>
      <c r="P59" s="4">
        <f>SUMIFS(Tab_09.Set[MOVIMENTO],Tab_09.Set[CONTA],$F59)</f>
        <v>286.52</v>
      </c>
      <c r="Q59" s="4">
        <f>SUMIFS(Tab_10.Out[MOVIMENTO],Tab_10.Out[CONTA],$F59)</f>
        <v>314.41000000000003</v>
      </c>
      <c r="R59" s="4">
        <f>SUMIFS(Tab_11.Nov[MOVIMENTO],Tab_11.Nov[CONTA],$F59)</f>
        <v>814.42</v>
      </c>
      <c r="S59" s="4">
        <f>SUMIFS(Tab_12.Dez[MOVIMENTO],Tab_12.Dez[CONTA],$F59)</f>
        <v>0</v>
      </c>
    </row>
    <row r="60" spans="2:19" x14ac:dyDescent="0.3">
      <c r="B60" s="3"/>
      <c r="C60" s="2" t="str">
        <f t="shared" si="6"/>
        <v>A</v>
      </c>
      <c r="D60" s="2" t="str">
        <f t="shared" si="7"/>
        <v>S</v>
      </c>
      <c r="E60" s="2">
        <f t="shared" si="8"/>
        <v>5</v>
      </c>
      <c r="F60" s="3" t="s">
        <v>554</v>
      </c>
      <c r="G60" s="3" t="s">
        <v>648</v>
      </c>
      <c r="H60" s="4">
        <f>SUMIFS(Tab_01.Jan[MOVIMENTO],Tab_01.Jan[CONTA],$F60)</f>
        <v>95912</v>
      </c>
      <c r="I60" s="4">
        <f>SUMIFS(Tab_02.Fev[MOVIMENTO],Tab_02.Fev[CONTA],$F60)</f>
        <v>131984.26</v>
      </c>
      <c r="J60" s="4">
        <f>SUMIFS(Tab_03.Mar[MOVIMENTO],Tab_03.Mar[CONTA],$F60)</f>
        <v>218369.61</v>
      </c>
      <c r="K60" s="4">
        <f>SUMIFS(Tab_04.Abr[MOVIMENTO],Tab_04.Abr[CONTA],$F60)</f>
        <v>-114819.6</v>
      </c>
      <c r="L60" s="4">
        <f>SUMIFS(Tab_05.Mai[MOVIMENTO],Tab_05.Mai[CONTA],$F60)</f>
        <v>239696.34</v>
      </c>
      <c r="M60" s="4">
        <f>SUMIFS(Tab_06.Jun[MOVIMENTO],Tab_06.Jun[CONTA],$F60)</f>
        <v>118480</v>
      </c>
      <c r="N60" s="4">
        <f>SUMIFS(Tab_07.Jul[MOVIMENTO],Tab_07.Jul[CONTA],$F60)</f>
        <v>336840.39</v>
      </c>
      <c r="O60" s="4">
        <f>SUMIFS(Tab_08.Ago[MOVIMENTO],Tab_08.Ago[CONTA],$F60)</f>
        <v>279761</v>
      </c>
      <c r="P60" s="4">
        <f>SUMIFS(Tab_09.Set[MOVIMENTO],Tab_09.Set[CONTA],$F60)</f>
        <v>59394</v>
      </c>
      <c r="Q60" s="4">
        <f>SUMIFS(Tab_10.Out[MOVIMENTO],Tab_10.Out[CONTA],$F60)</f>
        <v>110402</v>
      </c>
      <c r="R60" s="4">
        <f>SUMIFS(Tab_11.Nov[MOVIMENTO],Tab_11.Nov[CONTA],$F60)</f>
        <v>244237</v>
      </c>
      <c r="S60" s="4">
        <f>SUMIFS(Tab_12.Dez[MOVIMENTO],Tab_12.Dez[CONTA],$F60)</f>
        <v>-139449</v>
      </c>
    </row>
    <row r="61" spans="2:19" x14ac:dyDescent="0.3">
      <c r="B61" s="3"/>
      <c r="C61" s="2" t="str">
        <f t="shared" si="6"/>
        <v>A</v>
      </c>
      <c r="D61" s="2" t="str">
        <f t="shared" si="7"/>
        <v>S</v>
      </c>
      <c r="E61" s="2">
        <f t="shared" si="8"/>
        <v>5</v>
      </c>
      <c r="F61" s="3" t="s">
        <v>555</v>
      </c>
      <c r="G61" s="3" t="s">
        <v>649</v>
      </c>
      <c r="H61" s="4">
        <f>SUMIFS(Tab_01.Jan[MOVIMENTO],Tab_01.Jan[CONTA],$F61)</f>
        <v>0</v>
      </c>
      <c r="I61" s="4">
        <f>SUMIFS(Tab_02.Fev[MOVIMENTO],Tab_02.Fev[CONTA],$F61)</f>
        <v>0</v>
      </c>
      <c r="J61" s="4">
        <f>SUMIFS(Tab_03.Mar[MOVIMENTO],Tab_03.Mar[CONTA],$F61)</f>
        <v>0</v>
      </c>
      <c r="K61" s="4">
        <f>SUMIFS(Tab_04.Abr[MOVIMENTO],Tab_04.Abr[CONTA],$F61)</f>
        <v>0</v>
      </c>
      <c r="L61" s="4">
        <f>SUMIFS(Tab_05.Mai[MOVIMENTO],Tab_05.Mai[CONTA],$F61)</f>
        <v>0</v>
      </c>
      <c r="M61" s="4">
        <f>SUMIFS(Tab_06.Jun[MOVIMENTO],Tab_06.Jun[CONTA],$F61)</f>
        <v>0</v>
      </c>
      <c r="N61" s="4">
        <f>SUMIFS(Tab_07.Jul[MOVIMENTO],Tab_07.Jul[CONTA],$F61)</f>
        <v>0</v>
      </c>
      <c r="O61" s="4">
        <f>SUMIFS(Tab_08.Ago[MOVIMENTO],Tab_08.Ago[CONTA],$F61)</f>
        <v>0</v>
      </c>
      <c r="P61" s="4">
        <f>SUMIFS(Tab_09.Set[MOVIMENTO],Tab_09.Set[CONTA],$F61)</f>
        <v>0</v>
      </c>
      <c r="Q61" s="4">
        <f>SUMIFS(Tab_10.Out[MOVIMENTO],Tab_10.Out[CONTA],$F61)</f>
        <v>0</v>
      </c>
      <c r="R61" s="4">
        <f>SUMIFS(Tab_11.Nov[MOVIMENTO],Tab_11.Nov[CONTA],$F61)</f>
        <v>0</v>
      </c>
      <c r="S61" s="4">
        <f>SUMIFS(Tab_12.Dez[MOVIMENTO],Tab_12.Dez[CONTA],$F61)</f>
        <v>0</v>
      </c>
    </row>
    <row r="62" spans="2:19" x14ac:dyDescent="0.3">
      <c r="B62" s="3" t="s">
        <v>117</v>
      </c>
      <c r="C62" s="2" t="str">
        <f t="shared" si="6"/>
        <v>A</v>
      </c>
      <c r="D62" s="2" t="str">
        <f t="shared" si="7"/>
        <v>A</v>
      </c>
      <c r="E62" s="2">
        <f t="shared" si="8"/>
        <v>5</v>
      </c>
      <c r="F62" s="3" t="s">
        <v>302</v>
      </c>
      <c r="G62" s="3" t="s">
        <v>303</v>
      </c>
      <c r="H62" s="4">
        <f>SUMIFS(Tab_01.Jan[MOVIMENTO],Tab_01.Jan[CONTA],$F62)</f>
        <v>0</v>
      </c>
      <c r="I62" s="4">
        <f>SUMIFS(Tab_02.Fev[MOVIMENTO],Tab_02.Fev[CONTA],$F62)</f>
        <v>0</v>
      </c>
      <c r="J62" s="4">
        <f>SUMIFS(Tab_03.Mar[MOVIMENTO],Tab_03.Mar[CONTA],$F62)</f>
        <v>0</v>
      </c>
      <c r="K62" s="4">
        <f>SUMIFS(Tab_04.Abr[MOVIMENTO],Tab_04.Abr[CONTA],$F62)</f>
        <v>0</v>
      </c>
      <c r="L62" s="4">
        <f>SUMIFS(Tab_05.Mai[MOVIMENTO],Tab_05.Mai[CONTA],$F62)</f>
        <v>0</v>
      </c>
      <c r="M62" s="4">
        <f>SUMIFS(Tab_06.Jun[MOVIMENTO],Tab_06.Jun[CONTA],$F62)</f>
        <v>0</v>
      </c>
      <c r="N62" s="4">
        <f>SUMIFS(Tab_07.Jul[MOVIMENTO],Tab_07.Jul[CONTA],$F62)</f>
        <v>0</v>
      </c>
      <c r="O62" s="4">
        <f>SUMIFS(Tab_08.Ago[MOVIMENTO],Tab_08.Ago[CONTA],$F62)</f>
        <v>0</v>
      </c>
      <c r="P62" s="4">
        <f>SUMIFS(Tab_09.Set[MOVIMENTO],Tab_09.Set[CONTA],$F62)</f>
        <v>0</v>
      </c>
      <c r="Q62" s="4">
        <f>SUMIFS(Tab_10.Out[MOVIMENTO],Tab_10.Out[CONTA],$F62)</f>
        <v>0</v>
      </c>
      <c r="R62" s="4">
        <f>SUMIFS(Tab_11.Nov[MOVIMENTO],Tab_11.Nov[CONTA],$F62)</f>
        <v>0</v>
      </c>
      <c r="S62" s="4">
        <f>SUMIFS(Tab_12.Dez[MOVIMENTO],Tab_12.Dez[CONTA],$F62)</f>
        <v>0</v>
      </c>
    </row>
    <row r="63" spans="2:19" x14ac:dyDescent="0.3">
      <c r="B63" s="3" t="s">
        <v>117</v>
      </c>
      <c r="C63" s="2" t="str">
        <f t="shared" ref="C63:C94" si="12">IF($F63="","",IF(LEFT($F63,1)*1=1,"A",IF(LEFT($F63,1)*1=2,"P",IF(LEFT($F63,1)*1=3,"R",IF(LEFT($F63,1)*1=4,"C",IF(LEFT($F63,1)*1=5,"C",IF(LEFT($F63,1)*1=6,"C","")))))))</f>
        <v>A</v>
      </c>
      <c r="D63" s="2" t="str">
        <f t="shared" ref="D63:D94" si="13">IF($F63="","",IF(LEN($F63)=13,"A","S"))</f>
        <v>A</v>
      </c>
      <c r="E63" s="2">
        <f t="shared" ref="E63:E94" si="14">IF($F63="","",IF(LEN($F63)=1,1,IF(LEN($F63)=3,2,IF(LEN($F63)=5,3,IF(LEN($F63)=8,4,5)))))</f>
        <v>5</v>
      </c>
      <c r="F63" s="3" t="s">
        <v>304</v>
      </c>
      <c r="G63" s="3" t="s">
        <v>305</v>
      </c>
      <c r="H63" s="4">
        <f>SUMIFS(Tab_01.Jan[MOVIMENTO],Tab_01.Jan[CONTA],$F63)</f>
        <v>0</v>
      </c>
      <c r="I63" s="4">
        <f>SUMIFS(Tab_02.Fev[MOVIMENTO],Tab_02.Fev[CONTA],$F63)</f>
        <v>0</v>
      </c>
      <c r="J63" s="4">
        <f>SUMIFS(Tab_03.Mar[MOVIMENTO],Tab_03.Mar[CONTA],$F63)</f>
        <v>0</v>
      </c>
      <c r="K63" s="4">
        <f>SUMIFS(Tab_04.Abr[MOVIMENTO],Tab_04.Abr[CONTA],$F63)</f>
        <v>0</v>
      </c>
      <c r="L63" s="4">
        <f>SUMIFS(Tab_05.Mai[MOVIMENTO],Tab_05.Mai[CONTA],$F63)</f>
        <v>0</v>
      </c>
      <c r="M63" s="4">
        <f>SUMIFS(Tab_06.Jun[MOVIMENTO],Tab_06.Jun[CONTA],$F63)</f>
        <v>0</v>
      </c>
      <c r="N63" s="4">
        <f>SUMIFS(Tab_07.Jul[MOVIMENTO],Tab_07.Jul[CONTA],$F63)</f>
        <v>0</v>
      </c>
      <c r="O63" s="4">
        <f>SUMIFS(Tab_08.Ago[MOVIMENTO],Tab_08.Ago[CONTA],$F63)</f>
        <v>0</v>
      </c>
      <c r="P63" s="4">
        <f>SUMIFS(Tab_09.Set[MOVIMENTO],Tab_09.Set[CONTA],$F63)</f>
        <v>0</v>
      </c>
      <c r="Q63" s="4">
        <f>SUMIFS(Tab_10.Out[MOVIMENTO],Tab_10.Out[CONTA],$F63)</f>
        <v>0</v>
      </c>
      <c r="R63" s="4">
        <f>SUMIFS(Tab_11.Nov[MOVIMENTO],Tab_11.Nov[CONTA],$F63)</f>
        <v>0</v>
      </c>
      <c r="S63" s="4">
        <f>SUMIFS(Tab_12.Dez[MOVIMENTO],Tab_12.Dez[CONTA],$F63)</f>
        <v>0</v>
      </c>
    </row>
    <row r="64" spans="2:19" x14ac:dyDescent="0.3">
      <c r="B64" s="3"/>
      <c r="C64" s="2" t="str">
        <f t="shared" si="12"/>
        <v>A</v>
      </c>
      <c r="D64" s="2" t="str">
        <f t="shared" si="13"/>
        <v>S</v>
      </c>
      <c r="E64" s="2">
        <f t="shared" si="14"/>
        <v>5</v>
      </c>
      <c r="F64" s="3" t="s">
        <v>556</v>
      </c>
      <c r="G64" s="3" t="s">
        <v>650</v>
      </c>
      <c r="H64" s="4">
        <f>SUMIFS(Tab_01.Jan[MOVIMENTO],Tab_01.Jan[CONTA],$F64)</f>
        <v>0</v>
      </c>
      <c r="I64" s="4">
        <f>SUMIFS(Tab_02.Fev[MOVIMENTO],Tab_02.Fev[CONTA],$F64)</f>
        <v>0</v>
      </c>
      <c r="J64" s="4">
        <f>SUMIFS(Tab_03.Mar[MOVIMENTO],Tab_03.Mar[CONTA],$F64)</f>
        <v>0</v>
      </c>
      <c r="K64" s="4">
        <f>SUMIFS(Tab_04.Abr[MOVIMENTO],Tab_04.Abr[CONTA],$F64)</f>
        <v>0</v>
      </c>
      <c r="L64" s="4">
        <f>SUMIFS(Tab_05.Mai[MOVIMENTO],Tab_05.Mai[CONTA],$F64)</f>
        <v>0</v>
      </c>
      <c r="M64" s="4">
        <f>SUMIFS(Tab_06.Jun[MOVIMENTO],Tab_06.Jun[CONTA],$F64)</f>
        <v>0</v>
      </c>
      <c r="N64" s="4">
        <f>SUMIFS(Tab_07.Jul[MOVIMENTO],Tab_07.Jul[CONTA],$F64)</f>
        <v>0</v>
      </c>
      <c r="O64" s="4">
        <f>SUMIFS(Tab_08.Ago[MOVIMENTO],Tab_08.Ago[CONTA],$F64)</f>
        <v>0</v>
      </c>
      <c r="P64" s="4">
        <f>SUMIFS(Tab_09.Set[MOVIMENTO],Tab_09.Set[CONTA],$F64)</f>
        <v>0</v>
      </c>
      <c r="Q64" s="4">
        <f>SUMIFS(Tab_10.Out[MOVIMENTO],Tab_10.Out[CONTA],$F64)</f>
        <v>0</v>
      </c>
      <c r="R64" s="4">
        <f>SUMIFS(Tab_11.Nov[MOVIMENTO],Tab_11.Nov[CONTA],$F64)</f>
        <v>0</v>
      </c>
      <c r="S64" s="4">
        <f>SUMIFS(Tab_12.Dez[MOVIMENTO],Tab_12.Dez[CONTA],$F64)</f>
        <v>0</v>
      </c>
    </row>
    <row r="65" spans="2:19" x14ac:dyDescent="0.3">
      <c r="B65" s="3" t="s">
        <v>117</v>
      </c>
      <c r="C65" s="2" t="str">
        <f t="shared" si="12"/>
        <v>A</v>
      </c>
      <c r="D65" s="2" t="str">
        <f t="shared" si="13"/>
        <v>A</v>
      </c>
      <c r="E65" s="2">
        <f t="shared" si="14"/>
        <v>5</v>
      </c>
      <c r="F65" s="3" t="s">
        <v>306</v>
      </c>
      <c r="G65" s="3" t="s">
        <v>307</v>
      </c>
      <c r="H65" s="4">
        <f>SUMIFS(Tab_01.Jan[MOVIMENTO],Tab_01.Jan[CONTA],$F65)</f>
        <v>0</v>
      </c>
      <c r="I65" s="4">
        <f>SUMIFS(Tab_02.Fev[MOVIMENTO],Tab_02.Fev[CONTA],$F65)</f>
        <v>0</v>
      </c>
      <c r="J65" s="4">
        <f>SUMIFS(Tab_03.Mar[MOVIMENTO],Tab_03.Mar[CONTA],$F65)</f>
        <v>0</v>
      </c>
      <c r="K65" s="4">
        <f>SUMIFS(Tab_04.Abr[MOVIMENTO],Tab_04.Abr[CONTA],$F65)</f>
        <v>0</v>
      </c>
      <c r="L65" s="4">
        <f>SUMIFS(Tab_05.Mai[MOVIMENTO],Tab_05.Mai[CONTA],$F65)</f>
        <v>0</v>
      </c>
      <c r="M65" s="4">
        <f>SUMIFS(Tab_06.Jun[MOVIMENTO],Tab_06.Jun[CONTA],$F65)</f>
        <v>0</v>
      </c>
      <c r="N65" s="4">
        <f>SUMIFS(Tab_07.Jul[MOVIMENTO],Tab_07.Jul[CONTA],$F65)</f>
        <v>0</v>
      </c>
      <c r="O65" s="4">
        <f>SUMIFS(Tab_08.Ago[MOVIMENTO],Tab_08.Ago[CONTA],$F65)</f>
        <v>0</v>
      </c>
      <c r="P65" s="4">
        <f>SUMIFS(Tab_09.Set[MOVIMENTO],Tab_09.Set[CONTA],$F65)</f>
        <v>0</v>
      </c>
      <c r="Q65" s="4">
        <f>SUMIFS(Tab_10.Out[MOVIMENTO],Tab_10.Out[CONTA],$F65)</f>
        <v>0</v>
      </c>
      <c r="R65" s="4">
        <f>SUMIFS(Tab_11.Nov[MOVIMENTO],Tab_11.Nov[CONTA],$F65)</f>
        <v>0</v>
      </c>
      <c r="S65" s="4">
        <f>SUMIFS(Tab_12.Dez[MOVIMENTO],Tab_12.Dez[CONTA],$F65)</f>
        <v>0</v>
      </c>
    </row>
    <row r="66" spans="2:19" x14ac:dyDescent="0.3">
      <c r="B66" s="3"/>
      <c r="C66" s="2" t="str">
        <f t="shared" si="12"/>
        <v>A</v>
      </c>
      <c r="D66" s="2" t="str">
        <f t="shared" si="13"/>
        <v>S</v>
      </c>
      <c r="E66" s="2">
        <f t="shared" si="14"/>
        <v>5</v>
      </c>
      <c r="F66" s="3" t="s">
        <v>557</v>
      </c>
      <c r="G66" s="3" t="s">
        <v>309</v>
      </c>
      <c r="H66" s="4">
        <f>SUMIFS(Tab_01.Jan[MOVIMENTO],Tab_01.Jan[CONTA],$F66)</f>
        <v>95912</v>
      </c>
      <c r="I66" s="4">
        <f>SUMIFS(Tab_02.Fev[MOVIMENTO],Tab_02.Fev[CONTA],$F66)</f>
        <v>131984.26</v>
      </c>
      <c r="J66" s="4">
        <f>SUMIFS(Tab_03.Mar[MOVIMENTO],Tab_03.Mar[CONTA],$F66)</f>
        <v>218369.61</v>
      </c>
      <c r="K66" s="4">
        <f>SUMIFS(Tab_04.Abr[MOVIMENTO],Tab_04.Abr[CONTA],$F66)</f>
        <v>-114819.6</v>
      </c>
      <c r="L66" s="4">
        <f>SUMIFS(Tab_05.Mai[MOVIMENTO],Tab_05.Mai[CONTA],$F66)</f>
        <v>239696.34</v>
      </c>
      <c r="M66" s="4">
        <f>SUMIFS(Tab_06.Jun[MOVIMENTO],Tab_06.Jun[CONTA],$F66)</f>
        <v>118480</v>
      </c>
      <c r="N66" s="4">
        <f>SUMIFS(Tab_07.Jul[MOVIMENTO],Tab_07.Jul[CONTA],$F66)</f>
        <v>336840.39</v>
      </c>
      <c r="O66" s="4">
        <f>SUMIFS(Tab_08.Ago[MOVIMENTO],Tab_08.Ago[CONTA],$F66)</f>
        <v>279761</v>
      </c>
      <c r="P66" s="4">
        <f>SUMIFS(Tab_09.Set[MOVIMENTO],Tab_09.Set[CONTA],$F66)</f>
        <v>59394</v>
      </c>
      <c r="Q66" s="4">
        <f>SUMIFS(Tab_10.Out[MOVIMENTO],Tab_10.Out[CONTA],$F66)</f>
        <v>110402</v>
      </c>
      <c r="R66" s="4">
        <f>SUMIFS(Tab_11.Nov[MOVIMENTO],Tab_11.Nov[CONTA],$F66)</f>
        <v>244237</v>
      </c>
      <c r="S66" s="4">
        <f>SUMIFS(Tab_12.Dez[MOVIMENTO],Tab_12.Dez[CONTA],$F66)</f>
        <v>-139449</v>
      </c>
    </row>
    <row r="67" spans="2:19" x14ac:dyDescent="0.3">
      <c r="B67" s="3" t="s">
        <v>92</v>
      </c>
      <c r="C67" s="2" t="str">
        <f t="shared" si="12"/>
        <v>A</v>
      </c>
      <c r="D67" s="2" t="str">
        <f t="shared" si="13"/>
        <v>A</v>
      </c>
      <c r="E67" s="2">
        <f t="shared" si="14"/>
        <v>5</v>
      </c>
      <c r="F67" s="3" t="s">
        <v>308</v>
      </c>
      <c r="G67" s="3" t="s">
        <v>309</v>
      </c>
      <c r="H67" s="4">
        <f>SUMIFS(Tab_01.Jan[MOVIMENTO],Tab_01.Jan[CONTA],$F67)</f>
        <v>95912</v>
      </c>
      <c r="I67" s="4">
        <f>SUMIFS(Tab_02.Fev[MOVIMENTO],Tab_02.Fev[CONTA],$F67)</f>
        <v>131984.26</v>
      </c>
      <c r="J67" s="4">
        <f>SUMIFS(Tab_03.Mar[MOVIMENTO],Tab_03.Mar[CONTA],$F67)</f>
        <v>218369.61</v>
      </c>
      <c r="K67" s="4">
        <f>SUMIFS(Tab_04.Abr[MOVIMENTO],Tab_04.Abr[CONTA],$F67)</f>
        <v>-114819.6</v>
      </c>
      <c r="L67" s="4">
        <f>SUMIFS(Tab_05.Mai[MOVIMENTO],Tab_05.Mai[CONTA],$F67)</f>
        <v>239696.34</v>
      </c>
      <c r="M67" s="4">
        <f>SUMIFS(Tab_06.Jun[MOVIMENTO],Tab_06.Jun[CONTA],$F67)</f>
        <v>118480</v>
      </c>
      <c r="N67" s="4">
        <f>SUMIFS(Tab_07.Jul[MOVIMENTO],Tab_07.Jul[CONTA],$F67)</f>
        <v>336840.39</v>
      </c>
      <c r="O67" s="4">
        <f>SUMIFS(Tab_08.Ago[MOVIMENTO],Tab_08.Ago[CONTA],$F67)</f>
        <v>279761</v>
      </c>
      <c r="P67" s="4">
        <f>SUMIFS(Tab_09.Set[MOVIMENTO],Tab_09.Set[CONTA],$F67)</f>
        <v>59394</v>
      </c>
      <c r="Q67" s="4">
        <f>SUMIFS(Tab_10.Out[MOVIMENTO],Tab_10.Out[CONTA],$F67)</f>
        <v>110402</v>
      </c>
      <c r="R67" s="4">
        <f>SUMIFS(Tab_11.Nov[MOVIMENTO],Tab_11.Nov[CONTA],$F67)</f>
        <v>244237</v>
      </c>
      <c r="S67" s="4">
        <f>SUMIFS(Tab_12.Dez[MOVIMENTO],Tab_12.Dez[CONTA],$F67)</f>
        <v>-139449</v>
      </c>
    </row>
    <row r="68" spans="2:19" x14ac:dyDescent="0.3">
      <c r="B68" s="3"/>
      <c r="C68" s="2" t="str">
        <f t="shared" si="12"/>
        <v>A</v>
      </c>
      <c r="D68" s="2" t="str">
        <f t="shared" si="13"/>
        <v>S</v>
      </c>
      <c r="E68" s="2">
        <f t="shared" si="14"/>
        <v>5</v>
      </c>
      <c r="F68" s="3" t="s">
        <v>213</v>
      </c>
      <c r="G68" s="3" t="s">
        <v>35</v>
      </c>
      <c r="H68" s="4">
        <f>SUMIFS(Tab_01.Jan[MOVIMENTO],Tab_01.Jan[CONTA],$F68)</f>
        <v>13494.69</v>
      </c>
      <c r="I68" s="4">
        <f>SUMIFS(Tab_02.Fev[MOVIMENTO],Tab_02.Fev[CONTA],$F68)</f>
        <v>-5249.74</v>
      </c>
      <c r="J68" s="4">
        <f>SUMIFS(Tab_03.Mar[MOVIMENTO],Tab_03.Mar[CONTA],$F68)</f>
        <v>14921.84</v>
      </c>
      <c r="K68" s="4">
        <f>SUMIFS(Tab_04.Abr[MOVIMENTO],Tab_04.Abr[CONTA],$F68)</f>
        <v>16504.32</v>
      </c>
      <c r="L68" s="4">
        <f>SUMIFS(Tab_05.Mai[MOVIMENTO],Tab_05.Mai[CONTA],$F68)</f>
        <v>15739.04</v>
      </c>
      <c r="M68" s="4">
        <f>SUMIFS(Tab_06.Jun[MOVIMENTO],Tab_06.Jun[CONTA],$F68)</f>
        <v>-2920.35</v>
      </c>
      <c r="N68" s="4">
        <f>SUMIFS(Tab_07.Jul[MOVIMENTO],Tab_07.Jul[CONTA],$F68)</f>
        <v>-3666.75</v>
      </c>
      <c r="O68" s="4">
        <f>SUMIFS(Tab_08.Ago[MOVIMENTO],Tab_08.Ago[CONTA],$F68)</f>
        <v>-1435.75</v>
      </c>
      <c r="P68" s="4">
        <f>SUMIFS(Tab_09.Set[MOVIMENTO],Tab_09.Set[CONTA],$F68)</f>
        <v>-3666.75</v>
      </c>
      <c r="Q68" s="4">
        <f>SUMIFS(Tab_10.Out[MOVIMENTO],Tab_10.Out[CONTA],$F68)</f>
        <v>-3666.75</v>
      </c>
      <c r="R68" s="4">
        <f>SUMIFS(Tab_11.Nov[MOVIMENTO],Tab_11.Nov[CONTA],$F68)</f>
        <v>-2326.75</v>
      </c>
      <c r="S68" s="4">
        <f>SUMIFS(Tab_12.Dez[MOVIMENTO],Tab_12.Dez[CONTA],$F68)</f>
        <v>1339.53</v>
      </c>
    </row>
    <row r="69" spans="2:19" x14ac:dyDescent="0.3">
      <c r="B69" s="3"/>
      <c r="C69" s="2" t="str">
        <f t="shared" si="12"/>
        <v>A</v>
      </c>
      <c r="D69" s="2" t="str">
        <f t="shared" si="13"/>
        <v>S</v>
      </c>
      <c r="E69" s="2">
        <f t="shared" si="14"/>
        <v>5</v>
      </c>
      <c r="F69" s="3" t="s">
        <v>214</v>
      </c>
      <c r="G69" s="3" t="s">
        <v>651</v>
      </c>
      <c r="H69" s="4">
        <f>SUMIFS(Tab_01.Jan[MOVIMENTO],Tab_01.Jan[CONTA],$F69)</f>
        <v>18858.79</v>
      </c>
      <c r="I69" s="4">
        <f>SUMIFS(Tab_02.Fev[MOVIMENTO],Tab_02.Fev[CONTA],$F69)</f>
        <v>0</v>
      </c>
      <c r="J69" s="4">
        <f>SUMIFS(Tab_03.Mar[MOVIMENTO],Tab_03.Mar[CONTA],$F69)</f>
        <v>18588.89</v>
      </c>
      <c r="K69" s="4">
        <f>SUMIFS(Tab_04.Abr[MOVIMENTO],Tab_04.Abr[CONTA],$F69)</f>
        <v>20171.37</v>
      </c>
      <c r="L69" s="4">
        <f>SUMIFS(Tab_05.Mai[MOVIMENTO],Tab_05.Mai[CONTA],$F69)</f>
        <v>19406.09</v>
      </c>
      <c r="M69" s="4">
        <f>SUMIFS(Tab_06.Jun[MOVIMENTO],Tab_06.Jun[CONTA],$F69)</f>
        <v>746.4</v>
      </c>
      <c r="N69" s="4">
        <f>SUMIFS(Tab_07.Jul[MOVIMENTO],Tab_07.Jul[CONTA],$F69)</f>
        <v>0</v>
      </c>
      <c r="O69" s="4">
        <f>SUMIFS(Tab_08.Ago[MOVIMENTO],Tab_08.Ago[CONTA],$F69)</f>
        <v>2231</v>
      </c>
      <c r="P69" s="4">
        <f>SUMIFS(Tab_09.Set[MOVIMENTO],Tab_09.Set[CONTA],$F69)</f>
        <v>0</v>
      </c>
      <c r="Q69" s="4">
        <f>SUMIFS(Tab_10.Out[MOVIMENTO],Tab_10.Out[CONTA],$F69)</f>
        <v>0</v>
      </c>
      <c r="R69" s="4">
        <f>SUMIFS(Tab_11.Nov[MOVIMENTO],Tab_11.Nov[CONTA],$F69)</f>
        <v>1340</v>
      </c>
      <c r="S69" s="4">
        <f>SUMIFS(Tab_12.Dez[MOVIMENTO],Tab_12.Dez[CONTA],$F69)</f>
        <v>5006.28</v>
      </c>
    </row>
    <row r="70" spans="2:19" x14ac:dyDescent="0.3">
      <c r="B70" s="3" t="s">
        <v>118</v>
      </c>
      <c r="C70" s="2" t="str">
        <f t="shared" si="12"/>
        <v>A</v>
      </c>
      <c r="D70" s="2" t="str">
        <f t="shared" si="13"/>
        <v>A</v>
      </c>
      <c r="E70" s="2">
        <f t="shared" si="14"/>
        <v>5</v>
      </c>
      <c r="F70" s="3" t="s">
        <v>310</v>
      </c>
      <c r="G70" s="3" t="s">
        <v>311</v>
      </c>
      <c r="H70" s="4">
        <f>SUMIFS(Tab_01.Jan[MOVIMENTO],Tab_01.Jan[CONTA],$F70)</f>
        <v>0</v>
      </c>
      <c r="I70" s="4">
        <f>SUMIFS(Tab_02.Fev[MOVIMENTO],Tab_02.Fev[CONTA],$F70)</f>
        <v>0</v>
      </c>
      <c r="J70" s="4">
        <f>SUMIFS(Tab_03.Mar[MOVIMENTO],Tab_03.Mar[CONTA],$F70)</f>
        <v>0</v>
      </c>
      <c r="K70" s="4">
        <f>SUMIFS(Tab_04.Abr[MOVIMENTO],Tab_04.Abr[CONTA],$F70)</f>
        <v>0</v>
      </c>
      <c r="L70" s="4">
        <f>SUMIFS(Tab_05.Mai[MOVIMENTO],Tab_05.Mai[CONTA],$F70)</f>
        <v>0</v>
      </c>
      <c r="M70" s="4">
        <f>SUMIFS(Tab_06.Jun[MOVIMENTO],Tab_06.Jun[CONTA],$F70)</f>
        <v>0</v>
      </c>
      <c r="N70" s="4">
        <f>SUMIFS(Tab_07.Jul[MOVIMENTO],Tab_07.Jul[CONTA],$F70)</f>
        <v>0</v>
      </c>
      <c r="O70" s="4">
        <f>SUMIFS(Tab_08.Ago[MOVIMENTO],Tab_08.Ago[CONTA],$F70)</f>
        <v>0</v>
      </c>
      <c r="P70" s="4">
        <f>SUMIFS(Tab_09.Set[MOVIMENTO],Tab_09.Set[CONTA],$F70)</f>
        <v>0</v>
      </c>
      <c r="Q70" s="4">
        <f>SUMIFS(Tab_10.Out[MOVIMENTO],Tab_10.Out[CONTA],$F70)</f>
        <v>0</v>
      </c>
      <c r="R70" s="4">
        <f>SUMIFS(Tab_11.Nov[MOVIMENTO],Tab_11.Nov[CONTA],$F70)</f>
        <v>0</v>
      </c>
      <c r="S70" s="4">
        <f>SUMIFS(Tab_12.Dez[MOVIMENTO],Tab_12.Dez[CONTA],$F70)</f>
        <v>0</v>
      </c>
    </row>
    <row r="71" spans="2:19" x14ac:dyDescent="0.3">
      <c r="B71" s="3" t="s">
        <v>118</v>
      </c>
      <c r="C71" s="2" t="str">
        <f t="shared" si="12"/>
        <v>A</v>
      </c>
      <c r="D71" s="2" t="str">
        <f t="shared" si="13"/>
        <v>A</v>
      </c>
      <c r="E71" s="2">
        <f t="shared" si="14"/>
        <v>5</v>
      </c>
      <c r="F71" s="3" t="s">
        <v>312</v>
      </c>
      <c r="G71" s="3" t="s">
        <v>313</v>
      </c>
      <c r="H71" s="4">
        <f>SUMIFS(Tab_01.Jan[MOVIMENTO],Tab_01.Jan[CONTA],$F71)</f>
        <v>18858.79</v>
      </c>
      <c r="I71" s="4">
        <f>SUMIFS(Tab_02.Fev[MOVIMENTO],Tab_02.Fev[CONTA],$F71)</f>
        <v>0</v>
      </c>
      <c r="J71" s="4">
        <f>SUMIFS(Tab_03.Mar[MOVIMENTO],Tab_03.Mar[CONTA],$F71)</f>
        <v>18588.89</v>
      </c>
      <c r="K71" s="4">
        <f>SUMIFS(Tab_04.Abr[MOVIMENTO],Tab_04.Abr[CONTA],$F71)</f>
        <v>19219.09</v>
      </c>
      <c r="L71" s="4">
        <f>SUMIFS(Tab_05.Mai[MOVIMENTO],Tab_05.Mai[CONTA],$F71)</f>
        <v>18588.89</v>
      </c>
      <c r="M71" s="4">
        <f>SUMIFS(Tab_06.Jun[MOVIMENTO],Tab_06.Jun[CONTA],$F71)</f>
        <v>746.4</v>
      </c>
      <c r="N71" s="4">
        <f>SUMIFS(Tab_07.Jul[MOVIMENTO],Tab_07.Jul[CONTA],$F71)</f>
        <v>0</v>
      </c>
      <c r="O71" s="4">
        <f>SUMIFS(Tab_08.Ago[MOVIMENTO],Tab_08.Ago[CONTA],$F71)</f>
        <v>2231</v>
      </c>
      <c r="P71" s="4">
        <f>SUMIFS(Tab_09.Set[MOVIMENTO],Tab_09.Set[CONTA],$F71)</f>
        <v>0</v>
      </c>
      <c r="Q71" s="4">
        <f>SUMIFS(Tab_10.Out[MOVIMENTO],Tab_10.Out[CONTA],$F71)</f>
        <v>0</v>
      </c>
      <c r="R71" s="4">
        <f>SUMIFS(Tab_11.Nov[MOVIMENTO],Tab_11.Nov[CONTA],$F71)</f>
        <v>0</v>
      </c>
      <c r="S71" s="4">
        <f>SUMIFS(Tab_12.Dez[MOVIMENTO],Tab_12.Dez[CONTA],$F71)</f>
        <v>3333.34</v>
      </c>
    </row>
    <row r="72" spans="2:19" x14ac:dyDescent="0.3">
      <c r="B72" s="3" t="s">
        <v>118</v>
      </c>
      <c r="C72" s="2" t="str">
        <f t="shared" si="12"/>
        <v>A</v>
      </c>
      <c r="D72" s="2" t="str">
        <f t="shared" si="13"/>
        <v>A</v>
      </c>
      <c r="E72" s="2">
        <f t="shared" si="14"/>
        <v>5</v>
      </c>
      <c r="F72" s="3" t="s">
        <v>181</v>
      </c>
      <c r="G72" s="3" t="s">
        <v>314</v>
      </c>
      <c r="H72" s="4">
        <f>SUMIFS(Tab_01.Jan[MOVIMENTO],Tab_01.Jan[CONTA],$F72)</f>
        <v>0</v>
      </c>
      <c r="I72" s="4">
        <f>SUMIFS(Tab_02.Fev[MOVIMENTO],Tab_02.Fev[CONTA],$F72)</f>
        <v>0</v>
      </c>
      <c r="J72" s="4">
        <f>SUMIFS(Tab_03.Mar[MOVIMENTO],Tab_03.Mar[CONTA],$F72)</f>
        <v>0</v>
      </c>
      <c r="K72" s="4">
        <f>SUMIFS(Tab_04.Abr[MOVIMENTO],Tab_04.Abr[CONTA],$F72)</f>
        <v>0</v>
      </c>
      <c r="L72" s="4">
        <f>SUMIFS(Tab_05.Mai[MOVIMENTO],Tab_05.Mai[CONTA],$F72)</f>
        <v>0</v>
      </c>
      <c r="M72" s="4">
        <f>SUMIFS(Tab_06.Jun[MOVIMENTO],Tab_06.Jun[CONTA],$F72)</f>
        <v>0</v>
      </c>
      <c r="N72" s="4">
        <f>SUMIFS(Tab_07.Jul[MOVIMENTO],Tab_07.Jul[CONTA],$F72)</f>
        <v>0</v>
      </c>
      <c r="O72" s="4">
        <f>SUMIFS(Tab_08.Ago[MOVIMENTO],Tab_08.Ago[CONTA],$F72)</f>
        <v>0</v>
      </c>
      <c r="P72" s="4">
        <f>SUMIFS(Tab_09.Set[MOVIMENTO],Tab_09.Set[CONTA],$F72)</f>
        <v>0</v>
      </c>
      <c r="Q72" s="4">
        <f>SUMIFS(Tab_10.Out[MOVIMENTO],Tab_10.Out[CONTA],$F72)</f>
        <v>0</v>
      </c>
      <c r="R72" s="4">
        <f>SUMIFS(Tab_11.Nov[MOVIMENTO],Tab_11.Nov[CONTA],$F72)</f>
        <v>0</v>
      </c>
      <c r="S72" s="4">
        <f>SUMIFS(Tab_12.Dez[MOVIMENTO],Tab_12.Dez[CONTA],$F72)</f>
        <v>0</v>
      </c>
    </row>
    <row r="73" spans="2:19" x14ac:dyDescent="0.3">
      <c r="B73" s="3" t="s">
        <v>118</v>
      </c>
      <c r="C73" s="2" t="str">
        <f t="shared" si="12"/>
        <v>A</v>
      </c>
      <c r="D73" s="2" t="str">
        <f t="shared" si="13"/>
        <v>A</v>
      </c>
      <c r="E73" s="2">
        <f t="shared" si="14"/>
        <v>5</v>
      </c>
      <c r="F73" s="3" t="s">
        <v>182</v>
      </c>
      <c r="G73" s="3" t="s">
        <v>315</v>
      </c>
      <c r="H73" s="4">
        <f>SUMIFS(Tab_01.Jan[MOVIMENTO],Tab_01.Jan[CONTA],$F73)</f>
        <v>0</v>
      </c>
      <c r="I73" s="4">
        <f>SUMIFS(Tab_02.Fev[MOVIMENTO],Tab_02.Fev[CONTA],$F73)</f>
        <v>0</v>
      </c>
      <c r="J73" s="4">
        <f>SUMIFS(Tab_03.Mar[MOVIMENTO],Tab_03.Mar[CONTA],$F73)</f>
        <v>0</v>
      </c>
      <c r="K73" s="4">
        <f>SUMIFS(Tab_04.Abr[MOVIMENTO],Tab_04.Abr[CONTA],$F73)</f>
        <v>0</v>
      </c>
      <c r="L73" s="4">
        <f>SUMIFS(Tab_05.Mai[MOVIMENTO],Tab_05.Mai[CONTA],$F73)</f>
        <v>0</v>
      </c>
      <c r="M73" s="4">
        <f>SUMIFS(Tab_06.Jun[MOVIMENTO],Tab_06.Jun[CONTA],$F73)</f>
        <v>0</v>
      </c>
      <c r="N73" s="4">
        <f>SUMIFS(Tab_07.Jul[MOVIMENTO],Tab_07.Jul[CONTA],$F73)</f>
        <v>0</v>
      </c>
      <c r="O73" s="4">
        <f>SUMIFS(Tab_08.Ago[MOVIMENTO],Tab_08.Ago[CONTA],$F73)</f>
        <v>0</v>
      </c>
      <c r="P73" s="4">
        <f>SUMIFS(Tab_09.Set[MOVIMENTO],Tab_09.Set[CONTA],$F73)</f>
        <v>0</v>
      </c>
      <c r="Q73" s="4">
        <f>SUMIFS(Tab_10.Out[MOVIMENTO],Tab_10.Out[CONTA],$F73)</f>
        <v>0</v>
      </c>
      <c r="R73" s="4">
        <f>SUMIFS(Tab_11.Nov[MOVIMENTO],Tab_11.Nov[CONTA],$F73)</f>
        <v>0</v>
      </c>
      <c r="S73" s="4">
        <f>SUMIFS(Tab_12.Dez[MOVIMENTO],Tab_12.Dez[CONTA],$F73)</f>
        <v>0</v>
      </c>
    </row>
    <row r="74" spans="2:19" x14ac:dyDescent="0.3">
      <c r="B74" s="3" t="s">
        <v>118</v>
      </c>
      <c r="C74" s="2" t="str">
        <f t="shared" si="12"/>
        <v>A</v>
      </c>
      <c r="D74" s="2" t="str">
        <f t="shared" si="13"/>
        <v>A</v>
      </c>
      <c r="E74" s="2">
        <f t="shared" si="14"/>
        <v>5</v>
      </c>
      <c r="F74" s="3" t="s">
        <v>183</v>
      </c>
      <c r="G74" s="3" t="s">
        <v>316</v>
      </c>
      <c r="H74" s="4">
        <f>SUMIFS(Tab_01.Jan[MOVIMENTO],Tab_01.Jan[CONTA],$F74)</f>
        <v>0</v>
      </c>
      <c r="I74" s="4">
        <f>SUMIFS(Tab_02.Fev[MOVIMENTO],Tab_02.Fev[CONTA],$F74)</f>
        <v>0</v>
      </c>
      <c r="J74" s="4">
        <f>SUMIFS(Tab_03.Mar[MOVIMENTO],Tab_03.Mar[CONTA],$F74)</f>
        <v>0</v>
      </c>
      <c r="K74" s="4">
        <f>SUMIFS(Tab_04.Abr[MOVIMENTO],Tab_04.Abr[CONTA],$F74)</f>
        <v>952.28</v>
      </c>
      <c r="L74" s="4">
        <f>SUMIFS(Tab_05.Mai[MOVIMENTO],Tab_05.Mai[CONTA],$F74)</f>
        <v>0</v>
      </c>
      <c r="M74" s="4">
        <f>SUMIFS(Tab_06.Jun[MOVIMENTO],Tab_06.Jun[CONTA],$F74)</f>
        <v>0</v>
      </c>
      <c r="N74" s="4">
        <f>SUMIFS(Tab_07.Jul[MOVIMENTO],Tab_07.Jul[CONTA],$F74)</f>
        <v>0</v>
      </c>
      <c r="O74" s="4">
        <f>SUMIFS(Tab_08.Ago[MOVIMENTO],Tab_08.Ago[CONTA],$F74)</f>
        <v>0</v>
      </c>
      <c r="P74" s="4">
        <f>SUMIFS(Tab_09.Set[MOVIMENTO],Tab_09.Set[CONTA],$F74)</f>
        <v>0</v>
      </c>
      <c r="Q74" s="4">
        <f>SUMIFS(Tab_10.Out[MOVIMENTO],Tab_10.Out[CONTA],$F74)</f>
        <v>0</v>
      </c>
      <c r="R74" s="4">
        <f>SUMIFS(Tab_11.Nov[MOVIMENTO],Tab_11.Nov[CONTA],$F74)</f>
        <v>0</v>
      </c>
      <c r="S74" s="4">
        <f>SUMIFS(Tab_12.Dez[MOVIMENTO],Tab_12.Dez[CONTA],$F74)</f>
        <v>1672.94</v>
      </c>
    </row>
    <row r="75" spans="2:19" x14ac:dyDescent="0.3">
      <c r="B75" s="3" t="s">
        <v>118</v>
      </c>
      <c r="C75" s="2" t="str">
        <f t="shared" si="12"/>
        <v>A</v>
      </c>
      <c r="D75" s="2" t="str">
        <f t="shared" si="13"/>
        <v>A</v>
      </c>
      <c r="E75" s="2">
        <f t="shared" si="14"/>
        <v>5</v>
      </c>
      <c r="F75" s="3" t="s">
        <v>317</v>
      </c>
      <c r="G75" s="3" t="s">
        <v>318</v>
      </c>
      <c r="H75" s="4">
        <f>SUMIFS(Tab_01.Jan[MOVIMENTO],Tab_01.Jan[CONTA],$F75)</f>
        <v>0</v>
      </c>
      <c r="I75" s="4">
        <f>SUMIFS(Tab_02.Fev[MOVIMENTO],Tab_02.Fev[CONTA],$F75)</f>
        <v>0</v>
      </c>
      <c r="J75" s="4">
        <f>SUMIFS(Tab_03.Mar[MOVIMENTO],Tab_03.Mar[CONTA],$F75)</f>
        <v>0</v>
      </c>
      <c r="K75" s="4">
        <f>SUMIFS(Tab_04.Abr[MOVIMENTO],Tab_04.Abr[CONTA],$F75)</f>
        <v>0</v>
      </c>
      <c r="L75" s="4">
        <f>SUMIFS(Tab_05.Mai[MOVIMENTO],Tab_05.Mai[CONTA],$F75)</f>
        <v>0</v>
      </c>
      <c r="M75" s="4">
        <f>SUMIFS(Tab_06.Jun[MOVIMENTO],Tab_06.Jun[CONTA],$F75)</f>
        <v>0</v>
      </c>
      <c r="N75" s="4">
        <f>SUMIFS(Tab_07.Jul[MOVIMENTO],Tab_07.Jul[CONTA],$F75)</f>
        <v>0</v>
      </c>
      <c r="O75" s="4">
        <f>SUMIFS(Tab_08.Ago[MOVIMENTO],Tab_08.Ago[CONTA],$F75)</f>
        <v>0</v>
      </c>
      <c r="P75" s="4">
        <f>SUMIFS(Tab_09.Set[MOVIMENTO],Tab_09.Set[CONTA],$F75)</f>
        <v>0</v>
      </c>
      <c r="Q75" s="4">
        <f>SUMIFS(Tab_10.Out[MOVIMENTO],Tab_10.Out[CONTA],$F75)</f>
        <v>0</v>
      </c>
      <c r="R75" s="4">
        <f>SUMIFS(Tab_11.Nov[MOVIMENTO],Tab_11.Nov[CONTA],$F75)</f>
        <v>1340</v>
      </c>
      <c r="S75" s="4">
        <f>SUMIFS(Tab_12.Dez[MOVIMENTO],Tab_12.Dez[CONTA],$F75)</f>
        <v>0</v>
      </c>
    </row>
    <row r="76" spans="2:19" x14ac:dyDescent="0.3">
      <c r="B76" s="3" t="s">
        <v>118</v>
      </c>
      <c r="C76" s="2" t="str">
        <f t="shared" si="12"/>
        <v>A</v>
      </c>
      <c r="D76" s="2" t="str">
        <f t="shared" si="13"/>
        <v>A</v>
      </c>
      <c r="E76" s="2">
        <f t="shared" si="14"/>
        <v>5</v>
      </c>
      <c r="F76" s="3" t="s">
        <v>184</v>
      </c>
      <c r="G76" s="3" t="s">
        <v>319</v>
      </c>
      <c r="H76" s="4">
        <f>SUMIFS(Tab_01.Jan[MOVIMENTO],Tab_01.Jan[CONTA],$F76)</f>
        <v>0</v>
      </c>
      <c r="I76" s="4">
        <f>SUMIFS(Tab_02.Fev[MOVIMENTO],Tab_02.Fev[CONTA],$F76)</f>
        <v>0</v>
      </c>
      <c r="J76" s="4">
        <f>SUMIFS(Tab_03.Mar[MOVIMENTO],Tab_03.Mar[CONTA],$F76)</f>
        <v>0</v>
      </c>
      <c r="K76" s="4">
        <f>SUMIFS(Tab_04.Abr[MOVIMENTO],Tab_04.Abr[CONTA],$F76)</f>
        <v>0</v>
      </c>
      <c r="L76" s="4">
        <f>SUMIFS(Tab_05.Mai[MOVIMENTO],Tab_05.Mai[CONTA],$F76)</f>
        <v>0</v>
      </c>
      <c r="M76" s="4">
        <f>SUMIFS(Tab_06.Jun[MOVIMENTO],Tab_06.Jun[CONTA],$F76)</f>
        <v>0</v>
      </c>
      <c r="N76" s="4">
        <f>SUMIFS(Tab_07.Jul[MOVIMENTO],Tab_07.Jul[CONTA],$F76)</f>
        <v>0</v>
      </c>
      <c r="O76" s="4">
        <f>SUMIFS(Tab_08.Ago[MOVIMENTO],Tab_08.Ago[CONTA],$F76)</f>
        <v>0</v>
      </c>
      <c r="P76" s="4">
        <f>SUMIFS(Tab_09.Set[MOVIMENTO],Tab_09.Set[CONTA],$F76)</f>
        <v>0</v>
      </c>
      <c r="Q76" s="4">
        <f>SUMIFS(Tab_10.Out[MOVIMENTO],Tab_10.Out[CONTA],$F76)</f>
        <v>0</v>
      </c>
      <c r="R76" s="4">
        <f>SUMIFS(Tab_11.Nov[MOVIMENTO],Tab_11.Nov[CONTA],$F76)</f>
        <v>0</v>
      </c>
      <c r="S76" s="4">
        <f>SUMIFS(Tab_12.Dez[MOVIMENTO],Tab_12.Dez[CONTA],$F76)</f>
        <v>0</v>
      </c>
    </row>
    <row r="77" spans="2:19" x14ac:dyDescent="0.3">
      <c r="B77" s="3" t="s">
        <v>118</v>
      </c>
      <c r="C77" s="2" t="str">
        <f t="shared" si="12"/>
        <v>A</v>
      </c>
      <c r="D77" s="2" t="str">
        <f t="shared" si="13"/>
        <v>A</v>
      </c>
      <c r="E77" s="2">
        <f t="shared" si="14"/>
        <v>5</v>
      </c>
      <c r="F77" s="3" t="s">
        <v>185</v>
      </c>
      <c r="G77" s="3" t="s">
        <v>320</v>
      </c>
      <c r="H77" s="4">
        <f>SUMIFS(Tab_01.Jan[MOVIMENTO],Tab_01.Jan[CONTA],$F77)</f>
        <v>0</v>
      </c>
      <c r="I77" s="4">
        <f>SUMIFS(Tab_02.Fev[MOVIMENTO],Tab_02.Fev[CONTA],$F77)</f>
        <v>0</v>
      </c>
      <c r="J77" s="4">
        <f>SUMIFS(Tab_03.Mar[MOVIMENTO],Tab_03.Mar[CONTA],$F77)</f>
        <v>0</v>
      </c>
      <c r="K77" s="4">
        <f>SUMIFS(Tab_04.Abr[MOVIMENTO],Tab_04.Abr[CONTA],$F77)</f>
        <v>0</v>
      </c>
      <c r="L77" s="4">
        <f>SUMIFS(Tab_05.Mai[MOVIMENTO],Tab_05.Mai[CONTA],$F77)</f>
        <v>0</v>
      </c>
      <c r="M77" s="4">
        <f>SUMIFS(Tab_06.Jun[MOVIMENTO],Tab_06.Jun[CONTA],$F77)</f>
        <v>0</v>
      </c>
      <c r="N77" s="4">
        <f>SUMIFS(Tab_07.Jul[MOVIMENTO],Tab_07.Jul[CONTA],$F77)</f>
        <v>0</v>
      </c>
      <c r="O77" s="4">
        <f>SUMIFS(Tab_08.Ago[MOVIMENTO],Tab_08.Ago[CONTA],$F77)</f>
        <v>0</v>
      </c>
      <c r="P77" s="4">
        <f>SUMIFS(Tab_09.Set[MOVIMENTO],Tab_09.Set[CONTA],$F77)</f>
        <v>0</v>
      </c>
      <c r="Q77" s="4">
        <f>SUMIFS(Tab_10.Out[MOVIMENTO],Tab_10.Out[CONTA],$F77)</f>
        <v>0</v>
      </c>
      <c r="R77" s="4">
        <f>SUMIFS(Tab_11.Nov[MOVIMENTO],Tab_11.Nov[CONTA],$F77)</f>
        <v>0</v>
      </c>
      <c r="S77" s="4">
        <f>SUMIFS(Tab_12.Dez[MOVIMENTO],Tab_12.Dez[CONTA],$F77)</f>
        <v>0</v>
      </c>
    </row>
    <row r="78" spans="2:19" x14ac:dyDescent="0.3">
      <c r="B78" s="3" t="s">
        <v>118</v>
      </c>
      <c r="C78" s="2" t="str">
        <f t="shared" si="12"/>
        <v>A</v>
      </c>
      <c r="D78" s="2" t="str">
        <f t="shared" si="13"/>
        <v>A</v>
      </c>
      <c r="E78" s="2">
        <f t="shared" si="14"/>
        <v>5</v>
      </c>
      <c r="F78" s="3" t="s">
        <v>321</v>
      </c>
      <c r="G78" s="3" t="s">
        <v>322</v>
      </c>
      <c r="H78" s="4">
        <f>SUMIFS(Tab_01.Jan[MOVIMENTO],Tab_01.Jan[CONTA],$F78)</f>
        <v>0</v>
      </c>
      <c r="I78" s="4">
        <f>SUMIFS(Tab_02.Fev[MOVIMENTO],Tab_02.Fev[CONTA],$F78)</f>
        <v>0</v>
      </c>
      <c r="J78" s="4">
        <f>SUMIFS(Tab_03.Mar[MOVIMENTO],Tab_03.Mar[CONTA],$F78)</f>
        <v>0</v>
      </c>
      <c r="K78" s="4">
        <f>SUMIFS(Tab_04.Abr[MOVIMENTO],Tab_04.Abr[CONTA],$F78)</f>
        <v>0</v>
      </c>
      <c r="L78" s="4">
        <f>SUMIFS(Tab_05.Mai[MOVIMENTO],Tab_05.Mai[CONTA],$F78)</f>
        <v>817.2</v>
      </c>
      <c r="M78" s="4">
        <f>SUMIFS(Tab_06.Jun[MOVIMENTO],Tab_06.Jun[CONTA],$F78)</f>
        <v>0</v>
      </c>
      <c r="N78" s="4">
        <f>SUMIFS(Tab_07.Jul[MOVIMENTO],Tab_07.Jul[CONTA],$F78)</f>
        <v>0</v>
      </c>
      <c r="O78" s="4">
        <f>SUMIFS(Tab_08.Ago[MOVIMENTO],Tab_08.Ago[CONTA],$F78)</f>
        <v>0</v>
      </c>
      <c r="P78" s="4">
        <f>SUMIFS(Tab_09.Set[MOVIMENTO],Tab_09.Set[CONTA],$F78)</f>
        <v>0</v>
      </c>
      <c r="Q78" s="4">
        <f>SUMIFS(Tab_10.Out[MOVIMENTO],Tab_10.Out[CONTA],$F78)</f>
        <v>0</v>
      </c>
      <c r="R78" s="4">
        <f>SUMIFS(Tab_11.Nov[MOVIMENTO],Tab_11.Nov[CONTA],$F78)</f>
        <v>0</v>
      </c>
      <c r="S78" s="4">
        <f>SUMIFS(Tab_12.Dez[MOVIMENTO],Tab_12.Dez[CONTA],$F78)</f>
        <v>0</v>
      </c>
    </row>
    <row r="79" spans="2:19" x14ac:dyDescent="0.3">
      <c r="B79" s="3"/>
      <c r="C79" s="2" t="str">
        <f t="shared" si="12"/>
        <v>A</v>
      </c>
      <c r="D79" s="2" t="str">
        <f t="shared" si="13"/>
        <v>S</v>
      </c>
      <c r="E79" s="2">
        <f t="shared" si="14"/>
        <v>5</v>
      </c>
      <c r="F79" s="3" t="s">
        <v>215</v>
      </c>
      <c r="G79" s="3" t="s">
        <v>652</v>
      </c>
      <c r="H79" s="4">
        <f>SUMIFS(Tab_01.Jan[MOVIMENTO],Tab_01.Jan[CONTA],$F79)</f>
        <v>-5364.1</v>
      </c>
      <c r="I79" s="4">
        <f>SUMIFS(Tab_02.Fev[MOVIMENTO],Tab_02.Fev[CONTA],$F79)</f>
        <v>-5249.74</v>
      </c>
      <c r="J79" s="4">
        <f>SUMIFS(Tab_03.Mar[MOVIMENTO],Tab_03.Mar[CONTA],$F79)</f>
        <v>-3667.05</v>
      </c>
      <c r="K79" s="4">
        <f>SUMIFS(Tab_04.Abr[MOVIMENTO],Tab_04.Abr[CONTA],$F79)</f>
        <v>-3667.05</v>
      </c>
      <c r="L79" s="4">
        <f>SUMIFS(Tab_05.Mai[MOVIMENTO],Tab_05.Mai[CONTA],$F79)</f>
        <v>-3667.05</v>
      </c>
      <c r="M79" s="4">
        <f>SUMIFS(Tab_06.Jun[MOVIMENTO],Tab_06.Jun[CONTA],$F79)</f>
        <v>-3666.75</v>
      </c>
      <c r="N79" s="4">
        <f>SUMIFS(Tab_07.Jul[MOVIMENTO],Tab_07.Jul[CONTA],$F79)</f>
        <v>-3666.75</v>
      </c>
      <c r="O79" s="4">
        <f>SUMIFS(Tab_08.Ago[MOVIMENTO],Tab_08.Ago[CONTA],$F79)</f>
        <v>-3666.75</v>
      </c>
      <c r="P79" s="4">
        <f>SUMIFS(Tab_09.Set[MOVIMENTO],Tab_09.Set[CONTA],$F79)</f>
        <v>-3666.75</v>
      </c>
      <c r="Q79" s="4">
        <f>SUMIFS(Tab_10.Out[MOVIMENTO],Tab_10.Out[CONTA],$F79)</f>
        <v>-3666.75</v>
      </c>
      <c r="R79" s="4">
        <f>SUMIFS(Tab_11.Nov[MOVIMENTO],Tab_11.Nov[CONTA],$F79)</f>
        <v>-3666.75</v>
      </c>
      <c r="S79" s="4">
        <f>SUMIFS(Tab_12.Dez[MOVIMENTO],Tab_12.Dez[CONTA],$F79)</f>
        <v>-3666.75</v>
      </c>
    </row>
    <row r="80" spans="2:19" x14ac:dyDescent="0.3">
      <c r="B80" s="3" t="s">
        <v>118</v>
      </c>
      <c r="C80" s="2" t="str">
        <f t="shared" si="12"/>
        <v>A</v>
      </c>
      <c r="D80" s="2" t="str">
        <f t="shared" si="13"/>
        <v>A</v>
      </c>
      <c r="E80" s="2">
        <f t="shared" si="14"/>
        <v>5</v>
      </c>
      <c r="F80" s="3" t="s">
        <v>186</v>
      </c>
      <c r="G80" s="3" t="s">
        <v>313</v>
      </c>
      <c r="H80" s="4">
        <f>SUMIFS(Tab_01.Jan[MOVIMENTO],Tab_01.Jan[CONTA],$F80)</f>
        <v>-2997.93</v>
      </c>
      <c r="I80" s="4">
        <f>SUMIFS(Tab_02.Fev[MOVIMENTO],Tab_02.Fev[CONTA],$F80)</f>
        <v>-2997.93</v>
      </c>
      <c r="J80" s="4">
        <f>SUMIFS(Tab_03.Mar[MOVIMENTO],Tab_03.Mar[CONTA],$F80)</f>
        <v>-2997.93</v>
      </c>
      <c r="K80" s="4">
        <f>SUMIFS(Tab_04.Abr[MOVIMENTO],Tab_04.Abr[CONTA],$F80)</f>
        <v>-2997.93</v>
      </c>
      <c r="L80" s="4">
        <f>SUMIFS(Tab_05.Mai[MOVIMENTO],Tab_05.Mai[CONTA],$F80)</f>
        <v>-2997.93</v>
      </c>
      <c r="M80" s="4">
        <f>SUMIFS(Tab_06.Jun[MOVIMENTO],Tab_06.Jun[CONTA],$F80)</f>
        <v>-2997.93</v>
      </c>
      <c r="N80" s="4">
        <f>SUMIFS(Tab_07.Jul[MOVIMENTO],Tab_07.Jul[CONTA],$F80)</f>
        <v>-2997.93</v>
      </c>
      <c r="O80" s="4">
        <f>SUMIFS(Tab_08.Ago[MOVIMENTO],Tab_08.Ago[CONTA],$F80)</f>
        <v>0</v>
      </c>
      <c r="P80" s="4">
        <f>SUMIFS(Tab_09.Set[MOVIMENTO],Tab_09.Set[CONTA],$F80)</f>
        <v>-2997.93</v>
      </c>
      <c r="Q80" s="4">
        <f>SUMIFS(Tab_10.Out[MOVIMENTO],Tab_10.Out[CONTA],$F80)</f>
        <v>-2997.93</v>
      </c>
      <c r="R80" s="4">
        <f>SUMIFS(Tab_11.Nov[MOVIMENTO],Tab_11.Nov[CONTA],$F80)</f>
        <v>-2997.93</v>
      </c>
      <c r="S80" s="4">
        <f>SUMIFS(Tab_12.Dez[MOVIMENTO],Tab_12.Dez[CONTA],$F80)</f>
        <v>-2997.93</v>
      </c>
    </row>
    <row r="81" spans="2:19" x14ac:dyDescent="0.3">
      <c r="B81" s="3" t="s">
        <v>118</v>
      </c>
      <c r="C81" s="2" t="str">
        <f t="shared" si="12"/>
        <v>A</v>
      </c>
      <c r="D81" s="2" t="str">
        <f t="shared" si="13"/>
        <v>A</v>
      </c>
      <c r="E81" s="2">
        <f t="shared" si="14"/>
        <v>5</v>
      </c>
      <c r="F81" s="3" t="s">
        <v>187</v>
      </c>
      <c r="G81" s="3" t="s">
        <v>314</v>
      </c>
      <c r="H81" s="4">
        <f>SUMIFS(Tab_01.Jan[MOVIMENTO],Tab_01.Jan[CONTA],$F81)</f>
        <v>-191.67</v>
      </c>
      <c r="I81" s="4">
        <f>SUMIFS(Tab_02.Fev[MOVIMENTO],Tab_02.Fev[CONTA],$F81)</f>
        <v>-191.67</v>
      </c>
      <c r="J81" s="4">
        <f>SUMIFS(Tab_03.Mar[MOVIMENTO],Tab_03.Mar[CONTA],$F81)</f>
        <v>-191.67</v>
      </c>
      <c r="K81" s="4">
        <f>SUMIFS(Tab_04.Abr[MOVIMENTO],Tab_04.Abr[CONTA],$F81)</f>
        <v>-191.67</v>
      </c>
      <c r="L81" s="4">
        <f>SUMIFS(Tab_05.Mai[MOVIMENTO],Tab_05.Mai[CONTA],$F81)</f>
        <v>-191.67</v>
      </c>
      <c r="M81" s="4">
        <f>SUMIFS(Tab_06.Jun[MOVIMENTO],Tab_06.Jun[CONTA],$F81)</f>
        <v>-191.67</v>
      </c>
      <c r="N81" s="4">
        <f>SUMIFS(Tab_07.Jul[MOVIMENTO],Tab_07.Jul[CONTA],$F81)</f>
        <v>-191.67</v>
      </c>
      <c r="O81" s="4">
        <f>SUMIFS(Tab_08.Ago[MOVIMENTO],Tab_08.Ago[CONTA],$F81)</f>
        <v>-3189.6</v>
      </c>
      <c r="P81" s="4">
        <f>SUMIFS(Tab_09.Set[MOVIMENTO],Tab_09.Set[CONTA],$F81)</f>
        <v>-191.67</v>
      </c>
      <c r="Q81" s="4">
        <f>SUMIFS(Tab_10.Out[MOVIMENTO],Tab_10.Out[CONTA],$F81)</f>
        <v>-191.67</v>
      </c>
      <c r="R81" s="4">
        <f>SUMIFS(Tab_11.Nov[MOVIMENTO],Tab_11.Nov[CONTA],$F81)</f>
        <v>-191.67</v>
      </c>
      <c r="S81" s="4">
        <f>SUMIFS(Tab_12.Dez[MOVIMENTO],Tab_12.Dez[CONTA],$F81)</f>
        <v>-191.67</v>
      </c>
    </row>
    <row r="82" spans="2:19" x14ac:dyDescent="0.3">
      <c r="B82" s="3" t="s">
        <v>118</v>
      </c>
      <c r="C82" s="2" t="str">
        <f t="shared" si="12"/>
        <v>A</v>
      </c>
      <c r="D82" s="2" t="str">
        <f t="shared" si="13"/>
        <v>A</v>
      </c>
      <c r="E82" s="2">
        <f t="shared" si="14"/>
        <v>5</v>
      </c>
      <c r="F82" s="3" t="s">
        <v>188</v>
      </c>
      <c r="G82" s="3" t="s">
        <v>315</v>
      </c>
      <c r="H82" s="4">
        <f>SUMIFS(Tab_01.Jan[MOVIMENTO],Tab_01.Jan[CONTA],$F82)</f>
        <v>-104.95</v>
      </c>
      <c r="I82" s="4">
        <f>SUMIFS(Tab_02.Fev[MOVIMENTO],Tab_02.Fev[CONTA],$F82)</f>
        <v>-104.95</v>
      </c>
      <c r="J82" s="4">
        <f>SUMIFS(Tab_03.Mar[MOVIMENTO],Tab_03.Mar[CONTA],$F82)</f>
        <v>-104.95</v>
      </c>
      <c r="K82" s="4">
        <f>SUMIFS(Tab_04.Abr[MOVIMENTO],Tab_04.Abr[CONTA],$F82)</f>
        <v>-104.95</v>
      </c>
      <c r="L82" s="4">
        <f>SUMIFS(Tab_05.Mai[MOVIMENTO],Tab_05.Mai[CONTA],$F82)</f>
        <v>-104.95</v>
      </c>
      <c r="M82" s="4">
        <f>SUMIFS(Tab_06.Jun[MOVIMENTO],Tab_06.Jun[CONTA],$F82)</f>
        <v>-104.95</v>
      </c>
      <c r="N82" s="4">
        <f>SUMIFS(Tab_07.Jul[MOVIMENTO],Tab_07.Jul[CONTA],$F82)</f>
        <v>-104.95</v>
      </c>
      <c r="O82" s="4">
        <f>SUMIFS(Tab_08.Ago[MOVIMENTO],Tab_08.Ago[CONTA],$F82)</f>
        <v>-104.95</v>
      </c>
      <c r="P82" s="4">
        <f>SUMIFS(Tab_09.Set[MOVIMENTO],Tab_09.Set[CONTA],$F82)</f>
        <v>-104.95</v>
      </c>
      <c r="Q82" s="4">
        <f>SUMIFS(Tab_10.Out[MOVIMENTO],Tab_10.Out[CONTA],$F82)</f>
        <v>-104.95</v>
      </c>
      <c r="R82" s="4">
        <f>SUMIFS(Tab_11.Nov[MOVIMENTO],Tab_11.Nov[CONTA],$F82)</f>
        <v>-104.95</v>
      </c>
      <c r="S82" s="4">
        <f>SUMIFS(Tab_12.Dez[MOVIMENTO],Tab_12.Dez[CONTA],$F82)</f>
        <v>-104.95</v>
      </c>
    </row>
    <row r="83" spans="2:19" x14ac:dyDescent="0.3">
      <c r="B83" s="3" t="s">
        <v>118</v>
      </c>
      <c r="C83" s="2" t="str">
        <f t="shared" si="12"/>
        <v>A</v>
      </c>
      <c r="D83" s="2" t="str">
        <f t="shared" si="13"/>
        <v>A</v>
      </c>
      <c r="E83" s="2">
        <f t="shared" si="14"/>
        <v>5</v>
      </c>
      <c r="F83" s="3" t="s">
        <v>189</v>
      </c>
      <c r="G83" s="3" t="s">
        <v>316</v>
      </c>
      <c r="H83" s="4">
        <f>SUMIFS(Tab_01.Jan[MOVIMENTO],Tab_01.Jan[CONTA],$F83)</f>
        <v>-3366.2</v>
      </c>
      <c r="I83" s="4">
        <f>SUMIFS(Tab_02.Fev[MOVIMENTO],Tab_02.Fev[CONTA],$F83)</f>
        <v>-1582.69</v>
      </c>
      <c r="J83" s="4">
        <f>SUMIFS(Tab_03.Mar[MOVIMENTO],Tab_03.Mar[CONTA],$F83)</f>
        <v>0</v>
      </c>
      <c r="K83" s="4">
        <f>SUMIFS(Tab_04.Abr[MOVIMENTO],Tab_04.Abr[CONTA],$F83)</f>
        <v>0</v>
      </c>
      <c r="L83" s="4">
        <f>SUMIFS(Tab_05.Mai[MOVIMENTO],Tab_05.Mai[CONTA],$F83)</f>
        <v>0</v>
      </c>
      <c r="M83" s="4">
        <f>SUMIFS(Tab_06.Jun[MOVIMENTO],Tab_06.Jun[CONTA],$F83)</f>
        <v>0</v>
      </c>
      <c r="N83" s="4">
        <f>SUMIFS(Tab_07.Jul[MOVIMENTO],Tab_07.Jul[CONTA],$F83)</f>
        <v>0</v>
      </c>
      <c r="O83" s="4">
        <f>SUMIFS(Tab_08.Ago[MOVIMENTO],Tab_08.Ago[CONTA],$F83)</f>
        <v>0</v>
      </c>
      <c r="P83" s="4">
        <f>SUMIFS(Tab_09.Set[MOVIMENTO],Tab_09.Set[CONTA],$F83)</f>
        <v>0</v>
      </c>
      <c r="Q83" s="4">
        <f>SUMIFS(Tab_10.Out[MOVIMENTO],Tab_10.Out[CONTA],$F83)</f>
        <v>0</v>
      </c>
      <c r="R83" s="4">
        <f>SUMIFS(Tab_11.Nov[MOVIMENTO],Tab_11.Nov[CONTA],$F83)</f>
        <v>0</v>
      </c>
      <c r="S83" s="4">
        <f>SUMIFS(Tab_12.Dez[MOVIMENTO],Tab_12.Dez[CONTA],$F83)</f>
        <v>0</v>
      </c>
    </row>
    <row r="84" spans="2:19" x14ac:dyDescent="0.3">
      <c r="B84" s="3" t="s">
        <v>118</v>
      </c>
      <c r="C84" s="2" t="str">
        <f t="shared" si="12"/>
        <v>A</v>
      </c>
      <c r="D84" s="2" t="str">
        <f t="shared" si="13"/>
        <v>A</v>
      </c>
      <c r="E84" s="2">
        <f t="shared" si="14"/>
        <v>5</v>
      </c>
      <c r="F84" s="3" t="s">
        <v>190</v>
      </c>
      <c r="G84" s="3" t="s">
        <v>318</v>
      </c>
      <c r="H84" s="4">
        <f>SUMIFS(Tab_01.Jan[MOVIMENTO],Tab_01.Jan[CONTA],$F84)</f>
        <v>-122.5</v>
      </c>
      <c r="I84" s="4">
        <f>SUMIFS(Tab_02.Fev[MOVIMENTO],Tab_02.Fev[CONTA],$F84)</f>
        <v>-122.5</v>
      </c>
      <c r="J84" s="4">
        <f>SUMIFS(Tab_03.Mar[MOVIMENTO],Tab_03.Mar[CONTA],$F84)</f>
        <v>-122.5</v>
      </c>
      <c r="K84" s="4">
        <f>SUMIFS(Tab_04.Abr[MOVIMENTO],Tab_04.Abr[CONTA],$F84)</f>
        <v>-122.5</v>
      </c>
      <c r="L84" s="4">
        <f>SUMIFS(Tab_05.Mai[MOVIMENTO],Tab_05.Mai[CONTA],$F84)</f>
        <v>-122.5</v>
      </c>
      <c r="M84" s="4">
        <f>SUMIFS(Tab_06.Jun[MOVIMENTO],Tab_06.Jun[CONTA],$F84)</f>
        <v>-122.2</v>
      </c>
      <c r="N84" s="4">
        <f>SUMIFS(Tab_07.Jul[MOVIMENTO],Tab_07.Jul[CONTA],$F84)</f>
        <v>-122.2</v>
      </c>
      <c r="O84" s="4">
        <f>SUMIFS(Tab_08.Ago[MOVIMENTO],Tab_08.Ago[CONTA],$F84)</f>
        <v>-122.2</v>
      </c>
      <c r="P84" s="4">
        <f>SUMIFS(Tab_09.Set[MOVIMENTO],Tab_09.Set[CONTA],$F84)</f>
        <v>-122.2</v>
      </c>
      <c r="Q84" s="4">
        <f>SUMIFS(Tab_10.Out[MOVIMENTO],Tab_10.Out[CONTA],$F84)</f>
        <v>-122.2</v>
      </c>
      <c r="R84" s="4">
        <f>SUMIFS(Tab_11.Nov[MOVIMENTO],Tab_11.Nov[CONTA],$F84)</f>
        <v>0</v>
      </c>
      <c r="S84" s="4">
        <f>SUMIFS(Tab_12.Dez[MOVIMENTO],Tab_12.Dez[CONTA],$F84)</f>
        <v>0</v>
      </c>
    </row>
    <row r="85" spans="2:19" x14ac:dyDescent="0.3">
      <c r="B85" s="3" t="s">
        <v>118</v>
      </c>
      <c r="C85" s="2" t="str">
        <f t="shared" si="12"/>
        <v>A</v>
      </c>
      <c r="D85" s="2" t="str">
        <f t="shared" si="13"/>
        <v>A</v>
      </c>
      <c r="E85" s="2">
        <f t="shared" si="14"/>
        <v>5</v>
      </c>
      <c r="F85" s="3" t="s">
        <v>323</v>
      </c>
      <c r="G85" s="3" t="s">
        <v>319</v>
      </c>
      <c r="H85" s="4">
        <f>SUMIFS(Tab_01.Jan[MOVIMENTO],Tab_01.Jan[CONTA],$F85)</f>
        <v>1669.15</v>
      </c>
      <c r="I85" s="4">
        <f>SUMIFS(Tab_02.Fev[MOVIMENTO],Tab_02.Fev[CONTA],$F85)</f>
        <v>0</v>
      </c>
      <c r="J85" s="4">
        <f>SUMIFS(Tab_03.Mar[MOVIMENTO],Tab_03.Mar[CONTA],$F85)</f>
        <v>0</v>
      </c>
      <c r="K85" s="4">
        <f>SUMIFS(Tab_04.Abr[MOVIMENTO],Tab_04.Abr[CONTA],$F85)</f>
        <v>0</v>
      </c>
      <c r="L85" s="4">
        <f>SUMIFS(Tab_05.Mai[MOVIMENTO],Tab_05.Mai[CONTA],$F85)</f>
        <v>0</v>
      </c>
      <c r="M85" s="4">
        <f>SUMIFS(Tab_06.Jun[MOVIMENTO],Tab_06.Jun[CONTA],$F85)</f>
        <v>0</v>
      </c>
      <c r="N85" s="4">
        <f>SUMIFS(Tab_07.Jul[MOVIMENTO],Tab_07.Jul[CONTA],$F85)</f>
        <v>0</v>
      </c>
      <c r="O85" s="4">
        <f>SUMIFS(Tab_08.Ago[MOVIMENTO],Tab_08.Ago[CONTA],$F85)</f>
        <v>0</v>
      </c>
      <c r="P85" s="4">
        <f>SUMIFS(Tab_09.Set[MOVIMENTO],Tab_09.Set[CONTA],$F85)</f>
        <v>0</v>
      </c>
      <c r="Q85" s="4">
        <f>SUMIFS(Tab_10.Out[MOVIMENTO],Tab_10.Out[CONTA],$F85)</f>
        <v>0</v>
      </c>
      <c r="R85" s="4">
        <f>SUMIFS(Tab_11.Nov[MOVIMENTO],Tab_11.Nov[CONTA],$F85)</f>
        <v>-122.2</v>
      </c>
      <c r="S85" s="4">
        <f>SUMIFS(Tab_12.Dez[MOVIMENTO],Tab_12.Dez[CONTA],$F85)</f>
        <v>-122.2</v>
      </c>
    </row>
    <row r="86" spans="2:19" x14ac:dyDescent="0.3">
      <c r="B86" s="3" t="s">
        <v>118</v>
      </c>
      <c r="C86" s="2" t="str">
        <f t="shared" si="12"/>
        <v>A</v>
      </c>
      <c r="D86" s="2" t="str">
        <f t="shared" si="13"/>
        <v>A</v>
      </c>
      <c r="E86" s="2">
        <f t="shared" si="14"/>
        <v>5</v>
      </c>
      <c r="F86" s="3" t="s">
        <v>324</v>
      </c>
      <c r="G86" s="3" t="s">
        <v>320</v>
      </c>
      <c r="H86" s="4">
        <f>SUMIFS(Tab_01.Jan[MOVIMENTO],Tab_01.Jan[CONTA],$F86)</f>
        <v>0</v>
      </c>
      <c r="I86" s="4">
        <f>SUMIFS(Tab_02.Fev[MOVIMENTO],Tab_02.Fev[CONTA],$F86)</f>
        <v>0</v>
      </c>
      <c r="J86" s="4">
        <f>SUMIFS(Tab_03.Mar[MOVIMENTO],Tab_03.Mar[CONTA],$F86)</f>
        <v>0</v>
      </c>
      <c r="K86" s="4">
        <f>SUMIFS(Tab_04.Abr[MOVIMENTO],Tab_04.Abr[CONTA],$F86)</f>
        <v>0</v>
      </c>
      <c r="L86" s="4">
        <f>SUMIFS(Tab_05.Mai[MOVIMENTO],Tab_05.Mai[CONTA],$F86)</f>
        <v>0</v>
      </c>
      <c r="M86" s="4">
        <f>SUMIFS(Tab_06.Jun[MOVIMENTO],Tab_06.Jun[CONTA],$F86)</f>
        <v>0</v>
      </c>
      <c r="N86" s="4">
        <f>SUMIFS(Tab_07.Jul[MOVIMENTO],Tab_07.Jul[CONTA],$F86)</f>
        <v>0</v>
      </c>
      <c r="O86" s="4">
        <f>SUMIFS(Tab_08.Ago[MOVIMENTO],Tab_08.Ago[CONTA],$F86)</f>
        <v>0</v>
      </c>
      <c r="P86" s="4">
        <f>SUMIFS(Tab_09.Set[MOVIMENTO],Tab_09.Set[CONTA],$F86)</f>
        <v>0</v>
      </c>
      <c r="Q86" s="4">
        <f>SUMIFS(Tab_10.Out[MOVIMENTO],Tab_10.Out[CONTA],$F86)</f>
        <v>0</v>
      </c>
      <c r="R86" s="4">
        <f>SUMIFS(Tab_11.Nov[MOVIMENTO],Tab_11.Nov[CONTA],$F86)</f>
        <v>0</v>
      </c>
      <c r="S86" s="4">
        <f>SUMIFS(Tab_12.Dez[MOVIMENTO],Tab_12.Dez[CONTA],$F86)</f>
        <v>0</v>
      </c>
    </row>
    <row r="87" spans="2:19" x14ac:dyDescent="0.3">
      <c r="B87" s="3" t="s">
        <v>118</v>
      </c>
      <c r="C87" s="2" t="str">
        <f t="shared" si="12"/>
        <v>A</v>
      </c>
      <c r="D87" s="2" t="str">
        <f t="shared" si="13"/>
        <v>A</v>
      </c>
      <c r="E87" s="2">
        <f t="shared" si="14"/>
        <v>5</v>
      </c>
      <c r="F87" s="3" t="s">
        <v>325</v>
      </c>
      <c r="G87" s="3" t="s">
        <v>322</v>
      </c>
      <c r="H87" s="4">
        <f>SUMIFS(Tab_01.Jan[MOVIMENTO],Tab_01.Jan[CONTA],$F87)</f>
        <v>-250</v>
      </c>
      <c r="I87" s="4">
        <f>SUMIFS(Tab_02.Fev[MOVIMENTO],Tab_02.Fev[CONTA],$F87)</f>
        <v>-250</v>
      </c>
      <c r="J87" s="4">
        <f>SUMIFS(Tab_03.Mar[MOVIMENTO],Tab_03.Mar[CONTA],$F87)</f>
        <v>-250</v>
      </c>
      <c r="K87" s="4">
        <f>SUMIFS(Tab_04.Abr[MOVIMENTO],Tab_04.Abr[CONTA],$F87)</f>
        <v>-250</v>
      </c>
      <c r="L87" s="4">
        <f>SUMIFS(Tab_05.Mai[MOVIMENTO],Tab_05.Mai[CONTA],$F87)</f>
        <v>-250</v>
      </c>
      <c r="M87" s="4">
        <f>SUMIFS(Tab_06.Jun[MOVIMENTO],Tab_06.Jun[CONTA],$F87)</f>
        <v>-250</v>
      </c>
      <c r="N87" s="4">
        <f>SUMIFS(Tab_07.Jul[MOVIMENTO],Tab_07.Jul[CONTA],$F87)</f>
        <v>-250</v>
      </c>
      <c r="O87" s="4">
        <f>SUMIFS(Tab_08.Ago[MOVIMENTO],Tab_08.Ago[CONTA],$F87)</f>
        <v>-250</v>
      </c>
      <c r="P87" s="4">
        <f>SUMIFS(Tab_09.Set[MOVIMENTO],Tab_09.Set[CONTA],$F87)</f>
        <v>-250</v>
      </c>
      <c r="Q87" s="4">
        <f>SUMIFS(Tab_10.Out[MOVIMENTO],Tab_10.Out[CONTA],$F87)</f>
        <v>-250</v>
      </c>
      <c r="R87" s="4">
        <f>SUMIFS(Tab_11.Nov[MOVIMENTO],Tab_11.Nov[CONTA],$F87)</f>
        <v>-250</v>
      </c>
      <c r="S87" s="4">
        <f>SUMIFS(Tab_12.Dez[MOVIMENTO],Tab_12.Dez[CONTA],$F87)</f>
        <v>-250</v>
      </c>
    </row>
    <row r="88" spans="2:19" x14ac:dyDescent="0.3">
      <c r="B88" s="3"/>
      <c r="C88" s="2" t="str">
        <f t="shared" si="12"/>
        <v>P</v>
      </c>
      <c r="D88" s="2" t="str">
        <f t="shared" si="13"/>
        <v>S</v>
      </c>
      <c r="E88" s="2">
        <f t="shared" si="14"/>
        <v>1</v>
      </c>
      <c r="F88" s="3">
        <v>2</v>
      </c>
      <c r="G88" s="3" t="s">
        <v>653</v>
      </c>
      <c r="H88" s="4">
        <f>SUMIFS(Tab_01.Jan[MOVIMENTO],Tab_01.Jan[CONTA],$F88)</f>
        <v>-706269.69</v>
      </c>
      <c r="I88" s="4">
        <f>SUMIFS(Tab_02.Fev[MOVIMENTO],Tab_02.Fev[CONTA],$F88)</f>
        <v>158881.98000000001</v>
      </c>
      <c r="J88" s="4">
        <f>SUMIFS(Tab_03.Mar[MOVIMENTO],Tab_03.Mar[CONTA],$F88)</f>
        <v>452196.63</v>
      </c>
      <c r="K88" s="4">
        <f>SUMIFS(Tab_04.Abr[MOVIMENTO],Tab_04.Abr[CONTA],$F88)</f>
        <v>-347197.14</v>
      </c>
      <c r="L88" s="4">
        <f>SUMIFS(Tab_05.Mai[MOVIMENTO],Tab_05.Mai[CONTA],$F88)</f>
        <v>127679</v>
      </c>
      <c r="M88" s="4">
        <f>SUMIFS(Tab_06.Jun[MOVIMENTO],Tab_06.Jun[CONTA],$F88)</f>
        <v>112336.62</v>
      </c>
      <c r="N88" s="4">
        <f>SUMIFS(Tab_07.Jul[MOVIMENTO],Tab_07.Jul[CONTA],$F88)</f>
        <v>-134375.84</v>
      </c>
      <c r="O88" s="4">
        <f>SUMIFS(Tab_08.Ago[MOVIMENTO],Tab_08.Ago[CONTA],$F88)</f>
        <v>-59356.19</v>
      </c>
      <c r="P88" s="4">
        <f>SUMIFS(Tab_09.Set[MOVIMENTO],Tab_09.Set[CONTA],$F88)</f>
        <v>62705.120000000003</v>
      </c>
      <c r="Q88" s="4">
        <f>SUMIFS(Tab_10.Out[MOVIMENTO],Tab_10.Out[CONTA],$F88)</f>
        <v>1173.82</v>
      </c>
      <c r="R88" s="4">
        <f>SUMIFS(Tab_11.Nov[MOVIMENTO],Tab_11.Nov[CONTA],$F88)</f>
        <v>185563.39</v>
      </c>
      <c r="S88" s="4">
        <f>SUMIFS(Tab_12.Dez[MOVIMENTO],Tab_12.Dez[CONTA],$F88)</f>
        <v>-385153.55</v>
      </c>
    </row>
    <row r="89" spans="2:19" x14ac:dyDescent="0.3">
      <c r="B89" s="3"/>
      <c r="C89" s="2" t="str">
        <f t="shared" si="12"/>
        <v>P</v>
      </c>
      <c r="D89" s="2" t="str">
        <f t="shared" si="13"/>
        <v>S</v>
      </c>
      <c r="E89" s="2">
        <f t="shared" si="14"/>
        <v>2</v>
      </c>
      <c r="F89" s="3" t="s">
        <v>216</v>
      </c>
      <c r="G89" s="3" t="s">
        <v>31</v>
      </c>
      <c r="H89" s="4">
        <f>SUMIFS(Tab_01.Jan[MOVIMENTO],Tab_01.Jan[CONTA],$F89)</f>
        <v>-469350.71</v>
      </c>
      <c r="I89" s="4">
        <f>SUMIFS(Tab_02.Fev[MOVIMENTO],Tab_02.Fev[CONTA],$F89)</f>
        <v>158881.98000000001</v>
      </c>
      <c r="J89" s="4">
        <f>SUMIFS(Tab_03.Mar[MOVIMENTO],Tab_03.Mar[CONTA],$F89)</f>
        <v>452196.63</v>
      </c>
      <c r="K89" s="4">
        <f>SUMIFS(Tab_04.Abr[MOVIMENTO],Tab_04.Abr[CONTA],$F89)</f>
        <v>-347197.14</v>
      </c>
      <c r="L89" s="4">
        <f>SUMIFS(Tab_05.Mai[MOVIMENTO],Tab_05.Mai[CONTA],$F89)</f>
        <v>127679</v>
      </c>
      <c r="M89" s="4">
        <f>SUMIFS(Tab_06.Jun[MOVIMENTO],Tab_06.Jun[CONTA],$F89)</f>
        <v>112336.62</v>
      </c>
      <c r="N89" s="4">
        <f>SUMIFS(Tab_07.Jul[MOVIMENTO],Tab_07.Jul[CONTA],$F89)</f>
        <v>-134375.84</v>
      </c>
      <c r="O89" s="4">
        <f>SUMIFS(Tab_08.Ago[MOVIMENTO],Tab_08.Ago[CONTA],$F89)</f>
        <v>-59356.19</v>
      </c>
      <c r="P89" s="4">
        <f>SUMIFS(Tab_09.Set[MOVIMENTO],Tab_09.Set[CONTA],$F89)</f>
        <v>62705.120000000003</v>
      </c>
      <c r="Q89" s="4">
        <f>SUMIFS(Tab_10.Out[MOVIMENTO],Tab_10.Out[CONTA],$F89)</f>
        <v>1173.82</v>
      </c>
      <c r="R89" s="4">
        <f>SUMIFS(Tab_11.Nov[MOVIMENTO],Tab_11.Nov[CONTA],$F89)</f>
        <v>185563.39</v>
      </c>
      <c r="S89" s="4">
        <f>SUMIFS(Tab_12.Dez[MOVIMENTO],Tab_12.Dez[CONTA],$F89)</f>
        <v>605743.65</v>
      </c>
    </row>
    <row r="90" spans="2:19" x14ac:dyDescent="0.3">
      <c r="B90" s="3"/>
      <c r="C90" s="2" t="str">
        <f t="shared" si="12"/>
        <v>P</v>
      </c>
      <c r="D90" s="2" t="str">
        <f t="shared" si="13"/>
        <v>S</v>
      </c>
      <c r="E90" s="2">
        <f t="shared" si="14"/>
        <v>5</v>
      </c>
      <c r="F90" s="3" t="s">
        <v>558</v>
      </c>
      <c r="G90" s="3" t="s">
        <v>654</v>
      </c>
      <c r="H90" s="4">
        <f>SUMIFS(Tab_01.Jan[MOVIMENTO],Tab_01.Jan[CONTA],$F90)</f>
        <v>27292.639999999999</v>
      </c>
      <c r="I90" s="4">
        <f>SUMIFS(Tab_02.Fev[MOVIMENTO],Tab_02.Fev[CONTA],$F90)</f>
        <v>86045.77</v>
      </c>
      <c r="J90" s="4">
        <f>SUMIFS(Tab_03.Mar[MOVIMENTO],Tab_03.Mar[CONTA],$F90)</f>
        <v>-11331.53</v>
      </c>
      <c r="K90" s="4">
        <f>SUMIFS(Tab_04.Abr[MOVIMENTO],Tab_04.Abr[CONTA],$F90)</f>
        <v>-19393.759999999998</v>
      </c>
      <c r="L90" s="4">
        <f>SUMIFS(Tab_05.Mai[MOVIMENTO],Tab_05.Mai[CONTA],$F90)</f>
        <v>-25878.07</v>
      </c>
      <c r="M90" s="4">
        <f>SUMIFS(Tab_06.Jun[MOVIMENTO],Tab_06.Jun[CONTA],$F90)</f>
        <v>-23766.23</v>
      </c>
      <c r="N90" s="4">
        <f>SUMIFS(Tab_07.Jul[MOVIMENTO],Tab_07.Jul[CONTA],$F90)</f>
        <v>13382.8</v>
      </c>
      <c r="O90" s="4">
        <f>SUMIFS(Tab_08.Ago[MOVIMENTO],Tab_08.Ago[CONTA],$F90)</f>
        <v>-14400.46</v>
      </c>
      <c r="P90" s="4">
        <f>SUMIFS(Tab_09.Set[MOVIMENTO],Tab_09.Set[CONTA],$F90)</f>
        <v>12372.28</v>
      </c>
      <c r="Q90" s="4">
        <f>SUMIFS(Tab_10.Out[MOVIMENTO],Tab_10.Out[CONTA],$F90)</f>
        <v>-1650.46</v>
      </c>
      <c r="R90" s="4">
        <f>SUMIFS(Tab_11.Nov[MOVIMENTO],Tab_11.Nov[CONTA],$F90)</f>
        <v>-18751.77</v>
      </c>
      <c r="S90" s="4">
        <f>SUMIFS(Tab_12.Dez[MOVIMENTO],Tab_12.Dez[CONTA],$F90)</f>
        <v>103225.08</v>
      </c>
    </row>
    <row r="91" spans="2:19" x14ac:dyDescent="0.3">
      <c r="B91" s="3"/>
      <c r="C91" s="2" t="str">
        <f t="shared" si="12"/>
        <v>P</v>
      </c>
      <c r="D91" s="2" t="str">
        <f t="shared" si="13"/>
        <v>S</v>
      </c>
      <c r="E91" s="2">
        <f t="shared" si="14"/>
        <v>5</v>
      </c>
      <c r="F91" s="3" t="s">
        <v>559</v>
      </c>
      <c r="G91" s="3" t="s">
        <v>655</v>
      </c>
      <c r="H91" s="4">
        <f>SUMIFS(Tab_01.Jan[MOVIMENTO],Tab_01.Jan[CONTA],$F91)</f>
        <v>0</v>
      </c>
      <c r="I91" s="4">
        <f>SUMIFS(Tab_02.Fev[MOVIMENTO],Tab_02.Fev[CONTA],$F91)</f>
        <v>0</v>
      </c>
      <c r="J91" s="4">
        <f>SUMIFS(Tab_03.Mar[MOVIMENTO],Tab_03.Mar[CONTA],$F91)</f>
        <v>0</v>
      </c>
      <c r="K91" s="4">
        <f>SUMIFS(Tab_04.Abr[MOVIMENTO],Tab_04.Abr[CONTA],$F91)</f>
        <v>0</v>
      </c>
      <c r="L91" s="4">
        <f>SUMIFS(Tab_05.Mai[MOVIMENTO],Tab_05.Mai[CONTA],$F91)</f>
        <v>0</v>
      </c>
      <c r="M91" s="4">
        <f>SUMIFS(Tab_06.Jun[MOVIMENTO],Tab_06.Jun[CONTA],$F91)</f>
        <v>0</v>
      </c>
      <c r="N91" s="4">
        <f>SUMIFS(Tab_07.Jul[MOVIMENTO],Tab_07.Jul[CONTA],$F91)</f>
        <v>0</v>
      </c>
      <c r="O91" s="4">
        <f>SUMIFS(Tab_08.Ago[MOVIMENTO],Tab_08.Ago[CONTA],$F91)</f>
        <v>0</v>
      </c>
      <c r="P91" s="4">
        <f>SUMIFS(Tab_09.Set[MOVIMENTO],Tab_09.Set[CONTA],$F91)</f>
        <v>0</v>
      </c>
      <c r="Q91" s="4">
        <f>SUMIFS(Tab_10.Out[MOVIMENTO],Tab_10.Out[CONTA],$F91)</f>
        <v>0</v>
      </c>
      <c r="R91" s="4">
        <f>SUMIFS(Tab_11.Nov[MOVIMENTO],Tab_11.Nov[CONTA],$F91)</f>
        <v>0</v>
      </c>
      <c r="S91" s="4">
        <f>SUMIFS(Tab_12.Dez[MOVIMENTO],Tab_12.Dez[CONTA],$F91)</f>
        <v>0</v>
      </c>
    </row>
    <row r="92" spans="2:19" x14ac:dyDescent="0.3">
      <c r="B92" s="3" t="s">
        <v>52</v>
      </c>
      <c r="C92" s="2" t="str">
        <f t="shared" si="12"/>
        <v>P</v>
      </c>
      <c r="D92" s="2" t="str">
        <f t="shared" si="13"/>
        <v>A</v>
      </c>
      <c r="E92" s="2">
        <f t="shared" si="14"/>
        <v>5</v>
      </c>
      <c r="F92" s="3" t="s">
        <v>326</v>
      </c>
      <c r="G92" s="3" t="s">
        <v>327</v>
      </c>
      <c r="H92" s="4">
        <f>SUMIFS(Tab_01.Jan[MOVIMENTO],Tab_01.Jan[CONTA],$F92)</f>
        <v>0</v>
      </c>
      <c r="I92" s="4">
        <f>SUMIFS(Tab_02.Fev[MOVIMENTO],Tab_02.Fev[CONTA],$F92)</f>
        <v>0</v>
      </c>
      <c r="J92" s="4">
        <f>SUMIFS(Tab_03.Mar[MOVIMENTO],Tab_03.Mar[CONTA],$F92)</f>
        <v>0</v>
      </c>
      <c r="K92" s="4">
        <f>SUMIFS(Tab_04.Abr[MOVIMENTO],Tab_04.Abr[CONTA],$F92)</f>
        <v>0</v>
      </c>
      <c r="L92" s="4">
        <f>SUMIFS(Tab_05.Mai[MOVIMENTO],Tab_05.Mai[CONTA],$F92)</f>
        <v>0</v>
      </c>
      <c r="M92" s="4">
        <f>SUMIFS(Tab_06.Jun[MOVIMENTO],Tab_06.Jun[CONTA],$F92)</f>
        <v>0</v>
      </c>
      <c r="N92" s="4">
        <f>SUMIFS(Tab_07.Jul[MOVIMENTO],Tab_07.Jul[CONTA],$F92)</f>
        <v>0</v>
      </c>
      <c r="O92" s="4">
        <f>SUMIFS(Tab_08.Ago[MOVIMENTO],Tab_08.Ago[CONTA],$F92)</f>
        <v>0</v>
      </c>
      <c r="P92" s="4">
        <f>SUMIFS(Tab_09.Set[MOVIMENTO],Tab_09.Set[CONTA],$F92)</f>
        <v>0</v>
      </c>
      <c r="Q92" s="4">
        <f>SUMIFS(Tab_10.Out[MOVIMENTO],Tab_10.Out[CONTA],$F92)</f>
        <v>0</v>
      </c>
      <c r="R92" s="4">
        <f>SUMIFS(Tab_11.Nov[MOVIMENTO],Tab_11.Nov[CONTA],$F92)</f>
        <v>0</v>
      </c>
      <c r="S92" s="4">
        <f>SUMIFS(Tab_12.Dez[MOVIMENTO],Tab_12.Dez[CONTA],$F92)</f>
        <v>0</v>
      </c>
    </row>
    <row r="93" spans="2:19" x14ac:dyDescent="0.3">
      <c r="B93" s="3" t="s">
        <v>52</v>
      </c>
      <c r="C93" s="2" t="str">
        <f t="shared" si="12"/>
        <v>P</v>
      </c>
      <c r="D93" s="2" t="str">
        <f t="shared" si="13"/>
        <v>A</v>
      </c>
      <c r="E93" s="2">
        <f t="shared" si="14"/>
        <v>5</v>
      </c>
      <c r="F93" s="3" t="s">
        <v>328</v>
      </c>
      <c r="G93" s="3" t="s">
        <v>329</v>
      </c>
      <c r="H93" s="4">
        <f>SUMIFS(Tab_01.Jan[MOVIMENTO],Tab_01.Jan[CONTA],$F93)</f>
        <v>0</v>
      </c>
      <c r="I93" s="4">
        <f>SUMIFS(Tab_02.Fev[MOVIMENTO],Tab_02.Fev[CONTA],$F93)</f>
        <v>0</v>
      </c>
      <c r="J93" s="4">
        <f>SUMIFS(Tab_03.Mar[MOVIMENTO],Tab_03.Mar[CONTA],$F93)</f>
        <v>0</v>
      </c>
      <c r="K93" s="4">
        <f>SUMIFS(Tab_04.Abr[MOVIMENTO],Tab_04.Abr[CONTA],$F93)</f>
        <v>0</v>
      </c>
      <c r="L93" s="4">
        <f>SUMIFS(Tab_05.Mai[MOVIMENTO],Tab_05.Mai[CONTA],$F93)</f>
        <v>0</v>
      </c>
      <c r="M93" s="4">
        <f>SUMIFS(Tab_06.Jun[MOVIMENTO],Tab_06.Jun[CONTA],$F93)</f>
        <v>0</v>
      </c>
      <c r="N93" s="4">
        <f>SUMIFS(Tab_07.Jul[MOVIMENTO],Tab_07.Jul[CONTA],$F93)</f>
        <v>0</v>
      </c>
      <c r="O93" s="4">
        <f>SUMIFS(Tab_08.Ago[MOVIMENTO],Tab_08.Ago[CONTA],$F93)</f>
        <v>0</v>
      </c>
      <c r="P93" s="4">
        <f>SUMIFS(Tab_09.Set[MOVIMENTO],Tab_09.Set[CONTA],$F93)</f>
        <v>0</v>
      </c>
      <c r="Q93" s="4">
        <f>SUMIFS(Tab_10.Out[MOVIMENTO],Tab_10.Out[CONTA],$F93)</f>
        <v>0</v>
      </c>
      <c r="R93" s="4">
        <f>SUMIFS(Tab_11.Nov[MOVIMENTO],Tab_11.Nov[CONTA],$F93)</f>
        <v>0</v>
      </c>
      <c r="S93" s="4">
        <f>SUMIFS(Tab_12.Dez[MOVIMENTO],Tab_12.Dez[CONTA],$F93)</f>
        <v>0</v>
      </c>
    </row>
    <row r="94" spans="2:19" x14ac:dyDescent="0.3">
      <c r="B94" s="3" t="s">
        <v>52</v>
      </c>
      <c r="C94" s="2" t="str">
        <f t="shared" si="12"/>
        <v>P</v>
      </c>
      <c r="D94" s="2" t="str">
        <f t="shared" si="13"/>
        <v>A</v>
      </c>
      <c r="E94" s="2">
        <f t="shared" si="14"/>
        <v>5</v>
      </c>
      <c r="F94" s="3" t="s">
        <v>330</v>
      </c>
      <c r="G94" s="3" t="s">
        <v>331</v>
      </c>
      <c r="H94" s="4">
        <f>SUMIFS(Tab_01.Jan[MOVIMENTO],Tab_01.Jan[CONTA],$F94)</f>
        <v>0</v>
      </c>
      <c r="I94" s="4">
        <f>SUMIFS(Tab_02.Fev[MOVIMENTO],Tab_02.Fev[CONTA],$F94)</f>
        <v>0</v>
      </c>
      <c r="J94" s="4">
        <f>SUMIFS(Tab_03.Mar[MOVIMENTO],Tab_03.Mar[CONTA],$F94)</f>
        <v>0</v>
      </c>
      <c r="K94" s="4">
        <f>SUMIFS(Tab_04.Abr[MOVIMENTO],Tab_04.Abr[CONTA],$F94)</f>
        <v>0</v>
      </c>
      <c r="L94" s="4">
        <f>SUMIFS(Tab_05.Mai[MOVIMENTO],Tab_05.Mai[CONTA],$F94)</f>
        <v>0</v>
      </c>
      <c r="M94" s="4">
        <f>SUMIFS(Tab_06.Jun[MOVIMENTO],Tab_06.Jun[CONTA],$F94)</f>
        <v>0</v>
      </c>
      <c r="N94" s="4">
        <f>SUMIFS(Tab_07.Jul[MOVIMENTO],Tab_07.Jul[CONTA],$F94)</f>
        <v>0</v>
      </c>
      <c r="O94" s="4">
        <f>SUMIFS(Tab_08.Ago[MOVIMENTO],Tab_08.Ago[CONTA],$F94)</f>
        <v>0</v>
      </c>
      <c r="P94" s="4">
        <f>SUMIFS(Tab_09.Set[MOVIMENTO],Tab_09.Set[CONTA],$F94)</f>
        <v>0</v>
      </c>
      <c r="Q94" s="4">
        <f>SUMIFS(Tab_10.Out[MOVIMENTO],Tab_10.Out[CONTA],$F94)</f>
        <v>0</v>
      </c>
      <c r="R94" s="4">
        <f>SUMIFS(Tab_11.Nov[MOVIMENTO],Tab_11.Nov[CONTA],$F94)</f>
        <v>0</v>
      </c>
      <c r="S94" s="4">
        <f>SUMIFS(Tab_12.Dez[MOVIMENTO],Tab_12.Dez[CONTA],$F94)</f>
        <v>0</v>
      </c>
    </row>
    <row r="95" spans="2:19" x14ac:dyDescent="0.3">
      <c r="B95" s="3"/>
      <c r="C95" s="2" t="str">
        <f t="shared" ref="C95:C127" si="15">IF($F95="","",IF(LEFT($F95,1)*1=1,"A",IF(LEFT($F95,1)*1=2,"P",IF(LEFT($F95,1)*1=3,"R",IF(LEFT($F95,1)*1=4,"C",IF(LEFT($F95,1)*1=5,"C",IF(LEFT($F95,1)*1=6,"C","")))))))</f>
        <v>P</v>
      </c>
      <c r="D95" s="2" t="str">
        <f t="shared" ref="D95:D127" si="16">IF($F95="","",IF(LEN($F95)=13,"A","S"))</f>
        <v>S</v>
      </c>
      <c r="E95" s="2">
        <f t="shared" ref="E95:E127" si="17">IF($F95="","",IF(LEN($F95)=1,1,IF(LEN($F95)=3,2,IF(LEN($F95)=5,3,IF(LEN($F95)=8,4,5)))))</f>
        <v>5</v>
      </c>
      <c r="F95" s="3" t="s">
        <v>560</v>
      </c>
      <c r="G95" s="3" t="s">
        <v>656</v>
      </c>
      <c r="H95" s="4">
        <f>SUMIFS(Tab_01.Jan[MOVIMENTO],Tab_01.Jan[CONTA],$F95)</f>
        <v>-15301.97</v>
      </c>
      <c r="I95" s="4">
        <f>SUMIFS(Tab_02.Fev[MOVIMENTO],Tab_02.Fev[CONTA],$F95)</f>
        <v>-7195.65</v>
      </c>
      <c r="J95" s="4">
        <f>SUMIFS(Tab_03.Mar[MOVIMENTO],Tab_03.Mar[CONTA],$F95)</f>
        <v>-11248.83</v>
      </c>
      <c r="K95" s="4">
        <f>SUMIFS(Tab_04.Abr[MOVIMENTO],Tab_04.Abr[CONTA],$F95)</f>
        <v>-11248.74</v>
      </c>
      <c r="L95" s="4">
        <f>SUMIFS(Tab_05.Mai[MOVIMENTO],Tab_05.Mai[CONTA],$F95)</f>
        <v>-11610.98</v>
      </c>
      <c r="M95" s="4">
        <f>SUMIFS(Tab_06.Jun[MOVIMENTO],Tab_06.Jun[CONTA],$F95)</f>
        <v>-11610.92</v>
      </c>
      <c r="N95" s="4">
        <f>SUMIFS(Tab_07.Jul[MOVIMENTO],Tab_07.Jul[CONTA],$F95)</f>
        <v>-11609.94</v>
      </c>
      <c r="O95" s="4">
        <f>SUMIFS(Tab_08.Ago[MOVIMENTO],Tab_08.Ago[CONTA],$F95)</f>
        <v>-10456.6</v>
      </c>
      <c r="P95" s="4">
        <f>SUMIFS(Tab_09.Set[MOVIMENTO],Tab_09.Set[CONTA],$F95)</f>
        <v>-13335.69</v>
      </c>
      <c r="Q95" s="4">
        <f>SUMIFS(Tab_10.Out[MOVIMENTO],Tab_10.Out[CONTA],$F95)</f>
        <v>-11746.73</v>
      </c>
      <c r="R95" s="4">
        <f>SUMIFS(Tab_11.Nov[MOVIMENTO],Tab_11.Nov[CONTA],$F95)</f>
        <v>-11746.96</v>
      </c>
      <c r="S95" s="4">
        <f>SUMIFS(Tab_12.Dez[MOVIMENTO],Tab_12.Dez[CONTA],$F95)</f>
        <v>127113.01</v>
      </c>
    </row>
    <row r="96" spans="2:19" x14ac:dyDescent="0.3">
      <c r="B96" s="3" t="s">
        <v>52</v>
      </c>
      <c r="C96" s="2" t="str">
        <f t="shared" si="15"/>
        <v>P</v>
      </c>
      <c r="D96" s="2" t="str">
        <f t="shared" si="16"/>
        <v>A</v>
      </c>
      <c r="E96" s="2">
        <f t="shared" si="17"/>
        <v>5</v>
      </c>
      <c r="F96" s="3" t="s">
        <v>332</v>
      </c>
      <c r="G96" s="3" t="s">
        <v>333</v>
      </c>
      <c r="H96" s="4">
        <f>SUMIFS(Tab_01.Jan[MOVIMENTO],Tab_01.Jan[CONTA],$F96)</f>
        <v>-11268.08</v>
      </c>
      <c r="I96" s="4">
        <f>SUMIFS(Tab_02.Fev[MOVIMENTO],Tab_02.Fev[CONTA],$F96)</f>
        <v>-5298.68</v>
      </c>
      <c r="J96" s="4">
        <f>SUMIFS(Tab_03.Mar[MOVIMENTO],Tab_03.Mar[CONTA],$F96)</f>
        <v>-8283.3700000000008</v>
      </c>
      <c r="K96" s="4">
        <f>SUMIFS(Tab_04.Abr[MOVIMENTO],Tab_04.Abr[CONTA],$F96)</f>
        <v>-8283.33</v>
      </c>
      <c r="L96" s="4">
        <f>SUMIFS(Tab_05.Mai[MOVIMENTO],Tab_05.Mai[CONTA],$F96)</f>
        <v>-8550.06</v>
      </c>
      <c r="M96" s="4">
        <f>SUMIFS(Tab_06.Jun[MOVIMENTO],Tab_06.Jun[CONTA],$F96)</f>
        <v>-8550.0499999999993</v>
      </c>
      <c r="N96" s="4">
        <f>SUMIFS(Tab_07.Jul[MOVIMENTO],Tab_07.Jul[CONTA],$F96)</f>
        <v>-8550.02</v>
      </c>
      <c r="O96" s="4">
        <f>SUMIFS(Tab_08.Ago[MOVIMENTO],Tab_08.Ago[CONTA],$F96)</f>
        <v>-7289.93</v>
      </c>
      <c r="P96" s="4">
        <f>SUMIFS(Tab_09.Set[MOVIMENTO],Tab_09.Set[CONTA],$F96)</f>
        <v>-10096.67</v>
      </c>
      <c r="Q96" s="4">
        <f>SUMIFS(Tab_10.Out[MOVIMENTO],Tab_10.Out[CONTA],$F96)</f>
        <v>-8651.6</v>
      </c>
      <c r="R96" s="4">
        <f>SUMIFS(Tab_11.Nov[MOVIMENTO],Tab_11.Nov[CONTA],$F96)</f>
        <v>-8651.6200000000008</v>
      </c>
      <c r="S96" s="4">
        <f>SUMIFS(Tab_12.Dez[MOVIMENTO],Tab_12.Dez[CONTA],$F96)</f>
        <v>93473.41</v>
      </c>
    </row>
    <row r="97" spans="2:19" x14ac:dyDescent="0.3">
      <c r="B97" s="3" t="s">
        <v>52</v>
      </c>
      <c r="C97" s="2" t="str">
        <f t="shared" si="15"/>
        <v>P</v>
      </c>
      <c r="D97" s="2" t="str">
        <f t="shared" si="16"/>
        <v>A</v>
      </c>
      <c r="E97" s="2">
        <f t="shared" si="17"/>
        <v>5</v>
      </c>
      <c r="F97" s="3" t="s">
        <v>778</v>
      </c>
      <c r="G97" s="3" t="s">
        <v>779</v>
      </c>
      <c r="H97" s="4">
        <f>SUMIFS(Tab_01.Jan[MOVIMENTO],Tab_01.Jan[CONTA],$F97)</f>
        <v>-901.38</v>
      </c>
      <c r="I97" s="4">
        <f>SUMIFS(Tab_02.Fev[MOVIMENTO],Tab_02.Fev[CONTA],$F97)</f>
        <v>-423.91</v>
      </c>
      <c r="J97" s="4">
        <f>SUMIFS(Tab_03.Mar[MOVIMENTO],Tab_03.Mar[CONTA],$F97)</f>
        <v>-662.68</v>
      </c>
      <c r="K97" s="4">
        <f>SUMIFS(Tab_04.Abr[MOVIMENTO],Tab_04.Abr[CONTA],$F97)</f>
        <v>-662.65</v>
      </c>
      <c r="L97" s="4">
        <f>SUMIFS(Tab_05.Mai[MOVIMENTO],Tab_05.Mai[CONTA],$F97)</f>
        <v>-684.02</v>
      </c>
      <c r="M97" s="4">
        <f>SUMIFS(Tab_06.Jun[MOVIMENTO],Tab_06.Jun[CONTA],$F97)</f>
        <v>-683.99</v>
      </c>
      <c r="N97" s="4">
        <f>SUMIFS(Tab_07.Jul[MOVIMENTO],Tab_07.Jul[CONTA],$F97)</f>
        <v>-684</v>
      </c>
      <c r="O97" s="4">
        <f>SUMIFS(Tab_08.Ago[MOVIMENTO],Tab_08.Ago[CONTA],$F97)</f>
        <v>-583.17999999999995</v>
      </c>
      <c r="P97" s="4">
        <f>SUMIFS(Tab_09.Set[MOVIMENTO],Tab_09.Set[CONTA],$F97)</f>
        <v>-807.74</v>
      </c>
      <c r="Q97" s="4">
        <f>SUMIFS(Tab_10.Out[MOVIMENTO],Tab_10.Out[CONTA],$F97)</f>
        <v>-692.14</v>
      </c>
      <c r="R97" s="4">
        <f>SUMIFS(Tab_11.Nov[MOVIMENTO],Tab_11.Nov[CONTA],$F97)</f>
        <v>-692.11</v>
      </c>
      <c r="S97" s="4">
        <f>SUMIFS(Tab_12.Dez[MOVIMENTO],Tab_12.Dez[CONTA],$F97)</f>
        <v>7477.8</v>
      </c>
    </row>
    <row r="98" spans="2:19" x14ac:dyDescent="0.3">
      <c r="B98" s="3" t="s">
        <v>52</v>
      </c>
      <c r="C98" s="2" t="str">
        <f t="shared" si="15"/>
        <v>P</v>
      </c>
      <c r="D98" s="2" t="str">
        <f t="shared" si="16"/>
        <v>A</v>
      </c>
      <c r="E98" s="2">
        <f t="shared" si="17"/>
        <v>5</v>
      </c>
      <c r="F98" s="3" t="s">
        <v>780</v>
      </c>
      <c r="G98" s="3" t="s">
        <v>781</v>
      </c>
      <c r="H98" s="4">
        <f>SUMIFS(Tab_01.Jan[MOVIMENTO],Tab_01.Jan[CONTA],$F98)</f>
        <v>-112.67</v>
      </c>
      <c r="I98" s="4">
        <f>SUMIFS(Tab_02.Fev[MOVIMENTO],Tab_02.Fev[CONTA],$F98)</f>
        <v>-53.01</v>
      </c>
      <c r="J98" s="4">
        <f>SUMIFS(Tab_03.Mar[MOVIMENTO],Tab_03.Mar[CONTA],$F98)</f>
        <v>-82.82</v>
      </c>
      <c r="K98" s="4">
        <f>SUMIFS(Tab_04.Abr[MOVIMENTO],Tab_04.Abr[CONTA],$F98)</f>
        <v>-82.84</v>
      </c>
      <c r="L98" s="4">
        <f>SUMIFS(Tab_05.Mai[MOVIMENTO],Tab_05.Mai[CONTA],$F98)</f>
        <v>-85.49</v>
      </c>
      <c r="M98" s="4">
        <f>SUMIFS(Tab_06.Jun[MOVIMENTO],Tab_06.Jun[CONTA],$F98)</f>
        <v>-85.49</v>
      </c>
      <c r="N98" s="4">
        <f>SUMIFS(Tab_07.Jul[MOVIMENTO],Tab_07.Jul[CONTA],$F98)</f>
        <v>-85.49</v>
      </c>
      <c r="O98" s="4">
        <f>SUMIFS(Tab_08.Ago[MOVIMENTO],Tab_08.Ago[CONTA],$F98)</f>
        <v>-92.98</v>
      </c>
      <c r="P98" s="4">
        <f>SUMIFS(Tab_09.Set[MOVIMENTO],Tab_09.Set[CONTA],$F98)</f>
        <v>-87.39</v>
      </c>
      <c r="Q98" s="4">
        <f>SUMIFS(Tab_10.Out[MOVIMENTO],Tab_10.Out[CONTA],$F98)</f>
        <v>-86.45</v>
      </c>
      <c r="R98" s="4">
        <f>SUMIFS(Tab_11.Nov[MOVIMENTO],Tab_11.Nov[CONTA],$F98)</f>
        <v>-86.45</v>
      </c>
      <c r="S98" s="4">
        <f>SUMIFS(Tab_12.Dez[MOVIMENTO],Tab_12.Dez[CONTA],$F98)</f>
        <v>941.08</v>
      </c>
    </row>
    <row r="99" spans="2:19" x14ac:dyDescent="0.3">
      <c r="B99" s="3" t="s">
        <v>52</v>
      </c>
      <c r="C99" s="2" t="str">
        <f t="shared" si="15"/>
        <v>P</v>
      </c>
      <c r="D99" s="2" t="str">
        <f t="shared" si="16"/>
        <v>A</v>
      </c>
      <c r="E99" s="2">
        <f t="shared" si="17"/>
        <v>5</v>
      </c>
      <c r="F99" s="3" t="s">
        <v>782</v>
      </c>
      <c r="G99" s="3" t="s">
        <v>783</v>
      </c>
      <c r="H99" s="4">
        <f>SUMIFS(Tab_01.Jan[MOVIMENTO],Tab_01.Jan[CONTA],$F99)</f>
        <v>-3019.84</v>
      </c>
      <c r="I99" s="4">
        <f>SUMIFS(Tab_02.Fev[MOVIMENTO],Tab_02.Fev[CONTA],$F99)</f>
        <v>-1420.05</v>
      </c>
      <c r="J99" s="4">
        <f>SUMIFS(Tab_03.Mar[MOVIMENTO],Tab_03.Mar[CONTA],$F99)</f>
        <v>-2219.96</v>
      </c>
      <c r="K99" s="4">
        <f>SUMIFS(Tab_04.Abr[MOVIMENTO],Tab_04.Abr[CONTA],$F99)</f>
        <v>-2219.92</v>
      </c>
      <c r="L99" s="4">
        <f>SUMIFS(Tab_05.Mai[MOVIMENTO],Tab_05.Mai[CONTA],$F99)</f>
        <v>-2291.41</v>
      </c>
      <c r="M99" s="4">
        <f>SUMIFS(Tab_06.Jun[MOVIMENTO],Tab_06.Jun[CONTA],$F99)</f>
        <v>-2291.39</v>
      </c>
      <c r="N99" s="4">
        <f>SUMIFS(Tab_07.Jul[MOVIMENTO],Tab_07.Jul[CONTA],$F99)</f>
        <v>-2290.4299999999998</v>
      </c>
      <c r="O99" s="4">
        <f>SUMIFS(Tab_08.Ago[MOVIMENTO],Tab_08.Ago[CONTA],$F99)</f>
        <v>-2490.5100000000002</v>
      </c>
      <c r="P99" s="4">
        <f>SUMIFS(Tab_09.Set[MOVIMENTO],Tab_09.Set[CONTA],$F99)</f>
        <v>-2343.89</v>
      </c>
      <c r="Q99" s="4">
        <f>SUMIFS(Tab_10.Out[MOVIMENTO],Tab_10.Out[CONTA],$F99)</f>
        <v>-2316.54</v>
      </c>
      <c r="R99" s="4">
        <f>SUMIFS(Tab_11.Nov[MOVIMENTO],Tab_11.Nov[CONTA],$F99)</f>
        <v>-2316.7800000000002</v>
      </c>
      <c r="S99" s="4">
        <f>SUMIFS(Tab_12.Dez[MOVIMENTO],Tab_12.Dez[CONTA],$F99)</f>
        <v>25220.720000000001</v>
      </c>
    </row>
    <row r="100" spans="2:19" x14ac:dyDescent="0.3">
      <c r="B100" s="3"/>
      <c r="C100" s="2" t="str">
        <f t="shared" si="15"/>
        <v>P</v>
      </c>
      <c r="D100" s="2" t="str">
        <f t="shared" si="16"/>
        <v>S</v>
      </c>
      <c r="E100" s="2">
        <f t="shared" si="17"/>
        <v>5</v>
      </c>
      <c r="F100" s="3" t="s">
        <v>561</v>
      </c>
      <c r="G100" s="3" t="s">
        <v>657</v>
      </c>
      <c r="H100" s="4">
        <f>SUMIFS(Tab_01.Jan[MOVIMENTO],Tab_01.Jan[CONTA],$F100)</f>
        <v>29924.5</v>
      </c>
      <c r="I100" s="4">
        <f>SUMIFS(Tab_02.Fev[MOVIMENTO],Tab_02.Fev[CONTA],$F100)</f>
        <v>86179.1</v>
      </c>
      <c r="J100" s="4">
        <f>SUMIFS(Tab_03.Mar[MOVIMENTO],Tab_03.Mar[CONTA],$F100)</f>
        <v>-11405.67</v>
      </c>
      <c r="K100" s="4">
        <f>SUMIFS(Tab_04.Abr[MOVIMENTO],Tab_04.Abr[CONTA],$F100)</f>
        <v>-14842.42</v>
      </c>
      <c r="L100" s="4">
        <f>SUMIFS(Tab_05.Mai[MOVIMENTO],Tab_05.Mai[CONTA],$F100)</f>
        <v>-14739.02</v>
      </c>
      <c r="M100" s="4">
        <f>SUMIFS(Tab_06.Jun[MOVIMENTO],Tab_06.Jun[CONTA],$F100)</f>
        <v>-15481.32</v>
      </c>
      <c r="N100" s="4">
        <f>SUMIFS(Tab_07.Jul[MOVIMENTO],Tab_07.Jul[CONTA],$F100)</f>
        <v>25832</v>
      </c>
      <c r="O100" s="4">
        <f>SUMIFS(Tab_08.Ago[MOVIMENTO],Tab_08.Ago[CONTA],$F100)</f>
        <v>318.83999999999997</v>
      </c>
      <c r="P100" s="4">
        <f>SUMIFS(Tab_09.Set[MOVIMENTO],Tab_09.Set[CONTA],$F100)</f>
        <v>23785.05</v>
      </c>
      <c r="Q100" s="4">
        <f>SUMIFS(Tab_10.Out[MOVIMENTO],Tab_10.Out[CONTA],$F100)</f>
        <v>10783.62</v>
      </c>
      <c r="R100" s="4">
        <f>SUMIFS(Tab_11.Nov[MOVIMENTO],Tab_11.Nov[CONTA],$F100)</f>
        <v>-8337.33</v>
      </c>
      <c r="S100" s="4">
        <f>SUMIFS(Tab_12.Dez[MOVIMENTO],Tab_12.Dez[CONTA],$F100)</f>
        <v>-16430.349999999999</v>
      </c>
    </row>
    <row r="101" spans="2:19" x14ac:dyDescent="0.3">
      <c r="B101" s="3" t="s">
        <v>52</v>
      </c>
      <c r="C101" s="2" t="str">
        <f t="shared" si="15"/>
        <v>P</v>
      </c>
      <c r="D101" s="2" t="str">
        <f t="shared" si="16"/>
        <v>A</v>
      </c>
      <c r="E101" s="2">
        <f t="shared" si="17"/>
        <v>5</v>
      </c>
      <c r="F101" s="3" t="s">
        <v>334</v>
      </c>
      <c r="G101" s="3" t="s">
        <v>335</v>
      </c>
      <c r="H101" s="4">
        <f>SUMIFS(Tab_01.Jan[MOVIMENTO],Tab_01.Jan[CONTA],$F101)</f>
        <v>104371.62</v>
      </c>
      <c r="I101" s="4">
        <f>SUMIFS(Tab_02.Fev[MOVIMENTO],Tab_02.Fev[CONTA],$F101)</f>
        <v>63386.89</v>
      </c>
      <c r="J101" s="4">
        <f>SUMIFS(Tab_03.Mar[MOVIMENTO],Tab_03.Mar[CONTA],$F101)</f>
        <v>-8454.94</v>
      </c>
      <c r="K101" s="4">
        <f>SUMIFS(Tab_04.Abr[MOVIMENTO],Tab_04.Abr[CONTA],$F101)</f>
        <v>-10958.1</v>
      </c>
      <c r="L101" s="4">
        <f>SUMIFS(Tab_05.Mai[MOVIMENTO],Tab_05.Mai[CONTA],$F101)</f>
        <v>-10666.71</v>
      </c>
      <c r="M101" s="4">
        <f>SUMIFS(Tab_06.Jun[MOVIMENTO],Tab_06.Jun[CONTA],$F101)</f>
        <v>-11400.06</v>
      </c>
      <c r="N101" s="4">
        <f>SUMIFS(Tab_07.Jul[MOVIMENTO],Tab_07.Jul[CONTA],$F101)</f>
        <v>19022.099999999999</v>
      </c>
      <c r="O101" s="4">
        <f>SUMIFS(Tab_08.Ago[MOVIMENTO],Tab_08.Ago[CONTA],$F101)</f>
        <v>168.6</v>
      </c>
      <c r="P101" s="4">
        <f>SUMIFS(Tab_09.Set[MOVIMENTO],Tab_09.Set[CONTA],$F101)</f>
        <v>17582.93</v>
      </c>
      <c r="Q101" s="4">
        <f>SUMIFS(Tab_10.Out[MOVIMENTO],Tab_10.Out[CONTA],$F101)</f>
        <v>7823.75</v>
      </c>
      <c r="R101" s="4">
        <f>SUMIFS(Tab_11.Nov[MOVIMENTO],Tab_11.Nov[CONTA],$F101)</f>
        <v>-6158.56</v>
      </c>
      <c r="S101" s="4">
        <f>SUMIFS(Tab_12.Dez[MOVIMENTO],Tab_12.Dez[CONTA],$F101)</f>
        <v>-11951.46</v>
      </c>
    </row>
    <row r="102" spans="2:19" x14ac:dyDescent="0.3">
      <c r="B102" s="3" t="s">
        <v>52</v>
      </c>
      <c r="C102" s="2" t="str">
        <f t="shared" si="15"/>
        <v>P</v>
      </c>
      <c r="D102" s="2" t="str">
        <f t="shared" si="16"/>
        <v>A</v>
      </c>
      <c r="E102" s="2">
        <f t="shared" si="17"/>
        <v>5</v>
      </c>
      <c r="F102" s="3" t="s">
        <v>784</v>
      </c>
      <c r="G102" s="3" t="s">
        <v>785</v>
      </c>
      <c r="H102" s="4">
        <f>SUMIFS(Tab_01.Jan[MOVIMENTO],Tab_01.Jan[CONTA],$F102)</f>
        <v>-16551.36</v>
      </c>
      <c r="I102" s="4">
        <f>SUMIFS(Tab_02.Fev[MOVIMENTO],Tab_02.Fev[CONTA],$F102)</f>
        <v>5078.33</v>
      </c>
      <c r="J102" s="4">
        <f>SUMIFS(Tab_03.Mar[MOVIMENTO],Tab_03.Mar[CONTA],$F102)</f>
        <v>-669.09</v>
      </c>
      <c r="K102" s="4">
        <f>SUMIFS(Tab_04.Abr[MOVIMENTO],Tab_04.Abr[CONTA],$F102)</f>
        <v>-869.31</v>
      </c>
      <c r="L102" s="4">
        <f>SUMIFS(Tab_05.Mai[MOVIMENTO],Tab_05.Mai[CONTA],$F102)</f>
        <v>-911.99</v>
      </c>
      <c r="M102" s="4">
        <f>SUMIFS(Tab_06.Jun[MOVIMENTO],Tab_06.Jun[CONTA],$F102)</f>
        <v>-911.99</v>
      </c>
      <c r="N102" s="4">
        <f>SUMIFS(Tab_07.Jul[MOVIMENTO],Tab_07.Jul[CONTA],$F102)</f>
        <v>1521.75</v>
      </c>
      <c r="O102" s="4">
        <f>SUMIFS(Tab_08.Ago[MOVIMENTO],Tab_08.Ago[CONTA],$F102)</f>
        <v>20.81</v>
      </c>
      <c r="P102" s="4">
        <f>SUMIFS(Tab_09.Set[MOVIMENTO],Tab_09.Set[CONTA],$F102)</f>
        <v>1413.98</v>
      </c>
      <c r="Q102" s="4">
        <f>SUMIFS(Tab_10.Out[MOVIMENTO],Tab_10.Out[CONTA],$F102)</f>
        <v>633.23</v>
      </c>
      <c r="R102" s="4">
        <f>SUMIFS(Tab_11.Nov[MOVIMENTO],Tab_11.Nov[CONTA],$F102)</f>
        <v>-485.35</v>
      </c>
      <c r="S102" s="4">
        <f>SUMIFS(Tab_12.Dez[MOVIMENTO],Tab_12.Dez[CONTA],$F102)</f>
        <v>-1003.1</v>
      </c>
    </row>
    <row r="103" spans="2:19" x14ac:dyDescent="0.3">
      <c r="B103" s="3" t="s">
        <v>52</v>
      </c>
      <c r="C103" s="2" t="str">
        <f t="shared" si="15"/>
        <v>P</v>
      </c>
      <c r="D103" s="2" t="str">
        <f t="shared" si="16"/>
        <v>A</v>
      </c>
      <c r="E103" s="2">
        <f t="shared" si="17"/>
        <v>5</v>
      </c>
      <c r="F103" s="3" t="s">
        <v>786</v>
      </c>
      <c r="G103" s="3" t="s">
        <v>787</v>
      </c>
      <c r="H103" s="4">
        <f>SUMIFS(Tab_01.Jan[MOVIMENTO],Tab_01.Jan[CONTA],$F103)</f>
        <v>-2448.34</v>
      </c>
      <c r="I103" s="4">
        <f>SUMIFS(Tab_02.Fev[MOVIMENTO],Tab_02.Fev[CONTA],$F103)</f>
        <v>701.7</v>
      </c>
      <c r="J103" s="4">
        <f>SUMIFS(Tab_03.Mar[MOVIMENTO],Tab_03.Mar[CONTA],$F103)</f>
        <v>-40.22</v>
      </c>
      <c r="K103" s="4">
        <f>SUMIFS(Tab_04.Abr[MOVIMENTO],Tab_04.Abr[CONTA],$F103)</f>
        <v>-102.89</v>
      </c>
      <c r="L103" s="4">
        <f>SUMIFS(Tab_05.Mai[MOVIMENTO],Tab_05.Mai[CONTA],$F103)</f>
        <v>-105.1</v>
      </c>
      <c r="M103" s="4">
        <f>SUMIFS(Tab_06.Jun[MOVIMENTO],Tab_06.Jun[CONTA],$F103)</f>
        <v>-114</v>
      </c>
      <c r="N103" s="4">
        <f>SUMIFS(Tab_07.Jul[MOVIMENTO],Tab_07.Jul[CONTA],$F103)</f>
        <v>190.2</v>
      </c>
      <c r="O103" s="4">
        <f>SUMIFS(Tab_08.Ago[MOVIMENTO],Tab_08.Ago[CONTA],$F103)</f>
        <v>59.65</v>
      </c>
      <c r="P103" s="4">
        <f>SUMIFS(Tab_09.Set[MOVIMENTO],Tab_09.Set[CONTA],$F103)</f>
        <v>51.33</v>
      </c>
      <c r="Q103" s="4">
        <f>SUMIFS(Tab_10.Out[MOVIMENTO],Tab_10.Out[CONTA],$F103)</f>
        <v>205.34</v>
      </c>
      <c r="R103" s="4">
        <f>SUMIFS(Tab_11.Nov[MOVIMENTO],Tab_11.Nov[CONTA],$F103)</f>
        <v>-67.48</v>
      </c>
      <c r="S103" s="4">
        <f>SUMIFS(Tab_12.Dez[MOVIMENTO],Tab_12.Dez[CONTA],$F103)</f>
        <v>-115.37</v>
      </c>
    </row>
    <row r="104" spans="2:19" x14ac:dyDescent="0.3">
      <c r="B104" s="3" t="s">
        <v>52</v>
      </c>
      <c r="C104" s="2" t="str">
        <f t="shared" si="15"/>
        <v>P</v>
      </c>
      <c r="D104" s="2" t="str">
        <f t="shared" si="16"/>
        <v>A</v>
      </c>
      <c r="E104" s="2">
        <f t="shared" si="17"/>
        <v>5</v>
      </c>
      <c r="F104" s="3" t="s">
        <v>788</v>
      </c>
      <c r="G104" s="3" t="s">
        <v>789</v>
      </c>
      <c r="H104" s="4">
        <f>SUMIFS(Tab_01.Jan[MOVIMENTO],Tab_01.Jan[CONTA],$F104)</f>
        <v>-55447.42</v>
      </c>
      <c r="I104" s="4">
        <f>SUMIFS(Tab_02.Fev[MOVIMENTO],Tab_02.Fev[CONTA],$F104)</f>
        <v>17012.18</v>
      </c>
      <c r="J104" s="4">
        <f>SUMIFS(Tab_03.Mar[MOVIMENTO],Tab_03.Mar[CONTA],$F104)</f>
        <v>-2241.42</v>
      </c>
      <c r="K104" s="4">
        <f>SUMIFS(Tab_04.Abr[MOVIMENTO],Tab_04.Abr[CONTA],$F104)</f>
        <v>-2912.12</v>
      </c>
      <c r="L104" s="4">
        <f>SUMIFS(Tab_05.Mai[MOVIMENTO],Tab_05.Mai[CONTA],$F104)</f>
        <v>-3055.22</v>
      </c>
      <c r="M104" s="4">
        <f>SUMIFS(Tab_06.Jun[MOVIMENTO],Tab_06.Jun[CONTA],$F104)</f>
        <v>-3055.27</v>
      </c>
      <c r="N104" s="4">
        <f>SUMIFS(Tab_07.Jul[MOVIMENTO],Tab_07.Jul[CONTA],$F104)</f>
        <v>5097.95</v>
      </c>
      <c r="O104" s="4">
        <f>SUMIFS(Tab_08.Ago[MOVIMENTO],Tab_08.Ago[CONTA],$F104)</f>
        <v>69.78</v>
      </c>
      <c r="P104" s="4">
        <f>SUMIFS(Tab_09.Set[MOVIMENTO],Tab_09.Set[CONTA],$F104)</f>
        <v>4736.8100000000004</v>
      </c>
      <c r="Q104" s="4">
        <f>SUMIFS(Tab_10.Out[MOVIMENTO],Tab_10.Out[CONTA],$F104)</f>
        <v>2121.3000000000002</v>
      </c>
      <c r="R104" s="4">
        <f>SUMIFS(Tab_11.Nov[MOVIMENTO],Tab_11.Nov[CONTA],$F104)</f>
        <v>-1625.94</v>
      </c>
      <c r="S104" s="4">
        <f>SUMIFS(Tab_12.Dez[MOVIMENTO],Tab_12.Dez[CONTA],$F104)</f>
        <v>-3360.42</v>
      </c>
    </row>
    <row r="105" spans="2:19" x14ac:dyDescent="0.3">
      <c r="B105" s="3"/>
      <c r="C105" s="2" t="str">
        <f t="shared" si="15"/>
        <v>P</v>
      </c>
      <c r="D105" s="2" t="str">
        <f t="shared" si="16"/>
        <v>S</v>
      </c>
      <c r="E105" s="2">
        <f t="shared" si="17"/>
        <v>5</v>
      </c>
      <c r="F105" s="3" t="s">
        <v>562</v>
      </c>
      <c r="G105" s="3" t="s">
        <v>658</v>
      </c>
      <c r="H105" s="4">
        <f>SUMIFS(Tab_01.Jan[MOVIMENTO],Tab_01.Jan[CONTA],$F105)</f>
        <v>-620.92999999999995</v>
      </c>
      <c r="I105" s="4">
        <f>SUMIFS(Tab_02.Fev[MOVIMENTO],Tab_02.Fev[CONTA],$F105)</f>
        <v>2194.8000000000002</v>
      </c>
      <c r="J105" s="4">
        <f>SUMIFS(Tab_03.Mar[MOVIMENTO],Tab_03.Mar[CONTA],$F105)</f>
        <v>9447.24</v>
      </c>
      <c r="K105" s="4">
        <f>SUMIFS(Tab_04.Abr[MOVIMENTO],Tab_04.Abr[CONTA],$F105)</f>
        <v>5093.74</v>
      </c>
      <c r="L105" s="4">
        <f>SUMIFS(Tab_05.Mai[MOVIMENTO],Tab_05.Mai[CONTA],$F105)</f>
        <v>-828.81</v>
      </c>
      <c r="M105" s="4">
        <f>SUMIFS(Tab_06.Jun[MOVIMENTO],Tab_06.Jun[CONTA],$F105)</f>
        <v>-202.44</v>
      </c>
      <c r="N105" s="4">
        <f>SUMIFS(Tab_07.Jul[MOVIMENTO],Tab_07.Jul[CONTA],$F105)</f>
        <v>-619.46</v>
      </c>
      <c r="O105" s="4">
        <f>SUMIFS(Tab_08.Ago[MOVIMENTO],Tab_08.Ago[CONTA],$F105)</f>
        <v>-4385.2700000000004</v>
      </c>
      <c r="P105" s="4">
        <f>SUMIFS(Tab_09.Set[MOVIMENTO],Tab_09.Set[CONTA],$F105)</f>
        <v>1592</v>
      </c>
      <c r="Q105" s="4">
        <f>SUMIFS(Tab_10.Out[MOVIMENTO],Tab_10.Out[CONTA],$F105)</f>
        <v>-638.53</v>
      </c>
      <c r="R105" s="4">
        <f>SUMIFS(Tab_11.Nov[MOVIMENTO],Tab_11.Nov[CONTA],$F105)</f>
        <v>1002.64</v>
      </c>
      <c r="S105" s="4">
        <f>SUMIFS(Tab_12.Dez[MOVIMENTO],Tab_12.Dez[CONTA],$F105)</f>
        <v>408.42</v>
      </c>
    </row>
    <row r="106" spans="2:19" x14ac:dyDescent="0.3">
      <c r="B106" s="3" t="s">
        <v>52</v>
      </c>
      <c r="C106" s="2" t="str">
        <f t="shared" si="15"/>
        <v>P</v>
      </c>
      <c r="D106" s="2" t="str">
        <f t="shared" si="16"/>
        <v>A</v>
      </c>
      <c r="E106" s="2">
        <f t="shared" si="17"/>
        <v>5</v>
      </c>
      <c r="F106" s="3" t="s">
        <v>336</v>
      </c>
      <c r="G106" s="3" t="s">
        <v>337</v>
      </c>
      <c r="H106" s="4">
        <f>SUMIFS(Tab_01.Jan[MOVIMENTO],Tab_01.Jan[CONTA],$F106)</f>
        <v>3005</v>
      </c>
      <c r="I106" s="4">
        <f>SUMIFS(Tab_02.Fev[MOVIMENTO],Tab_02.Fev[CONTA],$F106)</f>
        <v>2194.8000000000002</v>
      </c>
      <c r="J106" s="4">
        <f>SUMIFS(Tab_03.Mar[MOVIMENTO],Tab_03.Mar[CONTA],$F106)</f>
        <v>8934.2800000000007</v>
      </c>
      <c r="K106" s="4">
        <f>SUMIFS(Tab_04.Abr[MOVIMENTO],Tab_04.Abr[CONTA],$F106)</f>
        <v>5368.74</v>
      </c>
      <c r="L106" s="4">
        <f>SUMIFS(Tab_05.Mai[MOVIMENTO],Tab_05.Mai[CONTA],$F106)</f>
        <v>-1103.81</v>
      </c>
      <c r="M106" s="4">
        <f>SUMIFS(Tab_06.Jun[MOVIMENTO],Tab_06.Jun[CONTA],$F106)</f>
        <v>-202.44</v>
      </c>
      <c r="N106" s="4">
        <f>SUMIFS(Tab_07.Jul[MOVIMENTO],Tab_07.Jul[CONTA],$F106)</f>
        <v>-548.36</v>
      </c>
      <c r="O106" s="4">
        <f>SUMIFS(Tab_08.Ago[MOVIMENTO],Tab_08.Ago[CONTA],$F106)</f>
        <v>-4385.2700000000004</v>
      </c>
      <c r="P106" s="4">
        <f>SUMIFS(Tab_09.Set[MOVIMENTO],Tab_09.Set[CONTA],$F106)</f>
        <v>1007.92</v>
      </c>
      <c r="Q106" s="4">
        <f>SUMIFS(Tab_10.Out[MOVIMENTO],Tab_10.Out[CONTA],$F106)</f>
        <v>-54.45</v>
      </c>
      <c r="R106" s="4">
        <f>SUMIFS(Tab_11.Nov[MOVIMENTO],Tab_11.Nov[CONTA],$F106)</f>
        <v>962.01</v>
      </c>
      <c r="S106" s="4">
        <f>SUMIFS(Tab_12.Dez[MOVIMENTO],Tab_12.Dez[CONTA],$F106)</f>
        <v>408.42</v>
      </c>
    </row>
    <row r="107" spans="2:19" x14ac:dyDescent="0.3">
      <c r="B107" s="3" t="s">
        <v>52</v>
      </c>
      <c r="C107" s="2" t="str">
        <f t="shared" si="15"/>
        <v>P</v>
      </c>
      <c r="D107" s="2" t="str">
        <f t="shared" si="16"/>
        <v>A</v>
      </c>
      <c r="E107" s="2">
        <f t="shared" si="17"/>
        <v>5</v>
      </c>
      <c r="F107" s="3" t="s">
        <v>338</v>
      </c>
      <c r="G107" s="3" t="s">
        <v>339</v>
      </c>
      <c r="H107" s="4">
        <f>SUMIFS(Tab_01.Jan[MOVIMENTO],Tab_01.Jan[CONTA],$F107)</f>
        <v>-3625.93</v>
      </c>
      <c r="I107" s="4">
        <f>SUMIFS(Tab_02.Fev[MOVIMENTO],Tab_02.Fev[CONTA],$F107)</f>
        <v>0</v>
      </c>
      <c r="J107" s="4">
        <f>SUMIFS(Tab_03.Mar[MOVIMENTO],Tab_03.Mar[CONTA],$F107)</f>
        <v>512.96</v>
      </c>
      <c r="K107" s="4">
        <f>SUMIFS(Tab_04.Abr[MOVIMENTO],Tab_04.Abr[CONTA],$F107)</f>
        <v>-275</v>
      </c>
      <c r="L107" s="4">
        <f>SUMIFS(Tab_05.Mai[MOVIMENTO],Tab_05.Mai[CONTA],$F107)</f>
        <v>275</v>
      </c>
      <c r="M107" s="4">
        <f>SUMIFS(Tab_06.Jun[MOVIMENTO],Tab_06.Jun[CONTA],$F107)</f>
        <v>0</v>
      </c>
      <c r="N107" s="4">
        <f>SUMIFS(Tab_07.Jul[MOVIMENTO],Tab_07.Jul[CONTA],$F107)</f>
        <v>-71.099999999999994</v>
      </c>
      <c r="O107" s="4">
        <f>SUMIFS(Tab_08.Ago[MOVIMENTO],Tab_08.Ago[CONTA],$F107)</f>
        <v>0</v>
      </c>
      <c r="P107" s="4">
        <f>SUMIFS(Tab_09.Set[MOVIMENTO],Tab_09.Set[CONTA],$F107)</f>
        <v>584.08000000000004</v>
      </c>
      <c r="Q107" s="4">
        <f>SUMIFS(Tab_10.Out[MOVIMENTO],Tab_10.Out[CONTA],$F107)</f>
        <v>-584.08000000000004</v>
      </c>
      <c r="R107" s="4">
        <f>SUMIFS(Tab_11.Nov[MOVIMENTO],Tab_11.Nov[CONTA],$F107)</f>
        <v>40.630000000000003</v>
      </c>
      <c r="S107" s="4">
        <f>SUMIFS(Tab_12.Dez[MOVIMENTO],Tab_12.Dez[CONTA],$F107)</f>
        <v>0</v>
      </c>
    </row>
    <row r="108" spans="2:19" x14ac:dyDescent="0.3">
      <c r="B108" s="3"/>
      <c r="C108" s="2" t="str">
        <f t="shared" si="15"/>
        <v>P</v>
      </c>
      <c r="D108" s="2" t="str">
        <f t="shared" si="16"/>
        <v>S</v>
      </c>
      <c r="E108" s="2">
        <f t="shared" si="17"/>
        <v>5</v>
      </c>
      <c r="F108" s="3" t="s">
        <v>563</v>
      </c>
      <c r="G108" s="3" t="s">
        <v>659</v>
      </c>
      <c r="H108" s="4">
        <f>SUMIFS(Tab_01.Jan[MOVIMENTO],Tab_01.Jan[CONTA],$F108)</f>
        <v>13291.04</v>
      </c>
      <c r="I108" s="4">
        <f>SUMIFS(Tab_02.Fev[MOVIMENTO],Tab_02.Fev[CONTA],$F108)</f>
        <v>4867.5200000000004</v>
      </c>
      <c r="J108" s="4">
        <f>SUMIFS(Tab_03.Mar[MOVIMENTO],Tab_03.Mar[CONTA],$F108)</f>
        <v>1875.73</v>
      </c>
      <c r="K108" s="4">
        <f>SUMIFS(Tab_04.Abr[MOVIMENTO],Tab_04.Abr[CONTA],$F108)</f>
        <v>1603.66</v>
      </c>
      <c r="L108" s="4">
        <f>SUMIFS(Tab_05.Mai[MOVIMENTO],Tab_05.Mai[CONTA],$F108)</f>
        <v>1300.74</v>
      </c>
      <c r="M108" s="4">
        <f>SUMIFS(Tab_06.Jun[MOVIMENTO],Tab_06.Jun[CONTA],$F108)</f>
        <v>3528.45</v>
      </c>
      <c r="N108" s="4">
        <f>SUMIFS(Tab_07.Jul[MOVIMENTO],Tab_07.Jul[CONTA],$F108)</f>
        <v>-219.8</v>
      </c>
      <c r="O108" s="4">
        <f>SUMIFS(Tab_08.Ago[MOVIMENTO],Tab_08.Ago[CONTA],$F108)</f>
        <v>122.57</v>
      </c>
      <c r="P108" s="4">
        <f>SUMIFS(Tab_09.Set[MOVIMENTO],Tab_09.Set[CONTA],$F108)</f>
        <v>330.92</v>
      </c>
      <c r="Q108" s="4">
        <f>SUMIFS(Tab_10.Out[MOVIMENTO],Tab_10.Out[CONTA],$F108)</f>
        <v>-48.82</v>
      </c>
      <c r="R108" s="4">
        <f>SUMIFS(Tab_11.Nov[MOVIMENTO],Tab_11.Nov[CONTA],$F108)</f>
        <v>329.88</v>
      </c>
      <c r="S108" s="4">
        <f>SUMIFS(Tab_12.Dez[MOVIMENTO],Tab_12.Dez[CONTA],$F108)</f>
        <v>-7866</v>
      </c>
    </row>
    <row r="109" spans="2:19" x14ac:dyDescent="0.3">
      <c r="B109" s="3" t="s">
        <v>52</v>
      </c>
      <c r="C109" s="2" t="str">
        <f>IF($F109="","",IF(LEFT($F109,1)*1=1,"A",IF(LEFT($F109,1)*1=2,"P",IF(LEFT($F109,1)*1=3,"R",IF(LEFT($F109,1)*1=4,"C",IF(LEFT($F109,1)*1=5,"C",IF(LEFT($F109,1)*1=6,"C","")))))))</f>
        <v>P</v>
      </c>
      <c r="D109" s="2" t="str">
        <f>IF($F109="","",IF(LEN($F109)=13,"A","S"))</f>
        <v>A</v>
      </c>
      <c r="E109" s="2">
        <f>IF($F109="","",IF(LEN($F109)=1,1,IF(LEN($F109)=3,2,IF(LEN($F109)=5,3,IF(LEN($F109)=8,4,5)))))</f>
        <v>5</v>
      </c>
      <c r="F109" s="3" t="s">
        <v>340</v>
      </c>
      <c r="G109" s="3" t="s">
        <v>341</v>
      </c>
      <c r="H109" s="4">
        <f>SUMIFS(Tab_01.Jan[MOVIMENTO],Tab_01.Jan[CONTA],$F109)</f>
        <v>11214.84</v>
      </c>
      <c r="I109" s="4">
        <f>SUMIFS(Tab_02.Fev[MOVIMENTO],Tab_02.Fev[CONTA],$F109)</f>
        <v>4708.07</v>
      </c>
      <c r="J109" s="4">
        <f>SUMIFS(Tab_03.Mar[MOVIMENTO],Tab_03.Mar[CONTA],$F109)</f>
        <v>1571.15</v>
      </c>
      <c r="K109" s="4">
        <f>SUMIFS(Tab_04.Abr[MOVIMENTO],Tab_04.Abr[CONTA],$F109)</f>
        <v>1557.77</v>
      </c>
      <c r="L109" s="4">
        <f>SUMIFS(Tab_05.Mai[MOVIMENTO],Tab_05.Mai[CONTA],$F109)</f>
        <v>1377.11</v>
      </c>
      <c r="M109" s="4">
        <f>SUMIFS(Tab_06.Jun[MOVIMENTO],Tab_06.Jun[CONTA],$F109)</f>
        <v>3542.33</v>
      </c>
      <c r="N109" s="4">
        <f>SUMIFS(Tab_07.Jul[MOVIMENTO],Tab_07.Jul[CONTA],$F109)</f>
        <v>-143.74</v>
      </c>
      <c r="O109" s="4">
        <f>SUMIFS(Tab_08.Ago[MOVIMENTO],Tab_08.Ago[CONTA],$F109)</f>
        <v>194.27</v>
      </c>
      <c r="P109" s="4">
        <f>SUMIFS(Tab_09.Set[MOVIMENTO],Tab_09.Set[CONTA],$F109)</f>
        <v>311.97000000000003</v>
      </c>
      <c r="Q109" s="4">
        <f>SUMIFS(Tab_10.Out[MOVIMENTO],Tab_10.Out[CONTA],$F109)</f>
        <v>-43.38</v>
      </c>
      <c r="R109" s="4">
        <f>SUMIFS(Tab_11.Nov[MOVIMENTO],Tab_11.Nov[CONTA],$F109)</f>
        <v>293.24</v>
      </c>
      <c r="S109" s="4">
        <f>SUMIFS(Tab_12.Dez[MOVIMENTO],Tab_12.Dez[CONTA],$F109)</f>
        <v>-7953.68</v>
      </c>
    </row>
    <row r="110" spans="2:19" x14ac:dyDescent="0.3">
      <c r="B110" s="3" t="s">
        <v>52</v>
      </c>
      <c r="C110" s="2" t="str">
        <f t="shared" si="15"/>
        <v>P</v>
      </c>
      <c r="D110" s="2" t="str">
        <f t="shared" si="16"/>
        <v>A</v>
      </c>
      <c r="E110" s="2">
        <f t="shared" si="17"/>
        <v>5</v>
      </c>
      <c r="F110" s="3" t="s">
        <v>342</v>
      </c>
      <c r="G110" s="3" t="s">
        <v>343</v>
      </c>
      <c r="H110" s="4">
        <f>SUMIFS(Tab_01.Jan[MOVIMENTO],Tab_01.Jan[CONTA],$F110)</f>
        <v>2076.1999999999998</v>
      </c>
      <c r="I110" s="4">
        <f>SUMIFS(Tab_02.Fev[MOVIMENTO],Tab_02.Fev[CONTA],$F110)</f>
        <v>159.44999999999999</v>
      </c>
      <c r="J110" s="4">
        <f>SUMIFS(Tab_03.Mar[MOVIMENTO],Tab_03.Mar[CONTA],$F110)</f>
        <v>304.58</v>
      </c>
      <c r="K110" s="4">
        <f>SUMIFS(Tab_04.Abr[MOVIMENTO],Tab_04.Abr[CONTA],$F110)</f>
        <v>45.89</v>
      </c>
      <c r="L110" s="4">
        <f>SUMIFS(Tab_05.Mai[MOVIMENTO],Tab_05.Mai[CONTA],$F110)</f>
        <v>-76.37</v>
      </c>
      <c r="M110" s="4">
        <f>SUMIFS(Tab_06.Jun[MOVIMENTO],Tab_06.Jun[CONTA],$F110)</f>
        <v>-13.88</v>
      </c>
      <c r="N110" s="4">
        <f>SUMIFS(Tab_07.Jul[MOVIMENTO],Tab_07.Jul[CONTA],$F110)</f>
        <v>-76.06</v>
      </c>
      <c r="O110" s="4">
        <f>SUMIFS(Tab_08.Ago[MOVIMENTO],Tab_08.Ago[CONTA],$F110)</f>
        <v>-71.7</v>
      </c>
      <c r="P110" s="4">
        <f>SUMIFS(Tab_09.Set[MOVIMENTO],Tab_09.Set[CONTA],$F110)</f>
        <v>18.95</v>
      </c>
      <c r="Q110" s="4">
        <f>SUMIFS(Tab_10.Out[MOVIMENTO],Tab_10.Out[CONTA],$F110)</f>
        <v>-5.44</v>
      </c>
      <c r="R110" s="4">
        <f>SUMIFS(Tab_11.Nov[MOVIMENTO],Tab_11.Nov[CONTA],$F110)</f>
        <v>36.64</v>
      </c>
      <c r="S110" s="4">
        <f>SUMIFS(Tab_12.Dez[MOVIMENTO],Tab_12.Dez[CONTA],$F110)</f>
        <v>87.68</v>
      </c>
    </row>
    <row r="111" spans="2:19" x14ac:dyDescent="0.3">
      <c r="B111" s="3"/>
      <c r="C111" s="2" t="str">
        <f t="shared" si="15"/>
        <v>P</v>
      </c>
      <c r="D111" s="2" t="str">
        <f t="shared" si="16"/>
        <v>S</v>
      </c>
      <c r="E111" s="2">
        <f t="shared" si="17"/>
        <v>5</v>
      </c>
      <c r="F111" s="3" t="s">
        <v>218</v>
      </c>
      <c r="G111" s="3" t="s">
        <v>660</v>
      </c>
      <c r="H111" s="4">
        <f>SUMIFS(Tab_01.Jan[MOVIMENTO],Tab_01.Jan[CONTA],$F111)</f>
        <v>-531018.04</v>
      </c>
      <c r="I111" s="4">
        <f>SUMIFS(Tab_02.Fev[MOVIMENTO],Tab_02.Fev[CONTA],$F111)</f>
        <v>71347.92</v>
      </c>
      <c r="J111" s="4">
        <f>SUMIFS(Tab_03.Mar[MOVIMENTO],Tab_03.Mar[CONTA],$F111)</f>
        <v>458395.71</v>
      </c>
      <c r="K111" s="4">
        <f>SUMIFS(Tab_04.Abr[MOVIMENTO],Tab_04.Abr[CONTA],$F111)</f>
        <v>-326788.49</v>
      </c>
      <c r="L111" s="4">
        <f>SUMIFS(Tab_05.Mai[MOVIMENTO],Tab_05.Mai[CONTA],$F111)</f>
        <v>152251.95000000001</v>
      </c>
      <c r="M111" s="4">
        <f>SUMIFS(Tab_06.Jun[MOVIMENTO],Tab_06.Jun[CONTA],$F111)</f>
        <v>140845.38</v>
      </c>
      <c r="N111" s="4">
        <f>SUMIFS(Tab_07.Jul[MOVIMENTO],Tab_07.Jul[CONTA],$F111)</f>
        <v>-154744.84</v>
      </c>
      <c r="O111" s="4">
        <f>SUMIFS(Tab_08.Ago[MOVIMENTO],Tab_08.Ago[CONTA],$F111)</f>
        <v>-40990.36</v>
      </c>
      <c r="P111" s="4">
        <f>SUMIFS(Tab_09.Set[MOVIMENTO],Tab_09.Set[CONTA],$F111)</f>
        <v>46516.91</v>
      </c>
      <c r="Q111" s="4">
        <f>SUMIFS(Tab_10.Out[MOVIMENTO],Tab_10.Out[CONTA],$F111)</f>
        <v>11983.24</v>
      </c>
      <c r="R111" s="4">
        <f>SUMIFS(Tab_11.Nov[MOVIMENTO],Tab_11.Nov[CONTA],$F111)</f>
        <v>203811.35</v>
      </c>
      <c r="S111" s="4">
        <f>SUMIFS(Tab_12.Dez[MOVIMENTO],Tab_12.Dez[CONTA],$F111)</f>
        <v>483257.28</v>
      </c>
    </row>
    <row r="112" spans="2:19" x14ac:dyDescent="0.3">
      <c r="B112" s="3"/>
      <c r="C112" s="2" t="str">
        <f t="shared" si="15"/>
        <v>P</v>
      </c>
      <c r="D112" s="2" t="str">
        <f t="shared" si="16"/>
        <v>S</v>
      </c>
      <c r="E112" s="2">
        <f t="shared" si="17"/>
        <v>5</v>
      </c>
      <c r="F112" s="3" t="s">
        <v>219</v>
      </c>
      <c r="G112" s="3" t="s">
        <v>56</v>
      </c>
      <c r="H112" s="4">
        <f>SUMIFS(Tab_01.Jan[MOVIMENTO],Tab_01.Jan[CONTA],$F112)</f>
        <v>-531018.04</v>
      </c>
      <c r="I112" s="4">
        <f>SUMIFS(Tab_02.Fev[MOVIMENTO],Tab_02.Fev[CONTA],$F112)</f>
        <v>71347.92</v>
      </c>
      <c r="J112" s="4">
        <f>SUMIFS(Tab_03.Mar[MOVIMENTO],Tab_03.Mar[CONTA],$F112)</f>
        <v>458395.71</v>
      </c>
      <c r="K112" s="4">
        <f>SUMIFS(Tab_04.Abr[MOVIMENTO],Tab_04.Abr[CONTA],$F112)</f>
        <v>-326788.49</v>
      </c>
      <c r="L112" s="4">
        <f>SUMIFS(Tab_05.Mai[MOVIMENTO],Tab_05.Mai[CONTA],$F112)</f>
        <v>359199.97</v>
      </c>
      <c r="M112" s="4">
        <f>SUMIFS(Tab_06.Jun[MOVIMENTO],Tab_06.Jun[CONTA],$F112)</f>
        <v>-6410.49</v>
      </c>
      <c r="N112" s="4">
        <f>SUMIFS(Tab_07.Jul[MOVIMENTO],Tab_07.Jul[CONTA],$F112)</f>
        <v>30528.37</v>
      </c>
      <c r="O112" s="4">
        <f>SUMIFS(Tab_08.Ago[MOVIMENTO],Tab_08.Ago[CONTA],$F112)</f>
        <v>1095.8399999999999</v>
      </c>
      <c r="P112" s="4">
        <f>SUMIFS(Tab_09.Set[MOVIMENTO],Tab_09.Set[CONTA],$F112)</f>
        <v>3851.34</v>
      </c>
      <c r="Q112" s="4">
        <f>SUMIFS(Tab_10.Out[MOVIMENTO],Tab_10.Out[CONTA],$F112)</f>
        <v>-232402.75</v>
      </c>
      <c r="R112" s="4">
        <f>SUMIFS(Tab_11.Nov[MOVIMENTO],Tab_11.Nov[CONTA],$F112)</f>
        <v>203811.35</v>
      </c>
      <c r="S112" s="4">
        <f>SUMIFS(Tab_12.Dez[MOVIMENTO],Tab_12.Dez[CONTA],$F112)</f>
        <v>42115.01</v>
      </c>
    </row>
    <row r="113" spans="2:19" x14ac:dyDescent="0.3">
      <c r="B113" s="3" t="s">
        <v>50</v>
      </c>
      <c r="C113" s="2" t="str">
        <f t="shared" si="15"/>
        <v>P</v>
      </c>
      <c r="D113" s="2" t="str">
        <f t="shared" si="16"/>
        <v>A</v>
      </c>
      <c r="E113" s="2">
        <f t="shared" si="17"/>
        <v>5</v>
      </c>
      <c r="F113" s="3" t="s">
        <v>344</v>
      </c>
      <c r="G113" s="3" t="s">
        <v>56</v>
      </c>
      <c r="H113" s="4">
        <f>SUMIFS(Tab_01.Jan[MOVIMENTO],Tab_01.Jan[CONTA],$F113)</f>
        <v>-531018.04</v>
      </c>
      <c r="I113" s="4">
        <f>SUMIFS(Tab_02.Fev[MOVIMENTO],Tab_02.Fev[CONTA],$F113)</f>
        <v>71347.92</v>
      </c>
      <c r="J113" s="4">
        <f>SUMIFS(Tab_03.Mar[MOVIMENTO],Tab_03.Mar[CONTA],$F113)</f>
        <v>458395.71</v>
      </c>
      <c r="K113" s="4">
        <f>SUMIFS(Tab_04.Abr[MOVIMENTO],Tab_04.Abr[CONTA],$F113)</f>
        <v>-326788.49</v>
      </c>
      <c r="L113" s="4">
        <f>SUMIFS(Tab_05.Mai[MOVIMENTO],Tab_05.Mai[CONTA],$F113)</f>
        <v>359199.97</v>
      </c>
      <c r="M113" s="4">
        <f>SUMIFS(Tab_06.Jun[MOVIMENTO],Tab_06.Jun[CONTA],$F113)</f>
        <v>-6410.49</v>
      </c>
      <c r="N113" s="4">
        <f>SUMIFS(Tab_07.Jul[MOVIMENTO],Tab_07.Jul[CONTA],$F113)</f>
        <v>30528.37</v>
      </c>
      <c r="O113" s="4">
        <f>SUMIFS(Tab_08.Ago[MOVIMENTO],Tab_08.Ago[CONTA],$F113)</f>
        <v>1095.8399999999999</v>
      </c>
      <c r="P113" s="4">
        <f>SUMIFS(Tab_09.Set[MOVIMENTO],Tab_09.Set[CONTA],$F113)</f>
        <v>3851.34</v>
      </c>
      <c r="Q113" s="4">
        <f>SUMIFS(Tab_10.Out[MOVIMENTO],Tab_10.Out[CONTA],$F113)</f>
        <v>-232402.75</v>
      </c>
      <c r="R113" s="4">
        <f>SUMIFS(Tab_11.Nov[MOVIMENTO],Tab_11.Nov[CONTA],$F113)</f>
        <v>203811.35</v>
      </c>
      <c r="S113" s="4">
        <f>SUMIFS(Tab_12.Dez[MOVIMENTO],Tab_12.Dez[CONTA],$F113)</f>
        <v>42115.01</v>
      </c>
    </row>
    <row r="114" spans="2:19" x14ac:dyDescent="0.3">
      <c r="B114" s="3"/>
      <c r="C114" s="2" t="str">
        <f t="shared" si="15"/>
        <v>P</v>
      </c>
      <c r="D114" s="2" t="str">
        <f t="shared" si="16"/>
        <v>S</v>
      </c>
      <c r="E114" s="2">
        <f t="shared" si="17"/>
        <v>5</v>
      </c>
      <c r="F114" s="3" t="s">
        <v>220</v>
      </c>
      <c r="G114" s="3" t="s">
        <v>346</v>
      </c>
      <c r="H114" s="4">
        <f>SUMIFS(Tab_01.Jan[MOVIMENTO],Tab_01.Jan[CONTA],$F114)</f>
        <v>0</v>
      </c>
      <c r="I114" s="4">
        <f>SUMIFS(Tab_02.Fev[MOVIMENTO],Tab_02.Fev[CONTA],$F114)</f>
        <v>0</v>
      </c>
      <c r="J114" s="4">
        <f>SUMIFS(Tab_03.Mar[MOVIMENTO],Tab_03.Mar[CONTA],$F114)</f>
        <v>0</v>
      </c>
      <c r="K114" s="4">
        <f>SUMIFS(Tab_04.Abr[MOVIMENTO],Tab_04.Abr[CONTA],$F114)</f>
        <v>0</v>
      </c>
      <c r="L114" s="4">
        <f>SUMIFS(Tab_05.Mai[MOVIMENTO],Tab_05.Mai[CONTA],$F114)</f>
        <v>-206948.02</v>
      </c>
      <c r="M114" s="4">
        <f>SUMIFS(Tab_06.Jun[MOVIMENTO],Tab_06.Jun[CONTA],$F114)</f>
        <v>147255.87</v>
      </c>
      <c r="N114" s="4">
        <f>SUMIFS(Tab_07.Jul[MOVIMENTO],Tab_07.Jul[CONTA],$F114)</f>
        <v>-185273.21</v>
      </c>
      <c r="O114" s="4">
        <f>SUMIFS(Tab_08.Ago[MOVIMENTO],Tab_08.Ago[CONTA],$F114)</f>
        <v>-42086.2</v>
      </c>
      <c r="P114" s="4">
        <f>SUMIFS(Tab_09.Set[MOVIMENTO],Tab_09.Set[CONTA],$F114)</f>
        <v>42665.57</v>
      </c>
      <c r="Q114" s="4">
        <f>SUMIFS(Tab_10.Out[MOVIMENTO],Tab_10.Out[CONTA],$F114)</f>
        <v>244385.99</v>
      </c>
      <c r="R114" s="4">
        <f>SUMIFS(Tab_11.Nov[MOVIMENTO],Tab_11.Nov[CONTA],$F114)</f>
        <v>0</v>
      </c>
      <c r="S114" s="4">
        <f>SUMIFS(Tab_12.Dez[MOVIMENTO],Tab_12.Dez[CONTA],$F114)</f>
        <v>441142.27</v>
      </c>
    </row>
    <row r="115" spans="2:19" x14ac:dyDescent="0.3">
      <c r="B115" s="3" t="s">
        <v>50</v>
      </c>
      <c r="C115" s="2" t="str">
        <f t="shared" si="15"/>
        <v>P</v>
      </c>
      <c r="D115" s="2" t="str">
        <f t="shared" si="16"/>
        <v>A</v>
      </c>
      <c r="E115" s="2">
        <f t="shared" si="17"/>
        <v>5</v>
      </c>
      <c r="F115" s="3" t="s">
        <v>345</v>
      </c>
      <c r="G115" s="3" t="s">
        <v>346</v>
      </c>
      <c r="H115" s="4">
        <f>SUMIFS(Tab_01.Jan[MOVIMENTO],Tab_01.Jan[CONTA],$F115)</f>
        <v>0</v>
      </c>
      <c r="I115" s="4">
        <f>SUMIFS(Tab_02.Fev[MOVIMENTO],Tab_02.Fev[CONTA],$F115)</f>
        <v>0</v>
      </c>
      <c r="J115" s="4">
        <f>SUMIFS(Tab_03.Mar[MOVIMENTO],Tab_03.Mar[CONTA],$F115)</f>
        <v>0</v>
      </c>
      <c r="K115" s="4">
        <f>SUMIFS(Tab_04.Abr[MOVIMENTO],Tab_04.Abr[CONTA],$F115)</f>
        <v>0</v>
      </c>
      <c r="L115" s="4">
        <f>SUMIFS(Tab_05.Mai[MOVIMENTO],Tab_05.Mai[CONTA],$F115)</f>
        <v>-206948.02</v>
      </c>
      <c r="M115" s="4">
        <f>SUMIFS(Tab_06.Jun[MOVIMENTO],Tab_06.Jun[CONTA],$F115)</f>
        <v>147255.87</v>
      </c>
      <c r="N115" s="4">
        <f>SUMIFS(Tab_07.Jul[MOVIMENTO],Tab_07.Jul[CONTA],$F115)</f>
        <v>-185273.21</v>
      </c>
      <c r="O115" s="4">
        <f>SUMIFS(Tab_08.Ago[MOVIMENTO],Tab_08.Ago[CONTA],$F115)</f>
        <v>-42086.2</v>
      </c>
      <c r="P115" s="4">
        <f>SUMIFS(Tab_09.Set[MOVIMENTO],Tab_09.Set[CONTA],$F115)</f>
        <v>42665.57</v>
      </c>
      <c r="Q115" s="4">
        <f>SUMIFS(Tab_10.Out[MOVIMENTO],Tab_10.Out[CONTA],$F115)</f>
        <v>244385.99</v>
      </c>
      <c r="R115" s="4">
        <f>SUMIFS(Tab_11.Nov[MOVIMENTO],Tab_11.Nov[CONTA],$F115)</f>
        <v>0</v>
      </c>
      <c r="S115" s="4">
        <f>SUMIFS(Tab_12.Dez[MOVIMENTO],Tab_12.Dez[CONTA],$F115)</f>
        <v>441142.27</v>
      </c>
    </row>
    <row r="116" spans="2:19" x14ac:dyDescent="0.3">
      <c r="B116" s="3"/>
      <c r="C116" s="2" t="str">
        <f t="shared" si="15"/>
        <v>P</v>
      </c>
      <c r="D116" s="2" t="str">
        <f t="shared" si="16"/>
        <v>S</v>
      </c>
      <c r="E116" s="2">
        <f t="shared" si="17"/>
        <v>5</v>
      </c>
      <c r="F116" s="3" t="s">
        <v>221</v>
      </c>
      <c r="G116" s="3" t="s">
        <v>661</v>
      </c>
      <c r="H116" s="4">
        <f>SUMIFS(Tab_01.Jan[MOVIMENTO],Tab_01.Jan[CONTA],$F116)</f>
        <v>36837.620000000003</v>
      </c>
      <c r="I116" s="4">
        <f>SUMIFS(Tab_02.Fev[MOVIMENTO],Tab_02.Fev[CONTA],$F116)</f>
        <v>1526.07</v>
      </c>
      <c r="J116" s="4">
        <f>SUMIFS(Tab_03.Mar[MOVIMENTO],Tab_03.Mar[CONTA],$F116)</f>
        <v>5113.87</v>
      </c>
      <c r="K116" s="4">
        <f>SUMIFS(Tab_04.Abr[MOVIMENTO],Tab_04.Abr[CONTA],$F116)</f>
        <v>-775.51</v>
      </c>
      <c r="L116" s="4">
        <f>SUMIFS(Tab_05.Mai[MOVIMENTO],Tab_05.Mai[CONTA],$F116)</f>
        <v>1051.1400000000001</v>
      </c>
      <c r="M116" s="4">
        <f>SUMIFS(Tab_06.Jun[MOVIMENTO],Tab_06.Jun[CONTA],$F116)</f>
        <v>-4691.33</v>
      </c>
      <c r="N116" s="4">
        <f>SUMIFS(Tab_07.Jul[MOVIMENTO],Tab_07.Jul[CONTA],$F116)</f>
        <v>6817.05</v>
      </c>
      <c r="O116" s="4">
        <f>SUMIFS(Tab_08.Ago[MOVIMENTO],Tab_08.Ago[CONTA],$F116)</f>
        <v>-3919.66</v>
      </c>
      <c r="P116" s="4">
        <f>SUMIFS(Tab_09.Set[MOVIMENTO],Tab_09.Set[CONTA],$F116)</f>
        <v>3862.37</v>
      </c>
      <c r="Q116" s="4">
        <f>SUMIFS(Tab_10.Out[MOVIMENTO],Tab_10.Out[CONTA],$F116)</f>
        <v>-8548.4699999999993</v>
      </c>
      <c r="R116" s="4">
        <f>SUMIFS(Tab_11.Nov[MOVIMENTO],Tab_11.Nov[CONTA],$F116)</f>
        <v>519.24</v>
      </c>
      <c r="S116" s="4">
        <f>SUMIFS(Tab_12.Dez[MOVIMENTO],Tab_12.Dez[CONTA],$F116)</f>
        <v>-613.4</v>
      </c>
    </row>
    <row r="117" spans="2:19" x14ac:dyDescent="0.3">
      <c r="B117" s="3"/>
      <c r="C117" s="2" t="str">
        <f t="shared" si="15"/>
        <v>P</v>
      </c>
      <c r="D117" s="2" t="str">
        <f t="shared" si="16"/>
        <v>S</v>
      </c>
      <c r="E117" s="2">
        <f t="shared" si="17"/>
        <v>5</v>
      </c>
      <c r="F117" s="3" t="s">
        <v>222</v>
      </c>
      <c r="G117" s="3" t="s">
        <v>662</v>
      </c>
      <c r="H117" s="4">
        <f>SUMIFS(Tab_01.Jan[MOVIMENTO],Tab_01.Jan[CONTA],$F117)</f>
        <v>36773.11</v>
      </c>
      <c r="I117" s="4">
        <f>SUMIFS(Tab_02.Fev[MOVIMENTO],Tab_02.Fev[CONTA],$F117)</f>
        <v>1526.07</v>
      </c>
      <c r="J117" s="4">
        <f>SUMIFS(Tab_03.Mar[MOVIMENTO],Tab_03.Mar[CONTA],$F117)</f>
        <v>5113.87</v>
      </c>
      <c r="K117" s="4">
        <f>SUMIFS(Tab_04.Abr[MOVIMENTO],Tab_04.Abr[CONTA],$F117)</f>
        <v>-1259.69</v>
      </c>
      <c r="L117" s="4">
        <f>SUMIFS(Tab_05.Mai[MOVIMENTO],Tab_05.Mai[CONTA],$F117)</f>
        <v>1051.1400000000001</v>
      </c>
      <c r="M117" s="4">
        <f>SUMIFS(Tab_06.Jun[MOVIMENTO],Tab_06.Jun[CONTA],$F117)</f>
        <v>-4691.33</v>
      </c>
      <c r="N117" s="4">
        <f>SUMIFS(Tab_07.Jul[MOVIMENTO],Tab_07.Jul[CONTA],$F117)</f>
        <v>6817.05</v>
      </c>
      <c r="O117" s="4">
        <f>SUMIFS(Tab_08.Ago[MOVIMENTO],Tab_08.Ago[CONTA],$F117)</f>
        <v>-3919.66</v>
      </c>
      <c r="P117" s="4">
        <f>SUMIFS(Tab_09.Set[MOVIMENTO],Tab_09.Set[CONTA],$F117)</f>
        <v>3862.37</v>
      </c>
      <c r="Q117" s="4">
        <f>SUMIFS(Tab_10.Out[MOVIMENTO],Tab_10.Out[CONTA],$F117)</f>
        <v>-8548.4699999999993</v>
      </c>
      <c r="R117" s="4">
        <f>SUMIFS(Tab_11.Nov[MOVIMENTO],Tab_11.Nov[CONTA],$F117)</f>
        <v>519.24</v>
      </c>
      <c r="S117" s="4">
        <f>SUMIFS(Tab_12.Dez[MOVIMENTO],Tab_12.Dez[CONTA],$F117)</f>
        <v>-613.4</v>
      </c>
    </row>
    <row r="118" spans="2:19" x14ac:dyDescent="0.3">
      <c r="B118" s="3" t="s">
        <v>53</v>
      </c>
      <c r="C118" s="2" t="str">
        <f t="shared" si="15"/>
        <v>P</v>
      </c>
      <c r="D118" s="2" t="str">
        <f t="shared" si="16"/>
        <v>A</v>
      </c>
      <c r="E118" s="2">
        <f t="shared" si="17"/>
        <v>5</v>
      </c>
      <c r="F118" s="3" t="s">
        <v>191</v>
      </c>
      <c r="G118" s="3" t="s">
        <v>347</v>
      </c>
      <c r="H118" s="4">
        <f>SUMIFS(Tab_01.Jan[MOVIMENTO],Tab_01.Jan[CONTA],$F118)</f>
        <v>167.79</v>
      </c>
      <c r="I118" s="4">
        <f>SUMIFS(Tab_02.Fev[MOVIMENTO],Tab_02.Fev[CONTA],$F118)</f>
        <v>-9.31</v>
      </c>
      <c r="J118" s="4">
        <f>SUMIFS(Tab_03.Mar[MOVIMENTO],Tab_03.Mar[CONTA],$F118)</f>
        <v>14.13</v>
      </c>
      <c r="K118" s="4">
        <f>SUMIFS(Tab_04.Abr[MOVIMENTO],Tab_04.Abr[CONTA],$F118)</f>
        <v>-151.62</v>
      </c>
      <c r="L118" s="4">
        <f>SUMIFS(Tab_05.Mai[MOVIMENTO],Tab_05.Mai[CONTA],$F118)</f>
        <v>138.52000000000001</v>
      </c>
      <c r="M118" s="4">
        <f>SUMIFS(Tab_06.Jun[MOVIMENTO],Tab_06.Jun[CONTA],$F118)</f>
        <v>-1194.93</v>
      </c>
      <c r="N118" s="4">
        <f>SUMIFS(Tab_07.Jul[MOVIMENTO],Tab_07.Jul[CONTA],$F118)</f>
        <v>727.98</v>
      </c>
      <c r="O118" s="4">
        <f>SUMIFS(Tab_08.Ago[MOVIMENTO],Tab_08.Ago[CONTA],$F118)</f>
        <v>-41.51</v>
      </c>
      <c r="P118" s="4">
        <f>SUMIFS(Tab_09.Set[MOVIMENTO],Tab_09.Set[CONTA],$F118)</f>
        <v>91.73</v>
      </c>
      <c r="Q118" s="4">
        <f>SUMIFS(Tab_10.Out[MOVIMENTO],Tab_10.Out[CONTA],$F118)</f>
        <v>-1056.46</v>
      </c>
      <c r="R118" s="4">
        <f>SUMIFS(Tab_11.Nov[MOVIMENTO],Tab_11.Nov[CONTA],$F118)</f>
        <v>-291.68</v>
      </c>
      <c r="S118" s="4">
        <f>SUMIFS(Tab_12.Dez[MOVIMENTO],Tab_12.Dez[CONTA],$F118)</f>
        <v>335.87</v>
      </c>
    </row>
    <row r="119" spans="2:19" x14ac:dyDescent="0.3">
      <c r="B119" s="3" t="s">
        <v>52</v>
      </c>
      <c r="C119" s="2" t="str">
        <f t="shared" si="15"/>
        <v>P</v>
      </c>
      <c r="D119" s="2" t="str">
        <f t="shared" si="16"/>
        <v>A</v>
      </c>
      <c r="E119" s="2">
        <f t="shared" si="17"/>
        <v>5</v>
      </c>
      <c r="F119" s="3" t="s">
        <v>192</v>
      </c>
      <c r="G119" s="3" t="s">
        <v>348</v>
      </c>
      <c r="H119" s="4">
        <f>SUMIFS(Tab_01.Jan[MOVIMENTO],Tab_01.Jan[CONTA],$F119)</f>
        <v>36372.400000000001</v>
      </c>
      <c r="I119" s="4">
        <f>SUMIFS(Tab_02.Fev[MOVIMENTO],Tab_02.Fev[CONTA],$F119)</f>
        <v>879.43</v>
      </c>
      <c r="J119" s="4">
        <f>SUMIFS(Tab_03.Mar[MOVIMENTO],Tab_03.Mar[CONTA],$F119)</f>
        <v>5327.69</v>
      </c>
      <c r="K119" s="4">
        <f>SUMIFS(Tab_04.Abr[MOVIMENTO],Tab_04.Abr[CONTA],$F119)</f>
        <v>-13.2</v>
      </c>
      <c r="L119" s="4">
        <f>SUMIFS(Tab_05.Mai[MOVIMENTO],Tab_05.Mai[CONTA],$F119)</f>
        <v>41.64</v>
      </c>
      <c r="M119" s="4">
        <f>SUMIFS(Tab_06.Jun[MOVIMENTO],Tab_06.Jun[CONTA],$F119)</f>
        <v>-28.2</v>
      </c>
      <c r="N119" s="4">
        <f>SUMIFS(Tab_07.Jul[MOVIMENTO],Tab_07.Jul[CONTA],$F119)</f>
        <v>4492.88</v>
      </c>
      <c r="O119" s="4">
        <f>SUMIFS(Tab_08.Ago[MOVIMENTO],Tab_08.Ago[CONTA],$F119)</f>
        <v>-4753.71</v>
      </c>
      <c r="P119" s="4">
        <f>SUMIFS(Tab_09.Set[MOVIMENTO],Tab_09.Set[CONTA],$F119)</f>
        <v>3249.89</v>
      </c>
      <c r="Q119" s="4">
        <f>SUMIFS(Tab_10.Out[MOVIMENTO],Tab_10.Out[CONTA],$F119)</f>
        <v>-3912.06</v>
      </c>
      <c r="R119" s="4">
        <f>SUMIFS(Tab_11.Nov[MOVIMENTO],Tab_11.Nov[CONTA],$F119)</f>
        <v>1709.44</v>
      </c>
      <c r="S119" s="4">
        <f>SUMIFS(Tab_12.Dez[MOVIMENTO],Tab_12.Dez[CONTA],$F119)</f>
        <v>-1016.15</v>
      </c>
    </row>
    <row r="120" spans="2:19" x14ac:dyDescent="0.3">
      <c r="B120" s="3" t="s">
        <v>53</v>
      </c>
      <c r="C120" s="2" t="str">
        <f t="shared" si="15"/>
        <v>P</v>
      </c>
      <c r="D120" s="2" t="str">
        <f t="shared" si="16"/>
        <v>A</v>
      </c>
      <c r="E120" s="2">
        <f t="shared" si="17"/>
        <v>5</v>
      </c>
      <c r="F120" s="3" t="s">
        <v>264</v>
      </c>
      <c r="G120" s="3" t="s">
        <v>349</v>
      </c>
      <c r="H120" s="4">
        <f>SUMIFS(Tab_01.Jan[MOVIMENTO],Tab_01.Jan[CONTA],$F120)</f>
        <v>349.52</v>
      </c>
      <c r="I120" s="4">
        <f>SUMIFS(Tab_02.Fev[MOVIMENTO],Tab_02.Fev[CONTA],$F120)</f>
        <v>0</v>
      </c>
      <c r="J120" s="4">
        <f>SUMIFS(Tab_03.Mar[MOVIMENTO],Tab_03.Mar[CONTA],$F120)</f>
        <v>-13.2</v>
      </c>
      <c r="K120" s="4">
        <f>SUMIFS(Tab_04.Abr[MOVIMENTO],Tab_04.Abr[CONTA],$F120)</f>
        <v>13.2</v>
      </c>
      <c r="L120" s="4">
        <f>SUMIFS(Tab_05.Mai[MOVIMENTO],Tab_05.Mai[CONTA],$F120)</f>
        <v>-438.36</v>
      </c>
      <c r="M120" s="4">
        <f>SUMIFS(Tab_06.Jun[MOVIMENTO],Tab_06.Jun[CONTA],$F120)</f>
        <v>224.15</v>
      </c>
      <c r="N120" s="4">
        <f>SUMIFS(Tab_07.Jul[MOVIMENTO],Tab_07.Jul[CONTA],$F120)</f>
        <v>335.15</v>
      </c>
      <c r="O120" s="4">
        <f>SUMIFS(Tab_08.Ago[MOVIMENTO],Tab_08.Ago[CONTA],$F120)</f>
        <v>0</v>
      </c>
      <c r="P120" s="4">
        <f>SUMIFS(Tab_09.Set[MOVIMENTO],Tab_09.Set[CONTA],$F120)</f>
        <v>0</v>
      </c>
      <c r="Q120" s="4">
        <f>SUMIFS(Tab_10.Out[MOVIMENTO],Tab_10.Out[CONTA],$F120)</f>
        <v>0</v>
      </c>
      <c r="R120" s="4">
        <f>SUMIFS(Tab_11.Nov[MOVIMENTO],Tab_11.Nov[CONTA],$F120)</f>
        <v>0</v>
      </c>
      <c r="S120" s="4">
        <f>SUMIFS(Tab_12.Dez[MOVIMENTO],Tab_12.Dez[CONTA],$F120)</f>
        <v>0</v>
      </c>
    </row>
    <row r="121" spans="2:19" x14ac:dyDescent="0.3">
      <c r="B121" s="3" t="s">
        <v>53</v>
      </c>
      <c r="C121" s="2" t="str">
        <f t="shared" si="15"/>
        <v>P</v>
      </c>
      <c r="D121" s="2" t="str">
        <f t="shared" si="16"/>
        <v>A</v>
      </c>
      <c r="E121" s="2">
        <f t="shared" si="17"/>
        <v>5</v>
      </c>
      <c r="F121" s="3" t="s">
        <v>350</v>
      </c>
      <c r="G121" s="3" t="s">
        <v>351</v>
      </c>
      <c r="H121" s="4">
        <f>SUMIFS(Tab_01.Jan[MOVIMENTO],Tab_01.Jan[CONTA],$F121)</f>
        <v>-116.6</v>
      </c>
      <c r="I121" s="4">
        <f>SUMIFS(Tab_02.Fev[MOVIMENTO],Tab_02.Fev[CONTA],$F121)</f>
        <v>655.95</v>
      </c>
      <c r="J121" s="4">
        <f>SUMIFS(Tab_03.Mar[MOVIMENTO],Tab_03.Mar[CONTA],$F121)</f>
        <v>-214.75</v>
      </c>
      <c r="K121" s="4">
        <f>SUMIFS(Tab_04.Abr[MOVIMENTO],Tab_04.Abr[CONTA],$F121)</f>
        <v>-1108.07</v>
      </c>
      <c r="L121" s="4">
        <f>SUMIFS(Tab_05.Mai[MOVIMENTO],Tab_05.Mai[CONTA],$F121)</f>
        <v>1309.3399999999999</v>
      </c>
      <c r="M121" s="4">
        <f>SUMIFS(Tab_06.Jun[MOVIMENTO],Tab_06.Jun[CONTA],$F121)</f>
        <v>-3692.35</v>
      </c>
      <c r="N121" s="4">
        <f>SUMIFS(Tab_07.Jul[MOVIMENTO],Tab_07.Jul[CONTA],$F121)</f>
        <v>1261.04</v>
      </c>
      <c r="O121" s="4">
        <f>SUMIFS(Tab_08.Ago[MOVIMENTO],Tab_08.Ago[CONTA],$F121)</f>
        <v>875.56</v>
      </c>
      <c r="P121" s="4">
        <f>SUMIFS(Tab_09.Set[MOVIMENTO],Tab_09.Set[CONTA],$F121)</f>
        <v>509.58</v>
      </c>
      <c r="Q121" s="4">
        <f>SUMIFS(Tab_10.Out[MOVIMENTO],Tab_10.Out[CONTA],$F121)</f>
        <v>-3579.95</v>
      </c>
      <c r="R121" s="4">
        <f>SUMIFS(Tab_11.Nov[MOVIMENTO],Tab_11.Nov[CONTA],$F121)</f>
        <v>-898.52</v>
      </c>
      <c r="S121" s="4">
        <f>SUMIFS(Tab_12.Dez[MOVIMENTO],Tab_12.Dez[CONTA],$F121)</f>
        <v>67.31</v>
      </c>
    </row>
    <row r="122" spans="2:19" x14ac:dyDescent="0.3">
      <c r="B122" s="3" t="s">
        <v>53</v>
      </c>
      <c r="C122" s="2" t="str">
        <f t="shared" si="15"/>
        <v>P</v>
      </c>
      <c r="D122" s="2" t="str">
        <f t="shared" si="16"/>
        <v>A</v>
      </c>
      <c r="E122" s="2">
        <f t="shared" si="17"/>
        <v>5</v>
      </c>
      <c r="F122" s="3" t="s">
        <v>352</v>
      </c>
      <c r="G122" s="3" t="s">
        <v>353</v>
      </c>
      <c r="H122" s="4">
        <f>SUMIFS(Tab_01.Jan[MOVIMENTO],Tab_01.Jan[CONTA],$F122)</f>
        <v>0</v>
      </c>
      <c r="I122" s="4">
        <f>SUMIFS(Tab_02.Fev[MOVIMENTO],Tab_02.Fev[CONTA],$F122)</f>
        <v>0</v>
      </c>
      <c r="J122" s="4">
        <f>SUMIFS(Tab_03.Mar[MOVIMENTO],Tab_03.Mar[CONTA],$F122)</f>
        <v>0</v>
      </c>
      <c r="K122" s="4">
        <f>SUMIFS(Tab_04.Abr[MOVIMENTO],Tab_04.Abr[CONTA],$F122)</f>
        <v>0</v>
      </c>
      <c r="L122" s="4">
        <f>SUMIFS(Tab_05.Mai[MOVIMENTO],Tab_05.Mai[CONTA],$F122)</f>
        <v>0</v>
      </c>
      <c r="M122" s="4">
        <f>SUMIFS(Tab_06.Jun[MOVIMENTO],Tab_06.Jun[CONTA],$F122)</f>
        <v>0</v>
      </c>
      <c r="N122" s="4">
        <f>SUMIFS(Tab_07.Jul[MOVIMENTO],Tab_07.Jul[CONTA],$F122)</f>
        <v>0</v>
      </c>
      <c r="O122" s="4">
        <f>SUMIFS(Tab_08.Ago[MOVIMENTO],Tab_08.Ago[CONTA],$F122)</f>
        <v>0</v>
      </c>
      <c r="P122" s="4">
        <f>SUMIFS(Tab_09.Set[MOVIMENTO],Tab_09.Set[CONTA],$F122)</f>
        <v>11.17</v>
      </c>
      <c r="Q122" s="4">
        <f>SUMIFS(Tab_10.Out[MOVIMENTO],Tab_10.Out[CONTA],$F122)</f>
        <v>0</v>
      </c>
      <c r="R122" s="4">
        <f>SUMIFS(Tab_11.Nov[MOVIMENTO],Tab_11.Nov[CONTA],$F122)</f>
        <v>0</v>
      </c>
      <c r="S122" s="4">
        <f>SUMIFS(Tab_12.Dez[MOVIMENTO],Tab_12.Dez[CONTA],$F122)</f>
        <v>-0.43</v>
      </c>
    </row>
    <row r="123" spans="2:19" x14ac:dyDescent="0.3">
      <c r="B123" s="3"/>
      <c r="C123" s="2" t="str">
        <f t="shared" si="15"/>
        <v>P</v>
      </c>
      <c r="D123" s="2" t="str">
        <f t="shared" si="16"/>
        <v>S</v>
      </c>
      <c r="E123" s="2">
        <f t="shared" si="17"/>
        <v>5</v>
      </c>
      <c r="F123" s="3" t="s">
        <v>223</v>
      </c>
      <c r="G123" s="3" t="s">
        <v>663</v>
      </c>
      <c r="H123" s="4">
        <f>SUMIFS(Tab_01.Jan[MOVIMENTO],Tab_01.Jan[CONTA],$F123)</f>
        <v>64.510000000000005</v>
      </c>
      <c r="I123" s="4">
        <f>SUMIFS(Tab_02.Fev[MOVIMENTO],Tab_02.Fev[CONTA],$F123)</f>
        <v>0</v>
      </c>
      <c r="J123" s="4">
        <f>SUMIFS(Tab_03.Mar[MOVIMENTO],Tab_03.Mar[CONTA],$F123)</f>
        <v>0</v>
      </c>
      <c r="K123" s="4">
        <f>SUMIFS(Tab_04.Abr[MOVIMENTO],Tab_04.Abr[CONTA],$F123)</f>
        <v>484.18</v>
      </c>
      <c r="L123" s="4">
        <f>SUMIFS(Tab_05.Mai[MOVIMENTO],Tab_05.Mai[CONTA],$F123)</f>
        <v>0</v>
      </c>
      <c r="M123" s="4">
        <f>SUMIFS(Tab_06.Jun[MOVIMENTO],Tab_06.Jun[CONTA],$F123)</f>
        <v>0</v>
      </c>
      <c r="N123" s="4">
        <f>SUMIFS(Tab_07.Jul[MOVIMENTO],Tab_07.Jul[CONTA],$F123)</f>
        <v>0</v>
      </c>
      <c r="O123" s="4">
        <f>SUMIFS(Tab_08.Ago[MOVIMENTO],Tab_08.Ago[CONTA],$F123)</f>
        <v>0</v>
      </c>
      <c r="P123" s="4">
        <f>SUMIFS(Tab_09.Set[MOVIMENTO],Tab_09.Set[CONTA],$F123)</f>
        <v>0</v>
      </c>
      <c r="Q123" s="4">
        <f>SUMIFS(Tab_10.Out[MOVIMENTO],Tab_10.Out[CONTA],$F123)</f>
        <v>0</v>
      </c>
      <c r="R123" s="4">
        <f>SUMIFS(Tab_11.Nov[MOVIMENTO],Tab_11.Nov[CONTA],$F123)</f>
        <v>0</v>
      </c>
      <c r="S123" s="4">
        <f>SUMIFS(Tab_12.Dez[MOVIMENTO],Tab_12.Dez[CONTA],$F123)</f>
        <v>0</v>
      </c>
    </row>
    <row r="124" spans="2:19" x14ac:dyDescent="0.3">
      <c r="B124" s="3" t="s">
        <v>53</v>
      </c>
      <c r="C124" s="2" t="str">
        <f t="shared" si="15"/>
        <v>P</v>
      </c>
      <c r="D124" s="2" t="str">
        <f t="shared" si="16"/>
        <v>A</v>
      </c>
      <c r="E124" s="2">
        <f t="shared" si="17"/>
        <v>5</v>
      </c>
      <c r="F124" s="3" t="s">
        <v>354</v>
      </c>
      <c r="G124" s="3" t="s">
        <v>355</v>
      </c>
      <c r="H124" s="4">
        <f>SUMIFS(Tab_01.Jan[MOVIMENTO],Tab_01.Jan[CONTA],$F124)</f>
        <v>64.510000000000005</v>
      </c>
      <c r="I124" s="4">
        <f>SUMIFS(Tab_02.Fev[MOVIMENTO],Tab_02.Fev[CONTA],$F124)</f>
        <v>0</v>
      </c>
      <c r="J124" s="4">
        <f>SUMIFS(Tab_03.Mar[MOVIMENTO],Tab_03.Mar[CONTA],$F124)</f>
        <v>0</v>
      </c>
      <c r="K124" s="4">
        <f>SUMIFS(Tab_04.Abr[MOVIMENTO],Tab_04.Abr[CONTA],$F124)</f>
        <v>484.18</v>
      </c>
      <c r="L124" s="4">
        <f>SUMIFS(Tab_05.Mai[MOVIMENTO],Tab_05.Mai[CONTA],$F124)</f>
        <v>0</v>
      </c>
      <c r="M124" s="4">
        <f>SUMIFS(Tab_06.Jun[MOVIMENTO],Tab_06.Jun[CONTA],$F124)</f>
        <v>0</v>
      </c>
      <c r="N124" s="4">
        <f>SUMIFS(Tab_07.Jul[MOVIMENTO],Tab_07.Jul[CONTA],$F124)</f>
        <v>0</v>
      </c>
      <c r="O124" s="4">
        <f>SUMIFS(Tab_08.Ago[MOVIMENTO],Tab_08.Ago[CONTA],$F124)</f>
        <v>0</v>
      </c>
      <c r="P124" s="4">
        <f>SUMIFS(Tab_09.Set[MOVIMENTO],Tab_09.Set[CONTA],$F124)</f>
        <v>0</v>
      </c>
      <c r="Q124" s="4">
        <f>SUMIFS(Tab_10.Out[MOVIMENTO],Tab_10.Out[CONTA],$F124)</f>
        <v>0</v>
      </c>
      <c r="R124" s="4">
        <f>SUMIFS(Tab_11.Nov[MOVIMENTO],Tab_11.Nov[CONTA],$F124)</f>
        <v>0</v>
      </c>
      <c r="S124" s="4">
        <f>SUMIFS(Tab_12.Dez[MOVIMENTO],Tab_12.Dez[CONTA],$F124)</f>
        <v>0</v>
      </c>
    </row>
    <row r="125" spans="2:19" x14ac:dyDescent="0.3">
      <c r="B125" s="3"/>
      <c r="C125" s="2" t="str">
        <f t="shared" si="15"/>
        <v>P</v>
      </c>
      <c r="D125" s="2" t="str">
        <f t="shared" si="16"/>
        <v>S</v>
      </c>
      <c r="E125" s="2">
        <f t="shared" si="17"/>
        <v>5</v>
      </c>
      <c r="F125" s="3" t="s">
        <v>224</v>
      </c>
      <c r="G125" s="3" t="s">
        <v>664</v>
      </c>
      <c r="H125" s="4">
        <f>SUMIFS(Tab_01.Jan[MOVIMENTO],Tab_01.Jan[CONTA],$F125)</f>
        <v>-2462.9299999999998</v>
      </c>
      <c r="I125" s="4">
        <f>SUMIFS(Tab_02.Fev[MOVIMENTO],Tab_02.Fev[CONTA],$F125)</f>
        <v>-37.78</v>
      </c>
      <c r="J125" s="4">
        <f>SUMIFS(Tab_03.Mar[MOVIMENTO],Tab_03.Mar[CONTA],$F125)</f>
        <v>18.579999999999998</v>
      </c>
      <c r="K125" s="4">
        <f>SUMIFS(Tab_04.Abr[MOVIMENTO],Tab_04.Abr[CONTA],$F125)</f>
        <v>-239.38</v>
      </c>
      <c r="L125" s="4">
        <f>SUMIFS(Tab_05.Mai[MOVIMENTO],Tab_05.Mai[CONTA],$F125)</f>
        <v>253.98</v>
      </c>
      <c r="M125" s="4">
        <f>SUMIFS(Tab_06.Jun[MOVIMENTO],Tab_06.Jun[CONTA],$F125)</f>
        <v>-51.2</v>
      </c>
      <c r="N125" s="4">
        <f>SUMIFS(Tab_07.Jul[MOVIMENTO],Tab_07.Jul[CONTA],$F125)</f>
        <v>169.15</v>
      </c>
      <c r="O125" s="4">
        <f>SUMIFS(Tab_08.Ago[MOVIMENTO],Tab_08.Ago[CONTA],$F125)</f>
        <v>-45.71</v>
      </c>
      <c r="P125" s="4">
        <f>SUMIFS(Tab_09.Set[MOVIMENTO],Tab_09.Set[CONTA],$F125)</f>
        <v>-46.44</v>
      </c>
      <c r="Q125" s="4">
        <f>SUMIFS(Tab_10.Out[MOVIMENTO],Tab_10.Out[CONTA],$F125)</f>
        <v>-610.49</v>
      </c>
      <c r="R125" s="4">
        <f>SUMIFS(Tab_11.Nov[MOVIMENTO],Tab_11.Nov[CONTA],$F125)</f>
        <v>-15.43</v>
      </c>
      <c r="S125" s="4">
        <f>SUMIFS(Tab_12.Dez[MOVIMENTO],Tab_12.Dez[CONTA],$F125)</f>
        <v>19874.689999999999</v>
      </c>
    </row>
    <row r="126" spans="2:19" x14ac:dyDescent="0.3">
      <c r="B126" s="3"/>
      <c r="C126" s="2" t="str">
        <f t="shared" si="15"/>
        <v>P</v>
      </c>
      <c r="D126" s="2" t="str">
        <f t="shared" si="16"/>
        <v>S</v>
      </c>
      <c r="E126" s="2">
        <f t="shared" si="17"/>
        <v>5</v>
      </c>
      <c r="F126" s="3" t="s">
        <v>225</v>
      </c>
      <c r="G126" s="3" t="s">
        <v>665</v>
      </c>
      <c r="H126" s="4">
        <f>SUMIFS(Tab_01.Jan[MOVIMENTO],Tab_01.Jan[CONTA],$F126)</f>
        <v>-2462.9299999999998</v>
      </c>
      <c r="I126" s="4">
        <f>SUMIFS(Tab_02.Fev[MOVIMENTO],Tab_02.Fev[CONTA],$F126)</f>
        <v>-37.78</v>
      </c>
      <c r="J126" s="4">
        <f>SUMIFS(Tab_03.Mar[MOVIMENTO],Tab_03.Mar[CONTA],$F126)</f>
        <v>18.579999999999998</v>
      </c>
      <c r="K126" s="4">
        <f>SUMIFS(Tab_04.Abr[MOVIMENTO],Tab_04.Abr[CONTA],$F126)</f>
        <v>-239.38</v>
      </c>
      <c r="L126" s="4">
        <f>SUMIFS(Tab_05.Mai[MOVIMENTO],Tab_05.Mai[CONTA],$F126)</f>
        <v>253.98</v>
      </c>
      <c r="M126" s="4">
        <f>SUMIFS(Tab_06.Jun[MOVIMENTO],Tab_06.Jun[CONTA],$F126)</f>
        <v>-51.2</v>
      </c>
      <c r="N126" s="4">
        <f>SUMIFS(Tab_07.Jul[MOVIMENTO],Tab_07.Jul[CONTA],$F126)</f>
        <v>169.15</v>
      </c>
      <c r="O126" s="4">
        <f>SUMIFS(Tab_08.Ago[MOVIMENTO],Tab_08.Ago[CONTA],$F126)</f>
        <v>-45.71</v>
      </c>
      <c r="P126" s="4">
        <f>SUMIFS(Tab_09.Set[MOVIMENTO],Tab_09.Set[CONTA],$F126)</f>
        <v>-46.44</v>
      </c>
      <c r="Q126" s="4">
        <f>SUMIFS(Tab_10.Out[MOVIMENTO],Tab_10.Out[CONTA],$F126)</f>
        <v>-610.49</v>
      </c>
      <c r="R126" s="4">
        <f>SUMIFS(Tab_11.Nov[MOVIMENTO],Tab_11.Nov[CONTA],$F126)</f>
        <v>-15.43</v>
      </c>
      <c r="S126" s="4">
        <f>SUMIFS(Tab_12.Dez[MOVIMENTO],Tab_12.Dez[CONTA],$F126)</f>
        <v>19874.689999999999</v>
      </c>
    </row>
    <row r="127" spans="2:19" x14ac:dyDescent="0.3">
      <c r="B127" s="3" t="s">
        <v>55</v>
      </c>
      <c r="C127" s="2" t="str">
        <f t="shared" si="15"/>
        <v>P</v>
      </c>
      <c r="D127" s="2" t="str">
        <f t="shared" si="16"/>
        <v>A</v>
      </c>
      <c r="E127" s="2">
        <f t="shared" si="17"/>
        <v>5</v>
      </c>
      <c r="F127" s="3" t="s">
        <v>356</v>
      </c>
      <c r="G127" s="3" t="s">
        <v>357</v>
      </c>
      <c r="H127" s="4">
        <f>SUMIFS(Tab_01.Jan[MOVIMENTO],Tab_01.Jan[CONTA],$F127)</f>
        <v>-2462.9299999999998</v>
      </c>
      <c r="I127" s="4">
        <f>SUMIFS(Tab_02.Fev[MOVIMENTO],Tab_02.Fev[CONTA],$F127)</f>
        <v>-37.78</v>
      </c>
      <c r="J127" s="4">
        <f>SUMIFS(Tab_03.Mar[MOVIMENTO],Tab_03.Mar[CONTA],$F127)</f>
        <v>18.579999999999998</v>
      </c>
      <c r="K127" s="4">
        <f>SUMIFS(Tab_04.Abr[MOVIMENTO],Tab_04.Abr[CONTA],$F127)</f>
        <v>-239.38</v>
      </c>
      <c r="L127" s="4">
        <f>SUMIFS(Tab_05.Mai[MOVIMENTO],Tab_05.Mai[CONTA],$F127)</f>
        <v>253.98</v>
      </c>
      <c r="M127" s="4">
        <f>SUMIFS(Tab_06.Jun[MOVIMENTO],Tab_06.Jun[CONTA],$F127)</f>
        <v>-51.2</v>
      </c>
      <c r="N127" s="4">
        <f>SUMIFS(Tab_07.Jul[MOVIMENTO],Tab_07.Jul[CONTA],$F127)</f>
        <v>169.15</v>
      </c>
      <c r="O127" s="4">
        <f>SUMIFS(Tab_08.Ago[MOVIMENTO],Tab_08.Ago[CONTA],$F127)</f>
        <v>-45.71</v>
      </c>
      <c r="P127" s="4">
        <f>SUMIFS(Tab_09.Set[MOVIMENTO],Tab_09.Set[CONTA],$F127)</f>
        <v>-46.44</v>
      </c>
      <c r="Q127" s="4">
        <f>SUMIFS(Tab_10.Out[MOVIMENTO],Tab_10.Out[CONTA],$F127)</f>
        <v>-610.49</v>
      </c>
      <c r="R127" s="4">
        <f>SUMIFS(Tab_11.Nov[MOVIMENTO],Tab_11.Nov[CONTA],$F127)</f>
        <v>-15.43</v>
      </c>
      <c r="S127" s="4">
        <f>SUMIFS(Tab_12.Dez[MOVIMENTO],Tab_12.Dez[CONTA],$F127)</f>
        <v>19874.689999999999</v>
      </c>
    </row>
    <row r="128" spans="2:19" x14ac:dyDescent="0.3">
      <c r="B128" s="3"/>
      <c r="C128" s="2" t="str">
        <f t="shared" ref="C128:C162" si="18">IF($F128="","",IF(LEFT($F128,1)*1=1,"A",IF(LEFT($F128,1)*1=2,"P",IF(LEFT($F128,1)*1=3,"R",IF(LEFT($F128,1)*1=4,"C",IF(LEFT($F128,1)*1=5,"C",IF(LEFT($F128,1)*1=6,"C","")))))))</f>
        <v>P</v>
      </c>
      <c r="D128" s="2" t="str">
        <f t="shared" ref="D128:D162" si="19">IF($F128="","",IF(LEN($F128)=13,"A","S"))</f>
        <v>S</v>
      </c>
      <c r="E128" s="2">
        <f t="shared" ref="E128:E162" si="20">IF($F128="","",IF(LEN($F128)=1,1,IF(LEN($F128)=3,2,IF(LEN($F128)=5,3,IF(LEN($F128)=8,4,5)))))</f>
        <v>5</v>
      </c>
      <c r="F128" s="3" t="s">
        <v>564</v>
      </c>
      <c r="G128" s="3" t="s">
        <v>666</v>
      </c>
      <c r="H128" s="4">
        <f>SUMIFS(Tab_01.Jan[MOVIMENTO],Tab_01.Jan[CONTA],$F128)</f>
        <v>0</v>
      </c>
      <c r="I128" s="4">
        <f>SUMIFS(Tab_02.Fev[MOVIMENTO],Tab_02.Fev[CONTA],$F128)</f>
        <v>0</v>
      </c>
      <c r="J128" s="4">
        <f>SUMIFS(Tab_03.Mar[MOVIMENTO],Tab_03.Mar[CONTA],$F128)</f>
        <v>0</v>
      </c>
      <c r="K128" s="4">
        <f>SUMIFS(Tab_04.Abr[MOVIMENTO],Tab_04.Abr[CONTA],$F128)</f>
        <v>0</v>
      </c>
      <c r="L128" s="4">
        <f>SUMIFS(Tab_05.Mai[MOVIMENTO],Tab_05.Mai[CONTA],$F128)</f>
        <v>0</v>
      </c>
      <c r="M128" s="4">
        <f>SUMIFS(Tab_06.Jun[MOVIMENTO],Tab_06.Jun[CONTA],$F128)</f>
        <v>0</v>
      </c>
      <c r="N128" s="4">
        <f>SUMIFS(Tab_07.Jul[MOVIMENTO],Tab_07.Jul[CONTA],$F128)</f>
        <v>0</v>
      </c>
      <c r="O128" s="4">
        <f>SUMIFS(Tab_08.Ago[MOVIMENTO],Tab_08.Ago[CONTA],$F128)</f>
        <v>0</v>
      </c>
      <c r="P128" s="4">
        <f>SUMIFS(Tab_09.Set[MOVIMENTO],Tab_09.Set[CONTA],$F128)</f>
        <v>0</v>
      </c>
      <c r="Q128" s="4">
        <f>SUMIFS(Tab_10.Out[MOVIMENTO],Tab_10.Out[CONTA],$F128)</f>
        <v>0</v>
      </c>
      <c r="R128" s="4">
        <f>SUMIFS(Tab_11.Nov[MOVIMENTO],Tab_11.Nov[CONTA],$F128)</f>
        <v>0</v>
      </c>
      <c r="S128" s="4">
        <f>SUMIFS(Tab_12.Dez[MOVIMENTO],Tab_12.Dez[CONTA],$F128)</f>
        <v>0</v>
      </c>
    </row>
    <row r="129" spans="2:19" x14ac:dyDescent="0.3">
      <c r="B129" s="3"/>
      <c r="C129" s="2" t="str">
        <f t="shared" si="18"/>
        <v>P</v>
      </c>
      <c r="D129" s="2" t="str">
        <f t="shared" si="19"/>
        <v>S</v>
      </c>
      <c r="E129" s="2">
        <f t="shared" si="20"/>
        <v>5</v>
      </c>
      <c r="F129" s="3" t="s">
        <v>565</v>
      </c>
      <c r="G129" s="3" t="s">
        <v>667</v>
      </c>
      <c r="H129" s="4">
        <f>SUMIFS(Tab_01.Jan[MOVIMENTO],Tab_01.Jan[CONTA],$F129)</f>
        <v>0</v>
      </c>
      <c r="I129" s="4">
        <f>SUMIFS(Tab_02.Fev[MOVIMENTO],Tab_02.Fev[CONTA],$F129)</f>
        <v>0</v>
      </c>
      <c r="J129" s="4">
        <f>SUMIFS(Tab_03.Mar[MOVIMENTO],Tab_03.Mar[CONTA],$F129)</f>
        <v>0</v>
      </c>
      <c r="K129" s="4">
        <f>SUMIFS(Tab_04.Abr[MOVIMENTO],Tab_04.Abr[CONTA],$F129)</f>
        <v>0</v>
      </c>
      <c r="L129" s="4">
        <f>SUMIFS(Tab_05.Mai[MOVIMENTO],Tab_05.Mai[CONTA],$F129)</f>
        <v>0</v>
      </c>
      <c r="M129" s="4">
        <f>SUMIFS(Tab_06.Jun[MOVIMENTO],Tab_06.Jun[CONTA],$F129)</f>
        <v>0</v>
      </c>
      <c r="N129" s="4">
        <f>SUMIFS(Tab_07.Jul[MOVIMENTO],Tab_07.Jul[CONTA],$F129)</f>
        <v>0</v>
      </c>
      <c r="O129" s="4">
        <f>SUMIFS(Tab_08.Ago[MOVIMENTO],Tab_08.Ago[CONTA],$F129)</f>
        <v>0</v>
      </c>
      <c r="P129" s="4">
        <f>SUMIFS(Tab_09.Set[MOVIMENTO],Tab_09.Set[CONTA],$F129)</f>
        <v>0</v>
      </c>
      <c r="Q129" s="4">
        <f>SUMIFS(Tab_10.Out[MOVIMENTO],Tab_10.Out[CONTA],$F129)</f>
        <v>0</v>
      </c>
      <c r="R129" s="4">
        <f>SUMIFS(Tab_11.Nov[MOVIMENTO],Tab_11.Nov[CONTA],$F129)</f>
        <v>0</v>
      </c>
      <c r="S129" s="4">
        <f>SUMIFS(Tab_12.Dez[MOVIMENTO],Tab_12.Dez[CONTA],$F129)</f>
        <v>0</v>
      </c>
    </row>
    <row r="130" spans="2:19" x14ac:dyDescent="0.3">
      <c r="B130" s="3" t="s">
        <v>54</v>
      </c>
      <c r="C130" s="2" t="str">
        <f t="shared" si="18"/>
        <v>P</v>
      </c>
      <c r="D130" s="2" t="str">
        <f t="shared" si="19"/>
        <v>A</v>
      </c>
      <c r="E130" s="2">
        <f t="shared" si="20"/>
        <v>5</v>
      </c>
      <c r="F130" s="3" t="s">
        <v>358</v>
      </c>
      <c r="G130" s="3" t="s">
        <v>359</v>
      </c>
      <c r="H130" s="4">
        <f>SUMIFS(Tab_01.Jan[MOVIMENTO],Tab_01.Jan[CONTA],$F130)</f>
        <v>0</v>
      </c>
      <c r="I130" s="4">
        <f>SUMIFS(Tab_02.Fev[MOVIMENTO],Tab_02.Fev[CONTA],$F130)</f>
        <v>0</v>
      </c>
      <c r="J130" s="4">
        <f>SUMIFS(Tab_03.Mar[MOVIMENTO],Tab_03.Mar[CONTA],$F130)</f>
        <v>0</v>
      </c>
      <c r="K130" s="4">
        <f>SUMIFS(Tab_04.Abr[MOVIMENTO],Tab_04.Abr[CONTA],$F130)</f>
        <v>0</v>
      </c>
      <c r="L130" s="4">
        <f>SUMIFS(Tab_05.Mai[MOVIMENTO],Tab_05.Mai[CONTA],$F130)</f>
        <v>0</v>
      </c>
      <c r="M130" s="4">
        <f>SUMIFS(Tab_06.Jun[MOVIMENTO],Tab_06.Jun[CONTA],$F130)</f>
        <v>0</v>
      </c>
      <c r="N130" s="4">
        <f>SUMIFS(Tab_07.Jul[MOVIMENTO],Tab_07.Jul[CONTA],$F130)</f>
        <v>0</v>
      </c>
      <c r="O130" s="4">
        <f>SUMIFS(Tab_08.Ago[MOVIMENTO],Tab_08.Ago[CONTA],$F130)</f>
        <v>0</v>
      </c>
      <c r="P130" s="4">
        <f>SUMIFS(Tab_09.Set[MOVIMENTO],Tab_09.Set[CONTA],$F130)</f>
        <v>0</v>
      </c>
      <c r="Q130" s="4">
        <f>SUMIFS(Tab_10.Out[MOVIMENTO],Tab_10.Out[CONTA],$F130)</f>
        <v>0</v>
      </c>
      <c r="R130" s="4">
        <f>SUMIFS(Tab_11.Nov[MOVIMENTO],Tab_11.Nov[CONTA],$F130)</f>
        <v>0</v>
      </c>
      <c r="S130" s="4">
        <f>SUMIFS(Tab_12.Dez[MOVIMENTO],Tab_12.Dez[CONTA],$F130)</f>
        <v>0</v>
      </c>
    </row>
    <row r="131" spans="2:19" x14ac:dyDescent="0.3">
      <c r="B131" s="3"/>
      <c r="C131" s="2" t="str">
        <f t="shared" si="18"/>
        <v>P</v>
      </c>
      <c r="D131" s="2" t="str">
        <f t="shared" si="19"/>
        <v>S</v>
      </c>
      <c r="E131" s="2">
        <f t="shared" si="20"/>
        <v>2</v>
      </c>
      <c r="F131" s="3" t="s">
        <v>226</v>
      </c>
      <c r="G131" s="3" t="s">
        <v>76</v>
      </c>
      <c r="H131" s="4">
        <f>SUMIFS(Tab_01.Jan[MOVIMENTO],Tab_01.Jan[CONTA],$F131)</f>
        <v>0</v>
      </c>
      <c r="I131" s="4">
        <f>SUMIFS(Tab_02.Fev[MOVIMENTO],Tab_02.Fev[CONTA],$F131)</f>
        <v>0</v>
      </c>
      <c r="J131" s="4">
        <f>SUMIFS(Tab_03.Mar[MOVIMENTO],Tab_03.Mar[CONTA],$F131)</f>
        <v>0</v>
      </c>
      <c r="K131" s="4">
        <f>SUMIFS(Tab_04.Abr[MOVIMENTO],Tab_04.Abr[CONTA],$F131)</f>
        <v>0</v>
      </c>
      <c r="L131" s="4">
        <f>SUMIFS(Tab_05.Mai[MOVIMENTO],Tab_05.Mai[CONTA],$F131)</f>
        <v>0</v>
      </c>
      <c r="M131" s="4">
        <f>SUMIFS(Tab_06.Jun[MOVIMENTO],Tab_06.Jun[CONTA],$F131)</f>
        <v>0</v>
      </c>
      <c r="N131" s="4">
        <f>SUMIFS(Tab_07.Jul[MOVIMENTO],Tab_07.Jul[CONTA],$F131)</f>
        <v>0</v>
      </c>
      <c r="O131" s="4">
        <f>SUMIFS(Tab_08.Ago[MOVIMENTO],Tab_08.Ago[CONTA],$F131)</f>
        <v>0</v>
      </c>
      <c r="P131" s="4">
        <f>SUMIFS(Tab_09.Set[MOVIMENTO],Tab_09.Set[CONTA],$F131)</f>
        <v>0</v>
      </c>
      <c r="Q131" s="4">
        <f>SUMIFS(Tab_10.Out[MOVIMENTO],Tab_10.Out[CONTA],$F131)</f>
        <v>0</v>
      </c>
      <c r="R131" s="4">
        <f>SUMIFS(Tab_11.Nov[MOVIMENTO],Tab_11.Nov[CONTA],$F131)</f>
        <v>0</v>
      </c>
      <c r="S131" s="4">
        <f>SUMIFS(Tab_12.Dez[MOVIMENTO],Tab_12.Dez[CONTA],$F131)</f>
        <v>46934.04</v>
      </c>
    </row>
    <row r="132" spans="2:19" x14ac:dyDescent="0.3">
      <c r="B132" s="3"/>
      <c r="C132" s="2" t="str">
        <f t="shared" si="18"/>
        <v>P</v>
      </c>
      <c r="D132" s="2" t="str">
        <f t="shared" si="19"/>
        <v>S</v>
      </c>
      <c r="E132" s="2">
        <f t="shared" si="20"/>
        <v>5</v>
      </c>
      <c r="F132" s="3" t="s">
        <v>566</v>
      </c>
      <c r="G132" s="3" t="s">
        <v>668</v>
      </c>
      <c r="H132" s="4">
        <f>SUMIFS(Tab_01.Jan[MOVIMENTO],Tab_01.Jan[CONTA],$F132)</f>
        <v>0</v>
      </c>
      <c r="I132" s="4">
        <f>SUMIFS(Tab_02.Fev[MOVIMENTO],Tab_02.Fev[CONTA],$F132)</f>
        <v>0</v>
      </c>
      <c r="J132" s="4">
        <f>SUMIFS(Tab_03.Mar[MOVIMENTO],Tab_03.Mar[CONTA],$F132)</f>
        <v>0</v>
      </c>
      <c r="K132" s="4">
        <f>SUMIFS(Tab_04.Abr[MOVIMENTO],Tab_04.Abr[CONTA],$F132)</f>
        <v>0</v>
      </c>
      <c r="L132" s="4">
        <f>SUMIFS(Tab_05.Mai[MOVIMENTO],Tab_05.Mai[CONTA],$F132)</f>
        <v>0</v>
      </c>
      <c r="M132" s="4">
        <f>SUMIFS(Tab_06.Jun[MOVIMENTO],Tab_06.Jun[CONTA],$F132)</f>
        <v>0</v>
      </c>
      <c r="N132" s="4">
        <f>SUMIFS(Tab_07.Jul[MOVIMENTO],Tab_07.Jul[CONTA],$F132)</f>
        <v>0</v>
      </c>
      <c r="O132" s="4">
        <f>SUMIFS(Tab_08.Ago[MOVIMENTO],Tab_08.Ago[CONTA],$F132)</f>
        <v>0</v>
      </c>
      <c r="P132" s="4">
        <f>SUMIFS(Tab_09.Set[MOVIMENTO],Tab_09.Set[CONTA],$F132)</f>
        <v>0</v>
      </c>
      <c r="Q132" s="4">
        <f>SUMIFS(Tab_10.Out[MOVIMENTO],Tab_10.Out[CONTA],$F132)</f>
        <v>0</v>
      </c>
      <c r="R132" s="4">
        <f>SUMIFS(Tab_11.Nov[MOVIMENTO],Tab_11.Nov[CONTA],$F132)</f>
        <v>0</v>
      </c>
      <c r="S132" s="4">
        <f>SUMIFS(Tab_12.Dez[MOVIMENTO],Tab_12.Dez[CONTA],$F132)</f>
        <v>46934.04</v>
      </c>
    </row>
    <row r="133" spans="2:19" x14ac:dyDescent="0.3">
      <c r="B133" s="3"/>
      <c r="C133" s="2" t="str">
        <f t="shared" si="18"/>
        <v>P</v>
      </c>
      <c r="D133" s="2" t="str">
        <f t="shared" si="19"/>
        <v>S</v>
      </c>
      <c r="E133" s="2">
        <f t="shared" si="20"/>
        <v>5</v>
      </c>
      <c r="F133" s="3" t="s">
        <v>567</v>
      </c>
      <c r="G133" s="3" t="s">
        <v>669</v>
      </c>
      <c r="H133" s="4">
        <f>SUMIFS(Tab_01.Jan[MOVIMENTO],Tab_01.Jan[CONTA],$F133)</f>
        <v>0</v>
      </c>
      <c r="I133" s="4">
        <f>SUMIFS(Tab_02.Fev[MOVIMENTO],Tab_02.Fev[CONTA],$F133)</f>
        <v>0</v>
      </c>
      <c r="J133" s="4">
        <f>SUMIFS(Tab_03.Mar[MOVIMENTO],Tab_03.Mar[CONTA],$F133)</f>
        <v>0</v>
      </c>
      <c r="K133" s="4">
        <f>SUMIFS(Tab_04.Abr[MOVIMENTO],Tab_04.Abr[CONTA],$F133)</f>
        <v>0</v>
      </c>
      <c r="L133" s="4">
        <f>SUMIFS(Tab_05.Mai[MOVIMENTO],Tab_05.Mai[CONTA],$F133)</f>
        <v>0</v>
      </c>
      <c r="M133" s="4">
        <f>SUMIFS(Tab_06.Jun[MOVIMENTO],Tab_06.Jun[CONTA],$F133)</f>
        <v>0</v>
      </c>
      <c r="N133" s="4">
        <f>SUMIFS(Tab_07.Jul[MOVIMENTO],Tab_07.Jul[CONTA],$F133)</f>
        <v>0</v>
      </c>
      <c r="O133" s="4">
        <f>SUMIFS(Tab_08.Ago[MOVIMENTO],Tab_08.Ago[CONTA],$F133)</f>
        <v>0</v>
      </c>
      <c r="P133" s="4">
        <f>SUMIFS(Tab_09.Set[MOVIMENTO],Tab_09.Set[CONTA],$F133)</f>
        <v>0</v>
      </c>
      <c r="Q133" s="4">
        <f>SUMIFS(Tab_10.Out[MOVIMENTO],Tab_10.Out[CONTA],$F133)</f>
        <v>0</v>
      </c>
      <c r="R133" s="4">
        <f>SUMIFS(Tab_11.Nov[MOVIMENTO],Tab_11.Nov[CONTA],$F133)</f>
        <v>0</v>
      </c>
      <c r="S133" s="4">
        <f>SUMIFS(Tab_12.Dez[MOVIMENTO],Tab_12.Dez[CONTA],$F133)</f>
        <v>46934.04</v>
      </c>
    </row>
    <row r="134" spans="2:19" x14ac:dyDescent="0.3">
      <c r="B134" s="3" t="s">
        <v>122</v>
      </c>
      <c r="C134" s="2" t="str">
        <f t="shared" si="18"/>
        <v>P</v>
      </c>
      <c r="D134" s="2" t="str">
        <f t="shared" si="19"/>
        <v>A</v>
      </c>
      <c r="E134" s="2">
        <f t="shared" si="20"/>
        <v>5</v>
      </c>
      <c r="F134" s="3" t="s">
        <v>360</v>
      </c>
      <c r="G134" s="3" t="s">
        <v>361</v>
      </c>
      <c r="H134" s="4">
        <f>SUMIFS(Tab_01.Jan[MOVIMENTO],Tab_01.Jan[CONTA],$F134)</f>
        <v>0</v>
      </c>
      <c r="I134" s="4">
        <f>SUMIFS(Tab_02.Fev[MOVIMENTO],Tab_02.Fev[CONTA],$F134)</f>
        <v>0</v>
      </c>
      <c r="J134" s="4">
        <f>SUMIFS(Tab_03.Mar[MOVIMENTO],Tab_03.Mar[CONTA],$F134)</f>
        <v>0</v>
      </c>
      <c r="K134" s="4">
        <f>SUMIFS(Tab_04.Abr[MOVIMENTO],Tab_04.Abr[CONTA],$F134)</f>
        <v>0</v>
      </c>
      <c r="L134" s="4">
        <f>SUMIFS(Tab_05.Mai[MOVIMENTO],Tab_05.Mai[CONTA],$F134)</f>
        <v>0</v>
      </c>
      <c r="M134" s="4">
        <f>SUMIFS(Tab_06.Jun[MOVIMENTO],Tab_06.Jun[CONTA],$F134)</f>
        <v>0</v>
      </c>
      <c r="N134" s="4">
        <f>SUMIFS(Tab_07.Jul[MOVIMENTO],Tab_07.Jul[CONTA],$F134)</f>
        <v>0</v>
      </c>
      <c r="O134" s="4">
        <f>SUMIFS(Tab_08.Ago[MOVIMENTO],Tab_08.Ago[CONTA],$F134)</f>
        <v>0</v>
      </c>
      <c r="P134" s="4">
        <f>SUMIFS(Tab_09.Set[MOVIMENTO],Tab_09.Set[CONTA],$F134)</f>
        <v>0</v>
      </c>
      <c r="Q134" s="4">
        <f>SUMIFS(Tab_10.Out[MOVIMENTO],Tab_10.Out[CONTA],$F134)</f>
        <v>0</v>
      </c>
      <c r="R134" s="4">
        <f>SUMIFS(Tab_11.Nov[MOVIMENTO],Tab_11.Nov[CONTA],$F134)</f>
        <v>0</v>
      </c>
      <c r="S134" s="4">
        <f>SUMIFS(Tab_12.Dez[MOVIMENTO],Tab_12.Dez[CONTA],$F134)</f>
        <v>31934.04</v>
      </c>
    </row>
    <row r="135" spans="2:19" x14ac:dyDescent="0.3">
      <c r="B135" s="3" t="s">
        <v>122</v>
      </c>
      <c r="C135" s="2" t="str">
        <f t="shared" si="18"/>
        <v>P</v>
      </c>
      <c r="D135" s="2" t="str">
        <f t="shared" si="19"/>
        <v>A</v>
      </c>
      <c r="E135" s="2">
        <f t="shared" si="20"/>
        <v>5</v>
      </c>
      <c r="F135" s="3" t="s">
        <v>362</v>
      </c>
      <c r="G135" s="3" t="s">
        <v>363</v>
      </c>
      <c r="H135" s="4">
        <f>SUMIFS(Tab_01.Jan[MOVIMENTO],Tab_01.Jan[CONTA],$F135)</f>
        <v>0</v>
      </c>
      <c r="I135" s="4">
        <f>SUMIFS(Tab_02.Fev[MOVIMENTO],Tab_02.Fev[CONTA],$F135)</f>
        <v>0</v>
      </c>
      <c r="J135" s="4">
        <f>SUMIFS(Tab_03.Mar[MOVIMENTO],Tab_03.Mar[CONTA],$F135)</f>
        <v>0</v>
      </c>
      <c r="K135" s="4">
        <f>SUMIFS(Tab_04.Abr[MOVIMENTO],Tab_04.Abr[CONTA],$F135)</f>
        <v>0</v>
      </c>
      <c r="L135" s="4">
        <f>SUMIFS(Tab_05.Mai[MOVIMENTO],Tab_05.Mai[CONTA],$F135)</f>
        <v>0</v>
      </c>
      <c r="M135" s="4">
        <f>SUMIFS(Tab_06.Jun[MOVIMENTO],Tab_06.Jun[CONTA],$F135)</f>
        <v>0</v>
      </c>
      <c r="N135" s="4">
        <f>SUMIFS(Tab_07.Jul[MOVIMENTO],Tab_07.Jul[CONTA],$F135)</f>
        <v>0</v>
      </c>
      <c r="O135" s="4">
        <f>SUMIFS(Tab_08.Ago[MOVIMENTO],Tab_08.Ago[CONTA],$F135)</f>
        <v>0</v>
      </c>
      <c r="P135" s="4">
        <f>SUMIFS(Tab_09.Set[MOVIMENTO],Tab_09.Set[CONTA],$F135)</f>
        <v>0</v>
      </c>
      <c r="Q135" s="4">
        <f>SUMIFS(Tab_10.Out[MOVIMENTO],Tab_10.Out[CONTA],$F135)</f>
        <v>0</v>
      </c>
      <c r="R135" s="4">
        <f>SUMIFS(Tab_11.Nov[MOVIMENTO],Tab_11.Nov[CONTA],$F135)</f>
        <v>0</v>
      </c>
      <c r="S135" s="4">
        <f>SUMIFS(Tab_12.Dez[MOVIMENTO],Tab_12.Dez[CONTA],$F135)</f>
        <v>15000</v>
      </c>
    </row>
    <row r="136" spans="2:19" x14ac:dyDescent="0.3">
      <c r="B136" s="3"/>
      <c r="C136" s="2" t="str">
        <f t="shared" si="18"/>
        <v>P</v>
      </c>
      <c r="D136" s="2" t="str">
        <f t="shared" si="19"/>
        <v>S</v>
      </c>
      <c r="E136" s="2">
        <f t="shared" si="20"/>
        <v>2</v>
      </c>
      <c r="F136" s="3" t="s">
        <v>228</v>
      </c>
      <c r="G136" s="3" t="s">
        <v>670</v>
      </c>
      <c r="H136" s="4">
        <f>SUMIFS(Tab_01.Jan[MOVIMENTO],Tab_01.Jan[CONTA],$F136)</f>
        <v>-236918.98</v>
      </c>
      <c r="I136" s="4">
        <f>SUMIFS(Tab_02.Fev[MOVIMENTO],Tab_02.Fev[CONTA],$F136)</f>
        <v>0</v>
      </c>
      <c r="J136" s="4">
        <f>SUMIFS(Tab_03.Mar[MOVIMENTO],Tab_03.Mar[CONTA],$F136)</f>
        <v>0</v>
      </c>
      <c r="K136" s="4">
        <f>SUMIFS(Tab_04.Abr[MOVIMENTO],Tab_04.Abr[CONTA],$F136)</f>
        <v>0</v>
      </c>
      <c r="L136" s="4">
        <f>SUMIFS(Tab_05.Mai[MOVIMENTO],Tab_05.Mai[CONTA],$F136)</f>
        <v>0</v>
      </c>
      <c r="M136" s="4">
        <f>SUMIFS(Tab_06.Jun[MOVIMENTO],Tab_06.Jun[CONTA],$F136)</f>
        <v>0</v>
      </c>
      <c r="N136" s="4">
        <f>SUMIFS(Tab_07.Jul[MOVIMENTO],Tab_07.Jul[CONTA],$F136)</f>
        <v>0</v>
      </c>
      <c r="O136" s="4">
        <f>SUMIFS(Tab_08.Ago[MOVIMENTO],Tab_08.Ago[CONTA],$F136)</f>
        <v>0</v>
      </c>
      <c r="P136" s="4">
        <f>SUMIFS(Tab_09.Set[MOVIMENTO],Tab_09.Set[CONTA],$F136)</f>
        <v>0</v>
      </c>
      <c r="Q136" s="4">
        <f>SUMIFS(Tab_10.Out[MOVIMENTO],Tab_10.Out[CONTA],$F136)</f>
        <v>0</v>
      </c>
      <c r="R136" s="4">
        <f>SUMIFS(Tab_11.Nov[MOVIMENTO],Tab_11.Nov[CONTA],$F136)</f>
        <v>0</v>
      </c>
      <c r="S136" s="4">
        <f>SUMIFS(Tab_12.Dez[MOVIMENTO],Tab_12.Dez[CONTA],$F136)</f>
        <v>-1037831.24</v>
      </c>
    </row>
    <row r="137" spans="2:19" x14ac:dyDescent="0.3">
      <c r="B137" s="3"/>
      <c r="C137" s="2" t="str">
        <f t="shared" si="18"/>
        <v>P</v>
      </c>
      <c r="D137" s="2" t="str">
        <f t="shared" si="19"/>
        <v>S</v>
      </c>
      <c r="E137" s="2">
        <f t="shared" si="20"/>
        <v>5</v>
      </c>
      <c r="F137" s="3" t="s">
        <v>229</v>
      </c>
      <c r="G137" s="3" t="s">
        <v>670</v>
      </c>
      <c r="H137" s="4">
        <f>SUMIFS(Tab_01.Jan[MOVIMENTO],Tab_01.Jan[CONTA],$F137)</f>
        <v>-236918.98</v>
      </c>
      <c r="I137" s="4">
        <f>SUMIFS(Tab_02.Fev[MOVIMENTO],Tab_02.Fev[CONTA],$F137)</f>
        <v>0</v>
      </c>
      <c r="J137" s="4">
        <f>SUMIFS(Tab_03.Mar[MOVIMENTO],Tab_03.Mar[CONTA],$F137)</f>
        <v>0</v>
      </c>
      <c r="K137" s="4">
        <f>SUMIFS(Tab_04.Abr[MOVIMENTO],Tab_04.Abr[CONTA],$F137)</f>
        <v>0</v>
      </c>
      <c r="L137" s="4">
        <f>SUMIFS(Tab_05.Mai[MOVIMENTO],Tab_05.Mai[CONTA],$F137)</f>
        <v>0</v>
      </c>
      <c r="M137" s="4">
        <f>SUMIFS(Tab_06.Jun[MOVIMENTO],Tab_06.Jun[CONTA],$F137)</f>
        <v>0</v>
      </c>
      <c r="N137" s="4">
        <f>SUMIFS(Tab_07.Jul[MOVIMENTO],Tab_07.Jul[CONTA],$F137)</f>
        <v>0</v>
      </c>
      <c r="O137" s="4">
        <f>SUMIFS(Tab_08.Ago[MOVIMENTO],Tab_08.Ago[CONTA],$F137)</f>
        <v>0</v>
      </c>
      <c r="P137" s="4">
        <f>SUMIFS(Tab_09.Set[MOVIMENTO],Tab_09.Set[CONTA],$F137)</f>
        <v>0</v>
      </c>
      <c r="Q137" s="4">
        <f>SUMIFS(Tab_10.Out[MOVIMENTO],Tab_10.Out[CONTA],$F137)</f>
        <v>0</v>
      </c>
      <c r="R137" s="4">
        <f>SUMIFS(Tab_11.Nov[MOVIMENTO],Tab_11.Nov[CONTA],$F137)</f>
        <v>0</v>
      </c>
      <c r="S137" s="4">
        <f>SUMIFS(Tab_12.Dez[MOVIMENTO],Tab_12.Dez[CONTA],$F137)</f>
        <v>-1037831.24</v>
      </c>
    </row>
    <row r="138" spans="2:19" x14ac:dyDescent="0.3">
      <c r="B138" s="3"/>
      <c r="C138" s="2" t="str">
        <f t="shared" si="18"/>
        <v>P</v>
      </c>
      <c r="D138" s="2" t="str">
        <f t="shared" si="19"/>
        <v>S</v>
      </c>
      <c r="E138" s="2">
        <f t="shared" si="20"/>
        <v>5</v>
      </c>
      <c r="F138" s="3" t="s">
        <v>230</v>
      </c>
      <c r="G138" s="3" t="s">
        <v>364</v>
      </c>
      <c r="H138" s="4">
        <f>SUMIFS(Tab_01.Jan[MOVIMENTO],Tab_01.Jan[CONTA],$F138)</f>
        <v>0</v>
      </c>
      <c r="I138" s="4">
        <f>SUMIFS(Tab_02.Fev[MOVIMENTO],Tab_02.Fev[CONTA],$F138)</f>
        <v>0</v>
      </c>
      <c r="J138" s="4">
        <f>SUMIFS(Tab_03.Mar[MOVIMENTO],Tab_03.Mar[CONTA],$F138)</f>
        <v>0</v>
      </c>
      <c r="K138" s="4">
        <f>SUMIFS(Tab_04.Abr[MOVIMENTO],Tab_04.Abr[CONTA],$F138)</f>
        <v>0</v>
      </c>
      <c r="L138" s="4">
        <f>SUMIFS(Tab_05.Mai[MOVIMENTO],Tab_05.Mai[CONTA],$F138)</f>
        <v>0</v>
      </c>
      <c r="M138" s="4">
        <f>SUMIFS(Tab_06.Jun[MOVIMENTO],Tab_06.Jun[CONTA],$F138)</f>
        <v>0</v>
      </c>
      <c r="N138" s="4">
        <f>SUMIFS(Tab_07.Jul[MOVIMENTO],Tab_07.Jul[CONTA],$F138)</f>
        <v>0</v>
      </c>
      <c r="O138" s="4">
        <f>SUMIFS(Tab_08.Ago[MOVIMENTO],Tab_08.Ago[CONTA],$F138)</f>
        <v>0</v>
      </c>
      <c r="P138" s="4">
        <f>SUMIFS(Tab_09.Set[MOVIMENTO],Tab_09.Set[CONTA],$F138)</f>
        <v>0</v>
      </c>
      <c r="Q138" s="4">
        <f>SUMIFS(Tab_10.Out[MOVIMENTO],Tab_10.Out[CONTA],$F138)</f>
        <v>0</v>
      </c>
      <c r="R138" s="4">
        <f>SUMIFS(Tab_11.Nov[MOVIMENTO],Tab_11.Nov[CONTA],$F138)</f>
        <v>0</v>
      </c>
      <c r="S138" s="4">
        <f>SUMIFS(Tab_12.Dez[MOVIMENTO],Tab_12.Dez[CONTA],$F138)</f>
        <v>0</v>
      </c>
    </row>
    <row r="139" spans="2:19" x14ac:dyDescent="0.3">
      <c r="B139" s="3" t="s">
        <v>61</v>
      </c>
      <c r="C139" s="2" t="str">
        <f t="shared" si="18"/>
        <v>P</v>
      </c>
      <c r="D139" s="2" t="str">
        <f t="shared" si="19"/>
        <v>A</v>
      </c>
      <c r="E139" s="2">
        <f t="shared" si="20"/>
        <v>5</v>
      </c>
      <c r="F139" s="3" t="s">
        <v>193</v>
      </c>
      <c r="G139" s="3" t="s">
        <v>364</v>
      </c>
      <c r="H139" s="4">
        <f>SUMIFS(Tab_01.Jan[MOVIMENTO],Tab_01.Jan[CONTA],$F139)</f>
        <v>0</v>
      </c>
      <c r="I139" s="4">
        <f>SUMIFS(Tab_02.Fev[MOVIMENTO],Tab_02.Fev[CONTA],$F139)</f>
        <v>0</v>
      </c>
      <c r="J139" s="4">
        <f>SUMIFS(Tab_03.Mar[MOVIMENTO],Tab_03.Mar[CONTA],$F139)</f>
        <v>0</v>
      </c>
      <c r="K139" s="4">
        <f>SUMIFS(Tab_04.Abr[MOVIMENTO],Tab_04.Abr[CONTA],$F139)</f>
        <v>0</v>
      </c>
      <c r="L139" s="4">
        <f>SUMIFS(Tab_05.Mai[MOVIMENTO],Tab_05.Mai[CONTA],$F139)</f>
        <v>0</v>
      </c>
      <c r="M139" s="4">
        <f>SUMIFS(Tab_06.Jun[MOVIMENTO],Tab_06.Jun[CONTA],$F139)</f>
        <v>0</v>
      </c>
      <c r="N139" s="4">
        <f>SUMIFS(Tab_07.Jul[MOVIMENTO],Tab_07.Jul[CONTA],$F139)</f>
        <v>0</v>
      </c>
      <c r="O139" s="4">
        <f>SUMIFS(Tab_08.Ago[MOVIMENTO],Tab_08.Ago[CONTA],$F139)</f>
        <v>0</v>
      </c>
      <c r="P139" s="4">
        <f>SUMIFS(Tab_09.Set[MOVIMENTO],Tab_09.Set[CONTA],$F139)</f>
        <v>0</v>
      </c>
      <c r="Q139" s="4">
        <f>SUMIFS(Tab_10.Out[MOVIMENTO],Tab_10.Out[CONTA],$F139)</f>
        <v>0</v>
      </c>
      <c r="R139" s="4">
        <f>SUMIFS(Tab_11.Nov[MOVIMENTO],Tab_11.Nov[CONTA],$F139)</f>
        <v>0</v>
      </c>
      <c r="S139" s="4">
        <f>SUMIFS(Tab_12.Dez[MOVIMENTO],Tab_12.Dez[CONTA],$F139)</f>
        <v>0</v>
      </c>
    </row>
    <row r="140" spans="2:19" x14ac:dyDescent="0.3">
      <c r="B140" s="3"/>
      <c r="C140" s="2" t="str">
        <f t="shared" si="18"/>
        <v>P</v>
      </c>
      <c r="D140" s="2" t="str">
        <f t="shared" si="19"/>
        <v>S</v>
      </c>
      <c r="E140" s="2">
        <f t="shared" si="20"/>
        <v>5</v>
      </c>
      <c r="F140" s="3" t="s">
        <v>568</v>
      </c>
      <c r="G140" s="3" t="s">
        <v>671</v>
      </c>
      <c r="H140" s="4">
        <f>SUMIFS(Tab_01.Jan[MOVIMENTO],Tab_01.Jan[CONTA],$F140)</f>
        <v>0</v>
      </c>
      <c r="I140" s="4">
        <f>SUMIFS(Tab_02.Fev[MOVIMENTO],Tab_02.Fev[CONTA],$F140)</f>
        <v>0</v>
      </c>
      <c r="J140" s="4">
        <f>SUMIFS(Tab_03.Mar[MOVIMENTO],Tab_03.Mar[CONTA],$F140)</f>
        <v>0</v>
      </c>
      <c r="K140" s="4">
        <f>SUMIFS(Tab_04.Abr[MOVIMENTO],Tab_04.Abr[CONTA],$F140)</f>
        <v>0</v>
      </c>
      <c r="L140" s="4">
        <f>SUMIFS(Tab_05.Mai[MOVIMENTO],Tab_05.Mai[CONTA],$F140)</f>
        <v>0</v>
      </c>
      <c r="M140" s="4">
        <f>SUMIFS(Tab_06.Jun[MOVIMENTO],Tab_06.Jun[CONTA],$F140)</f>
        <v>0</v>
      </c>
      <c r="N140" s="4">
        <f>SUMIFS(Tab_07.Jul[MOVIMENTO],Tab_07.Jul[CONTA],$F140)</f>
        <v>0</v>
      </c>
      <c r="O140" s="4">
        <f>SUMIFS(Tab_08.Ago[MOVIMENTO],Tab_08.Ago[CONTA],$F140)</f>
        <v>0</v>
      </c>
      <c r="P140" s="4">
        <f>SUMIFS(Tab_09.Set[MOVIMENTO],Tab_09.Set[CONTA],$F140)</f>
        <v>0</v>
      </c>
      <c r="Q140" s="4">
        <f>SUMIFS(Tab_10.Out[MOVIMENTO],Tab_10.Out[CONTA],$F140)</f>
        <v>0</v>
      </c>
      <c r="R140" s="4">
        <f>SUMIFS(Tab_11.Nov[MOVIMENTO],Tab_11.Nov[CONTA],$F140)</f>
        <v>0</v>
      </c>
      <c r="S140" s="4">
        <f>SUMIFS(Tab_12.Dez[MOVIMENTO],Tab_12.Dez[CONTA],$F140)</f>
        <v>0</v>
      </c>
    </row>
    <row r="141" spans="2:19" x14ac:dyDescent="0.3">
      <c r="B141" s="3" t="s">
        <v>163</v>
      </c>
      <c r="C141" s="2" t="str">
        <f t="shared" si="18"/>
        <v>P</v>
      </c>
      <c r="D141" s="2" t="str">
        <f t="shared" si="19"/>
        <v>A</v>
      </c>
      <c r="E141" s="2">
        <f t="shared" si="20"/>
        <v>5</v>
      </c>
      <c r="F141" s="3" t="s">
        <v>743</v>
      </c>
      <c r="G141" s="3" t="s">
        <v>744</v>
      </c>
      <c r="H141" s="4">
        <f>SUMIFS(Tab_01.Jan[MOVIMENTO],Tab_01.Jan[CONTA],$F141)</f>
        <v>0</v>
      </c>
      <c r="I141" s="4">
        <f>SUMIFS(Tab_02.Fev[MOVIMENTO],Tab_02.Fev[CONTA],$F141)</f>
        <v>0</v>
      </c>
      <c r="J141" s="4">
        <f>SUMIFS(Tab_03.Mar[MOVIMENTO],Tab_03.Mar[CONTA],$F141)</f>
        <v>0</v>
      </c>
      <c r="K141" s="4">
        <f>SUMIFS(Tab_04.Abr[MOVIMENTO],Tab_04.Abr[CONTA],$F141)</f>
        <v>0</v>
      </c>
      <c r="L141" s="4">
        <f>SUMIFS(Tab_05.Mai[MOVIMENTO],Tab_05.Mai[CONTA],$F141)</f>
        <v>0</v>
      </c>
      <c r="M141" s="4">
        <f>SUMIFS(Tab_06.Jun[MOVIMENTO],Tab_06.Jun[CONTA],$F141)</f>
        <v>0</v>
      </c>
      <c r="N141" s="4">
        <f>SUMIFS(Tab_07.Jul[MOVIMENTO],Tab_07.Jul[CONTA],$F141)</f>
        <v>0</v>
      </c>
      <c r="O141" s="4">
        <f>SUMIFS(Tab_08.Ago[MOVIMENTO],Tab_08.Ago[CONTA],$F141)</f>
        <v>0</v>
      </c>
      <c r="P141" s="4">
        <f>SUMIFS(Tab_09.Set[MOVIMENTO],Tab_09.Set[CONTA],$F141)</f>
        <v>0</v>
      </c>
      <c r="Q141" s="4">
        <f>SUMIFS(Tab_10.Out[MOVIMENTO],Tab_10.Out[CONTA],$F141)</f>
        <v>0</v>
      </c>
      <c r="R141" s="4">
        <f>SUMIFS(Tab_11.Nov[MOVIMENTO],Tab_11.Nov[CONTA],$F141)</f>
        <v>0</v>
      </c>
      <c r="S141" s="4">
        <f>SUMIFS(Tab_12.Dez[MOVIMENTO],Tab_12.Dez[CONTA],$F141)</f>
        <v>0</v>
      </c>
    </row>
    <row r="142" spans="2:19" x14ac:dyDescent="0.3">
      <c r="B142" s="3" t="s">
        <v>163</v>
      </c>
      <c r="C142" s="2" t="str">
        <f t="shared" si="18"/>
        <v>P</v>
      </c>
      <c r="D142" s="2" t="str">
        <f t="shared" si="19"/>
        <v>A</v>
      </c>
      <c r="E142" s="2">
        <f t="shared" si="20"/>
        <v>5</v>
      </c>
      <c r="F142" s="3" t="s">
        <v>365</v>
      </c>
      <c r="G142" s="3" t="s">
        <v>366</v>
      </c>
      <c r="H142" s="4">
        <f>SUMIFS(Tab_01.Jan[MOVIMENTO],Tab_01.Jan[CONTA],$F142)</f>
        <v>0</v>
      </c>
      <c r="I142" s="4">
        <f>SUMIFS(Tab_02.Fev[MOVIMENTO],Tab_02.Fev[CONTA],$F142)</f>
        <v>0</v>
      </c>
      <c r="J142" s="4">
        <f>SUMIFS(Tab_03.Mar[MOVIMENTO],Tab_03.Mar[CONTA],$F142)</f>
        <v>0</v>
      </c>
      <c r="K142" s="4">
        <f>SUMIFS(Tab_04.Abr[MOVIMENTO],Tab_04.Abr[CONTA],$F142)</f>
        <v>0</v>
      </c>
      <c r="L142" s="4">
        <f>SUMIFS(Tab_05.Mai[MOVIMENTO],Tab_05.Mai[CONTA],$F142)</f>
        <v>0</v>
      </c>
      <c r="M142" s="4">
        <f>SUMIFS(Tab_06.Jun[MOVIMENTO],Tab_06.Jun[CONTA],$F142)</f>
        <v>0</v>
      </c>
      <c r="N142" s="4">
        <f>SUMIFS(Tab_07.Jul[MOVIMENTO],Tab_07.Jul[CONTA],$F142)</f>
        <v>0</v>
      </c>
      <c r="O142" s="4">
        <f>SUMIFS(Tab_08.Ago[MOVIMENTO],Tab_08.Ago[CONTA],$F142)</f>
        <v>0</v>
      </c>
      <c r="P142" s="4">
        <f>SUMIFS(Tab_09.Set[MOVIMENTO],Tab_09.Set[CONTA],$F142)</f>
        <v>0</v>
      </c>
      <c r="Q142" s="4">
        <f>SUMIFS(Tab_10.Out[MOVIMENTO],Tab_10.Out[CONTA],$F142)</f>
        <v>0</v>
      </c>
      <c r="R142" s="4">
        <f>SUMIFS(Tab_11.Nov[MOVIMENTO],Tab_11.Nov[CONTA],$F142)</f>
        <v>0</v>
      </c>
      <c r="S142" s="4">
        <f>SUMIFS(Tab_12.Dez[MOVIMENTO],Tab_12.Dez[CONTA],$F142)</f>
        <v>0</v>
      </c>
    </row>
    <row r="143" spans="2:19" x14ac:dyDescent="0.3">
      <c r="B143" s="3"/>
      <c r="C143" s="2" t="str">
        <f t="shared" si="18"/>
        <v>P</v>
      </c>
      <c r="D143" s="2" t="str">
        <f t="shared" si="19"/>
        <v>S</v>
      </c>
      <c r="E143" s="2">
        <f t="shared" si="20"/>
        <v>5</v>
      </c>
      <c r="F143" s="3" t="s">
        <v>745</v>
      </c>
      <c r="G143" s="3" t="s">
        <v>746</v>
      </c>
      <c r="H143" s="4">
        <f>SUMIFS(Tab_01.Jan[MOVIMENTO],Tab_01.Jan[CONTA],$F143)</f>
        <v>-236918.98</v>
      </c>
      <c r="I143" s="4">
        <f>SUMIFS(Tab_02.Fev[MOVIMENTO],Tab_02.Fev[CONTA],$F143)</f>
        <v>0</v>
      </c>
      <c r="J143" s="4">
        <f>SUMIFS(Tab_03.Mar[MOVIMENTO],Tab_03.Mar[CONTA],$F143)</f>
        <v>0</v>
      </c>
      <c r="K143" s="4">
        <f>SUMIFS(Tab_04.Abr[MOVIMENTO],Tab_04.Abr[CONTA],$F143)</f>
        <v>0</v>
      </c>
      <c r="L143" s="4">
        <f>SUMIFS(Tab_05.Mai[MOVIMENTO],Tab_05.Mai[CONTA],$F143)</f>
        <v>0</v>
      </c>
      <c r="M143" s="4">
        <f>SUMIFS(Tab_06.Jun[MOVIMENTO],Tab_06.Jun[CONTA],$F143)</f>
        <v>0</v>
      </c>
      <c r="N143" s="4">
        <f>SUMIFS(Tab_07.Jul[MOVIMENTO],Tab_07.Jul[CONTA],$F143)</f>
        <v>0</v>
      </c>
      <c r="O143" s="4">
        <f>SUMIFS(Tab_08.Ago[MOVIMENTO],Tab_08.Ago[CONTA],$F143)</f>
        <v>0</v>
      </c>
      <c r="P143" s="4">
        <f>SUMIFS(Tab_09.Set[MOVIMENTO],Tab_09.Set[CONTA],$F143)</f>
        <v>0</v>
      </c>
      <c r="Q143" s="4">
        <f>SUMIFS(Tab_10.Out[MOVIMENTO],Tab_10.Out[CONTA],$F143)</f>
        <v>0</v>
      </c>
      <c r="R143" s="4">
        <f>SUMIFS(Tab_11.Nov[MOVIMENTO],Tab_11.Nov[CONTA],$F143)</f>
        <v>0</v>
      </c>
      <c r="S143" s="4">
        <f>SUMIFS(Tab_12.Dez[MOVIMENTO],Tab_12.Dez[CONTA],$F143)</f>
        <v>-1037831.24</v>
      </c>
    </row>
    <row r="144" spans="2:19" x14ac:dyDescent="0.3">
      <c r="B144" s="3" t="s">
        <v>163</v>
      </c>
      <c r="C144" s="2" t="str">
        <f>IF($F144="","",IF(LEFT($F144,1)*1=1,"A",IF(LEFT($F144,1)*1=2,"P",IF(LEFT($F144,1)*1=3,"R",IF(LEFT($F144,1)*1=4,"C",IF(LEFT($F144,1)*1=5,"C",IF(LEFT($F144,1)*1=6,"C","")))))))</f>
        <v>P</v>
      </c>
      <c r="D144" s="2" t="str">
        <f>IF($F144="","",IF(LEN($F144)=13,"A","S"))</f>
        <v>A</v>
      </c>
      <c r="E144" s="2">
        <f>IF($F144="","",IF(LEN($F144)=1,1,IF(LEN($F144)=3,2,IF(LEN($F144)=5,3,IF(LEN($F144)=8,4,5)))))</f>
        <v>5</v>
      </c>
      <c r="F144" s="3" t="s">
        <v>747</v>
      </c>
      <c r="G144" s="3" t="s">
        <v>746</v>
      </c>
      <c r="H144" s="4">
        <f>SUMIFS(Tab_01.Jan[MOVIMENTO],Tab_01.Jan[CONTA],$F144)</f>
        <v>-236918.98</v>
      </c>
      <c r="I144" s="4">
        <f>SUMIFS(Tab_02.Fev[MOVIMENTO],Tab_02.Fev[CONTA],$F144)</f>
        <v>0</v>
      </c>
      <c r="J144" s="4">
        <f>SUMIFS(Tab_03.Mar[MOVIMENTO],Tab_03.Mar[CONTA],$F144)</f>
        <v>0</v>
      </c>
      <c r="K144" s="4">
        <f>SUMIFS(Tab_04.Abr[MOVIMENTO],Tab_04.Abr[CONTA],$F144)</f>
        <v>0</v>
      </c>
      <c r="L144" s="4">
        <f>SUMIFS(Tab_05.Mai[MOVIMENTO],Tab_05.Mai[CONTA],$F144)</f>
        <v>0</v>
      </c>
      <c r="M144" s="4">
        <f>SUMIFS(Tab_06.Jun[MOVIMENTO],Tab_06.Jun[CONTA],$F144)</f>
        <v>0</v>
      </c>
      <c r="N144" s="4">
        <f>SUMIFS(Tab_07.Jul[MOVIMENTO],Tab_07.Jul[CONTA],$F144)</f>
        <v>0</v>
      </c>
      <c r="O144" s="4">
        <f>SUMIFS(Tab_08.Ago[MOVIMENTO],Tab_08.Ago[CONTA],$F144)</f>
        <v>0</v>
      </c>
      <c r="P144" s="4">
        <f>SUMIFS(Tab_09.Set[MOVIMENTO],Tab_09.Set[CONTA],$F144)</f>
        <v>0</v>
      </c>
      <c r="Q144" s="4">
        <f>SUMIFS(Tab_10.Out[MOVIMENTO],Tab_10.Out[CONTA],$F144)</f>
        <v>0</v>
      </c>
      <c r="R144" s="4">
        <f>SUMIFS(Tab_11.Nov[MOVIMENTO],Tab_11.Nov[CONTA],$F144)</f>
        <v>0</v>
      </c>
      <c r="S144" s="4">
        <f>SUMIFS(Tab_12.Dez[MOVIMENTO],Tab_12.Dez[CONTA],$F144)</f>
        <v>-1037831.24</v>
      </c>
    </row>
    <row r="145" spans="2:19" x14ac:dyDescent="0.3">
      <c r="B145" s="3"/>
      <c r="C145" s="2" t="str">
        <f t="shared" si="18"/>
        <v>R</v>
      </c>
      <c r="D145" s="2" t="str">
        <f t="shared" si="19"/>
        <v>S</v>
      </c>
      <c r="E145" s="2">
        <f t="shared" si="20"/>
        <v>1</v>
      </c>
      <c r="F145" s="3">
        <v>3</v>
      </c>
      <c r="G145" s="3" t="s">
        <v>672</v>
      </c>
      <c r="H145" s="4">
        <f>SUMIFS(Tab_01.Jan[MOVIMENTO],Tab_01.Jan[CONTA],$F145)</f>
        <v>-1152924.6399999999</v>
      </c>
      <c r="I145" s="4">
        <f>SUMIFS(Tab_02.Fev[MOVIMENTO],Tab_02.Fev[CONTA],$F145)</f>
        <v>-1193936.95</v>
      </c>
      <c r="J145" s="4">
        <f>SUMIFS(Tab_03.Mar[MOVIMENTO],Tab_03.Mar[CONTA],$F145)</f>
        <v>-1357483.78</v>
      </c>
      <c r="K145" s="4">
        <f>SUMIFS(Tab_04.Abr[MOVIMENTO],Tab_04.Abr[CONTA],$F145)</f>
        <v>-1081999.94</v>
      </c>
      <c r="L145" s="4">
        <f>SUMIFS(Tab_05.Mai[MOVIMENTO],Tab_05.Mai[CONTA],$F145)</f>
        <v>-1538527.4</v>
      </c>
      <c r="M145" s="4">
        <f>SUMIFS(Tab_06.Jun[MOVIMENTO],Tab_06.Jun[CONTA],$F145)</f>
        <v>-1211414.56</v>
      </c>
      <c r="N145" s="4">
        <f>SUMIFS(Tab_07.Jul[MOVIMENTO],Tab_07.Jul[CONTA],$F145)</f>
        <v>-1510566.84</v>
      </c>
      <c r="O145" s="4">
        <f>SUMIFS(Tab_08.Ago[MOVIMENTO],Tab_08.Ago[CONTA],$F145)</f>
        <v>-1419820.44</v>
      </c>
      <c r="P145" s="4">
        <f>SUMIFS(Tab_09.Set[MOVIMENTO],Tab_09.Set[CONTA],$F145)</f>
        <v>-1116916.67</v>
      </c>
      <c r="Q145" s="4">
        <f>SUMIFS(Tab_10.Out[MOVIMENTO],Tab_10.Out[CONTA],$F145)</f>
        <v>-1457061.12</v>
      </c>
      <c r="R145" s="4">
        <f>SUMIFS(Tab_11.Nov[MOVIMENTO],Tab_11.Nov[CONTA],$F145)</f>
        <v>-1249238.18</v>
      </c>
      <c r="S145" s="4">
        <f>SUMIFS(Tab_12.Dez[MOVIMENTO],Tab_12.Dez[CONTA],$F145)</f>
        <v>-1390317.56</v>
      </c>
    </row>
    <row r="146" spans="2:19" x14ac:dyDescent="0.3">
      <c r="B146" s="3"/>
      <c r="C146" s="2" t="str">
        <f t="shared" si="18"/>
        <v>R</v>
      </c>
      <c r="D146" s="2" t="str">
        <f t="shared" si="19"/>
        <v>S</v>
      </c>
      <c r="E146" s="2">
        <f t="shared" si="20"/>
        <v>2</v>
      </c>
      <c r="F146" s="3" t="s">
        <v>231</v>
      </c>
      <c r="G146" s="3" t="s">
        <v>673</v>
      </c>
      <c r="H146" s="4">
        <f>SUMIFS(Tab_01.Jan[MOVIMENTO],Tab_01.Jan[CONTA],$F146)</f>
        <v>-528374.13</v>
      </c>
      <c r="I146" s="4">
        <f>SUMIFS(Tab_02.Fev[MOVIMENTO],Tab_02.Fev[CONTA],$F146)</f>
        <v>-540578.18999999994</v>
      </c>
      <c r="J146" s="4">
        <f>SUMIFS(Tab_03.Mar[MOVIMENTO],Tab_03.Mar[CONTA],$F146)</f>
        <v>-606776.81000000006</v>
      </c>
      <c r="K146" s="4">
        <f>SUMIFS(Tab_04.Abr[MOVIMENTO],Tab_04.Abr[CONTA],$F146)</f>
        <v>-664005.6</v>
      </c>
      <c r="L146" s="4">
        <f>SUMIFS(Tab_05.Mai[MOVIMENTO],Tab_05.Mai[CONTA],$F146)</f>
        <v>-758787.94</v>
      </c>
      <c r="M146" s="4">
        <f>SUMIFS(Tab_06.Jun[MOVIMENTO],Tab_06.Jun[CONTA],$F146)</f>
        <v>-567136.04</v>
      </c>
      <c r="N146" s="4">
        <f>SUMIFS(Tab_07.Jul[MOVIMENTO],Tab_07.Jul[CONTA],$F146)</f>
        <v>-626798.06000000006</v>
      </c>
      <c r="O146" s="4">
        <f>SUMIFS(Tab_08.Ago[MOVIMENTO],Tab_08.Ago[CONTA],$F146)</f>
        <v>-594960.9</v>
      </c>
      <c r="P146" s="4">
        <f>SUMIFS(Tab_09.Set[MOVIMENTO],Tab_09.Set[CONTA],$F146)</f>
        <v>-515698.95</v>
      </c>
      <c r="Q146" s="4">
        <f>SUMIFS(Tab_10.Out[MOVIMENTO],Tab_10.Out[CONTA],$F146)</f>
        <v>-775744.18</v>
      </c>
      <c r="R146" s="4">
        <f>SUMIFS(Tab_11.Nov[MOVIMENTO],Tab_11.Nov[CONTA],$F146)</f>
        <v>-470931.09</v>
      </c>
      <c r="S146" s="4">
        <f>SUMIFS(Tab_12.Dez[MOVIMENTO],Tab_12.Dez[CONTA],$F146)</f>
        <v>-1042004.57</v>
      </c>
    </row>
    <row r="147" spans="2:19" x14ac:dyDescent="0.3">
      <c r="B147" s="3"/>
      <c r="C147" s="2" t="str">
        <f t="shared" si="18"/>
        <v>R</v>
      </c>
      <c r="D147" s="2" t="str">
        <f t="shared" si="19"/>
        <v>S</v>
      </c>
      <c r="E147" s="2">
        <f t="shared" si="20"/>
        <v>5</v>
      </c>
      <c r="F147" s="3" t="s">
        <v>232</v>
      </c>
      <c r="G147" s="3" t="s">
        <v>674</v>
      </c>
      <c r="H147" s="4">
        <f>SUMIFS(Tab_01.Jan[MOVIMENTO],Tab_01.Jan[CONTA],$F147)</f>
        <v>-309988.61</v>
      </c>
      <c r="I147" s="4">
        <f>SUMIFS(Tab_02.Fev[MOVIMENTO],Tab_02.Fev[CONTA],$F147)</f>
        <v>-352772.52</v>
      </c>
      <c r="J147" s="4">
        <f>SUMIFS(Tab_03.Mar[MOVIMENTO],Tab_03.Mar[CONTA],$F147)</f>
        <v>-402105.77</v>
      </c>
      <c r="K147" s="4">
        <f>SUMIFS(Tab_04.Abr[MOVIMENTO],Tab_04.Abr[CONTA],$F147)</f>
        <v>-312504.86</v>
      </c>
      <c r="L147" s="4">
        <f>SUMIFS(Tab_05.Mai[MOVIMENTO],Tab_05.Mai[CONTA],$F147)</f>
        <v>-470540.5</v>
      </c>
      <c r="M147" s="4">
        <f>SUMIFS(Tab_06.Jun[MOVIMENTO],Tab_06.Jun[CONTA],$F147)</f>
        <v>-313601.09000000003</v>
      </c>
      <c r="N147" s="4">
        <f>SUMIFS(Tab_07.Jul[MOVIMENTO],Tab_07.Jul[CONTA],$F147)</f>
        <v>-457031.23</v>
      </c>
      <c r="O147" s="4">
        <f>SUMIFS(Tab_08.Ago[MOVIMENTO],Tab_08.Ago[CONTA],$F147)</f>
        <v>-364789.51</v>
      </c>
      <c r="P147" s="4">
        <f>SUMIFS(Tab_09.Set[MOVIMENTO],Tab_09.Set[CONTA],$F147)</f>
        <v>-326915.51</v>
      </c>
      <c r="Q147" s="4">
        <f>SUMIFS(Tab_10.Out[MOVIMENTO],Tab_10.Out[CONTA],$F147)</f>
        <v>-578693.68000000005</v>
      </c>
      <c r="R147" s="4">
        <f>SUMIFS(Tab_11.Nov[MOVIMENTO],Tab_11.Nov[CONTA],$F147)</f>
        <v>-297490.43</v>
      </c>
      <c r="S147" s="4">
        <f>SUMIFS(Tab_12.Dez[MOVIMENTO],Tab_12.Dez[CONTA],$F147)</f>
        <v>-555424.06000000006</v>
      </c>
    </row>
    <row r="148" spans="2:19" x14ac:dyDescent="0.3">
      <c r="B148" s="3"/>
      <c r="C148" s="2" t="str">
        <f t="shared" si="18"/>
        <v>R</v>
      </c>
      <c r="D148" s="2" t="str">
        <f t="shared" si="19"/>
        <v>S</v>
      </c>
      <c r="E148" s="2">
        <f t="shared" si="20"/>
        <v>5</v>
      </c>
      <c r="F148" s="3" t="s">
        <v>233</v>
      </c>
      <c r="G148" s="3" t="s">
        <v>675</v>
      </c>
      <c r="H148" s="4">
        <f>SUMIFS(Tab_01.Jan[MOVIMENTO],Tab_01.Jan[CONTA],$F148)</f>
        <v>-122569.24</v>
      </c>
      <c r="I148" s="4">
        <f>SUMIFS(Tab_02.Fev[MOVIMENTO],Tab_02.Fev[CONTA],$F148)</f>
        <v>-105237.96</v>
      </c>
      <c r="J148" s="4">
        <f>SUMIFS(Tab_03.Mar[MOVIMENTO],Tab_03.Mar[CONTA],$F148)</f>
        <v>-154690.84</v>
      </c>
      <c r="K148" s="4">
        <f>SUMIFS(Tab_04.Abr[MOVIMENTO],Tab_04.Abr[CONTA],$F148)</f>
        <v>-132289.44</v>
      </c>
      <c r="L148" s="4">
        <f>SUMIFS(Tab_05.Mai[MOVIMENTO],Tab_05.Mai[CONTA],$F148)</f>
        <v>-137859.68</v>
      </c>
      <c r="M148" s="4">
        <f>SUMIFS(Tab_06.Jun[MOVIMENTO],Tab_06.Jun[CONTA],$F148)</f>
        <v>-129579.24</v>
      </c>
      <c r="N148" s="4">
        <f>SUMIFS(Tab_07.Jul[MOVIMENTO],Tab_07.Jul[CONTA],$F148)</f>
        <v>-133881.88</v>
      </c>
      <c r="O148" s="4">
        <f>SUMIFS(Tab_08.Ago[MOVIMENTO],Tab_08.Ago[CONTA],$F148)</f>
        <v>-140098.56</v>
      </c>
      <c r="P148" s="4">
        <f>SUMIFS(Tab_09.Set[MOVIMENTO],Tab_09.Set[CONTA],$F148)</f>
        <v>-128578.44</v>
      </c>
      <c r="Q148" s="4">
        <f>SUMIFS(Tab_10.Out[MOVIMENTO],Tab_10.Out[CONTA],$F148)</f>
        <v>-148911.84</v>
      </c>
      <c r="R148" s="4">
        <f>SUMIFS(Tab_11.Nov[MOVIMENTO],Tab_11.Nov[CONTA],$F148)</f>
        <v>-109417.12</v>
      </c>
      <c r="S148" s="4">
        <f>SUMIFS(Tab_12.Dez[MOVIMENTO],Tab_12.Dez[CONTA],$F148)</f>
        <v>-112795.04</v>
      </c>
    </row>
    <row r="149" spans="2:19" x14ac:dyDescent="0.3">
      <c r="B149" s="3" t="s">
        <v>101</v>
      </c>
      <c r="C149" s="2" t="str">
        <f t="shared" si="18"/>
        <v>R</v>
      </c>
      <c r="D149" s="2" t="str">
        <f t="shared" si="19"/>
        <v>A</v>
      </c>
      <c r="E149" s="2">
        <f t="shared" si="20"/>
        <v>5</v>
      </c>
      <c r="F149" s="3" t="s">
        <v>194</v>
      </c>
      <c r="G149" s="3" t="s">
        <v>367</v>
      </c>
      <c r="H149" s="4">
        <f>SUMIFS(Tab_01.Jan[MOVIMENTO],Tab_01.Jan[CONTA],$F149)</f>
        <v>-122569.24</v>
      </c>
      <c r="I149" s="4">
        <f>SUMIFS(Tab_02.Fev[MOVIMENTO],Tab_02.Fev[CONTA],$F149)</f>
        <v>-105237.96</v>
      </c>
      <c r="J149" s="4">
        <f>SUMIFS(Tab_03.Mar[MOVIMENTO],Tab_03.Mar[CONTA],$F149)</f>
        <v>-154690.84</v>
      </c>
      <c r="K149" s="4">
        <f>SUMIFS(Tab_04.Abr[MOVIMENTO],Tab_04.Abr[CONTA],$F149)</f>
        <v>-132289.44</v>
      </c>
      <c r="L149" s="4">
        <f>SUMIFS(Tab_05.Mai[MOVIMENTO],Tab_05.Mai[CONTA],$F149)</f>
        <v>-137859.68</v>
      </c>
      <c r="M149" s="4">
        <f>SUMIFS(Tab_06.Jun[MOVIMENTO],Tab_06.Jun[CONTA],$F149)</f>
        <v>-129579.24</v>
      </c>
      <c r="N149" s="4">
        <f>SUMIFS(Tab_07.Jul[MOVIMENTO],Tab_07.Jul[CONTA],$F149)</f>
        <v>-133881.88</v>
      </c>
      <c r="O149" s="4">
        <f>SUMIFS(Tab_08.Ago[MOVIMENTO],Tab_08.Ago[CONTA],$F149)</f>
        <v>-140098.56</v>
      </c>
      <c r="P149" s="4">
        <f>SUMIFS(Tab_09.Set[MOVIMENTO],Tab_09.Set[CONTA],$F149)</f>
        <v>-128578.44</v>
      </c>
      <c r="Q149" s="4">
        <f>SUMIFS(Tab_10.Out[MOVIMENTO],Tab_10.Out[CONTA],$F149)</f>
        <v>-148911.84</v>
      </c>
      <c r="R149" s="4">
        <f>SUMIFS(Tab_11.Nov[MOVIMENTO],Tab_11.Nov[CONTA],$F149)</f>
        <v>-109417.12</v>
      </c>
      <c r="S149" s="4">
        <f>SUMIFS(Tab_12.Dez[MOVIMENTO],Tab_12.Dez[CONTA],$F149)</f>
        <v>-112795.04</v>
      </c>
    </row>
    <row r="150" spans="2:19" x14ac:dyDescent="0.3">
      <c r="B150" s="3"/>
      <c r="C150" s="2" t="str">
        <f t="shared" si="18"/>
        <v>R</v>
      </c>
      <c r="D150" s="2" t="str">
        <f t="shared" si="19"/>
        <v>S</v>
      </c>
      <c r="E150" s="2">
        <f t="shared" si="20"/>
        <v>5</v>
      </c>
      <c r="F150" s="3" t="s">
        <v>569</v>
      </c>
      <c r="G150" s="3" t="s">
        <v>676</v>
      </c>
      <c r="H150" s="4">
        <f>SUMIFS(Tab_01.Jan[MOVIMENTO],Tab_01.Jan[CONTA],$F150)</f>
        <v>-218385.52</v>
      </c>
      <c r="I150" s="4">
        <f>SUMIFS(Tab_02.Fev[MOVIMENTO],Tab_02.Fev[CONTA],$F150)</f>
        <v>-187805.67</v>
      </c>
      <c r="J150" s="4">
        <f>SUMIFS(Tab_03.Mar[MOVIMENTO],Tab_03.Mar[CONTA],$F150)</f>
        <v>-204671.04</v>
      </c>
      <c r="K150" s="4">
        <f>SUMIFS(Tab_04.Abr[MOVIMENTO],Tab_04.Abr[CONTA],$F150)</f>
        <v>-351500.74</v>
      </c>
      <c r="L150" s="4">
        <f>SUMIFS(Tab_05.Mai[MOVIMENTO],Tab_05.Mai[CONTA],$F150)</f>
        <v>-288247.44</v>
      </c>
      <c r="M150" s="4">
        <f>SUMIFS(Tab_06.Jun[MOVIMENTO],Tab_06.Jun[CONTA],$F150)</f>
        <v>-253534.95</v>
      </c>
      <c r="N150" s="4">
        <f>SUMIFS(Tab_07.Jul[MOVIMENTO],Tab_07.Jul[CONTA],$F150)</f>
        <v>-169766.83</v>
      </c>
      <c r="O150" s="4">
        <f>SUMIFS(Tab_08.Ago[MOVIMENTO],Tab_08.Ago[CONTA],$F150)</f>
        <v>-230171.39</v>
      </c>
      <c r="P150" s="4">
        <f>SUMIFS(Tab_09.Set[MOVIMENTO],Tab_09.Set[CONTA],$F150)</f>
        <v>-188783.44</v>
      </c>
      <c r="Q150" s="4">
        <f>SUMIFS(Tab_10.Out[MOVIMENTO],Tab_10.Out[CONTA],$F150)</f>
        <v>-197050.5</v>
      </c>
      <c r="R150" s="4">
        <f>SUMIFS(Tab_11.Nov[MOVIMENTO],Tab_11.Nov[CONTA],$F150)</f>
        <v>-173440.66</v>
      </c>
      <c r="S150" s="4">
        <f>SUMIFS(Tab_12.Dez[MOVIMENTO],Tab_12.Dez[CONTA],$F150)</f>
        <v>-486580.51</v>
      </c>
    </row>
    <row r="151" spans="2:19" x14ac:dyDescent="0.3">
      <c r="B151" s="3"/>
      <c r="C151" s="2" t="str">
        <f t="shared" si="18"/>
        <v>R</v>
      </c>
      <c r="D151" s="2" t="str">
        <f t="shared" si="19"/>
        <v>S</v>
      </c>
      <c r="E151" s="2">
        <f t="shared" si="20"/>
        <v>5</v>
      </c>
      <c r="F151" s="3" t="s">
        <v>570</v>
      </c>
      <c r="G151" s="3" t="s">
        <v>677</v>
      </c>
      <c r="H151" s="4">
        <f>SUMIFS(Tab_01.Jan[MOVIMENTO],Tab_01.Jan[CONTA],$F151)</f>
        <v>-135419.44</v>
      </c>
      <c r="I151" s="4">
        <f>SUMIFS(Tab_02.Fev[MOVIMENTO],Tab_02.Fev[CONTA],$F151)</f>
        <v>-104839.59</v>
      </c>
      <c r="J151" s="4">
        <f>SUMIFS(Tab_03.Mar[MOVIMENTO],Tab_03.Mar[CONTA],$F151)</f>
        <v>-121704.96000000001</v>
      </c>
      <c r="K151" s="4">
        <f>SUMIFS(Tab_04.Abr[MOVIMENTO],Tab_04.Abr[CONTA],$F151)</f>
        <v>-268534.65999999997</v>
      </c>
      <c r="L151" s="4">
        <f>SUMIFS(Tab_05.Mai[MOVIMENTO],Tab_05.Mai[CONTA],$F151)</f>
        <v>-205281.36</v>
      </c>
      <c r="M151" s="4">
        <f>SUMIFS(Tab_06.Jun[MOVIMENTO],Tab_06.Jun[CONTA],$F151)</f>
        <v>-170568.87</v>
      </c>
      <c r="N151" s="4">
        <f>SUMIFS(Tab_07.Jul[MOVIMENTO],Tab_07.Jul[CONTA],$F151)</f>
        <v>-86800.75</v>
      </c>
      <c r="O151" s="4">
        <f>SUMIFS(Tab_08.Ago[MOVIMENTO],Tab_08.Ago[CONTA],$F151)</f>
        <v>-147205.31</v>
      </c>
      <c r="P151" s="4">
        <f>SUMIFS(Tab_09.Set[MOVIMENTO],Tab_09.Set[CONTA],$F151)</f>
        <v>-105817.35</v>
      </c>
      <c r="Q151" s="4">
        <f>SUMIFS(Tab_10.Out[MOVIMENTO],Tab_10.Out[CONTA],$F151)</f>
        <v>-114084.42</v>
      </c>
      <c r="R151" s="4">
        <f>SUMIFS(Tab_11.Nov[MOVIMENTO],Tab_11.Nov[CONTA],$F151)</f>
        <v>-90474.58</v>
      </c>
      <c r="S151" s="4">
        <f>SUMIFS(Tab_12.Dez[MOVIMENTO],Tab_12.Dez[CONTA],$F151)</f>
        <v>-403614.43</v>
      </c>
    </row>
    <row r="152" spans="2:19" x14ac:dyDescent="0.3">
      <c r="B152" s="3" t="s">
        <v>101</v>
      </c>
      <c r="C152" s="2" t="str">
        <f t="shared" si="18"/>
        <v>R</v>
      </c>
      <c r="D152" s="2" t="str">
        <f t="shared" si="19"/>
        <v>A</v>
      </c>
      <c r="E152" s="2">
        <f t="shared" si="20"/>
        <v>5</v>
      </c>
      <c r="F152" s="3" t="s">
        <v>368</v>
      </c>
      <c r="G152" s="3" t="s">
        <v>369</v>
      </c>
      <c r="H152" s="4">
        <f>SUMIFS(Tab_01.Jan[MOVIMENTO],Tab_01.Jan[CONTA],$F152)</f>
        <v>-52200</v>
      </c>
      <c r="I152" s="4">
        <f>SUMIFS(Tab_02.Fev[MOVIMENTO],Tab_02.Fev[CONTA],$F152)</f>
        <v>-32400.240000000002</v>
      </c>
      <c r="J152" s="4">
        <f>SUMIFS(Tab_03.Mar[MOVIMENTO],Tab_03.Mar[CONTA],$F152)</f>
        <v>-31162.82</v>
      </c>
      <c r="K152" s="4">
        <f>SUMIFS(Tab_04.Abr[MOVIMENTO],Tab_04.Abr[CONTA],$F152)</f>
        <v>-126167.7</v>
      </c>
      <c r="L152" s="4">
        <f>SUMIFS(Tab_05.Mai[MOVIMENTO],Tab_05.Mai[CONTA],$F152)</f>
        <v>-159244</v>
      </c>
      <c r="M152" s="4">
        <f>SUMIFS(Tab_06.Jun[MOVIMENTO],Tab_06.Jun[CONTA],$F152)</f>
        <v>-51971.14</v>
      </c>
      <c r="N152" s="4">
        <f>SUMIFS(Tab_07.Jul[MOVIMENTO],Tab_07.Jul[CONTA],$F152)</f>
        <v>-35652.550000000003</v>
      </c>
      <c r="O152" s="4">
        <f>SUMIFS(Tab_08.Ago[MOVIMENTO],Tab_08.Ago[CONTA],$F152)</f>
        <v>-3900</v>
      </c>
      <c r="P152" s="4">
        <f>SUMIFS(Tab_09.Set[MOVIMENTO],Tab_09.Set[CONTA],$F152)</f>
        <v>-3800</v>
      </c>
      <c r="Q152" s="4">
        <f>SUMIFS(Tab_10.Out[MOVIMENTO],Tab_10.Out[CONTA],$F152)</f>
        <v>-4000</v>
      </c>
      <c r="R152" s="4">
        <f>SUMIFS(Tab_11.Nov[MOVIMENTO],Tab_11.Nov[CONTA],$F152)</f>
        <v>-3900</v>
      </c>
      <c r="S152" s="4">
        <f>SUMIFS(Tab_12.Dez[MOVIMENTO],Tab_12.Dez[CONTA],$F152)</f>
        <v>-3900</v>
      </c>
    </row>
    <row r="153" spans="2:19" x14ac:dyDescent="0.3">
      <c r="B153" s="3" t="s">
        <v>101</v>
      </c>
      <c r="C153" s="2" t="str">
        <f t="shared" si="18"/>
        <v>R</v>
      </c>
      <c r="D153" s="2" t="str">
        <f t="shared" si="19"/>
        <v>A</v>
      </c>
      <c r="E153" s="2">
        <f t="shared" si="20"/>
        <v>5</v>
      </c>
      <c r="F153" s="3" t="s">
        <v>370</v>
      </c>
      <c r="G153" s="3" t="s">
        <v>371</v>
      </c>
      <c r="H153" s="4">
        <f>SUMIFS(Tab_01.Jan[MOVIMENTO],Tab_01.Jan[CONTA],$F153)</f>
        <v>-66574.53</v>
      </c>
      <c r="I153" s="4">
        <f>SUMIFS(Tab_02.Fev[MOVIMENTO],Tab_02.Fev[CONTA],$F153)</f>
        <v>-54961.84</v>
      </c>
      <c r="J153" s="4">
        <f>SUMIFS(Tab_03.Mar[MOVIMENTO],Tab_03.Mar[CONTA],$F153)</f>
        <v>-77885.41</v>
      </c>
      <c r="K153" s="4">
        <f>SUMIFS(Tab_04.Abr[MOVIMENTO],Tab_04.Abr[CONTA],$F153)</f>
        <v>-36809.230000000003</v>
      </c>
      <c r="L153" s="4">
        <f>SUMIFS(Tab_05.Mai[MOVIMENTO],Tab_05.Mai[CONTA],$F153)</f>
        <v>-34850.67</v>
      </c>
      <c r="M153" s="4">
        <f>SUMIFS(Tab_06.Jun[MOVIMENTO],Tab_06.Jun[CONTA],$F153)</f>
        <v>-100331.36</v>
      </c>
      <c r="N153" s="4">
        <f>SUMIFS(Tab_07.Jul[MOVIMENTO],Tab_07.Jul[CONTA],$F153)</f>
        <v>-35465.660000000003</v>
      </c>
      <c r="O153" s="4">
        <f>SUMIFS(Tab_08.Ago[MOVIMENTO],Tab_08.Ago[CONTA],$F153)</f>
        <v>-131778.32999999999</v>
      </c>
      <c r="P153" s="4">
        <f>SUMIFS(Tab_09.Set[MOVIMENTO],Tab_09.Set[CONTA],$F153)</f>
        <v>-95773.87</v>
      </c>
      <c r="Q153" s="4">
        <f>SUMIFS(Tab_10.Out[MOVIMENTO],Tab_10.Out[CONTA],$F153)</f>
        <v>-91462.93</v>
      </c>
      <c r="R153" s="4">
        <f>SUMIFS(Tab_11.Nov[MOVIMENTO],Tab_11.Nov[CONTA],$F153)</f>
        <v>-72404.36</v>
      </c>
      <c r="S153" s="4">
        <f>SUMIFS(Tab_12.Dez[MOVIMENTO],Tab_12.Dez[CONTA],$F153)</f>
        <v>-389841.15</v>
      </c>
    </row>
    <row r="154" spans="2:19" x14ac:dyDescent="0.3">
      <c r="B154" s="3" t="s">
        <v>101</v>
      </c>
      <c r="C154" s="2" t="str">
        <f t="shared" si="18"/>
        <v>R</v>
      </c>
      <c r="D154" s="2" t="str">
        <f t="shared" si="19"/>
        <v>A</v>
      </c>
      <c r="E154" s="2">
        <f t="shared" si="20"/>
        <v>5</v>
      </c>
      <c r="F154" s="3" t="s">
        <v>372</v>
      </c>
      <c r="G154" s="3" t="s">
        <v>373</v>
      </c>
      <c r="H154" s="4">
        <f>SUMIFS(Tab_01.Jan[MOVIMENTO],Tab_01.Jan[CONTA],$F154)</f>
        <v>0</v>
      </c>
      <c r="I154" s="4">
        <f>SUMIFS(Tab_02.Fev[MOVIMENTO],Tab_02.Fev[CONTA],$F154)</f>
        <v>-5670.16</v>
      </c>
      <c r="J154" s="4">
        <f>SUMIFS(Tab_03.Mar[MOVIMENTO],Tab_03.Mar[CONTA],$F154)</f>
        <v>0</v>
      </c>
      <c r="K154" s="4">
        <f>SUMIFS(Tab_04.Abr[MOVIMENTO],Tab_04.Abr[CONTA],$F154)</f>
        <v>0</v>
      </c>
      <c r="L154" s="4">
        <f>SUMIFS(Tab_05.Mai[MOVIMENTO],Tab_05.Mai[CONTA],$F154)</f>
        <v>0</v>
      </c>
      <c r="M154" s="4">
        <f>SUMIFS(Tab_06.Jun[MOVIMENTO],Tab_06.Jun[CONTA],$F154)</f>
        <v>-877.2</v>
      </c>
      <c r="N154" s="4">
        <f>SUMIFS(Tab_07.Jul[MOVIMENTO],Tab_07.Jul[CONTA],$F154)</f>
        <v>0</v>
      </c>
      <c r="O154" s="4">
        <f>SUMIFS(Tab_08.Ago[MOVIMENTO],Tab_08.Ago[CONTA],$F154)</f>
        <v>0</v>
      </c>
      <c r="P154" s="4">
        <f>SUMIFS(Tab_09.Set[MOVIMENTO],Tab_09.Set[CONTA],$F154)</f>
        <v>0</v>
      </c>
      <c r="Q154" s="4">
        <f>SUMIFS(Tab_10.Out[MOVIMENTO],Tab_10.Out[CONTA],$F154)</f>
        <v>0</v>
      </c>
      <c r="R154" s="4">
        <f>SUMIFS(Tab_11.Nov[MOVIMENTO],Tab_11.Nov[CONTA],$F154)</f>
        <v>0</v>
      </c>
      <c r="S154" s="4">
        <f>SUMIFS(Tab_12.Dez[MOVIMENTO],Tab_12.Dez[CONTA],$F154)</f>
        <v>0</v>
      </c>
    </row>
    <row r="155" spans="2:19" x14ac:dyDescent="0.3">
      <c r="B155" s="3" t="s">
        <v>101</v>
      </c>
      <c r="C155" s="2" t="str">
        <f>IF($F155="","",IF(LEFT($F155,1)*1=1,"A",IF(LEFT($F155,1)*1=2,"P",IF(LEFT($F155,1)*1=3,"R",IF(LEFT($F155,1)*1=4,"C",IF(LEFT($F155,1)*1=5,"C",IF(LEFT($F155,1)*1=6,"C","")))))))</f>
        <v>R</v>
      </c>
      <c r="D155" s="2" t="str">
        <f>IF($F155="","",IF(LEN($F155)=13,"A","S"))</f>
        <v>A</v>
      </c>
      <c r="E155" s="2">
        <f>IF($F155="","",IF(LEN($F155)=1,1,IF(LEN($F155)=3,2,IF(LEN($F155)=5,3,IF(LEN($F155)=8,4,5)))))</f>
        <v>5</v>
      </c>
      <c r="F155" s="3" t="s">
        <v>845</v>
      </c>
      <c r="G155" s="3" t="s">
        <v>846</v>
      </c>
      <c r="H155" s="4">
        <f>SUMIFS(Tab_01.Jan[MOVIMENTO],Tab_01.Jan[CONTA],$F155)</f>
        <v>0</v>
      </c>
      <c r="I155" s="4">
        <f>SUMIFS(Tab_02.Fev[MOVIMENTO],Tab_02.Fev[CONTA],$F155)</f>
        <v>0</v>
      </c>
      <c r="J155" s="4">
        <f>SUMIFS(Tab_03.Mar[MOVIMENTO],Tab_03.Mar[CONTA],$F155)</f>
        <v>0</v>
      </c>
      <c r="K155" s="4">
        <f>SUMIFS(Tab_04.Abr[MOVIMENTO],Tab_04.Abr[CONTA],$F155)</f>
        <v>-89524.57</v>
      </c>
      <c r="L155" s="4">
        <f>SUMIFS(Tab_05.Mai[MOVIMENTO],Tab_05.Mai[CONTA],$F155)</f>
        <v>0</v>
      </c>
      <c r="M155" s="4">
        <f>SUMIFS(Tab_06.Jun[MOVIMENTO],Tab_06.Jun[CONTA],$F155)</f>
        <v>0</v>
      </c>
      <c r="N155" s="4">
        <f>SUMIFS(Tab_07.Jul[MOVIMENTO],Tab_07.Jul[CONTA],$F155)</f>
        <v>0</v>
      </c>
      <c r="O155" s="4">
        <f>SUMIFS(Tab_08.Ago[MOVIMENTO],Tab_08.Ago[CONTA],$F155)</f>
        <v>-92.49</v>
      </c>
      <c r="P155" s="4">
        <f>SUMIFS(Tab_09.Set[MOVIMENTO],Tab_09.Set[CONTA],$F155)</f>
        <v>0</v>
      </c>
      <c r="Q155" s="4">
        <f>SUMIFS(Tab_10.Out[MOVIMENTO],Tab_10.Out[CONTA],$F155)</f>
        <v>0</v>
      </c>
      <c r="R155" s="4">
        <f>SUMIFS(Tab_11.Nov[MOVIMENTO],Tab_11.Nov[CONTA],$F155)</f>
        <v>0</v>
      </c>
      <c r="S155" s="4">
        <f>SUMIFS(Tab_12.Dez[MOVIMENTO],Tab_12.Dez[CONTA],$F155)</f>
        <v>0</v>
      </c>
    </row>
    <row r="156" spans="2:19" x14ac:dyDescent="0.3">
      <c r="B156" s="3" t="s">
        <v>101</v>
      </c>
      <c r="C156" s="2" t="str">
        <f t="shared" si="18"/>
        <v>R</v>
      </c>
      <c r="D156" s="2" t="str">
        <f t="shared" si="19"/>
        <v>A</v>
      </c>
      <c r="E156" s="2">
        <f t="shared" si="20"/>
        <v>5</v>
      </c>
      <c r="F156" s="3" t="s">
        <v>374</v>
      </c>
      <c r="G156" s="3" t="s">
        <v>375</v>
      </c>
      <c r="H156" s="4">
        <f>SUMIFS(Tab_01.Jan[MOVIMENTO],Tab_01.Jan[CONTA],$F156)</f>
        <v>0</v>
      </c>
      <c r="I156" s="4">
        <f>SUMIFS(Tab_02.Fev[MOVIMENTO],Tab_02.Fev[CONTA],$F156)</f>
        <v>0</v>
      </c>
      <c r="J156" s="4">
        <f>SUMIFS(Tab_03.Mar[MOVIMENTO],Tab_03.Mar[CONTA],$F156)</f>
        <v>0</v>
      </c>
      <c r="K156" s="4">
        <f>SUMIFS(Tab_04.Abr[MOVIMENTO],Tab_04.Abr[CONTA],$F156)</f>
        <v>0</v>
      </c>
      <c r="L156" s="4">
        <f>SUMIFS(Tab_05.Mai[MOVIMENTO],Tab_05.Mai[CONTA],$F156)</f>
        <v>0</v>
      </c>
      <c r="M156" s="4">
        <f>SUMIFS(Tab_06.Jun[MOVIMENTO],Tab_06.Jun[CONTA],$F156)</f>
        <v>0</v>
      </c>
      <c r="N156" s="4">
        <f>SUMIFS(Tab_07.Jul[MOVIMENTO],Tab_07.Jul[CONTA],$F156)</f>
        <v>0</v>
      </c>
      <c r="O156" s="4">
        <f>SUMIFS(Tab_08.Ago[MOVIMENTO],Tab_08.Ago[CONTA],$F156)</f>
        <v>0</v>
      </c>
      <c r="P156" s="4">
        <f>SUMIFS(Tab_09.Set[MOVIMENTO],Tab_09.Set[CONTA],$F156)</f>
        <v>0</v>
      </c>
      <c r="Q156" s="4">
        <f>SUMIFS(Tab_10.Out[MOVIMENTO],Tab_10.Out[CONTA],$F156)</f>
        <v>0</v>
      </c>
      <c r="R156" s="4">
        <f>SUMIFS(Tab_11.Nov[MOVIMENTO],Tab_11.Nov[CONTA],$F156)</f>
        <v>0</v>
      </c>
      <c r="S156" s="4">
        <f>SUMIFS(Tab_12.Dez[MOVIMENTO],Tab_12.Dez[CONTA],$F156)</f>
        <v>0</v>
      </c>
    </row>
    <row r="157" spans="2:19" x14ac:dyDescent="0.3">
      <c r="B157" s="3" t="s">
        <v>101</v>
      </c>
      <c r="C157" s="2" t="str">
        <f>IF($F157="","",IF(LEFT($F157,1)*1=1,"A",IF(LEFT($F157,1)*1=2,"P",IF(LEFT($F157,1)*1=3,"R",IF(LEFT($F157,1)*1=4,"C",IF(LEFT($F157,1)*1=5,"C",IF(LEFT($F157,1)*1=6,"C","")))))))</f>
        <v>R</v>
      </c>
      <c r="D157" s="2" t="str">
        <f>IF($F157="","",IF(LEN($F157)=13,"A","S"))</f>
        <v>A</v>
      </c>
      <c r="E157" s="2">
        <f>IF($F157="","",IF(LEN($F157)=1,1,IF(LEN($F157)=3,2,IF(LEN($F157)=5,3,IF(LEN($F157)=8,4,5)))))</f>
        <v>5</v>
      </c>
      <c r="F157" s="3" t="s">
        <v>927</v>
      </c>
      <c r="G157" s="3" t="s">
        <v>928</v>
      </c>
      <c r="H157" s="4">
        <f>SUMIFS(Tab_01.Jan[MOVIMENTO],Tab_01.Jan[CONTA],$F157)</f>
        <v>-16644.91</v>
      </c>
      <c r="I157" s="4">
        <f>SUMIFS(Tab_02.Fev[MOVIMENTO],Tab_02.Fev[CONTA],$F157)</f>
        <v>-11807.35</v>
      </c>
      <c r="J157" s="4">
        <f>SUMIFS(Tab_03.Mar[MOVIMENTO],Tab_03.Mar[CONTA],$F157)</f>
        <v>-12656.73</v>
      </c>
      <c r="K157" s="4">
        <f>SUMIFS(Tab_04.Abr[MOVIMENTO],Tab_04.Abr[CONTA],$F157)</f>
        <v>-16033.16</v>
      </c>
      <c r="L157" s="4">
        <f>SUMIFS(Tab_05.Mai[MOVIMENTO],Tab_05.Mai[CONTA],$F157)</f>
        <v>-11186.69</v>
      </c>
      <c r="M157" s="4">
        <f>SUMIFS(Tab_06.Jun[MOVIMENTO],Tab_06.Jun[CONTA],$F157)</f>
        <v>-17389.169999999998</v>
      </c>
      <c r="N157" s="4">
        <f>SUMIFS(Tab_07.Jul[MOVIMENTO],Tab_07.Jul[CONTA],$F157)</f>
        <v>-15682.54</v>
      </c>
      <c r="O157" s="4">
        <f>SUMIFS(Tab_08.Ago[MOVIMENTO],Tab_08.Ago[CONTA],$F157)</f>
        <v>-11434.49</v>
      </c>
      <c r="P157" s="4">
        <f>SUMIFS(Tab_09.Set[MOVIMENTO],Tab_09.Set[CONTA],$F157)</f>
        <v>-6243.48</v>
      </c>
      <c r="Q157" s="4">
        <f>SUMIFS(Tab_10.Out[MOVIMENTO],Tab_10.Out[CONTA],$F157)</f>
        <v>-18621.490000000002</v>
      </c>
      <c r="R157" s="4">
        <f>SUMIFS(Tab_11.Nov[MOVIMENTO],Tab_11.Nov[CONTA],$F157)</f>
        <v>-14170.22</v>
      </c>
      <c r="S157" s="4">
        <f>SUMIFS(Tab_12.Dez[MOVIMENTO],Tab_12.Dez[CONTA],$F157)</f>
        <v>-9873.2800000000007</v>
      </c>
    </row>
    <row r="158" spans="2:19" x14ac:dyDescent="0.3">
      <c r="B158" s="3"/>
      <c r="C158" s="2" t="str">
        <f t="shared" si="18"/>
        <v>R</v>
      </c>
      <c r="D158" s="2" t="str">
        <f t="shared" si="19"/>
        <v>S</v>
      </c>
      <c r="E158" s="2">
        <f t="shared" si="20"/>
        <v>5</v>
      </c>
      <c r="F158" s="3" t="s">
        <v>571</v>
      </c>
      <c r="G158" s="3" t="s">
        <v>377</v>
      </c>
      <c r="H158" s="4">
        <f>SUMIFS(Tab_01.Jan[MOVIMENTO],Tab_01.Jan[CONTA],$F158)</f>
        <v>-82966.080000000002</v>
      </c>
      <c r="I158" s="4">
        <f>SUMIFS(Tab_02.Fev[MOVIMENTO],Tab_02.Fev[CONTA],$F158)</f>
        <v>-82966.080000000002</v>
      </c>
      <c r="J158" s="4">
        <f>SUMIFS(Tab_03.Mar[MOVIMENTO],Tab_03.Mar[CONTA],$F158)</f>
        <v>-82966.080000000002</v>
      </c>
      <c r="K158" s="4">
        <f>SUMIFS(Tab_04.Abr[MOVIMENTO],Tab_04.Abr[CONTA],$F158)</f>
        <v>-82966.080000000002</v>
      </c>
      <c r="L158" s="4">
        <f>SUMIFS(Tab_05.Mai[MOVIMENTO],Tab_05.Mai[CONTA],$F158)</f>
        <v>-82966.080000000002</v>
      </c>
      <c r="M158" s="4">
        <f>SUMIFS(Tab_06.Jun[MOVIMENTO],Tab_06.Jun[CONTA],$F158)</f>
        <v>-82966.080000000002</v>
      </c>
      <c r="N158" s="4">
        <f>SUMIFS(Tab_07.Jul[MOVIMENTO],Tab_07.Jul[CONTA],$F158)</f>
        <v>-82966.080000000002</v>
      </c>
      <c r="O158" s="4">
        <f>SUMIFS(Tab_08.Ago[MOVIMENTO],Tab_08.Ago[CONTA],$F158)</f>
        <v>-82966.080000000002</v>
      </c>
      <c r="P158" s="4">
        <f>SUMIFS(Tab_09.Set[MOVIMENTO],Tab_09.Set[CONTA],$F158)</f>
        <v>-82966.09</v>
      </c>
      <c r="Q158" s="4">
        <f>SUMIFS(Tab_10.Out[MOVIMENTO],Tab_10.Out[CONTA],$F158)</f>
        <v>-82966.080000000002</v>
      </c>
      <c r="R158" s="4">
        <f>SUMIFS(Tab_11.Nov[MOVIMENTO],Tab_11.Nov[CONTA],$F158)</f>
        <v>-82966.080000000002</v>
      </c>
      <c r="S158" s="4">
        <f>SUMIFS(Tab_12.Dez[MOVIMENTO],Tab_12.Dez[CONTA],$F158)</f>
        <v>-82966.080000000002</v>
      </c>
    </row>
    <row r="159" spans="2:19" x14ac:dyDescent="0.3">
      <c r="B159" s="3" t="s">
        <v>101</v>
      </c>
      <c r="C159" s="2" t="str">
        <f t="shared" si="18"/>
        <v>R</v>
      </c>
      <c r="D159" s="2" t="str">
        <f t="shared" si="19"/>
        <v>A</v>
      </c>
      <c r="E159" s="2">
        <f t="shared" si="20"/>
        <v>5</v>
      </c>
      <c r="F159" s="3" t="s">
        <v>376</v>
      </c>
      <c r="G159" s="3" t="s">
        <v>377</v>
      </c>
      <c r="H159" s="4">
        <f>SUMIFS(Tab_01.Jan[MOVIMENTO],Tab_01.Jan[CONTA],$F159)</f>
        <v>-82966.080000000002</v>
      </c>
      <c r="I159" s="4">
        <f>SUMIFS(Tab_02.Fev[MOVIMENTO],Tab_02.Fev[CONTA],$F159)</f>
        <v>-82966.080000000002</v>
      </c>
      <c r="J159" s="4">
        <f>SUMIFS(Tab_03.Mar[MOVIMENTO],Tab_03.Mar[CONTA],$F159)</f>
        <v>-82966.080000000002</v>
      </c>
      <c r="K159" s="4">
        <f>SUMIFS(Tab_04.Abr[MOVIMENTO],Tab_04.Abr[CONTA],$F159)</f>
        <v>-82966.080000000002</v>
      </c>
      <c r="L159" s="4">
        <f>SUMIFS(Tab_05.Mai[MOVIMENTO],Tab_05.Mai[CONTA],$F159)</f>
        <v>-82966.080000000002</v>
      </c>
      <c r="M159" s="4">
        <f>SUMIFS(Tab_06.Jun[MOVIMENTO],Tab_06.Jun[CONTA],$F159)</f>
        <v>-82966.080000000002</v>
      </c>
      <c r="N159" s="4">
        <f>SUMIFS(Tab_07.Jul[MOVIMENTO],Tab_07.Jul[CONTA],$F159)</f>
        <v>-82966.080000000002</v>
      </c>
      <c r="O159" s="4">
        <f>SUMIFS(Tab_08.Ago[MOVIMENTO],Tab_08.Ago[CONTA],$F159)</f>
        <v>-82966.080000000002</v>
      </c>
      <c r="P159" s="4">
        <f>SUMIFS(Tab_09.Set[MOVIMENTO],Tab_09.Set[CONTA],$F159)</f>
        <v>-82966.09</v>
      </c>
      <c r="Q159" s="4">
        <f>SUMIFS(Tab_10.Out[MOVIMENTO],Tab_10.Out[CONTA],$F159)</f>
        <v>-82966.080000000002</v>
      </c>
      <c r="R159" s="4">
        <f>SUMIFS(Tab_11.Nov[MOVIMENTO],Tab_11.Nov[CONTA],$F159)</f>
        <v>-82966.080000000002</v>
      </c>
      <c r="S159" s="4">
        <f>SUMIFS(Tab_12.Dez[MOVIMENTO],Tab_12.Dez[CONTA],$F159)</f>
        <v>-82966.080000000002</v>
      </c>
    </row>
    <row r="160" spans="2:19" x14ac:dyDescent="0.3">
      <c r="B160" s="3"/>
      <c r="C160" s="2" t="str">
        <f t="shared" si="18"/>
        <v>R</v>
      </c>
      <c r="D160" s="2" t="str">
        <f t="shared" si="19"/>
        <v>S</v>
      </c>
      <c r="E160" s="2">
        <f t="shared" si="20"/>
        <v>5</v>
      </c>
      <c r="F160" s="3" t="s">
        <v>572</v>
      </c>
      <c r="G160" s="3" t="s">
        <v>678</v>
      </c>
      <c r="H160" s="4">
        <f>SUMIFS(Tab_01.Jan[MOVIMENTO],Tab_01.Jan[CONTA],$F160)</f>
        <v>0</v>
      </c>
      <c r="I160" s="4">
        <f>SUMIFS(Tab_02.Fev[MOVIMENTO],Tab_02.Fev[CONTA],$F160)</f>
        <v>0</v>
      </c>
      <c r="J160" s="4">
        <f>SUMIFS(Tab_03.Mar[MOVIMENTO],Tab_03.Mar[CONTA],$F160)</f>
        <v>0</v>
      </c>
      <c r="K160" s="4">
        <f>SUMIFS(Tab_04.Abr[MOVIMENTO],Tab_04.Abr[CONTA],$F160)</f>
        <v>0</v>
      </c>
      <c r="L160" s="4">
        <f>SUMIFS(Tab_05.Mai[MOVIMENTO],Tab_05.Mai[CONTA],$F160)</f>
        <v>0</v>
      </c>
      <c r="M160" s="4">
        <f>SUMIFS(Tab_06.Jun[MOVIMENTO],Tab_06.Jun[CONTA],$F160)</f>
        <v>0</v>
      </c>
      <c r="N160" s="4">
        <f>SUMIFS(Tab_07.Jul[MOVIMENTO],Tab_07.Jul[CONTA],$F160)</f>
        <v>0</v>
      </c>
      <c r="O160" s="4">
        <f>SUMIFS(Tab_08.Ago[MOVIMENTO],Tab_08.Ago[CONTA],$F160)</f>
        <v>0</v>
      </c>
      <c r="P160" s="4">
        <f>SUMIFS(Tab_09.Set[MOVIMENTO],Tab_09.Set[CONTA],$F160)</f>
        <v>0</v>
      </c>
      <c r="Q160" s="4">
        <f>SUMIFS(Tab_10.Out[MOVIMENTO],Tab_10.Out[CONTA],$F160)</f>
        <v>0</v>
      </c>
      <c r="R160" s="4">
        <f>SUMIFS(Tab_11.Nov[MOVIMENTO],Tab_11.Nov[CONTA],$F160)</f>
        <v>0</v>
      </c>
      <c r="S160" s="4">
        <f>SUMIFS(Tab_12.Dez[MOVIMENTO],Tab_12.Dez[CONTA],$F160)</f>
        <v>0</v>
      </c>
    </row>
    <row r="161" spans="2:19" x14ac:dyDescent="0.3">
      <c r="B161" s="3"/>
      <c r="C161" s="2" t="str">
        <f t="shared" si="18"/>
        <v>R</v>
      </c>
      <c r="D161" s="2" t="str">
        <f t="shared" si="19"/>
        <v>S</v>
      </c>
      <c r="E161" s="2">
        <f t="shared" si="20"/>
        <v>5</v>
      </c>
      <c r="F161" s="3" t="s">
        <v>573</v>
      </c>
      <c r="G161" s="3" t="s">
        <v>679</v>
      </c>
      <c r="H161" s="4">
        <f>SUMIFS(Tab_01.Jan[MOVIMENTO],Tab_01.Jan[CONTA],$F161)</f>
        <v>0</v>
      </c>
      <c r="I161" s="4">
        <f>SUMIFS(Tab_02.Fev[MOVIMENTO],Tab_02.Fev[CONTA],$F161)</f>
        <v>0</v>
      </c>
      <c r="J161" s="4">
        <f>SUMIFS(Tab_03.Mar[MOVIMENTO],Tab_03.Mar[CONTA],$F161)</f>
        <v>0</v>
      </c>
      <c r="K161" s="4">
        <f>SUMIFS(Tab_04.Abr[MOVIMENTO],Tab_04.Abr[CONTA],$F161)</f>
        <v>0</v>
      </c>
      <c r="L161" s="4">
        <f>SUMIFS(Tab_05.Mai[MOVIMENTO],Tab_05.Mai[CONTA],$F161)</f>
        <v>0</v>
      </c>
      <c r="M161" s="4">
        <f>SUMIFS(Tab_06.Jun[MOVIMENTO],Tab_06.Jun[CONTA],$F161)</f>
        <v>0</v>
      </c>
      <c r="N161" s="4">
        <f>SUMIFS(Tab_07.Jul[MOVIMENTO],Tab_07.Jul[CONTA],$F161)</f>
        <v>0</v>
      </c>
      <c r="O161" s="4">
        <f>SUMIFS(Tab_08.Ago[MOVIMENTO],Tab_08.Ago[CONTA],$F161)</f>
        <v>0</v>
      </c>
      <c r="P161" s="4">
        <f>SUMIFS(Tab_09.Set[MOVIMENTO],Tab_09.Set[CONTA],$F161)</f>
        <v>0</v>
      </c>
      <c r="Q161" s="4">
        <f>SUMIFS(Tab_10.Out[MOVIMENTO],Tab_10.Out[CONTA],$F161)</f>
        <v>0</v>
      </c>
      <c r="R161" s="4">
        <f>SUMIFS(Tab_11.Nov[MOVIMENTO],Tab_11.Nov[CONTA],$F161)</f>
        <v>0</v>
      </c>
      <c r="S161" s="4">
        <f>SUMIFS(Tab_12.Dez[MOVIMENTO],Tab_12.Dez[CONTA],$F161)</f>
        <v>0</v>
      </c>
    </row>
    <row r="162" spans="2:19" x14ac:dyDescent="0.3">
      <c r="B162" s="3" t="s">
        <v>101</v>
      </c>
      <c r="C162" s="2" t="str">
        <f t="shared" si="18"/>
        <v>R</v>
      </c>
      <c r="D162" s="2" t="str">
        <f t="shared" si="19"/>
        <v>A</v>
      </c>
      <c r="E162" s="2">
        <f t="shared" si="20"/>
        <v>5</v>
      </c>
      <c r="F162" s="3" t="s">
        <v>378</v>
      </c>
      <c r="G162" s="3" t="s">
        <v>379</v>
      </c>
      <c r="H162" s="4">
        <f>SUMIFS(Tab_01.Jan[MOVIMENTO],Tab_01.Jan[CONTA],$F162)</f>
        <v>0</v>
      </c>
      <c r="I162" s="4">
        <f>SUMIFS(Tab_02.Fev[MOVIMENTO],Tab_02.Fev[CONTA],$F162)</f>
        <v>0</v>
      </c>
      <c r="J162" s="4">
        <f>SUMIFS(Tab_03.Mar[MOVIMENTO],Tab_03.Mar[CONTA],$F162)</f>
        <v>0</v>
      </c>
      <c r="K162" s="4">
        <f>SUMIFS(Tab_04.Abr[MOVIMENTO],Tab_04.Abr[CONTA],$F162)</f>
        <v>0</v>
      </c>
      <c r="L162" s="4">
        <f>SUMIFS(Tab_05.Mai[MOVIMENTO],Tab_05.Mai[CONTA],$F162)</f>
        <v>0</v>
      </c>
      <c r="M162" s="4">
        <f>SUMIFS(Tab_06.Jun[MOVIMENTO],Tab_06.Jun[CONTA],$F162)</f>
        <v>0</v>
      </c>
      <c r="N162" s="4">
        <f>SUMIFS(Tab_07.Jul[MOVIMENTO],Tab_07.Jul[CONTA],$F162)</f>
        <v>0</v>
      </c>
      <c r="O162" s="4">
        <f>SUMIFS(Tab_08.Ago[MOVIMENTO],Tab_08.Ago[CONTA],$F162)</f>
        <v>0</v>
      </c>
      <c r="P162" s="4">
        <f>SUMIFS(Tab_09.Set[MOVIMENTO],Tab_09.Set[CONTA],$F162)</f>
        <v>0</v>
      </c>
      <c r="Q162" s="4">
        <f>SUMIFS(Tab_10.Out[MOVIMENTO],Tab_10.Out[CONTA],$F162)</f>
        <v>0</v>
      </c>
      <c r="R162" s="4">
        <f>SUMIFS(Tab_11.Nov[MOVIMENTO],Tab_11.Nov[CONTA],$F162)</f>
        <v>0</v>
      </c>
      <c r="S162" s="4">
        <f>SUMIFS(Tab_12.Dez[MOVIMENTO],Tab_12.Dez[CONTA],$F162)</f>
        <v>0</v>
      </c>
    </row>
    <row r="163" spans="2:19" x14ac:dyDescent="0.3">
      <c r="B163" s="3" t="s">
        <v>101</v>
      </c>
      <c r="C163" s="2" t="str">
        <f t="shared" ref="C163:C180" si="21">IF($F163="","",IF(LEFT($F163,1)*1=1,"A",IF(LEFT($F163,1)*1=2,"P",IF(LEFT($F163,1)*1=3,"R",IF(LEFT($F163,1)*1=4,"C",IF(LEFT($F163,1)*1=5,"C",IF(LEFT($F163,1)*1=6,"C","")))))))</f>
        <v>R</v>
      </c>
      <c r="D163" s="2" t="str">
        <f t="shared" ref="D163:D180" si="22">IF($F163="","",IF(LEN($F163)=13,"A","S"))</f>
        <v>A</v>
      </c>
      <c r="E163" s="2">
        <f t="shared" ref="E163:E180" si="23">IF($F163="","",IF(LEN($F163)=1,1,IF(LEN($F163)=3,2,IF(LEN($F163)=5,3,IF(LEN($F163)=8,4,5)))))</f>
        <v>5</v>
      </c>
      <c r="F163" s="3" t="s">
        <v>380</v>
      </c>
      <c r="G163" s="3" t="s">
        <v>381</v>
      </c>
      <c r="H163" s="4">
        <f>SUMIFS(Tab_01.Jan[MOVIMENTO],Tab_01.Jan[CONTA],$F163)</f>
        <v>0</v>
      </c>
      <c r="I163" s="4">
        <f>SUMIFS(Tab_02.Fev[MOVIMENTO],Tab_02.Fev[CONTA],$F163)</f>
        <v>0</v>
      </c>
      <c r="J163" s="4">
        <f>SUMIFS(Tab_03.Mar[MOVIMENTO],Tab_03.Mar[CONTA],$F163)</f>
        <v>0</v>
      </c>
      <c r="K163" s="4">
        <f>SUMIFS(Tab_04.Abr[MOVIMENTO],Tab_04.Abr[CONTA],$F163)</f>
        <v>0</v>
      </c>
      <c r="L163" s="4">
        <f>SUMIFS(Tab_05.Mai[MOVIMENTO],Tab_05.Mai[CONTA],$F163)</f>
        <v>0</v>
      </c>
      <c r="M163" s="4">
        <f>SUMIFS(Tab_06.Jun[MOVIMENTO],Tab_06.Jun[CONTA],$F163)</f>
        <v>0</v>
      </c>
      <c r="N163" s="4">
        <f>SUMIFS(Tab_07.Jul[MOVIMENTO],Tab_07.Jul[CONTA],$F163)</f>
        <v>0</v>
      </c>
      <c r="O163" s="4">
        <f>SUMIFS(Tab_08.Ago[MOVIMENTO],Tab_08.Ago[CONTA],$F163)</f>
        <v>0</v>
      </c>
      <c r="P163" s="4">
        <f>SUMIFS(Tab_09.Set[MOVIMENTO],Tab_09.Set[CONTA],$F163)</f>
        <v>0</v>
      </c>
      <c r="Q163" s="4">
        <f>SUMIFS(Tab_10.Out[MOVIMENTO],Tab_10.Out[CONTA],$F163)</f>
        <v>0</v>
      </c>
      <c r="R163" s="4">
        <f>SUMIFS(Tab_11.Nov[MOVIMENTO],Tab_11.Nov[CONTA],$F163)</f>
        <v>0</v>
      </c>
      <c r="S163" s="4">
        <f>SUMIFS(Tab_12.Dez[MOVIMENTO],Tab_12.Dez[CONTA],$F163)</f>
        <v>0</v>
      </c>
    </row>
    <row r="164" spans="2:19" x14ac:dyDescent="0.3">
      <c r="B164" s="3"/>
      <c r="C164" s="2" t="str">
        <f t="shared" si="21"/>
        <v>R</v>
      </c>
      <c r="D164" s="2" t="str">
        <f t="shared" si="22"/>
        <v>S</v>
      </c>
      <c r="E164" s="2">
        <f t="shared" si="23"/>
        <v>5</v>
      </c>
      <c r="F164" s="3" t="s">
        <v>735</v>
      </c>
      <c r="G164" s="3" t="s">
        <v>736</v>
      </c>
      <c r="H164" s="4">
        <f>SUMIFS(Tab_01.Jan[MOVIMENTO],Tab_01.Jan[CONTA],$F164)</f>
        <v>-187419.37</v>
      </c>
      <c r="I164" s="4">
        <f>SUMIFS(Tab_02.Fev[MOVIMENTO],Tab_02.Fev[CONTA],$F164)</f>
        <v>-247534.56</v>
      </c>
      <c r="J164" s="4">
        <f>SUMIFS(Tab_03.Mar[MOVIMENTO],Tab_03.Mar[CONTA],$F164)</f>
        <v>-247414.93</v>
      </c>
      <c r="K164" s="4">
        <f>SUMIFS(Tab_04.Abr[MOVIMENTO],Tab_04.Abr[CONTA],$F164)</f>
        <v>-180215.42</v>
      </c>
      <c r="L164" s="4">
        <f>SUMIFS(Tab_05.Mai[MOVIMENTO],Tab_05.Mai[CONTA],$F164)</f>
        <v>-332680.82</v>
      </c>
      <c r="M164" s="4">
        <f>SUMIFS(Tab_06.Jun[MOVIMENTO],Tab_06.Jun[CONTA],$F164)</f>
        <v>-184021.85</v>
      </c>
      <c r="N164" s="4">
        <f>SUMIFS(Tab_07.Jul[MOVIMENTO],Tab_07.Jul[CONTA],$F164)</f>
        <v>-323149.34999999998</v>
      </c>
      <c r="O164" s="4">
        <f>SUMIFS(Tab_08.Ago[MOVIMENTO],Tab_08.Ago[CONTA],$F164)</f>
        <v>-224690.95</v>
      </c>
      <c r="P164" s="4">
        <f>SUMIFS(Tab_09.Set[MOVIMENTO],Tab_09.Set[CONTA],$F164)</f>
        <v>-198337.07</v>
      </c>
      <c r="Q164" s="4">
        <f>SUMIFS(Tab_10.Out[MOVIMENTO],Tab_10.Out[CONTA],$F164)</f>
        <v>-429781.84</v>
      </c>
      <c r="R164" s="4">
        <f>SUMIFS(Tab_11.Nov[MOVIMENTO],Tab_11.Nov[CONTA],$F164)</f>
        <v>-188073.31</v>
      </c>
      <c r="S164" s="4">
        <f>SUMIFS(Tab_12.Dez[MOVIMENTO],Tab_12.Dez[CONTA],$F164)</f>
        <v>-442629.02</v>
      </c>
    </row>
    <row r="165" spans="2:19" x14ac:dyDescent="0.3">
      <c r="B165" s="3" t="s">
        <v>101</v>
      </c>
      <c r="C165" s="2" t="str">
        <f t="shared" si="21"/>
        <v>R</v>
      </c>
      <c r="D165" s="2" t="str">
        <f t="shared" si="22"/>
        <v>A</v>
      </c>
      <c r="E165" s="2">
        <f t="shared" si="23"/>
        <v>5</v>
      </c>
      <c r="F165" s="3" t="s">
        <v>737</v>
      </c>
      <c r="G165" s="3" t="s">
        <v>422</v>
      </c>
      <c r="H165" s="4">
        <f>SUMIFS(Tab_01.Jan[MOVIMENTO],Tab_01.Jan[CONTA],$F165)</f>
        <v>-187419.37</v>
      </c>
      <c r="I165" s="4">
        <f>SUMIFS(Tab_02.Fev[MOVIMENTO],Tab_02.Fev[CONTA],$F165)</f>
        <v>-247534.56</v>
      </c>
      <c r="J165" s="4">
        <f>SUMIFS(Tab_03.Mar[MOVIMENTO],Tab_03.Mar[CONTA],$F165)</f>
        <v>-247414.93</v>
      </c>
      <c r="K165" s="4">
        <f>SUMIFS(Tab_04.Abr[MOVIMENTO],Tab_04.Abr[CONTA],$F165)</f>
        <v>-180215.42</v>
      </c>
      <c r="L165" s="4">
        <f>SUMIFS(Tab_05.Mai[MOVIMENTO],Tab_05.Mai[CONTA],$F165)</f>
        <v>-332680.82</v>
      </c>
      <c r="M165" s="4">
        <f>SUMIFS(Tab_06.Jun[MOVIMENTO],Tab_06.Jun[CONTA],$F165)</f>
        <v>-184021.85</v>
      </c>
      <c r="N165" s="4">
        <f>SUMIFS(Tab_07.Jul[MOVIMENTO],Tab_07.Jul[CONTA],$F165)</f>
        <v>-323149.34999999998</v>
      </c>
      <c r="O165" s="4">
        <f>SUMIFS(Tab_08.Ago[MOVIMENTO],Tab_08.Ago[CONTA],$F165)</f>
        <v>-224690.95</v>
      </c>
      <c r="P165" s="4">
        <f>SUMIFS(Tab_09.Set[MOVIMENTO],Tab_09.Set[CONTA],$F165)</f>
        <v>-198337.07</v>
      </c>
      <c r="Q165" s="4">
        <f>SUMIFS(Tab_10.Out[MOVIMENTO],Tab_10.Out[CONTA],$F165)</f>
        <v>-429781.84</v>
      </c>
      <c r="R165" s="4">
        <f>SUMIFS(Tab_11.Nov[MOVIMENTO],Tab_11.Nov[CONTA],$F165)</f>
        <v>-188073.31</v>
      </c>
      <c r="S165" s="4">
        <f>SUMIFS(Tab_12.Dez[MOVIMENTO],Tab_12.Dez[CONTA],$F165)</f>
        <v>-442629.02</v>
      </c>
    </row>
    <row r="166" spans="2:19" x14ac:dyDescent="0.3">
      <c r="B166" s="3"/>
      <c r="C166" s="2" t="str">
        <f t="shared" si="21"/>
        <v>R</v>
      </c>
      <c r="D166" s="2" t="str">
        <f t="shared" si="22"/>
        <v>S</v>
      </c>
      <c r="E166" s="2">
        <f t="shared" si="23"/>
        <v>2</v>
      </c>
      <c r="F166" s="3" t="s">
        <v>574</v>
      </c>
      <c r="G166" s="3" t="s">
        <v>680</v>
      </c>
      <c r="H166" s="4">
        <f>SUMIFS(Tab_01.Jan[MOVIMENTO],Tab_01.Jan[CONTA],$F166)</f>
        <v>-421470.98</v>
      </c>
      <c r="I166" s="4">
        <f>SUMIFS(Tab_02.Fev[MOVIMENTO],Tab_02.Fev[CONTA],$F166)</f>
        <v>-434107.84</v>
      </c>
      <c r="J166" s="4">
        <f>SUMIFS(Tab_03.Mar[MOVIMENTO],Tab_03.Mar[CONTA],$F166)</f>
        <v>-442052.26</v>
      </c>
      <c r="K166" s="4">
        <f>SUMIFS(Tab_04.Abr[MOVIMENTO],Tab_04.Abr[CONTA],$F166)</f>
        <v>-440421.58</v>
      </c>
      <c r="L166" s="4">
        <f>SUMIFS(Tab_05.Mai[MOVIMENTO],Tab_05.Mai[CONTA],$F166)</f>
        <v>-453004.42</v>
      </c>
      <c r="M166" s="4">
        <f>SUMIFS(Tab_06.Jun[MOVIMENTO],Tab_06.Jun[CONTA],$F166)</f>
        <v>-440421.58</v>
      </c>
      <c r="N166" s="4">
        <f>SUMIFS(Tab_07.Jul[MOVIMENTO],Tab_07.Jul[CONTA],$F166)</f>
        <v>-446974.84</v>
      </c>
      <c r="O166" s="4">
        <f>SUMIFS(Tab_08.Ago[MOVIMENTO],Tab_08.Ago[CONTA],$F166)</f>
        <v>-446898.11</v>
      </c>
      <c r="P166" s="4">
        <f>SUMIFS(Tab_09.Set[MOVIMENTO],Tab_09.Set[CONTA],$F166)</f>
        <v>-446371.77</v>
      </c>
      <c r="Q166" s="4">
        <f>SUMIFS(Tab_10.Out[MOVIMENTO],Tab_10.Out[CONTA],$F166)</f>
        <v>-467690.18</v>
      </c>
      <c r="R166" s="4">
        <f>SUMIFS(Tab_11.Nov[MOVIMENTO],Tab_11.Nov[CONTA],$F166)</f>
        <v>-444943.28</v>
      </c>
      <c r="S166" s="4">
        <f>SUMIFS(Tab_12.Dez[MOVIMENTO],Tab_12.Dez[CONTA],$F166)</f>
        <v>-441700.25</v>
      </c>
    </row>
    <row r="167" spans="2:19" x14ac:dyDescent="0.3">
      <c r="B167" s="3"/>
      <c r="C167" s="2" t="str">
        <f t="shared" si="21"/>
        <v>R</v>
      </c>
      <c r="D167" s="2" t="str">
        <f t="shared" si="22"/>
        <v>S</v>
      </c>
      <c r="E167" s="2">
        <f t="shared" si="23"/>
        <v>5</v>
      </c>
      <c r="F167" s="3" t="s">
        <v>575</v>
      </c>
      <c r="G167" s="3" t="s">
        <v>681</v>
      </c>
      <c r="H167" s="4">
        <f>SUMIFS(Tab_01.Jan[MOVIMENTO],Tab_01.Jan[CONTA],$F167)</f>
        <v>0</v>
      </c>
      <c r="I167" s="4">
        <f>SUMIFS(Tab_02.Fev[MOVIMENTO],Tab_02.Fev[CONTA],$F167)</f>
        <v>0</v>
      </c>
      <c r="J167" s="4">
        <f>SUMIFS(Tab_03.Mar[MOVIMENTO],Tab_03.Mar[CONTA],$F167)</f>
        <v>0</v>
      </c>
      <c r="K167" s="4">
        <f>SUMIFS(Tab_04.Abr[MOVIMENTO],Tab_04.Abr[CONTA],$F167)</f>
        <v>0</v>
      </c>
      <c r="L167" s="4">
        <f>SUMIFS(Tab_05.Mai[MOVIMENTO],Tab_05.Mai[CONTA],$F167)</f>
        <v>0</v>
      </c>
      <c r="M167" s="4">
        <f>SUMIFS(Tab_06.Jun[MOVIMENTO],Tab_06.Jun[CONTA],$F167)</f>
        <v>0</v>
      </c>
      <c r="N167" s="4">
        <f>SUMIFS(Tab_07.Jul[MOVIMENTO],Tab_07.Jul[CONTA],$F167)</f>
        <v>-50</v>
      </c>
      <c r="O167" s="4">
        <f>SUMIFS(Tab_08.Ago[MOVIMENTO],Tab_08.Ago[CONTA],$F167)</f>
        <v>0</v>
      </c>
      <c r="P167" s="4">
        <f>SUMIFS(Tab_09.Set[MOVIMENTO],Tab_09.Set[CONTA],$F167)</f>
        <v>-5000</v>
      </c>
      <c r="Q167" s="4">
        <f>SUMIFS(Tab_10.Out[MOVIMENTO],Tab_10.Out[CONTA],$F167)</f>
        <v>-2263.46</v>
      </c>
      <c r="R167" s="4">
        <f>SUMIFS(Tab_11.Nov[MOVIMENTO],Tab_11.Nov[CONTA],$F167)</f>
        <v>-6420.7</v>
      </c>
      <c r="S167" s="4">
        <f>SUMIFS(Tab_12.Dez[MOVIMENTO],Tab_12.Dez[CONTA],$F167)</f>
        <v>-1321.45</v>
      </c>
    </row>
    <row r="168" spans="2:19" x14ac:dyDescent="0.3">
      <c r="B168" s="3"/>
      <c r="C168" s="2" t="str">
        <f t="shared" si="21"/>
        <v>R</v>
      </c>
      <c r="D168" s="2" t="str">
        <f t="shared" si="22"/>
        <v>S</v>
      </c>
      <c r="E168" s="2">
        <f t="shared" si="23"/>
        <v>5</v>
      </c>
      <c r="F168" s="3" t="s">
        <v>576</v>
      </c>
      <c r="G168" s="3" t="s">
        <v>682</v>
      </c>
      <c r="H168" s="4">
        <f>SUMIFS(Tab_01.Jan[MOVIMENTO],Tab_01.Jan[CONTA],$F168)</f>
        <v>0</v>
      </c>
      <c r="I168" s="4">
        <f>SUMIFS(Tab_02.Fev[MOVIMENTO],Tab_02.Fev[CONTA],$F168)</f>
        <v>0</v>
      </c>
      <c r="J168" s="4">
        <f>SUMIFS(Tab_03.Mar[MOVIMENTO],Tab_03.Mar[CONTA],$F168)</f>
        <v>0</v>
      </c>
      <c r="K168" s="4">
        <f>SUMIFS(Tab_04.Abr[MOVIMENTO],Tab_04.Abr[CONTA],$F168)</f>
        <v>0</v>
      </c>
      <c r="L168" s="4">
        <f>SUMIFS(Tab_05.Mai[MOVIMENTO],Tab_05.Mai[CONTA],$F168)</f>
        <v>0</v>
      </c>
      <c r="M168" s="4">
        <f>SUMIFS(Tab_06.Jun[MOVIMENTO],Tab_06.Jun[CONTA],$F168)</f>
        <v>0</v>
      </c>
      <c r="N168" s="4">
        <f>SUMIFS(Tab_07.Jul[MOVIMENTO],Tab_07.Jul[CONTA],$F168)</f>
        <v>-50</v>
      </c>
      <c r="O168" s="4">
        <f>SUMIFS(Tab_08.Ago[MOVIMENTO],Tab_08.Ago[CONTA],$F168)</f>
        <v>0</v>
      </c>
      <c r="P168" s="4">
        <f>SUMIFS(Tab_09.Set[MOVIMENTO],Tab_09.Set[CONTA],$F168)</f>
        <v>-5000</v>
      </c>
      <c r="Q168" s="4">
        <f>SUMIFS(Tab_10.Out[MOVIMENTO],Tab_10.Out[CONTA],$F168)</f>
        <v>-2263.46</v>
      </c>
      <c r="R168" s="4">
        <f>SUMIFS(Tab_11.Nov[MOVIMENTO],Tab_11.Nov[CONTA],$F168)</f>
        <v>-6420.7</v>
      </c>
      <c r="S168" s="4">
        <f>SUMIFS(Tab_12.Dez[MOVIMENTO],Tab_12.Dez[CONTA],$F168)</f>
        <v>-1321.45</v>
      </c>
    </row>
    <row r="169" spans="2:19" x14ac:dyDescent="0.3">
      <c r="B169" s="3" t="s">
        <v>101</v>
      </c>
      <c r="C169" s="2" t="str">
        <f t="shared" si="21"/>
        <v>R</v>
      </c>
      <c r="D169" s="2" t="str">
        <f t="shared" si="22"/>
        <v>A</v>
      </c>
      <c r="E169" s="2">
        <f t="shared" si="23"/>
        <v>5</v>
      </c>
      <c r="F169" s="3" t="s">
        <v>382</v>
      </c>
      <c r="G169" s="3" t="s">
        <v>292</v>
      </c>
      <c r="H169" s="4">
        <f>SUMIFS(Tab_01.Jan[MOVIMENTO],Tab_01.Jan[CONTA],$F169)</f>
        <v>0</v>
      </c>
      <c r="I169" s="4">
        <f>SUMIFS(Tab_02.Fev[MOVIMENTO],Tab_02.Fev[CONTA],$F169)</f>
        <v>0</v>
      </c>
      <c r="J169" s="4">
        <f>SUMIFS(Tab_03.Mar[MOVIMENTO],Tab_03.Mar[CONTA],$F169)</f>
        <v>0</v>
      </c>
      <c r="K169" s="4">
        <f>SUMIFS(Tab_04.Abr[MOVIMENTO],Tab_04.Abr[CONTA],$F169)</f>
        <v>0</v>
      </c>
      <c r="L169" s="4">
        <f>SUMIFS(Tab_05.Mai[MOVIMENTO],Tab_05.Mai[CONTA],$F169)</f>
        <v>0</v>
      </c>
      <c r="M169" s="4">
        <f>SUMIFS(Tab_06.Jun[MOVIMENTO],Tab_06.Jun[CONTA],$F169)</f>
        <v>0</v>
      </c>
      <c r="N169" s="4">
        <f>SUMIFS(Tab_07.Jul[MOVIMENTO],Tab_07.Jul[CONTA],$F169)</f>
        <v>-50</v>
      </c>
      <c r="O169" s="4">
        <f>SUMIFS(Tab_08.Ago[MOVIMENTO],Tab_08.Ago[CONTA],$F169)</f>
        <v>0</v>
      </c>
      <c r="P169" s="4">
        <f>SUMIFS(Tab_09.Set[MOVIMENTO],Tab_09.Set[CONTA],$F169)</f>
        <v>-5000</v>
      </c>
      <c r="Q169" s="4">
        <f>SUMIFS(Tab_10.Out[MOVIMENTO],Tab_10.Out[CONTA],$F169)</f>
        <v>-2263.46</v>
      </c>
      <c r="R169" s="4">
        <f>SUMIFS(Tab_11.Nov[MOVIMENTO],Tab_11.Nov[CONTA],$F169)</f>
        <v>-6420.7</v>
      </c>
      <c r="S169" s="4">
        <f>SUMIFS(Tab_12.Dez[MOVIMENTO],Tab_12.Dez[CONTA],$F169)</f>
        <v>-1321.45</v>
      </c>
    </row>
    <row r="170" spans="2:19" x14ac:dyDescent="0.3">
      <c r="B170" s="3"/>
      <c r="C170" s="2" t="str">
        <f t="shared" si="21"/>
        <v>R</v>
      </c>
      <c r="D170" s="2" t="str">
        <f t="shared" si="22"/>
        <v>S</v>
      </c>
      <c r="E170" s="2">
        <f t="shared" si="23"/>
        <v>5</v>
      </c>
      <c r="F170" s="3" t="s">
        <v>577</v>
      </c>
      <c r="G170" s="3" t="s">
        <v>683</v>
      </c>
      <c r="H170" s="4">
        <f>SUMIFS(Tab_01.Jan[MOVIMENTO],Tab_01.Jan[CONTA],$F170)</f>
        <v>0</v>
      </c>
      <c r="I170" s="4">
        <f>SUMIFS(Tab_02.Fev[MOVIMENTO],Tab_02.Fev[CONTA],$F170)</f>
        <v>0</v>
      </c>
      <c r="J170" s="4">
        <f>SUMIFS(Tab_03.Mar[MOVIMENTO],Tab_03.Mar[CONTA],$F170)</f>
        <v>0</v>
      </c>
      <c r="K170" s="4">
        <f>SUMIFS(Tab_04.Abr[MOVIMENTO],Tab_04.Abr[CONTA],$F170)</f>
        <v>0</v>
      </c>
      <c r="L170" s="4">
        <f>SUMIFS(Tab_05.Mai[MOVIMENTO],Tab_05.Mai[CONTA],$F170)</f>
        <v>0</v>
      </c>
      <c r="M170" s="4">
        <f>SUMIFS(Tab_06.Jun[MOVIMENTO],Tab_06.Jun[CONTA],$F170)</f>
        <v>0</v>
      </c>
      <c r="N170" s="4">
        <f>SUMIFS(Tab_07.Jul[MOVIMENTO],Tab_07.Jul[CONTA],$F170)</f>
        <v>11</v>
      </c>
      <c r="O170" s="4">
        <f>SUMIFS(Tab_08.Ago[MOVIMENTO],Tab_08.Ago[CONTA],$F170)</f>
        <v>37.729999999999997</v>
      </c>
      <c r="P170" s="4">
        <f>SUMIFS(Tab_09.Set[MOVIMENTO],Tab_09.Set[CONTA],$F170)</f>
        <v>12078.33</v>
      </c>
      <c r="Q170" s="4">
        <f>SUMIFS(Tab_10.Out[MOVIMENTO],Tab_10.Out[CONTA],$F170)</f>
        <v>12.1</v>
      </c>
      <c r="R170" s="4">
        <f>SUMIFS(Tab_11.Nov[MOVIMENTO],Tab_11.Nov[CONTA],$F170)</f>
        <v>1899</v>
      </c>
      <c r="S170" s="4">
        <f>SUMIFS(Tab_12.Dez[MOVIMENTO],Tab_12.Dez[CONTA],$F170)</f>
        <v>265.62</v>
      </c>
    </row>
    <row r="171" spans="2:19" x14ac:dyDescent="0.3">
      <c r="B171" s="3"/>
      <c r="C171" s="2" t="str">
        <f t="shared" si="21"/>
        <v>R</v>
      </c>
      <c r="D171" s="2" t="str">
        <f t="shared" si="22"/>
        <v>S</v>
      </c>
      <c r="E171" s="2">
        <f t="shared" si="23"/>
        <v>5</v>
      </c>
      <c r="F171" s="3" t="s">
        <v>578</v>
      </c>
      <c r="G171" s="3" t="s">
        <v>684</v>
      </c>
      <c r="H171" s="4">
        <f>SUMIFS(Tab_01.Jan[MOVIMENTO],Tab_01.Jan[CONTA],$F171)</f>
        <v>0</v>
      </c>
      <c r="I171" s="4">
        <f>SUMIFS(Tab_02.Fev[MOVIMENTO],Tab_02.Fev[CONTA],$F171)</f>
        <v>0</v>
      </c>
      <c r="J171" s="4">
        <f>SUMIFS(Tab_03.Mar[MOVIMENTO],Tab_03.Mar[CONTA],$F171)</f>
        <v>0</v>
      </c>
      <c r="K171" s="4">
        <f>SUMIFS(Tab_04.Abr[MOVIMENTO],Tab_04.Abr[CONTA],$F171)</f>
        <v>0</v>
      </c>
      <c r="L171" s="4">
        <f>SUMIFS(Tab_05.Mai[MOVIMENTO],Tab_05.Mai[CONTA],$F171)</f>
        <v>0</v>
      </c>
      <c r="M171" s="4">
        <f>SUMIFS(Tab_06.Jun[MOVIMENTO],Tab_06.Jun[CONTA],$F171)</f>
        <v>0</v>
      </c>
      <c r="N171" s="4">
        <f>SUMIFS(Tab_07.Jul[MOVIMENTO],Tab_07.Jul[CONTA],$F171)</f>
        <v>0</v>
      </c>
      <c r="O171" s="4">
        <f>SUMIFS(Tab_08.Ago[MOVIMENTO],Tab_08.Ago[CONTA],$F171)</f>
        <v>0</v>
      </c>
      <c r="P171" s="4">
        <f>SUMIFS(Tab_09.Set[MOVIMENTO],Tab_09.Set[CONTA],$F171)</f>
        <v>0</v>
      </c>
      <c r="Q171" s="4">
        <f>SUMIFS(Tab_10.Out[MOVIMENTO],Tab_10.Out[CONTA],$F171)</f>
        <v>0</v>
      </c>
      <c r="R171" s="4">
        <f>SUMIFS(Tab_11.Nov[MOVIMENTO],Tab_11.Nov[CONTA],$F171)</f>
        <v>0</v>
      </c>
      <c r="S171" s="4">
        <f>SUMIFS(Tab_12.Dez[MOVIMENTO],Tab_12.Dez[CONTA],$F171)</f>
        <v>0</v>
      </c>
    </row>
    <row r="172" spans="2:19" x14ac:dyDescent="0.3">
      <c r="B172" s="3" t="s">
        <v>101</v>
      </c>
      <c r="C172" s="2" t="str">
        <f t="shared" si="21"/>
        <v>R</v>
      </c>
      <c r="D172" s="2" t="str">
        <f t="shared" si="22"/>
        <v>A</v>
      </c>
      <c r="E172" s="2">
        <f t="shared" si="23"/>
        <v>5</v>
      </c>
      <c r="F172" s="3" t="s">
        <v>383</v>
      </c>
      <c r="G172" s="3" t="s">
        <v>384</v>
      </c>
      <c r="H172" s="4">
        <f>SUMIFS(Tab_01.Jan[MOVIMENTO],Tab_01.Jan[CONTA],$F172)</f>
        <v>0</v>
      </c>
      <c r="I172" s="4">
        <f>SUMIFS(Tab_02.Fev[MOVIMENTO],Tab_02.Fev[CONTA],$F172)</f>
        <v>0</v>
      </c>
      <c r="J172" s="4">
        <f>SUMIFS(Tab_03.Mar[MOVIMENTO],Tab_03.Mar[CONTA],$F172)</f>
        <v>0</v>
      </c>
      <c r="K172" s="4">
        <f>SUMIFS(Tab_04.Abr[MOVIMENTO],Tab_04.Abr[CONTA],$F172)</f>
        <v>0</v>
      </c>
      <c r="L172" s="4">
        <f>SUMIFS(Tab_05.Mai[MOVIMENTO],Tab_05.Mai[CONTA],$F172)</f>
        <v>0</v>
      </c>
      <c r="M172" s="4">
        <f>SUMIFS(Tab_06.Jun[MOVIMENTO],Tab_06.Jun[CONTA],$F172)</f>
        <v>0</v>
      </c>
      <c r="N172" s="4">
        <f>SUMIFS(Tab_07.Jul[MOVIMENTO],Tab_07.Jul[CONTA],$F172)</f>
        <v>0</v>
      </c>
      <c r="O172" s="4">
        <f>SUMIFS(Tab_08.Ago[MOVIMENTO],Tab_08.Ago[CONTA],$F172)</f>
        <v>0</v>
      </c>
      <c r="P172" s="4">
        <f>SUMIFS(Tab_09.Set[MOVIMENTO],Tab_09.Set[CONTA],$F172)</f>
        <v>0</v>
      </c>
      <c r="Q172" s="4">
        <f>SUMIFS(Tab_10.Out[MOVIMENTO],Tab_10.Out[CONTA],$F172)</f>
        <v>0</v>
      </c>
      <c r="R172" s="4">
        <f>SUMIFS(Tab_11.Nov[MOVIMENTO],Tab_11.Nov[CONTA],$F172)</f>
        <v>0</v>
      </c>
      <c r="S172" s="4">
        <f>SUMIFS(Tab_12.Dez[MOVIMENTO],Tab_12.Dez[CONTA],$F172)</f>
        <v>0</v>
      </c>
    </row>
    <row r="173" spans="2:19" x14ac:dyDescent="0.3">
      <c r="B173" s="3"/>
      <c r="C173" s="2" t="str">
        <f t="shared" si="21"/>
        <v>R</v>
      </c>
      <c r="D173" s="2" t="str">
        <f t="shared" si="22"/>
        <v>S</v>
      </c>
      <c r="E173" s="2">
        <f t="shared" si="23"/>
        <v>5</v>
      </c>
      <c r="F173" s="3" t="s">
        <v>579</v>
      </c>
      <c r="G173" s="3" t="s">
        <v>685</v>
      </c>
      <c r="H173" s="4">
        <f>SUMIFS(Tab_01.Jan[MOVIMENTO],Tab_01.Jan[CONTA],$F173)</f>
        <v>0</v>
      </c>
      <c r="I173" s="4">
        <f>SUMIFS(Tab_02.Fev[MOVIMENTO],Tab_02.Fev[CONTA],$F173)</f>
        <v>0</v>
      </c>
      <c r="J173" s="4">
        <f>SUMIFS(Tab_03.Mar[MOVIMENTO],Tab_03.Mar[CONTA],$F173)</f>
        <v>0</v>
      </c>
      <c r="K173" s="4">
        <f>SUMIFS(Tab_04.Abr[MOVIMENTO],Tab_04.Abr[CONTA],$F173)</f>
        <v>0</v>
      </c>
      <c r="L173" s="4">
        <f>SUMIFS(Tab_05.Mai[MOVIMENTO],Tab_05.Mai[CONTA],$F173)</f>
        <v>0</v>
      </c>
      <c r="M173" s="4">
        <f>SUMIFS(Tab_06.Jun[MOVIMENTO],Tab_06.Jun[CONTA],$F173)</f>
        <v>0</v>
      </c>
      <c r="N173" s="4">
        <f>SUMIFS(Tab_07.Jul[MOVIMENTO],Tab_07.Jul[CONTA],$F173)</f>
        <v>0</v>
      </c>
      <c r="O173" s="4">
        <f>SUMIFS(Tab_08.Ago[MOVIMENTO],Tab_08.Ago[CONTA],$F173)</f>
        <v>0</v>
      </c>
      <c r="P173" s="4">
        <f>SUMIFS(Tab_09.Set[MOVIMENTO],Tab_09.Set[CONTA],$F173)</f>
        <v>0</v>
      </c>
      <c r="Q173" s="4">
        <f>SUMIFS(Tab_10.Out[MOVIMENTO],Tab_10.Out[CONTA],$F173)</f>
        <v>0</v>
      </c>
      <c r="R173" s="4">
        <f>SUMIFS(Tab_11.Nov[MOVIMENTO],Tab_11.Nov[CONTA],$F173)</f>
        <v>0</v>
      </c>
      <c r="S173" s="4">
        <f>SUMIFS(Tab_12.Dez[MOVIMENTO],Tab_12.Dez[CONTA],$F173)</f>
        <v>0</v>
      </c>
    </row>
    <row r="174" spans="2:19" x14ac:dyDescent="0.3">
      <c r="B174" s="3" t="s">
        <v>101</v>
      </c>
      <c r="C174" s="2" t="str">
        <f t="shared" si="21"/>
        <v>R</v>
      </c>
      <c r="D174" s="2" t="str">
        <f t="shared" si="22"/>
        <v>A</v>
      </c>
      <c r="E174" s="2">
        <f t="shared" si="23"/>
        <v>5</v>
      </c>
      <c r="F174" s="3" t="s">
        <v>385</v>
      </c>
      <c r="G174" s="3" t="s">
        <v>386</v>
      </c>
      <c r="H174" s="4">
        <f>SUMIFS(Tab_01.Jan[MOVIMENTO],Tab_01.Jan[CONTA],$F174)</f>
        <v>0</v>
      </c>
      <c r="I174" s="4">
        <f>SUMIFS(Tab_02.Fev[MOVIMENTO],Tab_02.Fev[CONTA],$F174)</f>
        <v>0</v>
      </c>
      <c r="J174" s="4">
        <f>SUMIFS(Tab_03.Mar[MOVIMENTO],Tab_03.Mar[CONTA],$F174)</f>
        <v>0</v>
      </c>
      <c r="K174" s="4">
        <f>SUMIFS(Tab_04.Abr[MOVIMENTO],Tab_04.Abr[CONTA],$F174)</f>
        <v>0</v>
      </c>
      <c r="L174" s="4">
        <f>SUMIFS(Tab_05.Mai[MOVIMENTO],Tab_05.Mai[CONTA],$F174)</f>
        <v>0</v>
      </c>
      <c r="M174" s="4">
        <f>SUMIFS(Tab_06.Jun[MOVIMENTO],Tab_06.Jun[CONTA],$F174)</f>
        <v>0</v>
      </c>
      <c r="N174" s="4">
        <f>SUMIFS(Tab_07.Jul[MOVIMENTO],Tab_07.Jul[CONTA],$F174)</f>
        <v>0</v>
      </c>
      <c r="O174" s="4">
        <f>SUMIFS(Tab_08.Ago[MOVIMENTO],Tab_08.Ago[CONTA],$F174)</f>
        <v>0</v>
      </c>
      <c r="P174" s="4">
        <f>SUMIFS(Tab_09.Set[MOVIMENTO],Tab_09.Set[CONTA],$F174)</f>
        <v>0</v>
      </c>
      <c r="Q174" s="4">
        <f>SUMIFS(Tab_10.Out[MOVIMENTO],Tab_10.Out[CONTA],$F174)</f>
        <v>0</v>
      </c>
      <c r="R174" s="4">
        <f>SUMIFS(Tab_11.Nov[MOVIMENTO],Tab_11.Nov[CONTA],$F174)</f>
        <v>0</v>
      </c>
      <c r="S174" s="4">
        <f>SUMIFS(Tab_12.Dez[MOVIMENTO],Tab_12.Dez[CONTA],$F174)</f>
        <v>0</v>
      </c>
    </row>
    <row r="175" spans="2:19" x14ac:dyDescent="0.3">
      <c r="B175" s="3"/>
      <c r="C175" s="2" t="str">
        <f t="shared" si="21"/>
        <v>R</v>
      </c>
      <c r="D175" s="2" t="str">
        <f t="shared" si="22"/>
        <v>S</v>
      </c>
      <c r="E175" s="2">
        <f t="shared" si="23"/>
        <v>5</v>
      </c>
      <c r="F175" s="3" t="s">
        <v>580</v>
      </c>
      <c r="G175" s="3" t="s">
        <v>686</v>
      </c>
      <c r="H175" s="4">
        <f>SUMIFS(Tab_01.Jan[MOVIMENTO],Tab_01.Jan[CONTA],$F175)</f>
        <v>-421470.98</v>
      </c>
      <c r="I175" s="4">
        <f>SUMIFS(Tab_02.Fev[MOVIMENTO],Tab_02.Fev[CONTA],$F175)</f>
        <v>-434107.84</v>
      </c>
      <c r="J175" s="4">
        <f>SUMIFS(Tab_03.Mar[MOVIMENTO],Tab_03.Mar[CONTA],$F175)</f>
        <v>-442052.26</v>
      </c>
      <c r="K175" s="4">
        <f>SUMIFS(Tab_04.Abr[MOVIMENTO],Tab_04.Abr[CONTA],$F175)</f>
        <v>-440421.58</v>
      </c>
      <c r="L175" s="4">
        <f>SUMIFS(Tab_05.Mai[MOVIMENTO],Tab_05.Mai[CONTA],$F175)</f>
        <v>-453004.42</v>
      </c>
      <c r="M175" s="4">
        <f>SUMIFS(Tab_06.Jun[MOVIMENTO],Tab_06.Jun[CONTA],$F175)</f>
        <v>-440421.58</v>
      </c>
      <c r="N175" s="4">
        <f>SUMIFS(Tab_07.Jul[MOVIMENTO],Tab_07.Jul[CONTA],$F175)</f>
        <v>-446935.84</v>
      </c>
      <c r="O175" s="4">
        <f>SUMIFS(Tab_08.Ago[MOVIMENTO],Tab_08.Ago[CONTA],$F175)</f>
        <v>-446935.84</v>
      </c>
      <c r="P175" s="4">
        <f>SUMIFS(Tab_09.Set[MOVIMENTO],Tab_09.Set[CONTA],$F175)</f>
        <v>-453450.1</v>
      </c>
      <c r="Q175" s="4">
        <f>SUMIFS(Tab_10.Out[MOVIMENTO],Tab_10.Out[CONTA],$F175)</f>
        <v>-465438.82</v>
      </c>
      <c r="R175" s="4">
        <f>SUMIFS(Tab_11.Nov[MOVIMENTO],Tab_11.Nov[CONTA],$F175)</f>
        <v>-440421.58</v>
      </c>
      <c r="S175" s="4">
        <f>SUMIFS(Tab_12.Dez[MOVIMENTO],Tab_12.Dez[CONTA],$F175)</f>
        <v>-440644.42</v>
      </c>
    </row>
    <row r="176" spans="2:19" x14ac:dyDescent="0.3">
      <c r="B176" s="184" t="s">
        <v>102</v>
      </c>
      <c r="C176" s="2" t="str">
        <f>IF($F176="","",IF(LEFT($F176,1)*1=1,"A",IF(LEFT($F176,1)*1=2,"P",IF(LEFT($F176,1)*1=3,"R",IF(LEFT($F176,1)*1=4,"C",IF(LEFT($F176,1)*1=5,"C",IF(LEFT($F176,1)*1=6,"C","")))))))</f>
        <v>R</v>
      </c>
      <c r="D176" s="2" t="str">
        <f>IF($F176="","",IF(LEN($F176)=13,"A","S"))</f>
        <v>S</v>
      </c>
      <c r="E176" s="2">
        <f>IF($F176="","",IF(LEN($F176)=1,1,IF(LEN($F176)=3,2,IF(LEN($F176)=5,3,IF(LEN($F176)=8,4,5)))))</f>
        <v>5</v>
      </c>
      <c r="F176" s="3" t="s">
        <v>847</v>
      </c>
      <c r="G176" s="3" t="s">
        <v>848</v>
      </c>
      <c r="H176" s="4">
        <f>SUMIFS(Tab_01.Jan[MOVIMENTO],Tab_01.Jan[CONTA],$F176)</f>
        <v>0</v>
      </c>
      <c r="I176" s="4">
        <f>SUMIFS(Tab_02.Fev[MOVIMENTO],Tab_02.Fev[CONTA],$F176)</f>
        <v>0</v>
      </c>
      <c r="J176" s="4">
        <f>SUMIFS(Tab_03.Mar[MOVIMENTO],Tab_03.Mar[CONTA],$F176)</f>
        <v>0</v>
      </c>
      <c r="K176" s="4">
        <f>SUMIFS(Tab_04.Abr[MOVIMENTO],Tab_04.Abr[CONTA],$F176)</f>
        <v>0</v>
      </c>
      <c r="L176" s="4">
        <f>SUMIFS(Tab_05.Mai[MOVIMENTO],Tab_05.Mai[CONTA],$F176)</f>
        <v>0</v>
      </c>
      <c r="M176" s="4">
        <f>SUMIFS(Tab_06.Jun[MOVIMENTO],Tab_06.Jun[CONTA],$F176)</f>
        <v>0</v>
      </c>
      <c r="N176" s="4">
        <f>SUMIFS(Tab_07.Jul[MOVIMENTO],Tab_07.Jul[CONTA],$F176)</f>
        <v>11</v>
      </c>
      <c r="O176" s="4">
        <f>SUMIFS(Tab_08.Ago[MOVIMENTO],Tab_08.Ago[CONTA],$F176)</f>
        <v>37.729999999999997</v>
      </c>
      <c r="P176" s="4">
        <f>SUMIFS(Tab_09.Set[MOVIMENTO],Tab_09.Set[CONTA],$F176)</f>
        <v>12078.33</v>
      </c>
      <c r="Q176" s="4">
        <f>SUMIFS(Tab_10.Out[MOVIMENTO],Tab_10.Out[CONTA],$F176)</f>
        <v>12.1</v>
      </c>
      <c r="R176" s="4">
        <f>SUMIFS(Tab_11.Nov[MOVIMENTO],Tab_11.Nov[CONTA],$F176)</f>
        <v>1899</v>
      </c>
      <c r="S176" s="4">
        <f>SUMIFS(Tab_12.Dez[MOVIMENTO],Tab_12.Dez[CONTA],$F176)</f>
        <v>265.62</v>
      </c>
    </row>
    <row r="177" spans="2:19" x14ac:dyDescent="0.3">
      <c r="B177" s="3"/>
      <c r="C177" s="2" t="str">
        <f>IF($F177="","",IF(LEFT($F177,1)*1=1,"A",IF(LEFT($F177,1)*1=2,"P",IF(LEFT($F177,1)*1=3,"R",IF(LEFT($F177,1)*1=4,"C",IF(LEFT($F177,1)*1=5,"C",IF(LEFT($F177,1)*1=6,"C","")))))))</f>
        <v>R</v>
      </c>
      <c r="D177" s="2" t="str">
        <f>IF($F177="","",IF(LEN($F177)=13,"A","S"))</f>
        <v>A</v>
      </c>
      <c r="E177" s="2">
        <f>IF($F177="","",IF(LEN($F177)=1,1,IF(LEN($F177)=3,2,IF(LEN($F177)=5,3,IF(LEN($F177)=8,4,5)))))</f>
        <v>5</v>
      </c>
      <c r="F177" s="3" t="s">
        <v>849</v>
      </c>
      <c r="G177" s="3" t="s">
        <v>850</v>
      </c>
      <c r="H177" s="4">
        <f>SUMIFS(Tab_01.Jan[MOVIMENTO],Tab_01.Jan[CONTA],$F177)</f>
        <v>0</v>
      </c>
      <c r="I177" s="4">
        <f>SUMIFS(Tab_02.Fev[MOVIMENTO],Tab_02.Fev[CONTA],$F177)</f>
        <v>0</v>
      </c>
      <c r="J177" s="4">
        <f>SUMIFS(Tab_03.Mar[MOVIMENTO],Tab_03.Mar[CONTA],$F177)</f>
        <v>0</v>
      </c>
      <c r="K177" s="4">
        <f>SUMIFS(Tab_04.Abr[MOVIMENTO],Tab_04.Abr[CONTA],$F177)</f>
        <v>0</v>
      </c>
      <c r="L177" s="4">
        <f>SUMIFS(Tab_05.Mai[MOVIMENTO],Tab_05.Mai[CONTA],$F177)</f>
        <v>0</v>
      </c>
      <c r="M177" s="4">
        <f>SUMIFS(Tab_06.Jun[MOVIMENTO],Tab_06.Jun[CONTA],$F177)</f>
        <v>0</v>
      </c>
      <c r="N177" s="4">
        <f>SUMIFS(Tab_07.Jul[MOVIMENTO],Tab_07.Jul[CONTA],$F177)</f>
        <v>11</v>
      </c>
      <c r="O177" s="4">
        <f>SUMIFS(Tab_08.Ago[MOVIMENTO],Tab_08.Ago[CONTA],$F177)</f>
        <v>37.729999999999997</v>
      </c>
      <c r="P177" s="4">
        <f>SUMIFS(Tab_09.Set[MOVIMENTO],Tab_09.Set[CONTA],$F177)</f>
        <v>12078.33</v>
      </c>
      <c r="Q177" s="4">
        <f>SUMIFS(Tab_10.Out[MOVIMENTO],Tab_10.Out[CONTA],$F177)</f>
        <v>12.1</v>
      </c>
      <c r="R177" s="4">
        <f>SUMIFS(Tab_11.Nov[MOVIMENTO],Tab_11.Nov[CONTA],$F177)</f>
        <v>1899</v>
      </c>
      <c r="S177" s="4">
        <f>SUMIFS(Tab_12.Dez[MOVIMENTO],Tab_12.Dez[CONTA],$F177)</f>
        <v>265.62</v>
      </c>
    </row>
    <row r="178" spans="2:19" x14ac:dyDescent="0.3">
      <c r="B178" s="3"/>
      <c r="C178" s="2" t="str">
        <f t="shared" si="21"/>
        <v>R</v>
      </c>
      <c r="D178" s="2" t="str">
        <f t="shared" si="22"/>
        <v>S</v>
      </c>
      <c r="E178" s="2">
        <f t="shared" si="23"/>
        <v>5</v>
      </c>
      <c r="F178" s="3" t="s">
        <v>581</v>
      </c>
      <c r="G178" s="3" t="s">
        <v>687</v>
      </c>
      <c r="H178" s="4">
        <f>SUMIFS(Tab_01.Jan[MOVIMENTO],Tab_01.Jan[CONTA],$F178)</f>
        <v>-421470.98</v>
      </c>
      <c r="I178" s="4">
        <f>SUMIFS(Tab_02.Fev[MOVIMENTO],Tab_02.Fev[CONTA],$F178)</f>
        <v>-434107.84</v>
      </c>
      <c r="J178" s="4">
        <f>SUMIFS(Tab_03.Mar[MOVIMENTO],Tab_03.Mar[CONTA],$F178)</f>
        <v>-442052.26</v>
      </c>
      <c r="K178" s="4">
        <f>SUMIFS(Tab_04.Abr[MOVIMENTO],Tab_04.Abr[CONTA],$F178)</f>
        <v>-440421.58</v>
      </c>
      <c r="L178" s="4">
        <f>SUMIFS(Tab_05.Mai[MOVIMENTO],Tab_05.Mai[CONTA],$F178)</f>
        <v>-453004.42</v>
      </c>
      <c r="M178" s="4">
        <f>SUMIFS(Tab_06.Jun[MOVIMENTO],Tab_06.Jun[CONTA],$F178)</f>
        <v>-440421.58</v>
      </c>
      <c r="N178" s="4">
        <f>SUMIFS(Tab_07.Jul[MOVIMENTO],Tab_07.Jul[CONTA],$F178)</f>
        <v>-446935.84</v>
      </c>
      <c r="O178" s="4">
        <f>SUMIFS(Tab_08.Ago[MOVIMENTO],Tab_08.Ago[CONTA],$F178)</f>
        <v>-446935.84</v>
      </c>
      <c r="P178" s="4">
        <f>SUMIFS(Tab_09.Set[MOVIMENTO],Tab_09.Set[CONTA],$F178)</f>
        <v>-453450.1</v>
      </c>
      <c r="Q178" s="4">
        <f>SUMIFS(Tab_10.Out[MOVIMENTO],Tab_10.Out[CONTA],$F178)</f>
        <v>-465438.82</v>
      </c>
      <c r="R178" s="4">
        <f>SUMIFS(Tab_11.Nov[MOVIMENTO],Tab_11.Nov[CONTA],$F178)</f>
        <v>-440421.58</v>
      </c>
      <c r="S178" s="4">
        <f>SUMIFS(Tab_12.Dez[MOVIMENTO],Tab_12.Dez[CONTA],$F178)</f>
        <v>-440644.42</v>
      </c>
    </row>
    <row r="179" spans="2:19" x14ac:dyDescent="0.3">
      <c r="B179" s="3" t="s">
        <v>101</v>
      </c>
      <c r="C179" s="2" t="str">
        <f t="shared" si="21"/>
        <v>R</v>
      </c>
      <c r="D179" s="2" t="str">
        <f t="shared" si="22"/>
        <v>A</v>
      </c>
      <c r="E179" s="2">
        <f t="shared" si="23"/>
        <v>5</v>
      </c>
      <c r="F179" s="3" t="s">
        <v>387</v>
      </c>
      <c r="G179" s="3" t="s">
        <v>388</v>
      </c>
      <c r="H179" s="4">
        <f>SUMIFS(Tab_01.Jan[MOVIMENTO],Tab_01.Jan[CONTA],$F179)</f>
        <v>-421470.98</v>
      </c>
      <c r="I179" s="4">
        <f>SUMIFS(Tab_02.Fev[MOVIMENTO],Tab_02.Fev[CONTA],$F179)</f>
        <v>-421470.98</v>
      </c>
      <c r="J179" s="4">
        <f>SUMIFS(Tab_03.Mar[MOVIMENTO],Tab_03.Mar[CONTA],$F179)</f>
        <v>-421470.98</v>
      </c>
      <c r="K179" s="4">
        <f>SUMIFS(Tab_04.Abr[MOVIMENTO],Tab_04.Abr[CONTA],$F179)</f>
        <v>-440421.58</v>
      </c>
      <c r="L179" s="4">
        <f>SUMIFS(Tab_05.Mai[MOVIMENTO],Tab_05.Mai[CONTA],$F179)</f>
        <v>-440421.58</v>
      </c>
      <c r="M179" s="4">
        <f>SUMIFS(Tab_06.Jun[MOVIMENTO],Tab_06.Jun[CONTA],$F179)</f>
        <v>-440421.58</v>
      </c>
      <c r="N179" s="4">
        <f>SUMIFS(Tab_07.Jul[MOVIMENTO],Tab_07.Jul[CONTA],$F179)</f>
        <v>-440421.58</v>
      </c>
      <c r="O179" s="4">
        <f>SUMIFS(Tab_08.Ago[MOVIMENTO],Tab_08.Ago[CONTA],$F179)</f>
        <v>-440421.58</v>
      </c>
      <c r="P179" s="4">
        <f>SUMIFS(Tab_09.Set[MOVIMENTO],Tab_09.Set[CONTA],$F179)</f>
        <v>-440421.58</v>
      </c>
      <c r="Q179" s="4">
        <f>SUMIFS(Tab_10.Out[MOVIMENTO],Tab_10.Out[CONTA],$F179)</f>
        <v>-440421.58</v>
      </c>
      <c r="R179" s="4">
        <f>SUMIFS(Tab_11.Nov[MOVIMENTO],Tab_11.Nov[CONTA],$F179)</f>
        <v>-440421.58</v>
      </c>
      <c r="S179" s="4">
        <f>SUMIFS(Tab_12.Dez[MOVIMENTO],Tab_12.Dez[CONTA],$F179)</f>
        <v>-440421.58</v>
      </c>
    </row>
    <row r="180" spans="2:19" x14ac:dyDescent="0.3">
      <c r="B180" s="3" t="s">
        <v>101</v>
      </c>
      <c r="C180" s="2" t="str">
        <f t="shared" si="21"/>
        <v>R</v>
      </c>
      <c r="D180" s="2" t="str">
        <f t="shared" si="22"/>
        <v>A</v>
      </c>
      <c r="E180" s="2">
        <f t="shared" si="23"/>
        <v>5</v>
      </c>
      <c r="F180" s="3" t="s">
        <v>389</v>
      </c>
      <c r="G180" s="3" t="s">
        <v>390</v>
      </c>
      <c r="H180" s="4">
        <f>SUMIFS(Tab_01.Jan[MOVIMENTO],Tab_01.Jan[CONTA],$F180)</f>
        <v>0</v>
      </c>
      <c r="I180" s="4">
        <f>SUMIFS(Tab_02.Fev[MOVIMENTO],Tab_02.Fev[CONTA],$F180)</f>
        <v>-12636.86</v>
      </c>
      <c r="J180" s="4">
        <f>SUMIFS(Tab_03.Mar[MOVIMENTO],Tab_03.Mar[CONTA],$F180)</f>
        <v>-20581.28</v>
      </c>
      <c r="K180" s="4">
        <f>SUMIFS(Tab_04.Abr[MOVIMENTO],Tab_04.Abr[CONTA],$F180)</f>
        <v>0</v>
      </c>
      <c r="L180" s="4">
        <f>SUMIFS(Tab_05.Mai[MOVIMENTO],Tab_05.Mai[CONTA],$F180)</f>
        <v>-12582.84</v>
      </c>
      <c r="M180" s="4">
        <f>SUMIFS(Tab_06.Jun[MOVIMENTO],Tab_06.Jun[CONTA],$F180)</f>
        <v>0</v>
      </c>
      <c r="N180" s="4">
        <f>SUMIFS(Tab_07.Jul[MOVIMENTO],Tab_07.Jul[CONTA],$F180)</f>
        <v>-6514.26</v>
      </c>
      <c r="O180" s="4">
        <f>SUMIFS(Tab_08.Ago[MOVIMENTO],Tab_08.Ago[CONTA],$F180)</f>
        <v>-6514.26</v>
      </c>
      <c r="P180" s="4">
        <f>SUMIFS(Tab_09.Set[MOVIMENTO],Tab_09.Set[CONTA],$F180)</f>
        <v>-13028.52</v>
      </c>
      <c r="Q180" s="4">
        <f>SUMIFS(Tab_10.Out[MOVIMENTO],Tab_10.Out[CONTA],$F180)</f>
        <v>-25017.24</v>
      </c>
      <c r="R180" s="4">
        <f>SUMIFS(Tab_11.Nov[MOVIMENTO],Tab_11.Nov[CONTA],$F180)</f>
        <v>0</v>
      </c>
      <c r="S180" s="4">
        <f>SUMIFS(Tab_12.Dez[MOVIMENTO],Tab_12.Dez[CONTA],$F180)</f>
        <v>-222.84</v>
      </c>
    </row>
    <row r="181" spans="2:19" x14ac:dyDescent="0.3">
      <c r="B181" s="3"/>
      <c r="C181" s="2" t="str">
        <f t="shared" ref="C181:C218" si="24">IF($F181="","",IF(LEFT($F181,1)*1=1,"A",IF(LEFT($F181,1)*1=2,"P",IF(LEFT($F181,1)*1=3,"R",IF(LEFT($F181,1)*1=4,"C",IF(LEFT($F181,1)*1=5,"C",IF(LEFT($F181,1)*1=6,"C","")))))))</f>
        <v>R</v>
      </c>
      <c r="D181" s="2" t="str">
        <f t="shared" ref="D181:D218" si="25">IF($F181="","",IF(LEN($F181)=13,"A","S"))</f>
        <v>S</v>
      </c>
      <c r="E181" s="2">
        <f t="shared" ref="E181:E218" si="26">IF($F181="","",IF(LEN($F181)=1,1,IF(LEN($F181)=3,2,IF(LEN($F181)=5,3,IF(LEN($F181)=8,4,5)))))</f>
        <v>2</v>
      </c>
      <c r="F181" s="3" t="s">
        <v>582</v>
      </c>
      <c r="G181" s="3" t="s">
        <v>688</v>
      </c>
      <c r="H181" s="4">
        <f>SUMIFS(Tab_01.Jan[MOVIMENTO],Tab_01.Jan[CONTA],$F181)</f>
        <v>-203029.53</v>
      </c>
      <c r="I181" s="4">
        <f>SUMIFS(Tab_02.Fev[MOVIMENTO],Tab_02.Fev[CONTA],$F181)</f>
        <v>-218600.92</v>
      </c>
      <c r="J181" s="4">
        <f>SUMIFS(Tab_03.Mar[MOVIMENTO],Tab_03.Mar[CONTA],$F181)</f>
        <v>-306654.71000000002</v>
      </c>
      <c r="K181" s="4">
        <f>SUMIFS(Tab_04.Abr[MOVIMENTO],Tab_04.Abr[CONTA],$F181)</f>
        <v>24727.24</v>
      </c>
      <c r="L181" s="4">
        <f>SUMIFS(Tab_05.Mai[MOVIMENTO],Tab_05.Mai[CONTA],$F181)</f>
        <v>-326235.03999999998</v>
      </c>
      <c r="M181" s="4">
        <f>SUMIFS(Tab_06.Jun[MOVIMENTO],Tab_06.Jun[CONTA],$F181)</f>
        <v>-203156.94</v>
      </c>
      <c r="N181" s="4">
        <f>SUMIFS(Tab_07.Jul[MOVIMENTO],Tab_07.Jul[CONTA],$F181)</f>
        <v>-435543.94</v>
      </c>
      <c r="O181" s="4">
        <f>SUMIFS(Tab_08.Ago[MOVIMENTO],Tab_08.Ago[CONTA],$F181)</f>
        <v>-377961.43</v>
      </c>
      <c r="P181" s="4">
        <f>SUMIFS(Tab_09.Set[MOVIMENTO],Tab_09.Set[CONTA],$F181)</f>
        <v>-154845.95000000001</v>
      </c>
      <c r="Q181" s="4">
        <f>SUMIFS(Tab_10.Out[MOVIMENTO],Tab_10.Out[CONTA],$F181)</f>
        <v>-213626.76</v>
      </c>
      <c r="R181" s="4">
        <f>SUMIFS(Tab_11.Nov[MOVIMENTO],Tab_11.Nov[CONTA],$F181)</f>
        <v>-333363.81</v>
      </c>
      <c r="S181" s="4">
        <f>SUMIFS(Tab_12.Dez[MOVIMENTO],Tab_12.Dez[CONTA],$F181)</f>
        <v>93387.26</v>
      </c>
    </row>
    <row r="182" spans="2:19" x14ac:dyDescent="0.3">
      <c r="B182" s="3"/>
      <c r="C182" s="2" t="str">
        <f t="shared" si="24"/>
        <v>R</v>
      </c>
      <c r="D182" s="2" t="str">
        <f t="shared" si="25"/>
        <v>S</v>
      </c>
      <c r="E182" s="2">
        <f t="shared" si="26"/>
        <v>5</v>
      </c>
      <c r="F182" s="3" t="s">
        <v>583</v>
      </c>
      <c r="G182" s="3" t="s">
        <v>689</v>
      </c>
      <c r="H182" s="4">
        <f>SUMIFS(Tab_01.Jan[MOVIMENTO],Tab_01.Jan[CONTA],$F182)</f>
        <v>-0.05</v>
      </c>
      <c r="I182" s="4">
        <f>SUMIFS(Tab_02.Fev[MOVIMENTO],Tab_02.Fev[CONTA],$F182)</f>
        <v>-73.22</v>
      </c>
      <c r="J182" s="4">
        <f>SUMIFS(Tab_03.Mar[MOVIMENTO],Tab_03.Mar[CONTA],$F182)</f>
        <v>-0.03</v>
      </c>
      <c r="K182" s="4">
        <f>SUMIFS(Tab_04.Abr[MOVIMENTO],Tab_04.Abr[CONTA],$F182)</f>
        <v>-0.05</v>
      </c>
      <c r="L182" s="4">
        <f>SUMIFS(Tab_05.Mai[MOVIMENTO],Tab_05.Mai[CONTA],$F182)</f>
        <v>-7.0000000000000007E-2</v>
      </c>
      <c r="M182" s="4">
        <f>SUMIFS(Tab_06.Jun[MOVIMENTO],Tab_06.Jun[CONTA],$F182)</f>
        <v>-0.01</v>
      </c>
      <c r="N182" s="4">
        <f>SUMIFS(Tab_07.Jul[MOVIMENTO],Tab_07.Jul[CONTA],$F182)</f>
        <v>-0.03</v>
      </c>
      <c r="O182" s="4">
        <f>SUMIFS(Tab_08.Ago[MOVIMENTO],Tab_08.Ago[CONTA],$F182)</f>
        <v>-300.06</v>
      </c>
      <c r="P182" s="4">
        <f>SUMIFS(Tab_09.Set[MOVIMENTO],Tab_09.Set[CONTA],$F182)</f>
        <v>-300.02</v>
      </c>
      <c r="Q182" s="4">
        <f>SUMIFS(Tab_10.Out[MOVIMENTO],Tab_10.Out[CONTA],$F182)</f>
        <v>0</v>
      </c>
      <c r="R182" s="4">
        <f>SUMIFS(Tab_11.Nov[MOVIMENTO],Tab_11.Nov[CONTA],$F182)</f>
        <v>-1335.22</v>
      </c>
      <c r="S182" s="4">
        <f>SUMIFS(Tab_12.Dez[MOVIMENTO],Tab_12.Dez[CONTA],$F182)</f>
        <v>-0.01</v>
      </c>
    </row>
    <row r="183" spans="2:19" x14ac:dyDescent="0.3">
      <c r="B183" s="3"/>
      <c r="C183" s="2" t="str">
        <f t="shared" si="24"/>
        <v>R</v>
      </c>
      <c r="D183" s="2" t="str">
        <f t="shared" si="25"/>
        <v>S</v>
      </c>
      <c r="E183" s="2">
        <f t="shared" si="26"/>
        <v>5</v>
      </c>
      <c r="F183" s="3" t="s">
        <v>584</v>
      </c>
      <c r="G183" s="3" t="s">
        <v>689</v>
      </c>
      <c r="H183" s="4">
        <f>SUMIFS(Tab_01.Jan[MOVIMENTO],Tab_01.Jan[CONTA],$F183)</f>
        <v>-0.05</v>
      </c>
      <c r="I183" s="4">
        <f>SUMIFS(Tab_02.Fev[MOVIMENTO],Tab_02.Fev[CONTA],$F183)</f>
        <v>-73.22</v>
      </c>
      <c r="J183" s="4">
        <f>SUMIFS(Tab_03.Mar[MOVIMENTO],Tab_03.Mar[CONTA],$F183)</f>
        <v>-0.03</v>
      </c>
      <c r="K183" s="4">
        <f>SUMIFS(Tab_04.Abr[MOVIMENTO],Tab_04.Abr[CONTA],$F183)</f>
        <v>-0.05</v>
      </c>
      <c r="L183" s="4">
        <f>SUMIFS(Tab_05.Mai[MOVIMENTO],Tab_05.Mai[CONTA],$F183)</f>
        <v>-7.0000000000000007E-2</v>
      </c>
      <c r="M183" s="4">
        <f>SUMIFS(Tab_06.Jun[MOVIMENTO],Tab_06.Jun[CONTA],$F183)</f>
        <v>-0.01</v>
      </c>
      <c r="N183" s="4">
        <f>SUMIFS(Tab_07.Jul[MOVIMENTO],Tab_07.Jul[CONTA],$F183)</f>
        <v>-0.03</v>
      </c>
      <c r="O183" s="4">
        <f>SUMIFS(Tab_08.Ago[MOVIMENTO],Tab_08.Ago[CONTA],$F183)</f>
        <v>-300.06</v>
      </c>
      <c r="P183" s="4">
        <f>SUMIFS(Tab_09.Set[MOVIMENTO],Tab_09.Set[CONTA],$F183)</f>
        <v>-300.02</v>
      </c>
      <c r="Q183" s="4">
        <f>SUMIFS(Tab_10.Out[MOVIMENTO],Tab_10.Out[CONTA],$F183)</f>
        <v>0</v>
      </c>
      <c r="R183" s="4">
        <f>SUMIFS(Tab_11.Nov[MOVIMENTO],Tab_11.Nov[CONTA],$F183)</f>
        <v>-1335.22</v>
      </c>
      <c r="S183" s="4">
        <f>SUMIFS(Tab_12.Dez[MOVIMENTO],Tab_12.Dez[CONTA],$F183)</f>
        <v>-0.01</v>
      </c>
    </row>
    <row r="184" spans="2:19" x14ac:dyDescent="0.3">
      <c r="B184" s="3" t="s">
        <v>71</v>
      </c>
      <c r="C184" s="2" t="str">
        <f t="shared" si="24"/>
        <v>R</v>
      </c>
      <c r="D184" s="2" t="str">
        <f t="shared" si="25"/>
        <v>A</v>
      </c>
      <c r="E184" s="2">
        <f t="shared" si="26"/>
        <v>5</v>
      </c>
      <c r="F184" s="3" t="s">
        <v>391</v>
      </c>
      <c r="G184" s="3" t="s">
        <v>392</v>
      </c>
      <c r="H184" s="4">
        <f>SUMIFS(Tab_01.Jan[MOVIMENTO],Tab_01.Jan[CONTA],$F184)</f>
        <v>-0.05</v>
      </c>
      <c r="I184" s="4">
        <f>SUMIFS(Tab_02.Fev[MOVIMENTO],Tab_02.Fev[CONTA],$F184)</f>
        <v>-73.22</v>
      </c>
      <c r="J184" s="4">
        <f>SUMIFS(Tab_03.Mar[MOVIMENTO],Tab_03.Mar[CONTA],$F184)</f>
        <v>-0.03</v>
      </c>
      <c r="K184" s="4">
        <f>SUMIFS(Tab_04.Abr[MOVIMENTO],Tab_04.Abr[CONTA],$F184)</f>
        <v>-0.05</v>
      </c>
      <c r="L184" s="4">
        <f>SUMIFS(Tab_05.Mai[MOVIMENTO],Tab_05.Mai[CONTA],$F184)</f>
        <v>-7.0000000000000007E-2</v>
      </c>
      <c r="M184" s="4">
        <f>SUMIFS(Tab_06.Jun[MOVIMENTO],Tab_06.Jun[CONTA],$F184)</f>
        <v>-0.01</v>
      </c>
      <c r="N184" s="4">
        <f>SUMIFS(Tab_07.Jul[MOVIMENTO],Tab_07.Jul[CONTA],$F184)</f>
        <v>-0.03</v>
      </c>
      <c r="O184" s="4">
        <f>SUMIFS(Tab_08.Ago[MOVIMENTO],Tab_08.Ago[CONTA],$F184)</f>
        <v>-300.06</v>
      </c>
      <c r="P184" s="4">
        <f>SUMIFS(Tab_09.Set[MOVIMENTO],Tab_09.Set[CONTA],$F184)</f>
        <v>-300.02</v>
      </c>
      <c r="Q184" s="4">
        <f>SUMIFS(Tab_10.Out[MOVIMENTO],Tab_10.Out[CONTA],$F184)</f>
        <v>0</v>
      </c>
      <c r="R184" s="4">
        <f>SUMIFS(Tab_11.Nov[MOVIMENTO],Tab_11.Nov[CONTA],$F184)</f>
        <v>-1335.22</v>
      </c>
      <c r="S184" s="4">
        <f>SUMIFS(Tab_12.Dez[MOVIMENTO],Tab_12.Dez[CONTA],$F184)</f>
        <v>-0.01</v>
      </c>
    </row>
    <row r="185" spans="2:19" x14ac:dyDescent="0.3">
      <c r="B185" s="3"/>
      <c r="C185" s="2" t="str">
        <f t="shared" si="24"/>
        <v>R</v>
      </c>
      <c r="D185" s="2" t="str">
        <f t="shared" si="25"/>
        <v>S</v>
      </c>
      <c r="E185" s="2">
        <f t="shared" si="26"/>
        <v>5</v>
      </c>
      <c r="F185" s="3" t="s">
        <v>585</v>
      </c>
      <c r="G185" s="3" t="s">
        <v>690</v>
      </c>
      <c r="H185" s="4">
        <f>SUMIFS(Tab_01.Jan[MOVIMENTO],Tab_01.Jan[CONTA],$F185)</f>
        <v>-203029.48</v>
      </c>
      <c r="I185" s="4">
        <f>SUMIFS(Tab_02.Fev[MOVIMENTO],Tab_02.Fev[CONTA],$F185)</f>
        <v>-218527.7</v>
      </c>
      <c r="J185" s="4">
        <f>SUMIFS(Tab_03.Mar[MOVIMENTO],Tab_03.Mar[CONTA],$F185)</f>
        <v>-306654.68</v>
      </c>
      <c r="K185" s="4">
        <f>SUMIFS(Tab_04.Abr[MOVIMENTO],Tab_04.Abr[CONTA],$F185)</f>
        <v>24727.29</v>
      </c>
      <c r="L185" s="4">
        <f>SUMIFS(Tab_05.Mai[MOVIMENTO],Tab_05.Mai[CONTA],$F185)</f>
        <v>-326234.96999999997</v>
      </c>
      <c r="M185" s="4">
        <f>SUMIFS(Tab_06.Jun[MOVIMENTO],Tab_06.Jun[CONTA],$F185)</f>
        <v>-203156.93</v>
      </c>
      <c r="N185" s="4">
        <f>SUMIFS(Tab_07.Jul[MOVIMENTO],Tab_07.Jul[CONTA],$F185)</f>
        <v>-435543.91</v>
      </c>
      <c r="O185" s="4">
        <f>SUMIFS(Tab_08.Ago[MOVIMENTO],Tab_08.Ago[CONTA],$F185)</f>
        <v>-377661.37</v>
      </c>
      <c r="P185" s="4">
        <f>SUMIFS(Tab_09.Set[MOVIMENTO],Tab_09.Set[CONTA],$F185)</f>
        <v>-154545.93</v>
      </c>
      <c r="Q185" s="4">
        <f>SUMIFS(Tab_10.Out[MOVIMENTO],Tab_10.Out[CONTA],$F185)</f>
        <v>-213626.76</v>
      </c>
      <c r="R185" s="4">
        <f>SUMIFS(Tab_11.Nov[MOVIMENTO],Tab_11.Nov[CONTA],$F185)</f>
        <v>-332028.59000000003</v>
      </c>
      <c r="S185" s="4">
        <f>SUMIFS(Tab_12.Dez[MOVIMENTO],Tab_12.Dez[CONTA],$F185)</f>
        <v>93387.27</v>
      </c>
    </row>
    <row r="186" spans="2:19" x14ac:dyDescent="0.3">
      <c r="B186" s="3"/>
      <c r="C186" s="2" t="str">
        <f t="shared" si="24"/>
        <v>R</v>
      </c>
      <c r="D186" s="2" t="str">
        <f t="shared" si="25"/>
        <v>S</v>
      </c>
      <c r="E186" s="2">
        <f t="shared" si="26"/>
        <v>5</v>
      </c>
      <c r="F186" s="3" t="s">
        <v>586</v>
      </c>
      <c r="G186" s="3" t="s">
        <v>394</v>
      </c>
      <c r="H186" s="4">
        <f>SUMIFS(Tab_01.Jan[MOVIMENTO],Tab_01.Jan[CONTA],$F186)</f>
        <v>-203029.48</v>
      </c>
      <c r="I186" s="4">
        <f>SUMIFS(Tab_02.Fev[MOVIMENTO],Tab_02.Fev[CONTA],$F186)</f>
        <v>-218527.7</v>
      </c>
      <c r="J186" s="4">
        <f>SUMIFS(Tab_03.Mar[MOVIMENTO],Tab_03.Mar[CONTA],$F186)</f>
        <v>-306654.68</v>
      </c>
      <c r="K186" s="4">
        <f>SUMIFS(Tab_04.Abr[MOVIMENTO],Tab_04.Abr[CONTA],$F186)</f>
        <v>24727.29</v>
      </c>
      <c r="L186" s="4">
        <f>SUMIFS(Tab_05.Mai[MOVIMENTO],Tab_05.Mai[CONTA],$F186)</f>
        <v>-326234.96999999997</v>
      </c>
      <c r="M186" s="4">
        <f>SUMIFS(Tab_06.Jun[MOVIMENTO],Tab_06.Jun[CONTA],$F186)</f>
        <v>-203156.93</v>
      </c>
      <c r="N186" s="4">
        <f>SUMIFS(Tab_07.Jul[MOVIMENTO],Tab_07.Jul[CONTA],$F186)</f>
        <v>-435543.91</v>
      </c>
      <c r="O186" s="4">
        <f>SUMIFS(Tab_08.Ago[MOVIMENTO],Tab_08.Ago[CONTA],$F186)</f>
        <v>-377661.37</v>
      </c>
      <c r="P186" s="4">
        <f>SUMIFS(Tab_09.Set[MOVIMENTO],Tab_09.Set[CONTA],$F186)</f>
        <v>-154545.93</v>
      </c>
      <c r="Q186" s="4">
        <f>SUMIFS(Tab_10.Out[MOVIMENTO],Tab_10.Out[CONTA],$F186)</f>
        <v>-213626.76</v>
      </c>
      <c r="R186" s="4">
        <f>SUMIFS(Tab_11.Nov[MOVIMENTO],Tab_11.Nov[CONTA],$F186)</f>
        <v>-332028.59000000003</v>
      </c>
      <c r="S186" s="4">
        <f>SUMIFS(Tab_12.Dez[MOVIMENTO],Tab_12.Dez[CONTA],$F186)</f>
        <v>93387.27</v>
      </c>
    </row>
    <row r="187" spans="2:19" x14ac:dyDescent="0.3">
      <c r="B187" s="3" t="s">
        <v>71</v>
      </c>
      <c r="C187" s="2" t="str">
        <f t="shared" si="24"/>
        <v>R</v>
      </c>
      <c r="D187" s="2" t="str">
        <f t="shared" si="25"/>
        <v>A</v>
      </c>
      <c r="E187" s="2">
        <f t="shared" si="26"/>
        <v>5</v>
      </c>
      <c r="F187" s="3" t="s">
        <v>393</v>
      </c>
      <c r="G187" s="3" t="s">
        <v>394</v>
      </c>
      <c r="H187" s="4">
        <f>SUMIFS(Tab_01.Jan[MOVIMENTO],Tab_01.Jan[CONTA],$F187)</f>
        <v>-203029.48</v>
      </c>
      <c r="I187" s="4">
        <f>SUMIFS(Tab_02.Fev[MOVIMENTO],Tab_02.Fev[CONTA],$F187)</f>
        <v>-218527.7</v>
      </c>
      <c r="J187" s="4">
        <f>SUMIFS(Tab_03.Mar[MOVIMENTO],Tab_03.Mar[CONTA],$F187)</f>
        <v>-306654.68</v>
      </c>
      <c r="K187" s="4">
        <f>SUMIFS(Tab_04.Abr[MOVIMENTO],Tab_04.Abr[CONTA],$F187)</f>
        <v>24727.29</v>
      </c>
      <c r="L187" s="4">
        <f>SUMIFS(Tab_05.Mai[MOVIMENTO],Tab_05.Mai[CONTA],$F187)</f>
        <v>-326234.96999999997</v>
      </c>
      <c r="M187" s="4">
        <f>SUMIFS(Tab_06.Jun[MOVIMENTO],Tab_06.Jun[CONTA],$F187)</f>
        <v>-203156.93</v>
      </c>
      <c r="N187" s="4">
        <f>SUMIFS(Tab_07.Jul[MOVIMENTO],Tab_07.Jul[CONTA],$F187)</f>
        <v>-435543.91</v>
      </c>
      <c r="O187" s="4">
        <f>SUMIFS(Tab_08.Ago[MOVIMENTO],Tab_08.Ago[CONTA],$F187)</f>
        <v>-377661.37</v>
      </c>
      <c r="P187" s="4">
        <f>SUMIFS(Tab_09.Set[MOVIMENTO],Tab_09.Set[CONTA],$F187)</f>
        <v>-154545.93</v>
      </c>
      <c r="Q187" s="4">
        <f>SUMIFS(Tab_10.Out[MOVIMENTO],Tab_10.Out[CONTA],$F187)</f>
        <v>-213626.76</v>
      </c>
      <c r="R187" s="4">
        <f>SUMIFS(Tab_11.Nov[MOVIMENTO],Tab_11.Nov[CONTA],$F187)</f>
        <v>-332028.59000000003</v>
      </c>
      <c r="S187" s="4">
        <f>SUMIFS(Tab_12.Dez[MOVIMENTO],Tab_12.Dez[CONTA],$F187)</f>
        <v>93387.27</v>
      </c>
    </row>
    <row r="188" spans="2:19" x14ac:dyDescent="0.3">
      <c r="B188" s="3"/>
      <c r="C188" s="2" t="str">
        <f t="shared" si="24"/>
        <v>R</v>
      </c>
      <c r="D188" s="2" t="str">
        <f t="shared" si="25"/>
        <v>S</v>
      </c>
      <c r="E188" s="2">
        <f t="shared" si="26"/>
        <v>2</v>
      </c>
      <c r="F188" s="3" t="s">
        <v>587</v>
      </c>
      <c r="G188" s="3" t="s">
        <v>691</v>
      </c>
      <c r="H188" s="4">
        <f>SUMIFS(Tab_01.Jan[MOVIMENTO],Tab_01.Jan[CONTA],$F188)</f>
        <v>-50</v>
      </c>
      <c r="I188" s="4">
        <f>SUMIFS(Tab_02.Fev[MOVIMENTO],Tab_02.Fev[CONTA],$F188)</f>
        <v>-650</v>
      </c>
      <c r="J188" s="4">
        <f>SUMIFS(Tab_03.Mar[MOVIMENTO],Tab_03.Mar[CONTA],$F188)</f>
        <v>-2000</v>
      </c>
      <c r="K188" s="4">
        <f>SUMIFS(Tab_04.Abr[MOVIMENTO],Tab_04.Abr[CONTA],$F188)</f>
        <v>-2300</v>
      </c>
      <c r="L188" s="4">
        <f>SUMIFS(Tab_05.Mai[MOVIMENTO],Tab_05.Mai[CONTA],$F188)</f>
        <v>-500</v>
      </c>
      <c r="M188" s="4">
        <f>SUMIFS(Tab_06.Jun[MOVIMENTO],Tab_06.Jun[CONTA],$F188)</f>
        <v>-700</v>
      </c>
      <c r="N188" s="4">
        <f>SUMIFS(Tab_07.Jul[MOVIMENTO],Tab_07.Jul[CONTA],$F188)</f>
        <v>-1250</v>
      </c>
      <c r="O188" s="4">
        <f>SUMIFS(Tab_08.Ago[MOVIMENTO],Tab_08.Ago[CONTA],$F188)</f>
        <v>0</v>
      </c>
      <c r="P188" s="4">
        <f>SUMIFS(Tab_09.Set[MOVIMENTO],Tab_09.Set[CONTA],$F188)</f>
        <v>0</v>
      </c>
      <c r="Q188" s="4">
        <f>SUMIFS(Tab_10.Out[MOVIMENTO],Tab_10.Out[CONTA],$F188)</f>
        <v>0</v>
      </c>
      <c r="R188" s="4">
        <f>SUMIFS(Tab_11.Nov[MOVIMENTO],Tab_11.Nov[CONTA],$F188)</f>
        <v>0</v>
      </c>
      <c r="S188" s="4">
        <f>SUMIFS(Tab_12.Dez[MOVIMENTO],Tab_12.Dez[CONTA],$F188)</f>
        <v>0</v>
      </c>
    </row>
    <row r="189" spans="2:19" x14ac:dyDescent="0.3">
      <c r="B189" s="3"/>
      <c r="C189" s="2" t="str">
        <f t="shared" si="24"/>
        <v>R</v>
      </c>
      <c r="D189" s="2" t="str">
        <f t="shared" si="25"/>
        <v>S</v>
      </c>
      <c r="E189" s="2">
        <f t="shared" si="26"/>
        <v>5</v>
      </c>
      <c r="F189" s="3" t="s">
        <v>588</v>
      </c>
      <c r="G189" s="3" t="s">
        <v>692</v>
      </c>
      <c r="H189" s="4">
        <f>SUMIFS(Tab_01.Jan[MOVIMENTO],Tab_01.Jan[CONTA],$F189)</f>
        <v>-50</v>
      </c>
      <c r="I189" s="4">
        <f>SUMIFS(Tab_02.Fev[MOVIMENTO],Tab_02.Fev[CONTA],$F189)</f>
        <v>-650</v>
      </c>
      <c r="J189" s="4">
        <f>SUMIFS(Tab_03.Mar[MOVIMENTO],Tab_03.Mar[CONTA],$F189)</f>
        <v>-2000</v>
      </c>
      <c r="K189" s="4">
        <f>SUMIFS(Tab_04.Abr[MOVIMENTO],Tab_04.Abr[CONTA],$F189)</f>
        <v>-2300</v>
      </c>
      <c r="L189" s="4">
        <f>SUMIFS(Tab_05.Mai[MOVIMENTO],Tab_05.Mai[CONTA],$F189)</f>
        <v>-500</v>
      </c>
      <c r="M189" s="4">
        <f>SUMIFS(Tab_06.Jun[MOVIMENTO],Tab_06.Jun[CONTA],$F189)</f>
        <v>-700</v>
      </c>
      <c r="N189" s="4">
        <f>SUMIFS(Tab_07.Jul[MOVIMENTO],Tab_07.Jul[CONTA],$F189)</f>
        <v>-1250</v>
      </c>
      <c r="O189" s="4">
        <f>SUMIFS(Tab_08.Ago[MOVIMENTO],Tab_08.Ago[CONTA],$F189)</f>
        <v>0</v>
      </c>
      <c r="P189" s="4">
        <f>SUMIFS(Tab_09.Set[MOVIMENTO],Tab_09.Set[CONTA],$F189)</f>
        <v>0</v>
      </c>
      <c r="Q189" s="4">
        <f>SUMIFS(Tab_10.Out[MOVIMENTO],Tab_10.Out[CONTA],$F189)</f>
        <v>0</v>
      </c>
      <c r="R189" s="4">
        <f>SUMIFS(Tab_11.Nov[MOVIMENTO],Tab_11.Nov[CONTA],$F189)</f>
        <v>0</v>
      </c>
      <c r="S189" s="4">
        <f>SUMIFS(Tab_12.Dez[MOVIMENTO],Tab_12.Dez[CONTA],$F189)</f>
        <v>0</v>
      </c>
    </row>
    <row r="190" spans="2:19" x14ac:dyDescent="0.3">
      <c r="B190" s="3"/>
      <c r="C190" s="2" t="str">
        <f t="shared" si="24"/>
        <v>R</v>
      </c>
      <c r="D190" s="2" t="str">
        <f t="shared" si="25"/>
        <v>S</v>
      </c>
      <c r="E190" s="2">
        <f t="shared" si="26"/>
        <v>5</v>
      </c>
      <c r="F190" s="3" t="s">
        <v>589</v>
      </c>
      <c r="G190" s="3" t="s">
        <v>692</v>
      </c>
      <c r="H190" s="4">
        <f>SUMIFS(Tab_01.Jan[MOVIMENTO],Tab_01.Jan[CONTA],$F190)</f>
        <v>-50</v>
      </c>
      <c r="I190" s="4">
        <f>SUMIFS(Tab_02.Fev[MOVIMENTO],Tab_02.Fev[CONTA],$F190)</f>
        <v>-650</v>
      </c>
      <c r="J190" s="4">
        <f>SUMIFS(Tab_03.Mar[MOVIMENTO],Tab_03.Mar[CONTA],$F190)</f>
        <v>-2000</v>
      </c>
      <c r="K190" s="4">
        <f>SUMIFS(Tab_04.Abr[MOVIMENTO],Tab_04.Abr[CONTA],$F190)</f>
        <v>-2300</v>
      </c>
      <c r="L190" s="4">
        <f>SUMIFS(Tab_05.Mai[MOVIMENTO],Tab_05.Mai[CONTA],$F190)</f>
        <v>-500</v>
      </c>
      <c r="M190" s="4">
        <f>SUMIFS(Tab_06.Jun[MOVIMENTO],Tab_06.Jun[CONTA],$F190)</f>
        <v>-700</v>
      </c>
      <c r="N190" s="4">
        <f>SUMIFS(Tab_07.Jul[MOVIMENTO],Tab_07.Jul[CONTA],$F190)</f>
        <v>-1250</v>
      </c>
      <c r="O190" s="4">
        <f>SUMIFS(Tab_08.Ago[MOVIMENTO],Tab_08.Ago[CONTA],$F190)</f>
        <v>0</v>
      </c>
      <c r="P190" s="4">
        <f>SUMIFS(Tab_09.Set[MOVIMENTO],Tab_09.Set[CONTA],$F190)</f>
        <v>0</v>
      </c>
      <c r="Q190" s="4">
        <f>SUMIFS(Tab_10.Out[MOVIMENTO],Tab_10.Out[CONTA],$F190)</f>
        <v>0</v>
      </c>
      <c r="R190" s="4">
        <f>SUMIFS(Tab_11.Nov[MOVIMENTO],Tab_11.Nov[CONTA],$F190)</f>
        <v>0</v>
      </c>
      <c r="S190" s="4">
        <f>SUMIFS(Tab_12.Dez[MOVIMENTO],Tab_12.Dez[CONTA],$F190)</f>
        <v>0</v>
      </c>
    </row>
    <row r="191" spans="2:19" x14ac:dyDescent="0.3">
      <c r="B191" s="3" t="s">
        <v>101</v>
      </c>
      <c r="C191" s="2" t="str">
        <f t="shared" si="24"/>
        <v>R</v>
      </c>
      <c r="D191" s="2" t="str">
        <f t="shared" si="25"/>
        <v>A</v>
      </c>
      <c r="E191" s="2">
        <f t="shared" si="26"/>
        <v>5</v>
      </c>
      <c r="F191" s="3" t="s">
        <v>395</v>
      </c>
      <c r="G191" s="3" t="s">
        <v>396</v>
      </c>
      <c r="H191" s="4">
        <f>SUMIFS(Tab_01.Jan[MOVIMENTO],Tab_01.Jan[CONTA],$F191)</f>
        <v>-50</v>
      </c>
      <c r="I191" s="4">
        <f>SUMIFS(Tab_02.Fev[MOVIMENTO],Tab_02.Fev[CONTA],$F191)</f>
        <v>-650</v>
      </c>
      <c r="J191" s="4">
        <f>SUMIFS(Tab_03.Mar[MOVIMENTO],Tab_03.Mar[CONTA],$F191)</f>
        <v>-2000</v>
      </c>
      <c r="K191" s="4">
        <f>SUMIFS(Tab_04.Abr[MOVIMENTO],Tab_04.Abr[CONTA],$F191)</f>
        <v>-2300</v>
      </c>
      <c r="L191" s="4">
        <f>SUMIFS(Tab_05.Mai[MOVIMENTO],Tab_05.Mai[CONTA],$F191)</f>
        <v>-500</v>
      </c>
      <c r="M191" s="4">
        <f>SUMIFS(Tab_06.Jun[MOVIMENTO],Tab_06.Jun[CONTA],$F191)</f>
        <v>-700</v>
      </c>
      <c r="N191" s="4">
        <f>SUMIFS(Tab_07.Jul[MOVIMENTO],Tab_07.Jul[CONTA],$F191)</f>
        <v>-1250</v>
      </c>
      <c r="O191" s="4">
        <f>SUMIFS(Tab_08.Ago[MOVIMENTO],Tab_08.Ago[CONTA],$F191)</f>
        <v>0</v>
      </c>
      <c r="P191" s="4">
        <f>SUMIFS(Tab_09.Set[MOVIMENTO],Tab_09.Set[CONTA],$F191)</f>
        <v>0</v>
      </c>
      <c r="Q191" s="4">
        <f>SUMIFS(Tab_10.Out[MOVIMENTO],Tab_10.Out[CONTA],$F191)</f>
        <v>0</v>
      </c>
      <c r="R191" s="4">
        <f>SUMIFS(Tab_11.Nov[MOVIMENTO],Tab_11.Nov[CONTA],$F191)</f>
        <v>0</v>
      </c>
      <c r="S191" s="4">
        <f>SUMIFS(Tab_12.Dez[MOVIMENTO],Tab_12.Dez[CONTA],$F191)</f>
        <v>0</v>
      </c>
    </row>
    <row r="192" spans="2:19" x14ac:dyDescent="0.3">
      <c r="B192" s="3"/>
      <c r="C192" s="2" t="str">
        <f t="shared" si="24"/>
        <v>C</v>
      </c>
      <c r="D192" s="2" t="str">
        <f t="shared" si="25"/>
        <v>S</v>
      </c>
      <c r="E192" s="2">
        <f t="shared" si="26"/>
        <v>1</v>
      </c>
      <c r="F192" s="3">
        <v>4</v>
      </c>
      <c r="G192" s="3" t="s">
        <v>693</v>
      </c>
      <c r="H192" s="4">
        <f>SUMIFS(Tab_01.Jan[MOVIMENTO],Tab_01.Jan[CONTA],$F192)</f>
        <v>994864.81</v>
      </c>
      <c r="I192" s="4">
        <f>SUMIFS(Tab_02.Fev[MOVIMENTO],Tab_02.Fev[CONTA],$F192)</f>
        <v>1162490.8999999999</v>
      </c>
      <c r="J192" s="4">
        <f>SUMIFS(Tab_03.Mar[MOVIMENTO],Tab_03.Mar[CONTA],$F192)</f>
        <v>592112.06999999995</v>
      </c>
      <c r="K192" s="4">
        <f>SUMIFS(Tab_04.Abr[MOVIMENTO],Tab_04.Abr[CONTA],$F192)</f>
        <v>849750.75</v>
      </c>
      <c r="L192" s="4">
        <f>SUMIFS(Tab_05.Mai[MOVIMENTO],Tab_05.Mai[CONTA],$F192)</f>
        <v>861814.2</v>
      </c>
      <c r="M192" s="4">
        <f>SUMIFS(Tab_06.Jun[MOVIMENTO],Tab_06.Jun[CONTA],$F192)</f>
        <v>551396.68000000005</v>
      </c>
      <c r="N192" s="4">
        <f>SUMIFS(Tab_07.Jul[MOVIMENTO],Tab_07.Jul[CONTA],$F192)</f>
        <v>843632.26</v>
      </c>
      <c r="O192" s="4">
        <f>SUMIFS(Tab_08.Ago[MOVIMENTO],Tab_08.Ago[CONTA],$F192)</f>
        <v>816845.4</v>
      </c>
      <c r="P192" s="4">
        <f>SUMIFS(Tab_09.Set[MOVIMENTO],Tab_09.Set[CONTA],$F192)</f>
        <v>747018.19</v>
      </c>
      <c r="Q192" s="4">
        <f>SUMIFS(Tab_10.Out[MOVIMENTO],Tab_10.Out[CONTA],$F192)</f>
        <v>959480.74</v>
      </c>
      <c r="R192" s="4">
        <f>SUMIFS(Tab_11.Nov[MOVIMENTO],Tab_11.Nov[CONTA],$F192)</f>
        <v>475510.79</v>
      </c>
      <c r="S192" s="4">
        <f>SUMIFS(Tab_12.Dez[MOVIMENTO],Tab_12.Dez[CONTA],$F192)</f>
        <v>1622059.39</v>
      </c>
    </row>
    <row r="193" spans="2:19" x14ac:dyDescent="0.3">
      <c r="B193" s="3"/>
      <c r="C193" s="2" t="str">
        <f>IF($F193="","",IF(LEFT($F193,1)*1=1,"A",IF(LEFT($F193,1)*1=2,"P",IF(LEFT($F193,1)*1=3,"R",IF(LEFT($F193,1)*1=4,"C",IF(LEFT($F193,1)*1=5,"C",IF(LEFT($F193,1)*1=6,"C","")))))))</f>
        <v>C</v>
      </c>
      <c r="D193" s="2" t="str">
        <f>IF($F193="","",IF(LEN($F193)=13,"A","S"))</f>
        <v>S</v>
      </c>
      <c r="E193" s="2">
        <f>IF($F193="","",IF(LEN($F193)=1,1,IF(LEN($F193)=3,2,IF(LEN($F193)=5,3,IF(LEN($F193)=8,4,5)))))</f>
        <v>2</v>
      </c>
      <c r="F193" s="3" t="s">
        <v>234</v>
      </c>
      <c r="G193" s="3" t="s">
        <v>694</v>
      </c>
      <c r="H193" s="4">
        <f>SUMIFS(Tab_01.Jan[MOVIMENTO],Tab_01.Jan[CONTA],$F193)</f>
        <v>994864.81</v>
      </c>
      <c r="I193" s="4">
        <f>SUMIFS(Tab_02.Fev[MOVIMENTO],Tab_02.Fev[CONTA],$F193)</f>
        <v>1162490.8999999999</v>
      </c>
      <c r="J193" s="4">
        <f>SUMIFS(Tab_03.Mar[MOVIMENTO],Tab_03.Mar[CONTA],$F193)</f>
        <v>592112.06999999995</v>
      </c>
      <c r="K193" s="4">
        <f>SUMIFS(Tab_04.Abr[MOVIMENTO],Tab_04.Abr[CONTA],$F193)</f>
        <v>849750.75</v>
      </c>
      <c r="L193" s="4">
        <f>SUMIFS(Tab_05.Mai[MOVIMENTO],Tab_05.Mai[CONTA],$F193)</f>
        <v>861814.2</v>
      </c>
      <c r="M193" s="4">
        <f>SUMIFS(Tab_06.Jun[MOVIMENTO],Tab_06.Jun[CONTA],$F193)</f>
        <v>551396.68000000005</v>
      </c>
      <c r="N193" s="4">
        <f>SUMIFS(Tab_07.Jul[MOVIMENTO],Tab_07.Jul[CONTA],$F193)</f>
        <v>843616.09</v>
      </c>
      <c r="O193" s="4">
        <f>SUMIFS(Tab_08.Ago[MOVIMENTO],Tab_08.Ago[CONTA],$F193)</f>
        <v>816845.4</v>
      </c>
      <c r="P193" s="4">
        <f>SUMIFS(Tab_09.Set[MOVIMENTO],Tab_09.Set[CONTA],$F193)</f>
        <v>746209.69</v>
      </c>
      <c r="Q193" s="4">
        <f>SUMIFS(Tab_10.Out[MOVIMENTO],Tab_10.Out[CONTA],$F193)</f>
        <v>959464.57</v>
      </c>
      <c r="R193" s="4">
        <f>SUMIFS(Tab_11.Nov[MOVIMENTO],Tab_11.Nov[CONTA],$F193)</f>
        <v>475080.63</v>
      </c>
      <c r="S193" s="4">
        <f>SUMIFS(Tab_12.Dez[MOVIMENTO],Tab_12.Dez[CONTA],$F193)</f>
        <v>1622059.39</v>
      </c>
    </row>
    <row r="194" spans="2:19" x14ac:dyDescent="0.3">
      <c r="B194" s="3"/>
      <c r="C194" s="2" t="str">
        <f t="shared" si="24"/>
        <v>C</v>
      </c>
      <c r="D194" s="2" t="str">
        <f t="shared" si="25"/>
        <v>S</v>
      </c>
      <c r="E194" s="2">
        <f t="shared" si="26"/>
        <v>5</v>
      </c>
      <c r="F194" s="3" t="s">
        <v>235</v>
      </c>
      <c r="G194" s="3" t="s">
        <v>695</v>
      </c>
      <c r="H194" s="4">
        <f>SUMIFS(Tab_01.Jan[MOVIMENTO],Tab_01.Jan[CONTA],$F194)</f>
        <v>142425.62</v>
      </c>
      <c r="I194" s="4">
        <f>SUMIFS(Tab_02.Fev[MOVIMENTO],Tab_02.Fev[CONTA],$F194)</f>
        <v>139417.98000000001</v>
      </c>
      <c r="J194" s="4">
        <f>SUMIFS(Tab_03.Mar[MOVIMENTO],Tab_03.Mar[CONTA],$F194)</f>
        <v>190006.3</v>
      </c>
      <c r="K194" s="4">
        <f>SUMIFS(Tab_04.Abr[MOVIMENTO],Tab_04.Abr[CONTA],$F194)</f>
        <v>190713.78</v>
      </c>
      <c r="L194" s="4">
        <f>SUMIFS(Tab_05.Mai[MOVIMENTO],Tab_05.Mai[CONTA],$F194)</f>
        <v>184325.68</v>
      </c>
      <c r="M194" s="4">
        <f>SUMIFS(Tab_06.Jun[MOVIMENTO],Tab_06.Jun[CONTA],$F194)</f>
        <v>178103.44</v>
      </c>
      <c r="N194" s="4">
        <f>SUMIFS(Tab_07.Jul[MOVIMENTO],Tab_07.Jul[CONTA],$F194)</f>
        <v>141619.5</v>
      </c>
      <c r="O194" s="4">
        <f>SUMIFS(Tab_08.Ago[MOVIMENTO],Tab_08.Ago[CONTA],$F194)</f>
        <v>165004.32999999999</v>
      </c>
      <c r="P194" s="4">
        <f>SUMIFS(Tab_09.Set[MOVIMENTO],Tab_09.Set[CONTA],$F194)</f>
        <v>174908.19</v>
      </c>
      <c r="Q194" s="4">
        <f>SUMIFS(Tab_10.Out[MOVIMENTO],Tab_10.Out[CONTA],$F194)</f>
        <v>155299.60999999999</v>
      </c>
      <c r="R194" s="4">
        <f>SUMIFS(Tab_11.Nov[MOVIMENTO],Tab_11.Nov[CONTA],$F194)</f>
        <v>177590.2</v>
      </c>
      <c r="S194" s="4">
        <f>SUMIFS(Tab_12.Dez[MOVIMENTO],Tab_12.Dez[CONTA],$F194)</f>
        <v>167428</v>
      </c>
    </row>
    <row r="195" spans="2:19" x14ac:dyDescent="0.3">
      <c r="B195" s="3"/>
      <c r="C195" s="2" t="str">
        <f>IF($F195="","",IF(LEFT($F195,1)*1=1,"A",IF(LEFT($F195,1)*1=2,"P",IF(LEFT($F195,1)*1=3,"R",IF(LEFT($F195,1)*1=4,"C",IF(LEFT($F195,1)*1=5,"C",IF(LEFT($F195,1)*1=6,"C","")))))))</f>
        <v>C</v>
      </c>
      <c r="D195" s="2" t="str">
        <f>IF($F195="","",IF(LEN($F195)=13,"A","S"))</f>
        <v>S</v>
      </c>
      <c r="E195" s="2">
        <f>IF($F195="","",IF(LEN($F195)=1,1,IF(LEN($F195)=3,2,IF(LEN($F195)=5,3,IF(LEN($F195)=8,4,5)))))</f>
        <v>5</v>
      </c>
      <c r="F195" s="3" t="s">
        <v>236</v>
      </c>
      <c r="G195" s="3" t="s">
        <v>696</v>
      </c>
      <c r="H195" s="4">
        <f>SUMIFS(Tab_01.Jan[MOVIMENTO],Tab_01.Jan[CONTA],$F195)</f>
        <v>54534.01</v>
      </c>
      <c r="I195" s="4">
        <f>SUMIFS(Tab_02.Fev[MOVIMENTO],Tab_02.Fev[CONTA],$F195)</f>
        <v>58831.91</v>
      </c>
      <c r="J195" s="4">
        <f>SUMIFS(Tab_03.Mar[MOVIMENTO],Tab_03.Mar[CONTA],$F195)</f>
        <v>71633.179999999993</v>
      </c>
      <c r="K195" s="4">
        <f>SUMIFS(Tab_04.Abr[MOVIMENTO],Tab_04.Abr[CONTA],$F195)</f>
        <v>84490.42</v>
      </c>
      <c r="L195" s="4">
        <f>SUMIFS(Tab_05.Mai[MOVIMENTO],Tab_05.Mai[CONTA],$F195)</f>
        <v>83040.41</v>
      </c>
      <c r="M195" s="4">
        <f>SUMIFS(Tab_06.Jun[MOVIMENTO],Tab_06.Jun[CONTA],$F195)</f>
        <v>69921.070000000007</v>
      </c>
      <c r="N195" s="4">
        <f>SUMIFS(Tab_07.Jul[MOVIMENTO],Tab_07.Jul[CONTA],$F195)</f>
        <v>54793.49</v>
      </c>
      <c r="O195" s="4">
        <f>SUMIFS(Tab_08.Ago[MOVIMENTO],Tab_08.Ago[CONTA],$F195)</f>
        <v>70890.899999999994</v>
      </c>
      <c r="P195" s="4">
        <f>SUMIFS(Tab_09.Set[MOVIMENTO],Tab_09.Set[CONTA],$F195)</f>
        <v>72968.94</v>
      </c>
      <c r="Q195" s="4">
        <f>SUMIFS(Tab_10.Out[MOVIMENTO],Tab_10.Out[CONTA],$F195)</f>
        <v>64190.76</v>
      </c>
      <c r="R195" s="4">
        <f>SUMIFS(Tab_11.Nov[MOVIMENTO],Tab_11.Nov[CONTA],$F195)</f>
        <v>75227.48</v>
      </c>
      <c r="S195" s="4">
        <f>SUMIFS(Tab_12.Dez[MOVIMENTO],Tab_12.Dez[CONTA],$F195)</f>
        <v>84360.26</v>
      </c>
    </row>
    <row r="196" spans="2:19" x14ac:dyDescent="0.3">
      <c r="B196" s="3" t="s">
        <v>104</v>
      </c>
      <c r="C196" s="2" t="str">
        <f t="shared" si="24"/>
        <v>C</v>
      </c>
      <c r="D196" s="2" t="str">
        <f t="shared" si="25"/>
        <v>A</v>
      </c>
      <c r="E196" s="2">
        <f t="shared" si="26"/>
        <v>5</v>
      </c>
      <c r="F196" s="3" t="s">
        <v>195</v>
      </c>
      <c r="G196" s="3" t="s">
        <v>427</v>
      </c>
      <c r="H196" s="4">
        <f>SUMIFS(Tab_01.Jan[MOVIMENTO],Tab_01.Jan[CONTA],$F196)</f>
        <v>-9283.35</v>
      </c>
      <c r="I196" s="4">
        <f>SUMIFS(Tab_02.Fev[MOVIMENTO],Tab_02.Fev[CONTA],$F196)</f>
        <v>57725.93</v>
      </c>
      <c r="J196" s="4">
        <f>SUMIFS(Tab_03.Mar[MOVIMENTO],Tab_03.Mar[CONTA],$F196)</f>
        <v>54617.88</v>
      </c>
      <c r="K196" s="4">
        <f>SUMIFS(Tab_04.Abr[MOVIMENTO],Tab_04.Abr[CONTA],$F196)</f>
        <v>67332.59</v>
      </c>
      <c r="L196" s="4">
        <f>SUMIFS(Tab_05.Mai[MOVIMENTO],Tab_05.Mai[CONTA],$F196)</f>
        <v>65332.63</v>
      </c>
      <c r="M196" s="4">
        <f>SUMIFS(Tab_06.Jun[MOVIMENTO],Tab_06.Jun[CONTA],$F196)</f>
        <v>54166.77</v>
      </c>
      <c r="N196" s="4">
        <f>SUMIFS(Tab_07.Jul[MOVIMENTO],Tab_07.Jul[CONTA],$F196)</f>
        <v>37076.21</v>
      </c>
      <c r="O196" s="4">
        <f>SUMIFS(Tab_08.Ago[MOVIMENTO],Tab_08.Ago[CONTA],$F196)</f>
        <v>54904.87</v>
      </c>
      <c r="P196" s="4">
        <f>SUMIFS(Tab_09.Set[MOVIMENTO],Tab_09.Set[CONTA],$F196)</f>
        <v>62503.12</v>
      </c>
      <c r="Q196" s="4">
        <f>SUMIFS(Tab_10.Out[MOVIMENTO],Tab_10.Out[CONTA],$F196)</f>
        <v>47197.23</v>
      </c>
      <c r="R196" s="4">
        <f>SUMIFS(Tab_11.Nov[MOVIMENTO],Tab_11.Nov[CONTA],$F196)</f>
        <v>58344.11</v>
      </c>
      <c r="S196" s="4">
        <f>SUMIFS(Tab_12.Dez[MOVIMENTO],Tab_12.Dez[CONTA],$F196)</f>
        <v>62486.02</v>
      </c>
    </row>
    <row r="197" spans="2:19" x14ac:dyDescent="0.3">
      <c r="B197" s="3" t="s">
        <v>104</v>
      </c>
      <c r="C197" s="2" t="str">
        <f t="shared" si="24"/>
        <v>C</v>
      </c>
      <c r="D197" s="2" t="str">
        <f t="shared" si="25"/>
        <v>A</v>
      </c>
      <c r="E197" s="2">
        <f t="shared" si="26"/>
        <v>5</v>
      </c>
      <c r="F197" s="3" t="s">
        <v>428</v>
      </c>
      <c r="G197" s="3" t="s">
        <v>429</v>
      </c>
      <c r="H197" s="4">
        <f>SUMIFS(Tab_01.Jan[MOVIMENTO],Tab_01.Jan[CONTA],$F197)</f>
        <v>0</v>
      </c>
      <c r="I197" s="4">
        <f>SUMIFS(Tab_02.Fev[MOVIMENTO],Tab_02.Fev[CONTA],$F197)</f>
        <v>0</v>
      </c>
      <c r="J197" s="4">
        <f>SUMIFS(Tab_03.Mar[MOVIMENTO],Tab_03.Mar[CONTA],$F197)</f>
        <v>0</v>
      </c>
      <c r="K197" s="4">
        <f>SUMIFS(Tab_04.Abr[MOVIMENTO],Tab_04.Abr[CONTA],$F197)</f>
        <v>0</v>
      </c>
      <c r="L197" s="4">
        <f>SUMIFS(Tab_05.Mai[MOVIMENTO],Tab_05.Mai[CONTA],$F197)</f>
        <v>0</v>
      </c>
      <c r="M197" s="4">
        <f>SUMIFS(Tab_06.Jun[MOVIMENTO],Tab_06.Jun[CONTA],$F197)</f>
        <v>0</v>
      </c>
      <c r="N197" s="4">
        <f>SUMIFS(Tab_07.Jul[MOVIMENTO],Tab_07.Jul[CONTA],$F197)</f>
        <v>0</v>
      </c>
      <c r="O197" s="4">
        <f>SUMIFS(Tab_08.Ago[MOVIMENTO],Tab_08.Ago[CONTA],$F197)</f>
        <v>0</v>
      </c>
      <c r="P197" s="4">
        <f>SUMIFS(Tab_09.Set[MOVIMENTO],Tab_09.Set[CONTA],$F197)</f>
        <v>0</v>
      </c>
      <c r="Q197" s="4">
        <f>SUMIFS(Tab_10.Out[MOVIMENTO],Tab_10.Out[CONTA],$F197)</f>
        <v>0</v>
      </c>
      <c r="R197" s="4">
        <f>SUMIFS(Tab_11.Nov[MOVIMENTO],Tab_11.Nov[CONTA],$F197)</f>
        <v>0</v>
      </c>
      <c r="S197" s="4">
        <f>SUMIFS(Tab_12.Dez[MOVIMENTO],Tab_12.Dez[CONTA],$F197)</f>
        <v>0</v>
      </c>
    </row>
    <row r="198" spans="2:19" x14ac:dyDescent="0.3">
      <c r="B198" s="3" t="s">
        <v>104</v>
      </c>
      <c r="C198" s="2" t="str">
        <f t="shared" si="24"/>
        <v>C</v>
      </c>
      <c r="D198" s="2" t="str">
        <f t="shared" si="25"/>
        <v>A</v>
      </c>
      <c r="E198" s="2">
        <f t="shared" si="26"/>
        <v>5</v>
      </c>
      <c r="F198" s="3" t="s">
        <v>430</v>
      </c>
      <c r="G198" s="3" t="s">
        <v>431</v>
      </c>
      <c r="H198" s="4">
        <f>SUMIFS(Tab_01.Jan[MOVIMENTO],Tab_01.Jan[CONTA],$F198)</f>
        <v>7059.76</v>
      </c>
      <c r="I198" s="4">
        <f>SUMIFS(Tab_02.Fev[MOVIMENTO],Tab_02.Fev[CONTA],$F198)</f>
        <v>9664.2099999999991</v>
      </c>
      <c r="J198" s="4">
        <f>SUMIFS(Tab_03.Mar[MOVIMENTO],Tab_03.Mar[CONTA],$F198)</f>
        <v>6910.43</v>
      </c>
      <c r="K198" s="4">
        <f>SUMIFS(Tab_04.Abr[MOVIMENTO],Tab_04.Abr[CONTA],$F198)</f>
        <v>8176.23</v>
      </c>
      <c r="L198" s="4">
        <f>SUMIFS(Tab_05.Mai[MOVIMENTO],Tab_05.Mai[CONTA],$F198)</f>
        <v>8440.17</v>
      </c>
      <c r="M198" s="4">
        <f>SUMIFS(Tab_06.Jun[MOVIMENTO],Tab_06.Jun[CONTA],$F198)</f>
        <v>6494.98</v>
      </c>
      <c r="N198" s="4">
        <f>SUMIFS(Tab_07.Jul[MOVIMENTO],Tab_07.Jul[CONTA],$F198)</f>
        <v>6726.67</v>
      </c>
      <c r="O198" s="4">
        <f>SUMIFS(Tab_08.Ago[MOVIMENTO],Tab_08.Ago[CONTA],$F198)</f>
        <v>6726.71</v>
      </c>
      <c r="P198" s="4">
        <f>SUMIFS(Tab_09.Set[MOVIMENTO],Tab_09.Set[CONTA],$F198)</f>
        <v>8432.86</v>
      </c>
      <c r="Q198" s="4">
        <f>SUMIFS(Tab_10.Out[MOVIMENTO],Tab_10.Out[CONTA],$F198)</f>
        <v>12504.53</v>
      </c>
      <c r="R198" s="4">
        <f>SUMIFS(Tab_11.Nov[MOVIMENTO],Tab_11.Nov[CONTA],$F198)</f>
        <v>12494.88</v>
      </c>
      <c r="S198" s="4">
        <f>SUMIFS(Tab_12.Dez[MOVIMENTO],Tab_12.Dez[CONTA],$F198)</f>
        <v>12630.74</v>
      </c>
    </row>
    <row r="199" spans="2:19" x14ac:dyDescent="0.3">
      <c r="B199" s="3" t="s">
        <v>104</v>
      </c>
      <c r="C199" s="2" t="str">
        <f t="shared" si="24"/>
        <v>C</v>
      </c>
      <c r="D199" s="2" t="str">
        <f t="shared" si="25"/>
        <v>A</v>
      </c>
      <c r="E199" s="2">
        <f t="shared" si="26"/>
        <v>5</v>
      </c>
      <c r="F199" s="3" t="s">
        <v>432</v>
      </c>
      <c r="G199" s="3" t="s">
        <v>433</v>
      </c>
      <c r="H199" s="4">
        <f>SUMIFS(Tab_01.Jan[MOVIMENTO],Tab_01.Jan[CONTA],$F199)</f>
        <v>5045.03</v>
      </c>
      <c r="I199" s="4">
        <f>SUMIFS(Tab_02.Fev[MOVIMENTO],Tab_02.Fev[CONTA],$F199)</f>
        <v>5045.03</v>
      </c>
      <c r="J199" s="4">
        <f>SUMIFS(Tab_03.Mar[MOVIMENTO],Tab_03.Mar[CONTA],$F199)</f>
        <v>5045.03</v>
      </c>
      <c r="K199" s="4">
        <f>SUMIFS(Tab_04.Abr[MOVIMENTO],Tab_04.Abr[CONTA],$F199)</f>
        <v>5044.99</v>
      </c>
      <c r="L199" s="4">
        <f>SUMIFS(Tab_05.Mai[MOVIMENTO],Tab_05.Mai[CONTA],$F199)</f>
        <v>5045.05</v>
      </c>
      <c r="M199" s="4">
        <f>SUMIFS(Tab_06.Jun[MOVIMENTO],Tab_06.Jun[CONTA],$F199)</f>
        <v>5045.03</v>
      </c>
      <c r="N199" s="4">
        <f>SUMIFS(Tab_07.Jul[MOVIMENTO],Tab_07.Jul[CONTA],$F199)</f>
        <v>6330.11</v>
      </c>
      <c r="O199" s="4">
        <f>SUMIFS(Tab_08.Ago[MOVIMENTO],Tab_08.Ago[CONTA],$F199)</f>
        <v>5045.03</v>
      </c>
      <c r="P199" s="4">
        <f>SUMIFS(Tab_09.Set[MOVIMENTO],Tab_09.Set[CONTA],$F199)</f>
        <v>7267.45</v>
      </c>
      <c r="Q199" s="4">
        <f>SUMIFS(Tab_10.Out[MOVIMENTO],Tab_10.Out[CONTA],$F199)</f>
        <v>0</v>
      </c>
      <c r="R199" s="4">
        <f>SUMIFS(Tab_11.Nov[MOVIMENTO],Tab_11.Nov[CONTA],$F199)</f>
        <v>0</v>
      </c>
      <c r="S199" s="4">
        <f>SUMIFS(Tab_12.Dez[MOVIMENTO],Tab_12.Dez[CONTA],$F199)</f>
        <v>3434.46</v>
      </c>
    </row>
    <row r="200" spans="2:19" x14ac:dyDescent="0.3">
      <c r="B200" s="3" t="s">
        <v>104</v>
      </c>
      <c r="C200" s="2" t="str">
        <f t="shared" si="24"/>
        <v>C</v>
      </c>
      <c r="D200" s="2" t="str">
        <f t="shared" si="25"/>
        <v>A</v>
      </c>
      <c r="E200" s="2">
        <f t="shared" si="26"/>
        <v>5</v>
      </c>
      <c r="F200" s="3" t="s">
        <v>748</v>
      </c>
      <c r="G200" s="3" t="s">
        <v>749</v>
      </c>
      <c r="H200" s="4">
        <f>SUMIFS(Tab_01.Jan[MOVIMENTO],Tab_01.Jan[CONTA],$F200)</f>
        <v>0</v>
      </c>
      <c r="I200" s="4">
        <f>SUMIFS(Tab_02.Fev[MOVIMENTO],Tab_02.Fev[CONTA],$F200)</f>
        <v>0</v>
      </c>
      <c r="J200" s="4">
        <f>SUMIFS(Tab_03.Mar[MOVIMENTO],Tab_03.Mar[CONTA],$F200)</f>
        <v>0</v>
      </c>
      <c r="K200" s="4">
        <f>SUMIFS(Tab_04.Abr[MOVIMENTO],Tab_04.Abr[CONTA],$F200)</f>
        <v>0</v>
      </c>
      <c r="L200" s="4">
        <f>SUMIFS(Tab_05.Mai[MOVIMENTO],Tab_05.Mai[CONTA],$F200)</f>
        <v>0</v>
      </c>
      <c r="M200" s="4">
        <f>SUMIFS(Tab_06.Jun[MOVIMENTO],Tab_06.Jun[CONTA],$F200)</f>
        <v>0</v>
      </c>
      <c r="N200" s="4">
        <f>SUMIFS(Tab_07.Jul[MOVIMENTO],Tab_07.Jul[CONTA],$F200)</f>
        <v>0</v>
      </c>
      <c r="O200" s="4">
        <f>SUMIFS(Tab_08.Ago[MOVIMENTO],Tab_08.Ago[CONTA],$F200)</f>
        <v>0</v>
      </c>
      <c r="P200" s="4">
        <f>SUMIFS(Tab_09.Set[MOVIMENTO],Tab_09.Set[CONTA],$F200)</f>
        <v>0</v>
      </c>
      <c r="Q200" s="4">
        <f>SUMIFS(Tab_10.Out[MOVIMENTO],Tab_10.Out[CONTA],$F200)</f>
        <v>0</v>
      </c>
      <c r="R200" s="4">
        <f>SUMIFS(Tab_11.Nov[MOVIMENTO],Tab_11.Nov[CONTA],$F200)</f>
        <v>0</v>
      </c>
      <c r="S200" s="4">
        <f>SUMIFS(Tab_12.Dez[MOVIMENTO],Tab_12.Dez[CONTA],$F200)</f>
        <v>0</v>
      </c>
    </row>
    <row r="201" spans="2:19" x14ac:dyDescent="0.3">
      <c r="B201" s="3" t="s">
        <v>104</v>
      </c>
      <c r="C201" s="2" t="str">
        <f t="shared" si="24"/>
        <v>C</v>
      </c>
      <c r="D201" s="2" t="str">
        <f t="shared" si="25"/>
        <v>A</v>
      </c>
      <c r="E201" s="2">
        <f t="shared" si="26"/>
        <v>5</v>
      </c>
      <c r="F201" s="3" t="s">
        <v>790</v>
      </c>
      <c r="G201" s="3" t="s">
        <v>791</v>
      </c>
      <c r="H201" s="4">
        <f>SUMIFS(Tab_01.Jan[MOVIMENTO],Tab_01.Jan[CONTA],$F201)</f>
        <v>49658.59</v>
      </c>
      <c r="I201" s="4">
        <f>SUMIFS(Tab_02.Fev[MOVIMENTO],Tab_02.Fev[CONTA],$F201)</f>
        <v>-15879.44</v>
      </c>
      <c r="J201" s="4">
        <f>SUMIFS(Tab_03.Mar[MOVIMENTO],Tab_03.Mar[CONTA],$F201)</f>
        <v>2718.52</v>
      </c>
      <c r="K201" s="4">
        <f>SUMIFS(Tab_04.Abr[MOVIMENTO],Tab_04.Abr[CONTA],$F201)</f>
        <v>1754.97</v>
      </c>
      <c r="L201" s="4">
        <f>SUMIFS(Tab_05.Mai[MOVIMENTO],Tab_05.Mai[CONTA],$F201)</f>
        <v>1802.78</v>
      </c>
      <c r="M201" s="4">
        <f>SUMIFS(Tab_06.Jun[MOVIMENTO],Tab_06.Jun[CONTA],$F201)</f>
        <v>1802.79</v>
      </c>
      <c r="N201" s="4">
        <f>SUMIFS(Tab_07.Jul[MOVIMENTO],Tab_07.Jul[CONTA],$F201)</f>
        <v>1802.73</v>
      </c>
      <c r="O201" s="4">
        <f>SUMIFS(Tab_08.Ago[MOVIMENTO],Tab_08.Ago[CONTA],$F201)</f>
        <v>1802.75</v>
      </c>
      <c r="P201" s="4">
        <f>SUMIFS(Tab_09.Set[MOVIMENTO],Tab_09.Set[CONTA],$F201)</f>
        <v>-5668.96</v>
      </c>
      <c r="Q201" s="4">
        <f>SUMIFS(Tab_10.Out[MOVIMENTO],Tab_10.Out[CONTA],$F201)</f>
        <v>3360.49</v>
      </c>
      <c r="R201" s="4">
        <f>SUMIFS(Tab_11.Nov[MOVIMENTO],Tab_11.Nov[CONTA],$F201)</f>
        <v>3314.3</v>
      </c>
      <c r="S201" s="4">
        <f>SUMIFS(Tab_12.Dez[MOVIMENTO],Tab_12.Dez[CONTA],$F201)</f>
        <v>3360.42</v>
      </c>
    </row>
    <row r="202" spans="2:19" x14ac:dyDescent="0.3">
      <c r="B202" s="3" t="s">
        <v>104</v>
      </c>
      <c r="C202" s="2" t="str">
        <f t="shared" si="24"/>
        <v>C</v>
      </c>
      <c r="D202" s="2" t="str">
        <f t="shared" si="25"/>
        <v>A</v>
      </c>
      <c r="E202" s="2">
        <f t="shared" si="26"/>
        <v>5</v>
      </c>
      <c r="F202" s="3" t="s">
        <v>792</v>
      </c>
      <c r="G202" s="3" t="s">
        <v>793</v>
      </c>
      <c r="H202" s="4">
        <f>SUMIFS(Tab_01.Jan[MOVIMENTO],Tab_01.Jan[CONTA],$F202)</f>
        <v>179.93</v>
      </c>
      <c r="I202" s="4">
        <f>SUMIFS(Tab_02.Fev[MOVIMENTO],Tab_02.Fev[CONTA],$F202)</f>
        <v>492.78</v>
      </c>
      <c r="J202" s="4">
        <f>SUMIFS(Tab_03.Mar[MOVIMENTO],Tab_03.Mar[CONTA],$F202)</f>
        <v>466.07</v>
      </c>
      <c r="K202" s="4">
        <f>SUMIFS(Tab_04.Abr[MOVIMENTO],Tab_04.Abr[CONTA],$F202)</f>
        <v>302.23</v>
      </c>
      <c r="L202" s="4">
        <f>SUMIFS(Tab_05.Mai[MOVIMENTO],Tab_05.Mai[CONTA],$F202)</f>
        <v>538.13</v>
      </c>
      <c r="M202" s="4">
        <f>SUMIFS(Tab_06.Jun[MOVIMENTO],Tab_06.Jun[CONTA],$F202)</f>
        <v>538.13</v>
      </c>
      <c r="N202" s="4">
        <f>SUMIFS(Tab_07.Jul[MOVIMENTO],Tab_07.Jul[CONTA],$F202)</f>
        <v>538.13</v>
      </c>
      <c r="O202" s="4">
        <f>SUMIFS(Tab_08.Ago[MOVIMENTO],Tab_08.Ago[CONTA],$F202)</f>
        <v>538.14</v>
      </c>
      <c r="P202" s="4">
        <f>SUMIFS(Tab_09.Set[MOVIMENTO],Tab_09.Set[CONTA],$F202)</f>
        <v>-1692.23</v>
      </c>
      <c r="Q202" s="4">
        <f>SUMIFS(Tab_10.Out[MOVIMENTO],Tab_10.Out[CONTA],$F202)</f>
        <v>1003.12</v>
      </c>
      <c r="R202" s="4">
        <f>SUMIFS(Tab_11.Nov[MOVIMENTO],Tab_11.Nov[CONTA],$F202)</f>
        <v>948.78</v>
      </c>
      <c r="S202" s="4">
        <f>SUMIFS(Tab_12.Dez[MOVIMENTO],Tab_12.Dez[CONTA],$F202)</f>
        <v>1003.1</v>
      </c>
    </row>
    <row r="203" spans="2:19" x14ac:dyDescent="0.3">
      <c r="B203" s="3" t="s">
        <v>104</v>
      </c>
      <c r="C203" s="2" t="str">
        <f t="shared" si="24"/>
        <v>C</v>
      </c>
      <c r="D203" s="2" t="str">
        <f t="shared" si="25"/>
        <v>A</v>
      </c>
      <c r="E203" s="2">
        <f t="shared" si="26"/>
        <v>5</v>
      </c>
      <c r="F203" s="3" t="s">
        <v>794</v>
      </c>
      <c r="G203" s="3" t="s">
        <v>795</v>
      </c>
      <c r="H203" s="4">
        <f>SUMIFS(Tab_01.Jan[MOVIMENTO],Tab_01.Jan[CONTA],$F203)</f>
        <v>67.97</v>
      </c>
      <c r="I203" s="4">
        <f>SUMIFS(Tab_02.Fev[MOVIMENTO],Tab_02.Fev[CONTA],$F203)</f>
        <v>-22.69</v>
      </c>
      <c r="J203" s="4">
        <f>SUMIFS(Tab_03.Mar[MOVIMENTO],Tab_03.Mar[CONTA],$F203)</f>
        <v>69.150000000000006</v>
      </c>
      <c r="K203" s="4">
        <f>SUMIFS(Tab_04.Abr[MOVIMENTO],Tab_04.Abr[CONTA],$F203)</f>
        <v>73.290000000000006</v>
      </c>
      <c r="L203" s="4">
        <f>SUMIFS(Tab_05.Mai[MOVIMENTO],Tab_05.Mai[CONTA],$F203)</f>
        <v>75.510000000000005</v>
      </c>
      <c r="M203" s="4">
        <f>SUMIFS(Tab_06.Jun[MOVIMENTO],Tab_06.Jun[CONTA],$F203)</f>
        <v>67.260000000000005</v>
      </c>
      <c r="N203" s="4">
        <f>SUMIFS(Tab_07.Jul[MOVIMENTO],Tab_07.Jul[CONTA],$F203)</f>
        <v>67.28</v>
      </c>
      <c r="O203" s="4">
        <f>SUMIFS(Tab_08.Ago[MOVIMENTO],Tab_08.Ago[CONTA],$F203)</f>
        <v>67.260000000000005</v>
      </c>
      <c r="P203" s="4">
        <f>SUMIFS(Tab_09.Set[MOVIMENTO],Tab_09.Set[CONTA],$F203)</f>
        <v>-99.47</v>
      </c>
      <c r="Q203" s="4">
        <f>SUMIFS(Tab_10.Out[MOVIMENTO],Tab_10.Out[CONTA],$F203)</f>
        <v>0</v>
      </c>
      <c r="R203" s="4">
        <f>SUMIFS(Tab_11.Nov[MOVIMENTO],Tab_11.Nov[CONTA],$F203)</f>
        <v>0</v>
      </c>
      <c r="S203" s="4">
        <f>SUMIFS(Tab_12.Dez[MOVIMENTO],Tab_12.Dez[CONTA],$F203)</f>
        <v>0</v>
      </c>
    </row>
    <row r="204" spans="2:19" x14ac:dyDescent="0.3">
      <c r="B204" s="3" t="s">
        <v>104</v>
      </c>
      <c r="C204" s="2" t="str">
        <f t="shared" si="24"/>
        <v>C</v>
      </c>
      <c r="D204" s="2" t="str">
        <f t="shared" si="25"/>
        <v>A</v>
      </c>
      <c r="E204" s="2">
        <f t="shared" si="26"/>
        <v>5</v>
      </c>
      <c r="F204" s="3" t="s">
        <v>796</v>
      </c>
      <c r="G204" s="3" t="s">
        <v>797</v>
      </c>
      <c r="H204" s="4">
        <f>SUMIFS(Tab_01.Jan[MOVIMENTO],Tab_01.Jan[CONTA],$F204)</f>
        <v>1352.06</v>
      </c>
      <c r="I204" s="4">
        <f>SUMIFS(Tab_02.Fev[MOVIMENTO],Tab_02.Fev[CONTA],$F204)</f>
        <v>1352.02</v>
      </c>
      <c r="J204" s="4">
        <f>SUMIFS(Tab_03.Mar[MOVIMENTO],Tab_03.Mar[CONTA],$F204)</f>
        <v>1352.06</v>
      </c>
      <c r="K204" s="4">
        <f>SUMIFS(Tab_04.Abr[MOVIMENTO],Tab_04.Abr[CONTA],$F204)</f>
        <v>1352.07</v>
      </c>
      <c r="L204" s="4">
        <f>SUMIFS(Tab_05.Mai[MOVIMENTO],Tab_05.Mai[CONTA],$F204)</f>
        <v>1352.1</v>
      </c>
      <c r="M204" s="4">
        <f>SUMIFS(Tab_06.Jun[MOVIMENTO],Tab_06.Jun[CONTA],$F204)</f>
        <v>1352.05</v>
      </c>
      <c r="N204" s="4">
        <f>SUMIFS(Tab_07.Jul[MOVIMENTO],Tab_07.Jul[CONTA],$F204)</f>
        <v>1695.5</v>
      </c>
      <c r="O204" s="4">
        <f>SUMIFS(Tab_08.Ago[MOVIMENTO],Tab_08.Ago[CONTA],$F204)</f>
        <v>1352.07</v>
      </c>
      <c r="P204" s="4">
        <f>SUMIFS(Tab_09.Set[MOVIMENTO],Tab_09.Set[CONTA],$F204)</f>
        <v>1783.72</v>
      </c>
      <c r="Q204" s="4">
        <f>SUMIFS(Tab_10.Out[MOVIMENTO],Tab_10.Out[CONTA],$F204)</f>
        <v>0</v>
      </c>
      <c r="R204" s="4">
        <f>SUMIFS(Tab_11.Nov[MOVIMENTO],Tab_11.Nov[CONTA],$F204)</f>
        <v>0</v>
      </c>
      <c r="S204" s="4">
        <f>SUMIFS(Tab_12.Dez[MOVIMENTO],Tab_12.Dez[CONTA],$F204)</f>
        <v>989.74</v>
      </c>
    </row>
    <row r="205" spans="2:19" x14ac:dyDescent="0.3">
      <c r="B205" s="3" t="s">
        <v>104</v>
      </c>
      <c r="C205" s="2" t="str">
        <f t="shared" si="24"/>
        <v>C</v>
      </c>
      <c r="D205" s="2" t="str">
        <f t="shared" si="25"/>
        <v>A</v>
      </c>
      <c r="E205" s="2">
        <f t="shared" si="26"/>
        <v>5</v>
      </c>
      <c r="F205" s="3" t="s">
        <v>798</v>
      </c>
      <c r="G205" s="3" t="s">
        <v>799</v>
      </c>
      <c r="H205" s="4">
        <f>SUMIFS(Tab_01.Jan[MOVIMENTO],Tab_01.Jan[CONTA],$F205)</f>
        <v>403.57</v>
      </c>
      <c r="I205" s="4">
        <f>SUMIFS(Tab_02.Fev[MOVIMENTO],Tab_02.Fev[CONTA],$F205)</f>
        <v>403.61</v>
      </c>
      <c r="J205" s="4">
        <f>SUMIFS(Tab_03.Mar[MOVIMENTO],Tab_03.Mar[CONTA],$F205)</f>
        <v>403.6</v>
      </c>
      <c r="K205" s="4">
        <f>SUMIFS(Tab_04.Abr[MOVIMENTO],Tab_04.Abr[CONTA],$F205)</f>
        <v>403.59</v>
      </c>
      <c r="L205" s="4">
        <f>SUMIFS(Tab_05.Mai[MOVIMENTO],Tab_05.Mai[CONTA],$F205)</f>
        <v>403.61</v>
      </c>
      <c r="M205" s="4">
        <f>SUMIFS(Tab_06.Jun[MOVIMENTO],Tab_06.Jun[CONTA],$F205)</f>
        <v>403.61</v>
      </c>
      <c r="N205" s="4">
        <f>SUMIFS(Tab_07.Jul[MOVIMENTO],Tab_07.Jul[CONTA],$F205)</f>
        <v>506.41</v>
      </c>
      <c r="O205" s="4">
        <f>SUMIFS(Tab_08.Ago[MOVIMENTO],Tab_08.Ago[CONTA],$F205)</f>
        <v>403.59</v>
      </c>
      <c r="P205" s="4">
        <f>SUMIFS(Tab_09.Set[MOVIMENTO],Tab_09.Set[CONTA],$F205)</f>
        <v>581.41</v>
      </c>
      <c r="Q205" s="4">
        <f>SUMIFS(Tab_10.Out[MOVIMENTO],Tab_10.Out[CONTA],$F205)</f>
        <v>0</v>
      </c>
      <c r="R205" s="4">
        <f>SUMIFS(Tab_11.Nov[MOVIMENTO],Tab_11.Nov[CONTA],$F205)</f>
        <v>0</v>
      </c>
      <c r="S205" s="4">
        <f>SUMIFS(Tab_12.Dez[MOVIMENTO],Tab_12.Dez[CONTA],$F205)</f>
        <v>303.47000000000003</v>
      </c>
    </row>
    <row r="206" spans="2:19" x14ac:dyDescent="0.3">
      <c r="B206" s="3" t="s">
        <v>104</v>
      </c>
      <c r="C206" s="2" t="str">
        <f t="shared" si="24"/>
        <v>C</v>
      </c>
      <c r="D206" s="2" t="str">
        <f t="shared" si="25"/>
        <v>A</v>
      </c>
      <c r="E206" s="2">
        <f t="shared" si="26"/>
        <v>5</v>
      </c>
      <c r="F206" s="3" t="s">
        <v>800</v>
      </c>
      <c r="G206" s="3" t="s">
        <v>801</v>
      </c>
      <c r="H206" s="4">
        <f>SUMIFS(Tab_01.Jan[MOVIMENTO],Tab_01.Jan[CONTA],$F206)</f>
        <v>50.45</v>
      </c>
      <c r="I206" s="4">
        <f>SUMIFS(Tab_02.Fev[MOVIMENTO],Tab_02.Fev[CONTA],$F206)</f>
        <v>50.46</v>
      </c>
      <c r="J206" s="4">
        <f>SUMIFS(Tab_03.Mar[MOVIMENTO],Tab_03.Mar[CONTA],$F206)</f>
        <v>50.44</v>
      </c>
      <c r="K206" s="4">
        <f>SUMIFS(Tab_04.Abr[MOVIMENTO],Tab_04.Abr[CONTA],$F206)</f>
        <v>50.46</v>
      </c>
      <c r="L206" s="4">
        <f>SUMIFS(Tab_05.Mai[MOVIMENTO],Tab_05.Mai[CONTA],$F206)</f>
        <v>50.43</v>
      </c>
      <c r="M206" s="4">
        <f>SUMIFS(Tab_06.Jun[MOVIMENTO],Tab_06.Jun[CONTA],$F206)</f>
        <v>50.45</v>
      </c>
      <c r="N206" s="4">
        <f>SUMIFS(Tab_07.Jul[MOVIMENTO],Tab_07.Jul[CONTA],$F206)</f>
        <v>50.45</v>
      </c>
      <c r="O206" s="4">
        <f>SUMIFS(Tab_08.Ago[MOVIMENTO],Tab_08.Ago[CONTA],$F206)</f>
        <v>50.48</v>
      </c>
      <c r="P206" s="4">
        <f>SUMIFS(Tab_09.Set[MOVIMENTO],Tab_09.Set[CONTA],$F206)</f>
        <v>-138.96</v>
      </c>
      <c r="Q206" s="4">
        <f>SUMIFS(Tab_10.Out[MOVIMENTO],Tab_10.Out[CONTA],$F206)</f>
        <v>125.39</v>
      </c>
      <c r="R206" s="4">
        <f>SUMIFS(Tab_11.Nov[MOVIMENTO],Tab_11.Nov[CONTA],$F206)</f>
        <v>125.41</v>
      </c>
      <c r="S206" s="4">
        <f>SUMIFS(Tab_12.Dez[MOVIMENTO],Tab_12.Dez[CONTA],$F206)</f>
        <v>152.31</v>
      </c>
    </row>
    <row r="207" spans="2:19" x14ac:dyDescent="0.3">
      <c r="B207" s="3"/>
      <c r="C207" s="2" t="str">
        <f t="shared" si="24"/>
        <v>C</v>
      </c>
      <c r="D207" s="2" t="str">
        <f t="shared" si="25"/>
        <v>S</v>
      </c>
      <c r="E207" s="2">
        <f t="shared" si="26"/>
        <v>5</v>
      </c>
      <c r="F207" s="3" t="s">
        <v>590</v>
      </c>
      <c r="G207" s="3" t="s">
        <v>697</v>
      </c>
      <c r="H207" s="4">
        <f>SUMIFS(Tab_01.Jan[MOVIMENTO],Tab_01.Jan[CONTA],$F207)</f>
        <v>16378.13</v>
      </c>
      <c r="I207" s="4">
        <f>SUMIFS(Tab_02.Fev[MOVIMENTO],Tab_02.Fev[CONTA],$F207)</f>
        <v>17549.560000000001</v>
      </c>
      <c r="J207" s="4">
        <f>SUMIFS(Tab_03.Mar[MOVIMENTO],Tab_03.Mar[CONTA],$F207)</f>
        <v>44933.53</v>
      </c>
      <c r="K207" s="4">
        <f>SUMIFS(Tab_04.Abr[MOVIMENTO],Tab_04.Abr[CONTA],$F207)</f>
        <v>26109</v>
      </c>
      <c r="L207" s="4">
        <f>SUMIFS(Tab_05.Mai[MOVIMENTO],Tab_05.Mai[CONTA],$F207)</f>
        <v>20731.580000000002</v>
      </c>
      <c r="M207" s="4">
        <f>SUMIFS(Tab_06.Jun[MOVIMENTO],Tab_06.Jun[CONTA],$F207)</f>
        <v>29914.99</v>
      </c>
      <c r="N207" s="4">
        <f>SUMIFS(Tab_07.Jul[MOVIMENTO],Tab_07.Jul[CONTA],$F207)</f>
        <v>23277.599999999999</v>
      </c>
      <c r="O207" s="4">
        <f>SUMIFS(Tab_08.Ago[MOVIMENTO],Tab_08.Ago[CONTA],$F207)</f>
        <v>25049.62</v>
      </c>
      <c r="P207" s="4">
        <f>SUMIFS(Tab_09.Set[MOVIMENTO],Tab_09.Set[CONTA],$F207)</f>
        <v>26860.84</v>
      </c>
      <c r="Q207" s="4">
        <f>SUMIFS(Tab_10.Out[MOVIMENTO],Tab_10.Out[CONTA],$F207)</f>
        <v>21619.25</v>
      </c>
      <c r="R207" s="4">
        <f>SUMIFS(Tab_11.Nov[MOVIMENTO],Tab_11.Nov[CONTA],$F207)</f>
        <v>21623.47</v>
      </c>
      <c r="S207" s="4">
        <f>SUMIFS(Tab_12.Dez[MOVIMENTO],Tab_12.Dez[CONTA],$F207)</f>
        <v>21492.9</v>
      </c>
    </row>
    <row r="208" spans="2:19" x14ac:dyDescent="0.3">
      <c r="B208" s="3" t="s">
        <v>104</v>
      </c>
      <c r="C208" s="2" t="str">
        <f t="shared" si="24"/>
        <v>C</v>
      </c>
      <c r="D208" s="2" t="str">
        <f t="shared" si="25"/>
        <v>A</v>
      </c>
      <c r="E208" s="2">
        <f t="shared" si="26"/>
        <v>5</v>
      </c>
      <c r="F208" s="3" t="s">
        <v>434</v>
      </c>
      <c r="G208" s="3" t="s">
        <v>435</v>
      </c>
      <c r="H208" s="4">
        <f>SUMIFS(Tab_01.Jan[MOVIMENTO],Tab_01.Jan[CONTA],$F208)</f>
        <v>15206.61</v>
      </c>
      <c r="I208" s="4">
        <f>SUMIFS(Tab_02.Fev[MOVIMENTO],Tab_02.Fev[CONTA],$F208)</f>
        <v>16341.11</v>
      </c>
      <c r="J208" s="4">
        <f>SUMIFS(Tab_03.Mar[MOVIMENTO],Tab_03.Mar[CONTA],$F208)</f>
        <v>43481.66</v>
      </c>
      <c r="K208" s="4">
        <f>SUMIFS(Tab_04.Abr[MOVIMENTO],Tab_04.Abr[CONTA],$F208)</f>
        <v>25759.51</v>
      </c>
      <c r="L208" s="4">
        <f>SUMIFS(Tab_05.Mai[MOVIMENTO],Tab_05.Mai[CONTA],$F208)</f>
        <v>20626.18</v>
      </c>
      <c r="M208" s="4">
        <f>SUMIFS(Tab_06.Jun[MOVIMENTO],Tab_06.Jun[CONTA],$F208)</f>
        <v>29434.39</v>
      </c>
      <c r="N208" s="4">
        <f>SUMIFS(Tab_07.Jul[MOVIMENTO],Tab_07.Jul[CONTA],$F208)</f>
        <v>23562.880000000001</v>
      </c>
      <c r="O208" s="4">
        <f>SUMIFS(Tab_08.Ago[MOVIMENTO],Tab_08.Ago[CONTA],$F208)</f>
        <v>23792.38</v>
      </c>
      <c r="P208" s="4">
        <f>SUMIFS(Tab_09.Set[MOVIMENTO],Tab_09.Set[CONTA],$F208)</f>
        <v>24645.94</v>
      </c>
      <c r="Q208" s="4">
        <f>SUMIFS(Tab_10.Out[MOVIMENTO],Tab_10.Out[CONTA],$F208)</f>
        <v>22808.03</v>
      </c>
      <c r="R208" s="4">
        <f>SUMIFS(Tab_11.Nov[MOVIMENTO],Tab_11.Nov[CONTA],$F208)</f>
        <v>22808.03</v>
      </c>
      <c r="S208" s="4">
        <f>SUMIFS(Tab_12.Dez[MOVIMENTO],Tab_12.Dez[CONTA],$F208)</f>
        <v>22808.03</v>
      </c>
    </row>
    <row r="209" spans="2:19" x14ac:dyDescent="0.3">
      <c r="B209" s="3" t="s">
        <v>104</v>
      </c>
      <c r="C209" s="2" t="str">
        <f t="shared" si="24"/>
        <v>C</v>
      </c>
      <c r="D209" s="2" t="str">
        <f t="shared" si="25"/>
        <v>A</v>
      </c>
      <c r="E209" s="2">
        <f t="shared" si="26"/>
        <v>5</v>
      </c>
      <c r="F209" s="3" t="s">
        <v>750</v>
      </c>
      <c r="G209" s="3" t="s">
        <v>751</v>
      </c>
      <c r="H209" s="4">
        <f>SUMIFS(Tab_01.Jan[MOVIMENTO],Tab_01.Jan[CONTA],$F209)</f>
        <v>1171.52</v>
      </c>
      <c r="I209" s="4">
        <f>SUMIFS(Tab_02.Fev[MOVIMENTO],Tab_02.Fev[CONTA],$F209)</f>
        <v>1208.45</v>
      </c>
      <c r="J209" s="4">
        <f>SUMIFS(Tab_03.Mar[MOVIMENTO],Tab_03.Mar[CONTA],$F209)</f>
        <v>1451.87</v>
      </c>
      <c r="K209" s="4">
        <f>SUMIFS(Tab_04.Abr[MOVIMENTO],Tab_04.Abr[CONTA],$F209)</f>
        <v>349.49</v>
      </c>
      <c r="L209" s="4">
        <f>SUMIFS(Tab_05.Mai[MOVIMENTO],Tab_05.Mai[CONTA],$F209)</f>
        <v>105.4</v>
      </c>
      <c r="M209" s="4">
        <f>SUMIFS(Tab_06.Jun[MOVIMENTO],Tab_06.Jun[CONTA],$F209)</f>
        <v>480.6</v>
      </c>
      <c r="N209" s="4">
        <f>SUMIFS(Tab_07.Jul[MOVIMENTO],Tab_07.Jul[CONTA],$F209)</f>
        <v>-285.27999999999997</v>
      </c>
      <c r="O209" s="4">
        <f>SUMIFS(Tab_08.Ago[MOVIMENTO],Tab_08.Ago[CONTA],$F209)</f>
        <v>1257.24</v>
      </c>
      <c r="P209" s="4">
        <f>SUMIFS(Tab_09.Set[MOVIMENTO],Tab_09.Set[CONTA],$F209)</f>
        <v>2214.9</v>
      </c>
      <c r="Q209" s="4">
        <f>SUMIFS(Tab_10.Out[MOVIMENTO],Tab_10.Out[CONTA],$F209)</f>
        <v>-1188.78</v>
      </c>
      <c r="R209" s="4">
        <f>SUMIFS(Tab_11.Nov[MOVIMENTO],Tab_11.Nov[CONTA],$F209)</f>
        <v>-1184.56</v>
      </c>
      <c r="S209" s="4">
        <f>SUMIFS(Tab_12.Dez[MOVIMENTO],Tab_12.Dez[CONTA],$F209)</f>
        <v>-1315.13</v>
      </c>
    </row>
    <row r="210" spans="2:19" x14ac:dyDescent="0.3">
      <c r="B210" s="3"/>
      <c r="C210" s="2" t="str">
        <f t="shared" si="24"/>
        <v>C</v>
      </c>
      <c r="D210" s="2" t="str">
        <f t="shared" si="25"/>
        <v>S</v>
      </c>
      <c r="E210" s="2">
        <f t="shared" si="26"/>
        <v>5</v>
      </c>
      <c r="F210" s="3" t="s">
        <v>591</v>
      </c>
      <c r="G210" s="3" t="s">
        <v>698</v>
      </c>
      <c r="H210" s="4">
        <f>SUMIFS(Tab_01.Jan[MOVIMENTO],Tab_01.Jan[CONTA],$F210)</f>
        <v>16434.849999999999</v>
      </c>
      <c r="I210" s="4">
        <f>SUMIFS(Tab_02.Fev[MOVIMENTO],Tab_02.Fev[CONTA],$F210)</f>
        <v>20951.41</v>
      </c>
      <c r="J210" s="4">
        <f>SUMIFS(Tab_03.Mar[MOVIMENTO],Tab_03.Mar[CONTA],$F210)</f>
        <v>24794.48</v>
      </c>
      <c r="K210" s="4">
        <f>SUMIFS(Tab_04.Abr[MOVIMENTO],Tab_04.Abr[CONTA],$F210)</f>
        <v>23974.02</v>
      </c>
      <c r="L210" s="4">
        <f>SUMIFS(Tab_05.Mai[MOVIMENTO],Tab_05.Mai[CONTA],$F210)</f>
        <v>25756.09</v>
      </c>
      <c r="M210" s="4">
        <f>SUMIFS(Tab_06.Jun[MOVIMENTO],Tab_06.Jun[CONTA],$F210)</f>
        <v>18699.61</v>
      </c>
      <c r="N210" s="4">
        <f>SUMIFS(Tab_07.Jul[MOVIMENTO],Tab_07.Jul[CONTA],$F210)</f>
        <v>13151.63</v>
      </c>
      <c r="O210" s="4">
        <f>SUMIFS(Tab_08.Ago[MOVIMENTO],Tab_08.Ago[CONTA],$F210)</f>
        <v>17806.22</v>
      </c>
      <c r="P210" s="4">
        <f>SUMIFS(Tab_09.Set[MOVIMENTO],Tab_09.Set[CONTA],$F210)</f>
        <v>29019.18</v>
      </c>
      <c r="Q210" s="4">
        <f>SUMIFS(Tab_10.Out[MOVIMENTO],Tab_10.Out[CONTA],$F210)</f>
        <v>14958.23</v>
      </c>
      <c r="R210" s="4">
        <f>SUMIFS(Tab_11.Nov[MOVIMENTO],Tab_11.Nov[CONTA],$F210)</f>
        <v>20357.560000000001</v>
      </c>
      <c r="S210" s="4">
        <f>SUMIFS(Tab_12.Dez[MOVIMENTO],Tab_12.Dez[CONTA],$F210)</f>
        <v>21657.37</v>
      </c>
    </row>
    <row r="211" spans="2:19" x14ac:dyDescent="0.3">
      <c r="B211" s="3" t="s">
        <v>104</v>
      </c>
      <c r="C211" s="2" t="str">
        <f t="shared" si="24"/>
        <v>C</v>
      </c>
      <c r="D211" s="2" t="str">
        <f t="shared" si="25"/>
        <v>A</v>
      </c>
      <c r="E211" s="2">
        <f t="shared" si="26"/>
        <v>5</v>
      </c>
      <c r="F211" s="3" t="s">
        <v>436</v>
      </c>
      <c r="G211" s="3" t="s">
        <v>437</v>
      </c>
      <c r="H211" s="4">
        <f>SUMIFS(Tab_01.Jan[MOVIMENTO],Tab_01.Jan[CONTA],$F211)</f>
        <v>13434.9</v>
      </c>
      <c r="I211" s="4">
        <f>SUMIFS(Tab_02.Fev[MOVIMENTO],Tab_02.Fev[CONTA],$F211)</f>
        <v>17125.62</v>
      </c>
      <c r="J211" s="4">
        <f>SUMIFS(Tab_03.Mar[MOVIMENTO],Tab_03.Mar[CONTA],$F211)</f>
        <v>19888.310000000001</v>
      </c>
      <c r="K211" s="4">
        <f>SUMIFS(Tab_04.Abr[MOVIMENTO],Tab_04.Abr[CONTA],$F211)</f>
        <v>18989.13</v>
      </c>
      <c r="L211" s="4">
        <f>SUMIFS(Tab_05.Mai[MOVIMENTO],Tab_05.Mai[CONTA],$F211)</f>
        <v>20549.78</v>
      </c>
      <c r="M211" s="4">
        <f>SUMIFS(Tab_06.Jun[MOVIMENTO],Tab_06.Jun[CONTA],$F211)</f>
        <v>15003.75</v>
      </c>
      <c r="N211" s="4">
        <f>SUMIFS(Tab_07.Jul[MOVIMENTO],Tab_07.Jul[CONTA],$F211)</f>
        <v>9936.44</v>
      </c>
      <c r="O211" s="4">
        <f>SUMIFS(Tab_08.Ago[MOVIMENTO],Tab_08.Ago[CONTA],$F211)</f>
        <v>12957.11</v>
      </c>
      <c r="P211" s="4">
        <f>SUMIFS(Tab_09.Set[MOVIMENTO],Tab_09.Set[CONTA],$F211)</f>
        <v>21881.74</v>
      </c>
      <c r="Q211" s="4">
        <f>SUMIFS(Tab_10.Out[MOVIMENTO],Tab_10.Out[CONTA],$F211)</f>
        <v>10875.9</v>
      </c>
      <c r="R211" s="4">
        <f>SUMIFS(Tab_11.Nov[MOVIMENTO],Tab_11.Nov[CONTA],$F211)</f>
        <v>15239.75</v>
      </c>
      <c r="S211" s="4">
        <f>SUMIFS(Tab_12.Dez[MOVIMENTO],Tab_12.Dez[CONTA],$F211)</f>
        <v>16267.6</v>
      </c>
    </row>
    <row r="212" spans="2:19" x14ac:dyDescent="0.3">
      <c r="B212" s="3" t="s">
        <v>104</v>
      </c>
      <c r="C212" s="2" t="str">
        <f t="shared" si="24"/>
        <v>C</v>
      </c>
      <c r="D212" s="2" t="str">
        <f t="shared" si="25"/>
        <v>A</v>
      </c>
      <c r="E212" s="2">
        <f t="shared" si="26"/>
        <v>5</v>
      </c>
      <c r="F212" s="3" t="s">
        <v>438</v>
      </c>
      <c r="G212" s="3" t="s">
        <v>196</v>
      </c>
      <c r="H212" s="4">
        <f>SUMIFS(Tab_01.Jan[MOVIMENTO],Tab_01.Jan[CONTA],$F212)</f>
        <v>2354.0700000000002</v>
      </c>
      <c r="I212" s="4">
        <f>SUMIFS(Tab_02.Fev[MOVIMENTO],Tab_02.Fev[CONTA],$F212)</f>
        <v>3567.63</v>
      </c>
      <c r="J212" s="4">
        <f>SUMIFS(Tab_03.Mar[MOVIMENTO],Tab_03.Mar[CONTA],$F212)</f>
        <v>4191.8999999999996</v>
      </c>
      <c r="K212" s="4">
        <f>SUMIFS(Tab_04.Abr[MOVIMENTO],Tab_04.Abr[CONTA],$F212)</f>
        <v>4298.72</v>
      </c>
      <c r="L212" s="4">
        <f>SUMIFS(Tab_05.Mai[MOVIMENTO],Tab_05.Mai[CONTA],$F212)</f>
        <v>4443.78</v>
      </c>
      <c r="M212" s="4">
        <f>SUMIFS(Tab_06.Jun[MOVIMENTO],Tab_06.Jun[CONTA],$F212)</f>
        <v>3154.19</v>
      </c>
      <c r="N212" s="4">
        <f>SUMIFS(Tab_07.Jul[MOVIMENTO],Tab_07.Jul[CONTA],$F212)</f>
        <v>2844.42</v>
      </c>
      <c r="O212" s="4">
        <f>SUMIFS(Tab_08.Ago[MOVIMENTO],Tab_08.Ago[CONTA],$F212)</f>
        <v>4245.33</v>
      </c>
      <c r="P212" s="4">
        <f>SUMIFS(Tab_09.Set[MOVIMENTO],Tab_09.Set[CONTA],$F212)</f>
        <v>6484.71</v>
      </c>
      <c r="Q212" s="4">
        <f>SUMIFS(Tab_10.Out[MOVIMENTO],Tab_10.Out[CONTA],$F212)</f>
        <v>3628.72</v>
      </c>
      <c r="R212" s="4">
        <f>SUMIFS(Tab_11.Nov[MOVIMENTO],Tab_11.Nov[CONTA],$F212)</f>
        <v>4549.16</v>
      </c>
      <c r="S212" s="4">
        <f>SUMIFS(Tab_12.Dez[MOVIMENTO],Tab_12.Dez[CONTA],$F212)</f>
        <v>4855.9799999999996</v>
      </c>
    </row>
    <row r="213" spans="2:19" x14ac:dyDescent="0.3">
      <c r="B213" s="3" t="s">
        <v>104</v>
      </c>
      <c r="C213" s="2" t="str">
        <f t="shared" si="24"/>
        <v>C</v>
      </c>
      <c r="D213" s="2" t="str">
        <f t="shared" si="25"/>
        <v>A</v>
      </c>
      <c r="E213" s="2">
        <f t="shared" si="26"/>
        <v>5</v>
      </c>
      <c r="F213" s="3" t="s">
        <v>439</v>
      </c>
      <c r="G213" s="3" t="s">
        <v>440</v>
      </c>
      <c r="H213" s="4">
        <f>SUMIFS(Tab_01.Jan[MOVIMENTO],Tab_01.Jan[CONTA],$F213)</f>
        <v>645.88</v>
      </c>
      <c r="I213" s="4">
        <f>SUMIFS(Tab_02.Fev[MOVIMENTO],Tab_02.Fev[CONTA],$F213)</f>
        <v>258.16000000000003</v>
      </c>
      <c r="J213" s="4">
        <f>SUMIFS(Tab_03.Mar[MOVIMENTO],Tab_03.Mar[CONTA],$F213)</f>
        <v>714.27</v>
      </c>
      <c r="K213" s="4">
        <f>SUMIFS(Tab_04.Abr[MOVIMENTO],Tab_04.Abr[CONTA],$F213)</f>
        <v>686.17</v>
      </c>
      <c r="L213" s="4">
        <f>SUMIFS(Tab_05.Mai[MOVIMENTO],Tab_05.Mai[CONTA],$F213)</f>
        <v>762.53</v>
      </c>
      <c r="M213" s="4">
        <f>SUMIFS(Tab_06.Jun[MOVIMENTO],Tab_06.Jun[CONTA],$F213)</f>
        <v>541.66999999999996</v>
      </c>
      <c r="N213" s="4">
        <f>SUMIFS(Tab_07.Jul[MOVIMENTO],Tab_07.Jul[CONTA],$F213)</f>
        <v>370.77</v>
      </c>
      <c r="O213" s="4">
        <f>SUMIFS(Tab_08.Ago[MOVIMENTO],Tab_08.Ago[CONTA],$F213)</f>
        <v>603.78</v>
      </c>
      <c r="P213" s="4">
        <f>SUMIFS(Tab_09.Set[MOVIMENTO],Tab_09.Set[CONTA],$F213)</f>
        <v>652.73</v>
      </c>
      <c r="Q213" s="4">
        <f>SUMIFS(Tab_10.Out[MOVIMENTO],Tab_10.Out[CONTA],$F213)</f>
        <v>453.61</v>
      </c>
      <c r="R213" s="4">
        <f>SUMIFS(Tab_11.Nov[MOVIMENTO],Tab_11.Nov[CONTA],$F213)</f>
        <v>568.65</v>
      </c>
      <c r="S213" s="4">
        <f>SUMIFS(Tab_12.Dez[MOVIMENTO],Tab_12.Dez[CONTA],$F213)</f>
        <v>533.79</v>
      </c>
    </row>
    <row r="214" spans="2:19" x14ac:dyDescent="0.3">
      <c r="B214" s="3"/>
      <c r="C214" s="2" t="str">
        <f t="shared" si="24"/>
        <v>C</v>
      </c>
      <c r="D214" s="2" t="str">
        <f t="shared" si="25"/>
        <v>S</v>
      </c>
      <c r="E214" s="2">
        <f t="shared" si="26"/>
        <v>5</v>
      </c>
      <c r="F214" s="3" t="s">
        <v>592</v>
      </c>
      <c r="G214" s="3" t="s">
        <v>699</v>
      </c>
      <c r="H214" s="4">
        <f>SUMIFS(Tab_01.Jan[MOVIMENTO],Tab_01.Jan[CONTA],$F214)</f>
        <v>2235.4699999999998</v>
      </c>
      <c r="I214" s="4">
        <f>SUMIFS(Tab_02.Fev[MOVIMENTO],Tab_02.Fev[CONTA],$F214)</f>
        <v>0</v>
      </c>
      <c r="J214" s="4">
        <f>SUMIFS(Tab_03.Mar[MOVIMENTO],Tab_03.Mar[CONTA],$F214)</f>
        <v>3552.79</v>
      </c>
      <c r="K214" s="4">
        <f>SUMIFS(Tab_04.Abr[MOVIMENTO],Tab_04.Abr[CONTA],$F214)</f>
        <v>590.51</v>
      </c>
      <c r="L214" s="4">
        <f>SUMIFS(Tab_05.Mai[MOVIMENTO],Tab_05.Mai[CONTA],$F214)</f>
        <v>0</v>
      </c>
      <c r="M214" s="4">
        <f>SUMIFS(Tab_06.Jun[MOVIMENTO],Tab_06.Jun[CONTA],$F214)</f>
        <v>1653.13</v>
      </c>
      <c r="N214" s="4">
        <f>SUMIFS(Tab_07.Jul[MOVIMENTO],Tab_07.Jul[CONTA],$F214)</f>
        <v>1711.6</v>
      </c>
      <c r="O214" s="4">
        <f>SUMIFS(Tab_08.Ago[MOVIMENTO],Tab_08.Ago[CONTA],$F214)</f>
        <v>0</v>
      </c>
      <c r="P214" s="4">
        <f>SUMIFS(Tab_09.Set[MOVIMENTO],Tab_09.Set[CONTA],$F214)</f>
        <v>619.32000000000005</v>
      </c>
      <c r="Q214" s="4">
        <f>SUMIFS(Tab_10.Out[MOVIMENTO],Tab_10.Out[CONTA],$F214)</f>
        <v>2186.0500000000002</v>
      </c>
      <c r="R214" s="4">
        <f>SUMIFS(Tab_11.Nov[MOVIMENTO],Tab_11.Nov[CONTA],$F214)</f>
        <v>0</v>
      </c>
      <c r="S214" s="4">
        <f>SUMIFS(Tab_12.Dez[MOVIMENTO],Tab_12.Dez[CONTA],$F214)</f>
        <v>1359.52</v>
      </c>
    </row>
    <row r="215" spans="2:19" x14ac:dyDescent="0.3">
      <c r="B215" s="3" t="s">
        <v>103</v>
      </c>
      <c r="C215" s="2" t="str">
        <f t="shared" si="24"/>
        <v>C</v>
      </c>
      <c r="D215" s="2" t="str">
        <f t="shared" si="25"/>
        <v>A</v>
      </c>
      <c r="E215" s="2">
        <f t="shared" si="26"/>
        <v>5</v>
      </c>
      <c r="F215" s="3" t="s">
        <v>397</v>
      </c>
      <c r="G215" s="3" t="s">
        <v>398</v>
      </c>
      <c r="H215" s="4">
        <f>SUMIFS(Tab_01.Jan[MOVIMENTO],Tab_01.Jan[CONTA],$F215)</f>
        <v>2235.4699999999998</v>
      </c>
      <c r="I215" s="4">
        <f>SUMIFS(Tab_02.Fev[MOVIMENTO],Tab_02.Fev[CONTA],$F215)</f>
        <v>0</v>
      </c>
      <c r="J215" s="4">
        <f>SUMIFS(Tab_03.Mar[MOVIMENTO],Tab_03.Mar[CONTA],$F215)</f>
        <v>3552.79</v>
      </c>
      <c r="K215" s="4">
        <f>SUMIFS(Tab_04.Abr[MOVIMENTO],Tab_04.Abr[CONTA],$F215)</f>
        <v>590.51</v>
      </c>
      <c r="L215" s="4">
        <f>SUMIFS(Tab_05.Mai[MOVIMENTO],Tab_05.Mai[CONTA],$F215)</f>
        <v>0</v>
      </c>
      <c r="M215" s="4">
        <f>SUMIFS(Tab_06.Jun[MOVIMENTO],Tab_06.Jun[CONTA],$F215)</f>
        <v>1653.13</v>
      </c>
      <c r="N215" s="4">
        <f>SUMIFS(Tab_07.Jul[MOVIMENTO],Tab_07.Jul[CONTA],$F215)</f>
        <v>1711.6</v>
      </c>
      <c r="O215" s="4">
        <f>SUMIFS(Tab_08.Ago[MOVIMENTO],Tab_08.Ago[CONTA],$F215)</f>
        <v>0</v>
      </c>
      <c r="P215" s="4">
        <f>SUMIFS(Tab_09.Set[MOVIMENTO],Tab_09.Set[CONTA],$F215)</f>
        <v>25.49</v>
      </c>
      <c r="Q215" s="4">
        <f>SUMIFS(Tab_10.Out[MOVIMENTO],Tab_10.Out[CONTA],$F215)</f>
        <v>1148.25</v>
      </c>
      <c r="R215" s="4">
        <f>SUMIFS(Tab_11.Nov[MOVIMENTO],Tab_11.Nov[CONTA],$F215)</f>
        <v>0</v>
      </c>
      <c r="S215" s="4">
        <f>SUMIFS(Tab_12.Dez[MOVIMENTO],Tab_12.Dez[CONTA],$F215)</f>
        <v>1359.52</v>
      </c>
    </row>
    <row r="216" spans="2:19" x14ac:dyDescent="0.3">
      <c r="B216" s="3" t="s">
        <v>103</v>
      </c>
      <c r="C216" s="2" t="str">
        <f t="shared" si="24"/>
        <v>C</v>
      </c>
      <c r="D216" s="2" t="str">
        <f t="shared" si="25"/>
        <v>A</v>
      </c>
      <c r="E216" s="2">
        <f t="shared" si="26"/>
        <v>5</v>
      </c>
      <c r="F216" s="3" t="s">
        <v>399</v>
      </c>
      <c r="G216" s="3" t="s">
        <v>400</v>
      </c>
      <c r="H216" s="4">
        <f>SUMIFS(Tab_01.Jan[MOVIMENTO],Tab_01.Jan[CONTA],$F216)</f>
        <v>0</v>
      </c>
      <c r="I216" s="4">
        <f>SUMIFS(Tab_02.Fev[MOVIMENTO],Tab_02.Fev[CONTA],$F216)</f>
        <v>0</v>
      </c>
      <c r="J216" s="4">
        <f>SUMIFS(Tab_03.Mar[MOVIMENTO],Tab_03.Mar[CONTA],$F216)</f>
        <v>0</v>
      </c>
      <c r="K216" s="4">
        <f>SUMIFS(Tab_04.Abr[MOVIMENTO],Tab_04.Abr[CONTA],$F216)</f>
        <v>0</v>
      </c>
      <c r="L216" s="4">
        <f>SUMIFS(Tab_05.Mai[MOVIMENTO],Tab_05.Mai[CONTA],$F216)</f>
        <v>0</v>
      </c>
      <c r="M216" s="4">
        <f>SUMIFS(Tab_06.Jun[MOVIMENTO],Tab_06.Jun[CONTA],$F216)</f>
        <v>0</v>
      </c>
      <c r="N216" s="4">
        <f>SUMIFS(Tab_07.Jul[MOVIMENTO],Tab_07.Jul[CONTA],$F216)</f>
        <v>0</v>
      </c>
      <c r="O216" s="4">
        <f>SUMIFS(Tab_08.Ago[MOVIMENTO],Tab_08.Ago[CONTA],$F216)</f>
        <v>0</v>
      </c>
      <c r="P216" s="4">
        <f>SUMIFS(Tab_09.Set[MOVIMENTO],Tab_09.Set[CONTA],$F216)</f>
        <v>593.83000000000004</v>
      </c>
      <c r="Q216" s="4">
        <f>SUMIFS(Tab_10.Out[MOVIMENTO],Tab_10.Out[CONTA],$F216)</f>
        <v>1037.8</v>
      </c>
      <c r="R216" s="4">
        <f>SUMIFS(Tab_11.Nov[MOVIMENTO],Tab_11.Nov[CONTA],$F216)</f>
        <v>0</v>
      </c>
      <c r="S216" s="4">
        <f>SUMIFS(Tab_12.Dez[MOVIMENTO],Tab_12.Dez[CONTA],$F216)</f>
        <v>0</v>
      </c>
    </row>
    <row r="217" spans="2:19" x14ac:dyDescent="0.3">
      <c r="B217" s="3" t="s">
        <v>103</v>
      </c>
      <c r="C217" s="2" t="str">
        <f t="shared" si="24"/>
        <v>C</v>
      </c>
      <c r="D217" s="2" t="str">
        <f t="shared" si="25"/>
        <v>A</v>
      </c>
      <c r="E217" s="2">
        <f t="shared" si="26"/>
        <v>5</v>
      </c>
      <c r="F217" s="3" t="s">
        <v>401</v>
      </c>
      <c r="G217" s="3" t="s">
        <v>402</v>
      </c>
      <c r="H217" s="4">
        <f>SUMIFS(Tab_01.Jan[MOVIMENTO],Tab_01.Jan[CONTA],$F217)</f>
        <v>0</v>
      </c>
      <c r="I217" s="4">
        <f>SUMIFS(Tab_02.Fev[MOVIMENTO],Tab_02.Fev[CONTA],$F217)</f>
        <v>0</v>
      </c>
      <c r="J217" s="4">
        <f>SUMIFS(Tab_03.Mar[MOVIMENTO],Tab_03.Mar[CONTA],$F217)</f>
        <v>0</v>
      </c>
      <c r="K217" s="4">
        <f>SUMIFS(Tab_04.Abr[MOVIMENTO],Tab_04.Abr[CONTA],$F217)</f>
        <v>0</v>
      </c>
      <c r="L217" s="4">
        <f>SUMIFS(Tab_05.Mai[MOVIMENTO],Tab_05.Mai[CONTA],$F217)</f>
        <v>0</v>
      </c>
      <c r="M217" s="4">
        <f>SUMIFS(Tab_06.Jun[MOVIMENTO],Tab_06.Jun[CONTA],$F217)</f>
        <v>0</v>
      </c>
      <c r="N217" s="4">
        <f>SUMIFS(Tab_07.Jul[MOVIMENTO],Tab_07.Jul[CONTA],$F217)</f>
        <v>0</v>
      </c>
      <c r="O217" s="4">
        <f>SUMIFS(Tab_08.Ago[MOVIMENTO],Tab_08.Ago[CONTA],$F217)</f>
        <v>0</v>
      </c>
      <c r="P217" s="4">
        <f>SUMIFS(Tab_09.Set[MOVIMENTO],Tab_09.Set[CONTA],$F217)</f>
        <v>0</v>
      </c>
      <c r="Q217" s="4">
        <f>SUMIFS(Tab_10.Out[MOVIMENTO],Tab_10.Out[CONTA],$F217)</f>
        <v>0</v>
      </c>
      <c r="R217" s="4">
        <f>SUMIFS(Tab_11.Nov[MOVIMENTO],Tab_11.Nov[CONTA],$F217)</f>
        <v>0</v>
      </c>
      <c r="S217" s="4">
        <f>SUMIFS(Tab_12.Dez[MOVIMENTO],Tab_12.Dez[CONTA],$F217)</f>
        <v>0</v>
      </c>
    </row>
    <row r="218" spans="2:19" x14ac:dyDescent="0.3">
      <c r="B218" s="3"/>
      <c r="C218" s="2" t="str">
        <f t="shared" si="24"/>
        <v>C</v>
      </c>
      <c r="D218" s="2" t="str">
        <f t="shared" si="25"/>
        <v>S</v>
      </c>
      <c r="E218" s="2">
        <f t="shared" si="26"/>
        <v>5</v>
      </c>
      <c r="F218" s="3" t="s">
        <v>593</v>
      </c>
      <c r="G218" s="3" t="s">
        <v>700</v>
      </c>
      <c r="H218" s="4">
        <f>SUMIFS(Tab_01.Jan[MOVIMENTO],Tab_01.Jan[CONTA],$F218)</f>
        <v>34180.15</v>
      </c>
      <c r="I218" s="4">
        <f>SUMIFS(Tab_02.Fev[MOVIMENTO],Tab_02.Fev[CONTA],$F218)</f>
        <v>29850.49</v>
      </c>
      <c r="J218" s="4">
        <f>SUMIFS(Tab_03.Mar[MOVIMENTO],Tab_03.Mar[CONTA],$F218)</f>
        <v>31176.29</v>
      </c>
      <c r="K218" s="4">
        <f>SUMIFS(Tab_04.Abr[MOVIMENTO],Tab_04.Abr[CONTA],$F218)</f>
        <v>38505.96</v>
      </c>
      <c r="L218" s="4">
        <f>SUMIFS(Tab_05.Mai[MOVIMENTO],Tab_05.Mai[CONTA],$F218)</f>
        <v>41455.96</v>
      </c>
      <c r="M218" s="4">
        <f>SUMIFS(Tab_06.Jun[MOVIMENTO],Tab_06.Jun[CONTA],$F218)</f>
        <v>38554.160000000003</v>
      </c>
      <c r="N218" s="4">
        <f>SUMIFS(Tab_07.Jul[MOVIMENTO],Tab_07.Jul[CONTA],$F218)</f>
        <v>31975.96</v>
      </c>
      <c r="O218" s="4">
        <f>SUMIFS(Tab_08.Ago[MOVIMENTO],Tab_08.Ago[CONTA],$F218)</f>
        <v>38060.959999999999</v>
      </c>
      <c r="P218" s="4">
        <f>SUMIFS(Tab_09.Set[MOVIMENTO],Tab_09.Set[CONTA],$F218)</f>
        <v>37460.76</v>
      </c>
      <c r="Q218" s="4">
        <f>SUMIFS(Tab_10.Out[MOVIMENTO],Tab_10.Out[CONTA],$F218)</f>
        <v>32165.96</v>
      </c>
      <c r="R218" s="4">
        <f>SUMIFS(Tab_11.Nov[MOVIMENTO],Tab_11.Nov[CONTA],$F218)</f>
        <v>44875.55</v>
      </c>
      <c r="S218" s="4">
        <f>SUMIFS(Tab_12.Dez[MOVIMENTO],Tab_12.Dez[CONTA],$F218)</f>
        <v>27305.96</v>
      </c>
    </row>
    <row r="219" spans="2:19" x14ac:dyDescent="0.3">
      <c r="B219" s="3" t="s">
        <v>103</v>
      </c>
      <c r="C219" s="2" t="str">
        <f>IF($F219="","",IF(LEFT($F219,1)*1=1,"A",IF(LEFT($F219,1)*1=2,"P",IF(LEFT($F219,1)*1=3,"R",IF(LEFT($F219,1)*1=4,"C",IF(LEFT($F219,1)*1=5,"C",IF(LEFT($F219,1)*1=6,"C","")))))))</f>
        <v>C</v>
      </c>
      <c r="D219" s="2" t="str">
        <f>IF($F219="","",IF(LEN($F219)=13,"A","S"))</f>
        <v>A</v>
      </c>
      <c r="E219" s="2">
        <f>IF($F219="","",IF(LEN($F219)=1,1,IF(LEN($F219)=3,2,IF(LEN($F219)=5,3,IF(LEN($F219)=8,4,5)))))</f>
        <v>5</v>
      </c>
      <c r="F219" s="3" t="s">
        <v>403</v>
      </c>
      <c r="G219" s="3" t="s">
        <v>404</v>
      </c>
      <c r="H219" s="4">
        <f>SUMIFS(Tab_01.Jan[MOVIMENTO],Tab_01.Jan[CONTA],$F219)</f>
        <v>4135.96</v>
      </c>
      <c r="I219" s="4">
        <f>SUMIFS(Tab_02.Fev[MOVIMENTO],Tab_02.Fev[CONTA],$F219)</f>
        <v>4135.96</v>
      </c>
      <c r="J219" s="4">
        <f>SUMIFS(Tab_03.Mar[MOVIMENTO],Tab_03.Mar[CONTA],$F219)</f>
        <v>4135.96</v>
      </c>
      <c r="K219" s="4">
        <f>SUMIFS(Tab_04.Abr[MOVIMENTO],Tab_04.Abr[CONTA],$F219)</f>
        <v>4135.96</v>
      </c>
      <c r="L219" s="4">
        <f>SUMIFS(Tab_05.Mai[MOVIMENTO],Tab_05.Mai[CONTA],$F219)</f>
        <v>4135.96</v>
      </c>
      <c r="M219" s="4">
        <f>SUMIFS(Tab_06.Jun[MOVIMENTO],Tab_06.Jun[CONTA],$F219)</f>
        <v>4135.96</v>
      </c>
      <c r="N219" s="4">
        <f>SUMIFS(Tab_07.Jul[MOVIMENTO],Tab_07.Jul[CONTA],$F219)</f>
        <v>4135.96</v>
      </c>
      <c r="O219" s="4">
        <f>SUMIFS(Tab_08.Ago[MOVIMENTO],Tab_08.Ago[CONTA],$F219)</f>
        <v>4940.96</v>
      </c>
      <c r="P219" s="4">
        <f>SUMIFS(Tab_09.Set[MOVIMENTO],Tab_09.Set[CONTA],$F219)</f>
        <v>5400.76</v>
      </c>
      <c r="Q219" s="4">
        <f>SUMIFS(Tab_10.Out[MOVIMENTO],Tab_10.Out[CONTA],$F219)</f>
        <v>4415.96</v>
      </c>
      <c r="R219" s="4">
        <f>SUMIFS(Tab_11.Nov[MOVIMENTO],Tab_11.Nov[CONTA],$F219)</f>
        <v>4665.55</v>
      </c>
      <c r="S219" s="4">
        <f>SUMIFS(Tab_12.Dez[MOVIMENTO],Tab_12.Dez[CONTA],$F219)</f>
        <v>4585.96</v>
      </c>
    </row>
    <row r="220" spans="2:19" x14ac:dyDescent="0.3">
      <c r="B220" s="3" t="s">
        <v>103</v>
      </c>
      <c r="C220" s="2" t="str">
        <f>IF($F220="","",IF(LEFT($F220,1)*1=1,"A",IF(LEFT($F220,1)*1=2,"P",IF(LEFT($F220,1)*1=3,"R",IF(LEFT($F220,1)*1=4,"C",IF(LEFT($F220,1)*1=5,"C",IF(LEFT($F220,1)*1=6,"C","")))))))</f>
        <v>C</v>
      </c>
      <c r="D220" s="2" t="str">
        <f>IF($F220="","",IF(LEN($F220)=13,"A","S"))</f>
        <v>A</v>
      </c>
      <c r="E220" s="2">
        <f>IF($F220="","",IF(LEN($F220)=1,1,IF(LEN($F220)=3,2,IF(LEN($F220)=5,3,IF(LEN($F220)=8,4,5)))))</f>
        <v>5</v>
      </c>
      <c r="F220" s="3" t="s">
        <v>405</v>
      </c>
      <c r="G220" s="3" t="s">
        <v>406</v>
      </c>
      <c r="H220" s="4">
        <f>SUMIFS(Tab_01.Jan[MOVIMENTO],Tab_01.Jan[CONTA],$F220)</f>
        <v>27797</v>
      </c>
      <c r="I220" s="4">
        <f>SUMIFS(Tab_02.Fev[MOVIMENTO],Tab_02.Fev[CONTA],$F220)</f>
        <v>25340</v>
      </c>
      <c r="J220" s="4">
        <f>SUMIFS(Tab_03.Mar[MOVIMENTO],Tab_03.Mar[CONTA],$F220)</f>
        <v>23310</v>
      </c>
      <c r="K220" s="4">
        <f>SUMIFS(Tab_04.Abr[MOVIMENTO],Tab_04.Abr[CONTA],$F220)</f>
        <v>31370</v>
      </c>
      <c r="L220" s="4">
        <f>SUMIFS(Tab_05.Mai[MOVIMENTO],Tab_05.Mai[CONTA],$F220)</f>
        <v>31320</v>
      </c>
      <c r="M220" s="4">
        <f>SUMIFS(Tab_06.Jun[MOVIMENTO],Tab_06.Jun[CONTA],$F220)</f>
        <v>29405</v>
      </c>
      <c r="N220" s="4">
        <f>SUMIFS(Tab_07.Jul[MOVIMENTO],Tab_07.Jul[CONTA],$F220)</f>
        <v>27840</v>
      </c>
      <c r="O220" s="4">
        <f>SUMIFS(Tab_08.Ago[MOVIMENTO],Tab_08.Ago[CONTA],$F220)</f>
        <v>33120</v>
      </c>
      <c r="P220" s="4">
        <f>SUMIFS(Tab_09.Set[MOVIMENTO],Tab_09.Set[CONTA],$F220)</f>
        <v>32060</v>
      </c>
      <c r="Q220" s="4">
        <f>SUMIFS(Tab_10.Out[MOVIMENTO],Tab_10.Out[CONTA],$F220)</f>
        <v>27750</v>
      </c>
      <c r="R220" s="4">
        <f>SUMIFS(Tab_11.Nov[MOVIMENTO],Tab_11.Nov[CONTA],$F220)</f>
        <v>40210</v>
      </c>
      <c r="S220" s="4">
        <f>SUMIFS(Tab_12.Dez[MOVIMENTO],Tab_12.Dez[CONTA],$F220)</f>
        <v>22720</v>
      </c>
    </row>
    <row r="221" spans="2:19" x14ac:dyDescent="0.3">
      <c r="B221" s="3" t="s">
        <v>103</v>
      </c>
      <c r="C221" s="2" t="str">
        <f t="shared" ref="C221:C222" si="27">IF($F221="","",IF(LEFT($F221,1)*1=1,"A",IF(LEFT($F221,1)*1=2,"P",IF(LEFT($F221,1)*1=3,"R",IF(LEFT($F221,1)*1=4,"C",IF(LEFT($F221,1)*1=5,"C",IF(LEFT($F221,1)*1=6,"C","")))))))</f>
        <v>C</v>
      </c>
      <c r="D221" s="2" t="str">
        <f t="shared" ref="D221:D222" si="28">IF($F221="","",IF(LEN($F221)=13,"A","S"))</f>
        <v>A</v>
      </c>
      <c r="E221" s="2">
        <f t="shared" ref="E221:E222" si="29">IF($F221="","",IF(LEN($F221)=1,1,IF(LEN($F221)=3,2,IF(LEN($F221)=5,3,IF(LEN($F221)=8,4,5)))))</f>
        <v>5</v>
      </c>
      <c r="F221" s="3" t="s">
        <v>407</v>
      </c>
      <c r="G221" s="3" t="s">
        <v>408</v>
      </c>
      <c r="H221" s="4">
        <f>SUMIFS(Tab_01.Jan[MOVIMENTO],Tab_01.Jan[CONTA],$F221)</f>
        <v>2247.19</v>
      </c>
      <c r="I221" s="4">
        <f>SUMIFS(Tab_02.Fev[MOVIMENTO],Tab_02.Fev[CONTA],$F221)</f>
        <v>374.53</v>
      </c>
      <c r="J221" s="4">
        <f>SUMIFS(Tab_03.Mar[MOVIMENTO],Tab_03.Mar[CONTA],$F221)</f>
        <v>3730.33</v>
      </c>
      <c r="K221" s="4">
        <f>SUMIFS(Tab_04.Abr[MOVIMENTO],Tab_04.Abr[CONTA],$F221)</f>
        <v>3000</v>
      </c>
      <c r="L221" s="4">
        <f>SUMIFS(Tab_05.Mai[MOVIMENTO],Tab_05.Mai[CONTA],$F221)</f>
        <v>6000</v>
      </c>
      <c r="M221" s="4">
        <f>SUMIFS(Tab_06.Jun[MOVIMENTO],Tab_06.Jun[CONTA],$F221)</f>
        <v>5013.2</v>
      </c>
      <c r="N221" s="4">
        <f>SUMIFS(Tab_07.Jul[MOVIMENTO],Tab_07.Jul[CONTA],$F221)</f>
        <v>0</v>
      </c>
      <c r="O221" s="4">
        <f>SUMIFS(Tab_08.Ago[MOVIMENTO],Tab_08.Ago[CONTA],$F221)</f>
        <v>0</v>
      </c>
      <c r="P221" s="4">
        <f>SUMIFS(Tab_09.Set[MOVIMENTO],Tab_09.Set[CONTA],$F221)</f>
        <v>0</v>
      </c>
      <c r="Q221" s="4">
        <f>SUMIFS(Tab_10.Out[MOVIMENTO],Tab_10.Out[CONTA],$F221)</f>
        <v>0</v>
      </c>
      <c r="R221" s="4">
        <f>SUMIFS(Tab_11.Nov[MOVIMENTO],Tab_11.Nov[CONTA],$F221)</f>
        <v>0</v>
      </c>
      <c r="S221" s="4">
        <f>SUMIFS(Tab_12.Dez[MOVIMENTO],Tab_12.Dez[CONTA],$F221)</f>
        <v>0</v>
      </c>
    </row>
    <row r="222" spans="2:19" x14ac:dyDescent="0.3">
      <c r="B222" s="3" t="s">
        <v>103</v>
      </c>
      <c r="C222" s="2" t="str">
        <f t="shared" si="27"/>
        <v>C</v>
      </c>
      <c r="D222" s="2" t="str">
        <f t="shared" si="28"/>
        <v>A</v>
      </c>
      <c r="E222" s="2">
        <f t="shared" si="29"/>
        <v>5</v>
      </c>
      <c r="F222" s="3" t="s">
        <v>409</v>
      </c>
      <c r="G222" s="3" t="s">
        <v>410</v>
      </c>
      <c r="H222" s="4">
        <f>SUMIFS(Tab_01.Jan[MOVIMENTO],Tab_01.Jan[CONTA],$F222)</f>
        <v>0</v>
      </c>
      <c r="I222" s="4">
        <f>SUMIFS(Tab_02.Fev[MOVIMENTO],Tab_02.Fev[CONTA],$F222)</f>
        <v>0</v>
      </c>
      <c r="J222" s="4">
        <f>SUMIFS(Tab_03.Mar[MOVIMENTO],Tab_03.Mar[CONTA],$F222)</f>
        <v>0</v>
      </c>
      <c r="K222" s="4">
        <f>SUMIFS(Tab_04.Abr[MOVIMENTO],Tab_04.Abr[CONTA],$F222)</f>
        <v>0</v>
      </c>
      <c r="L222" s="4">
        <f>SUMIFS(Tab_05.Mai[MOVIMENTO],Tab_05.Mai[CONTA],$F222)</f>
        <v>0</v>
      </c>
      <c r="M222" s="4">
        <f>SUMIFS(Tab_06.Jun[MOVIMENTO],Tab_06.Jun[CONTA],$F222)</f>
        <v>0</v>
      </c>
      <c r="N222" s="4">
        <f>SUMIFS(Tab_07.Jul[MOVIMENTO],Tab_07.Jul[CONTA],$F222)</f>
        <v>0</v>
      </c>
      <c r="O222" s="4">
        <f>SUMIFS(Tab_08.Ago[MOVIMENTO],Tab_08.Ago[CONTA],$F222)</f>
        <v>0</v>
      </c>
      <c r="P222" s="4">
        <f>SUMIFS(Tab_09.Set[MOVIMENTO],Tab_09.Set[CONTA],$F222)</f>
        <v>0</v>
      </c>
      <c r="Q222" s="4">
        <f>SUMIFS(Tab_10.Out[MOVIMENTO],Tab_10.Out[CONTA],$F222)</f>
        <v>0</v>
      </c>
      <c r="R222" s="4">
        <f>SUMIFS(Tab_11.Nov[MOVIMENTO],Tab_11.Nov[CONTA],$F222)</f>
        <v>0</v>
      </c>
      <c r="S222" s="4">
        <f>SUMIFS(Tab_12.Dez[MOVIMENTO],Tab_12.Dez[CONTA],$F222)</f>
        <v>0</v>
      </c>
    </row>
    <row r="223" spans="2:19" x14ac:dyDescent="0.3">
      <c r="B223" s="3"/>
      <c r="C223" s="2" t="str">
        <f t="shared" ref="C223:C224" si="30">IF($F223="","",IF(LEFT($F223,1)*1=1,"A",IF(LEFT($F223,1)*1=2,"P",IF(LEFT($F223,1)*1=3,"R",IF(LEFT($F223,1)*1=4,"C",IF(LEFT($F223,1)*1=5,"C",IF(LEFT($F223,1)*1=6,"C","")))))))</f>
        <v>C</v>
      </c>
      <c r="D223" s="2" t="str">
        <f t="shared" ref="D223:D224" si="31">IF($F223="","",IF(LEN($F223)=13,"A","S"))</f>
        <v>S</v>
      </c>
      <c r="E223" s="2">
        <f t="shared" ref="E223:E224" si="32">IF($F223="","",IF(LEN($F223)=1,1,IF(LEN($F223)=3,2,IF(LEN($F223)=5,3,IF(LEN($F223)=8,4,5)))))</f>
        <v>5</v>
      </c>
      <c r="F223" s="3" t="s">
        <v>594</v>
      </c>
      <c r="G223" s="3" t="s">
        <v>701</v>
      </c>
      <c r="H223" s="4">
        <f>SUMIFS(Tab_01.Jan[MOVIMENTO],Tab_01.Jan[CONTA],$F223)</f>
        <v>18235.75</v>
      </c>
      <c r="I223" s="4">
        <f>SUMIFS(Tab_02.Fev[MOVIMENTO],Tab_02.Fev[CONTA],$F223)</f>
        <v>11807.35</v>
      </c>
      <c r="J223" s="4">
        <f>SUMIFS(Tab_03.Mar[MOVIMENTO],Tab_03.Mar[CONTA],$F223)</f>
        <v>13488.77</v>
      </c>
      <c r="K223" s="4">
        <f>SUMIFS(Tab_04.Abr[MOVIMENTO],Tab_04.Abr[CONTA],$F223)</f>
        <v>16616.61</v>
      </c>
      <c r="L223" s="4">
        <f>SUMIFS(Tab_05.Mai[MOVIMENTO],Tab_05.Mai[CONTA],$F223)</f>
        <v>12075.06</v>
      </c>
      <c r="M223" s="4">
        <f>SUMIFS(Tab_06.Jun[MOVIMENTO],Tab_06.Jun[CONTA],$F223)</f>
        <v>18633.22</v>
      </c>
      <c r="N223" s="4">
        <f>SUMIFS(Tab_07.Jul[MOVIMENTO],Tab_07.Jul[CONTA],$F223)</f>
        <v>16281.96</v>
      </c>
      <c r="O223" s="4">
        <f>SUMIFS(Tab_08.Ago[MOVIMENTO],Tab_08.Ago[CONTA],$F223)</f>
        <v>12769.37</v>
      </c>
      <c r="P223" s="4">
        <f>SUMIFS(Tab_09.Set[MOVIMENTO],Tab_09.Set[CONTA],$F223)</f>
        <v>6295.94</v>
      </c>
      <c r="Q223" s="4">
        <f>SUMIFS(Tab_10.Out[MOVIMENTO],Tab_10.Out[CONTA],$F223)</f>
        <v>19752.099999999999</v>
      </c>
      <c r="R223" s="4">
        <f>SUMIFS(Tab_11.Nov[MOVIMENTO],Tab_11.Nov[CONTA],$F223)</f>
        <v>15078.88</v>
      </c>
      <c r="S223" s="4">
        <f>SUMIFS(Tab_12.Dez[MOVIMENTO],Tab_12.Dez[CONTA],$F223)</f>
        <v>10824.73</v>
      </c>
    </row>
    <row r="224" spans="2:19" x14ac:dyDescent="0.3">
      <c r="B224" s="3" t="s">
        <v>103</v>
      </c>
      <c r="C224" s="2" t="str">
        <f t="shared" si="30"/>
        <v>C</v>
      </c>
      <c r="D224" s="2" t="str">
        <f t="shared" si="31"/>
        <v>A</v>
      </c>
      <c r="E224" s="2">
        <f t="shared" si="32"/>
        <v>5</v>
      </c>
      <c r="F224" s="3" t="s">
        <v>411</v>
      </c>
      <c r="G224" s="3" t="s">
        <v>412</v>
      </c>
      <c r="H224" s="4">
        <f>SUMIFS(Tab_01.Jan[MOVIMENTO],Tab_01.Jan[CONTA],$F224)</f>
        <v>300</v>
      </c>
      <c r="I224" s="4">
        <f>SUMIFS(Tab_02.Fev[MOVIMENTO],Tab_02.Fev[CONTA],$F224)</f>
        <v>0</v>
      </c>
      <c r="J224" s="4">
        <f>SUMIFS(Tab_03.Mar[MOVIMENTO],Tab_03.Mar[CONTA],$F224)</f>
        <v>0</v>
      </c>
      <c r="K224" s="4">
        <f>SUMIFS(Tab_04.Abr[MOVIMENTO],Tab_04.Abr[CONTA],$F224)</f>
        <v>0</v>
      </c>
      <c r="L224" s="4">
        <f>SUMIFS(Tab_05.Mai[MOVIMENTO],Tab_05.Mai[CONTA],$F224)</f>
        <v>0</v>
      </c>
      <c r="M224" s="4">
        <f>SUMIFS(Tab_06.Jun[MOVIMENTO],Tab_06.Jun[CONTA],$F224)</f>
        <v>0</v>
      </c>
      <c r="N224" s="4">
        <f>SUMIFS(Tab_07.Jul[MOVIMENTO],Tab_07.Jul[CONTA],$F224)</f>
        <v>0</v>
      </c>
      <c r="O224" s="4">
        <f>SUMIFS(Tab_08.Ago[MOVIMENTO],Tab_08.Ago[CONTA],$F224)</f>
        <v>0</v>
      </c>
      <c r="P224" s="4">
        <f>SUMIFS(Tab_09.Set[MOVIMENTO],Tab_09.Set[CONTA],$F224)</f>
        <v>0</v>
      </c>
      <c r="Q224" s="4">
        <f>SUMIFS(Tab_10.Out[MOVIMENTO],Tab_10.Out[CONTA],$F224)</f>
        <v>0</v>
      </c>
      <c r="R224" s="4">
        <f>SUMIFS(Tab_11.Nov[MOVIMENTO],Tab_11.Nov[CONTA],$F224)</f>
        <v>0</v>
      </c>
      <c r="S224" s="4">
        <f>SUMIFS(Tab_12.Dez[MOVIMENTO],Tab_12.Dez[CONTA],$F224)</f>
        <v>0</v>
      </c>
    </row>
    <row r="225" spans="2:19" x14ac:dyDescent="0.3">
      <c r="B225" s="3" t="s">
        <v>103</v>
      </c>
      <c r="C225" s="2" t="str">
        <f t="shared" ref="C225:C228" si="33">IF($F225="","",IF(LEFT($F225,1)*1=1,"A",IF(LEFT($F225,1)*1=2,"P",IF(LEFT($F225,1)*1=3,"R",IF(LEFT($F225,1)*1=4,"C",IF(LEFT($F225,1)*1=5,"C",IF(LEFT($F225,1)*1=6,"C","")))))))</f>
        <v>C</v>
      </c>
      <c r="D225" s="2" t="str">
        <f t="shared" ref="D225:D228" si="34">IF($F225="","",IF(LEN($F225)=13,"A","S"))</f>
        <v>A</v>
      </c>
      <c r="E225" s="2">
        <f t="shared" ref="E225:E228" si="35">IF($F225="","",IF(LEN($F225)=1,1,IF(LEN($F225)=3,2,IF(LEN($F225)=5,3,IF(LEN($F225)=8,4,5)))))</f>
        <v>5</v>
      </c>
      <c r="F225" s="3" t="s">
        <v>413</v>
      </c>
      <c r="G225" s="3" t="s">
        <v>414</v>
      </c>
      <c r="H225" s="4">
        <f>SUMIFS(Tab_01.Jan[MOVIMENTO],Tab_01.Jan[CONTA],$F225)</f>
        <v>17935.75</v>
      </c>
      <c r="I225" s="4">
        <f>SUMIFS(Tab_02.Fev[MOVIMENTO],Tab_02.Fev[CONTA],$F225)</f>
        <v>11807.35</v>
      </c>
      <c r="J225" s="4">
        <f>SUMIFS(Tab_03.Mar[MOVIMENTO],Tab_03.Mar[CONTA],$F225)</f>
        <v>13488.77</v>
      </c>
      <c r="K225" s="4">
        <f>SUMIFS(Tab_04.Abr[MOVIMENTO],Tab_04.Abr[CONTA],$F225)</f>
        <v>16616.61</v>
      </c>
      <c r="L225" s="4">
        <f>SUMIFS(Tab_05.Mai[MOVIMENTO],Tab_05.Mai[CONTA],$F225)</f>
        <v>12075.06</v>
      </c>
      <c r="M225" s="4">
        <f>SUMIFS(Tab_06.Jun[MOVIMENTO],Tab_06.Jun[CONTA],$F225)</f>
        <v>18633.22</v>
      </c>
      <c r="N225" s="4">
        <f>SUMIFS(Tab_07.Jul[MOVIMENTO],Tab_07.Jul[CONTA],$F225)</f>
        <v>16281.96</v>
      </c>
      <c r="O225" s="4">
        <f>SUMIFS(Tab_08.Ago[MOVIMENTO],Tab_08.Ago[CONTA],$F225)</f>
        <v>12769.37</v>
      </c>
      <c r="P225" s="4">
        <f>SUMIFS(Tab_09.Set[MOVIMENTO],Tab_09.Set[CONTA],$F225)</f>
        <v>6243.48</v>
      </c>
      <c r="Q225" s="4">
        <f>SUMIFS(Tab_10.Out[MOVIMENTO],Tab_10.Out[CONTA],$F225)</f>
        <v>19752.099999999999</v>
      </c>
      <c r="R225" s="4">
        <f>SUMIFS(Tab_11.Nov[MOVIMENTO],Tab_11.Nov[CONTA],$F225)</f>
        <v>15078.88</v>
      </c>
      <c r="S225" s="4">
        <f>SUMIFS(Tab_12.Dez[MOVIMENTO],Tab_12.Dez[CONTA],$F225)</f>
        <v>10824.73</v>
      </c>
    </row>
    <row r="226" spans="2:19" x14ac:dyDescent="0.3">
      <c r="B226" s="3" t="s">
        <v>103</v>
      </c>
      <c r="C226" s="2" t="str">
        <f t="shared" si="33"/>
        <v>C</v>
      </c>
      <c r="D226" s="2" t="str">
        <f t="shared" si="34"/>
        <v>A</v>
      </c>
      <c r="E226" s="2">
        <f t="shared" si="35"/>
        <v>5</v>
      </c>
      <c r="F226" s="3" t="s">
        <v>415</v>
      </c>
      <c r="G226" s="3" t="s">
        <v>416</v>
      </c>
      <c r="H226" s="4">
        <f>SUMIFS(Tab_01.Jan[MOVIMENTO],Tab_01.Jan[CONTA],$F226)</f>
        <v>0</v>
      </c>
      <c r="I226" s="4">
        <f>SUMIFS(Tab_02.Fev[MOVIMENTO],Tab_02.Fev[CONTA],$F226)</f>
        <v>0</v>
      </c>
      <c r="J226" s="4">
        <f>SUMIFS(Tab_03.Mar[MOVIMENTO],Tab_03.Mar[CONTA],$F226)</f>
        <v>0</v>
      </c>
      <c r="K226" s="4">
        <f>SUMIFS(Tab_04.Abr[MOVIMENTO],Tab_04.Abr[CONTA],$F226)</f>
        <v>0</v>
      </c>
      <c r="L226" s="4">
        <f>SUMIFS(Tab_05.Mai[MOVIMENTO],Tab_05.Mai[CONTA],$F226)</f>
        <v>0</v>
      </c>
      <c r="M226" s="4">
        <f>SUMIFS(Tab_06.Jun[MOVIMENTO],Tab_06.Jun[CONTA],$F226)</f>
        <v>0</v>
      </c>
      <c r="N226" s="4">
        <f>SUMIFS(Tab_07.Jul[MOVIMENTO],Tab_07.Jul[CONTA],$F226)</f>
        <v>0</v>
      </c>
      <c r="O226" s="4">
        <f>SUMIFS(Tab_08.Ago[MOVIMENTO],Tab_08.Ago[CONTA],$F226)</f>
        <v>0</v>
      </c>
      <c r="P226" s="4">
        <f>SUMIFS(Tab_09.Set[MOVIMENTO],Tab_09.Set[CONTA],$F226)</f>
        <v>0</v>
      </c>
      <c r="Q226" s="4">
        <f>SUMIFS(Tab_10.Out[MOVIMENTO],Tab_10.Out[CONTA],$F226)</f>
        <v>0</v>
      </c>
      <c r="R226" s="4">
        <f>SUMIFS(Tab_11.Nov[MOVIMENTO],Tab_11.Nov[CONTA],$F226)</f>
        <v>0</v>
      </c>
      <c r="S226" s="4">
        <f>SUMIFS(Tab_12.Dez[MOVIMENTO],Tab_12.Dez[CONTA],$F226)</f>
        <v>0</v>
      </c>
    </row>
    <row r="227" spans="2:19" x14ac:dyDescent="0.3">
      <c r="B227" s="3" t="s">
        <v>103</v>
      </c>
      <c r="C227" s="2" t="str">
        <f t="shared" si="33"/>
        <v>C</v>
      </c>
      <c r="D227" s="2" t="str">
        <f t="shared" si="34"/>
        <v>A</v>
      </c>
      <c r="E227" s="2">
        <f t="shared" si="35"/>
        <v>5</v>
      </c>
      <c r="F227" s="3" t="s">
        <v>417</v>
      </c>
      <c r="G227" s="3" t="s">
        <v>418</v>
      </c>
      <c r="H227" s="4">
        <f>SUMIFS(Tab_01.Jan[MOVIMENTO],Tab_01.Jan[CONTA],$F227)</f>
        <v>0</v>
      </c>
      <c r="I227" s="4">
        <f>SUMIFS(Tab_02.Fev[MOVIMENTO],Tab_02.Fev[CONTA],$F227)</f>
        <v>0</v>
      </c>
      <c r="J227" s="4">
        <f>SUMIFS(Tab_03.Mar[MOVIMENTO],Tab_03.Mar[CONTA],$F227)</f>
        <v>0</v>
      </c>
      <c r="K227" s="4">
        <f>SUMIFS(Tab_04.Abr[MOVIMENTO],Tab_04.Abr[CONTA],$F227)</f>
        <v>0</v>
      </c>
      <c r="L227" s="4">
        <f>SUMIFS(Tab_05.Mai[MOVIMENTO],Tab_05.Mai[CONTA],$F227)</f>
        <v>0</v>
      </c>
      <c r="M227" s="4">
        <f>SUMIFS(Tab_06.Jun[MOVIMENTO],Tab_06.Jun[CONTA],$F227)</f>
        <v>0</v>
      </c>
      <c r="N227" s="4">
        <f>SUMIFS(Tab_07.Jul[MOVIMENTO],Tab_07.Jul[CONTA],$F227)</f>
        <v>0</v>
      </c>
      <c r="O227" s="4">
        <f>SUMIFS(Tab_08.Ago[MOVIMENTO],Tab_08.Ago[CONTA],$F227)</f>
        <v>0</v>
      </c>
      <c r="P227" s="4">
        <f>SUMIFS(Tab_09.Set[MOVIMENTO],Tab_09.Set[CONTA],$F227)</f>
        <v>52.46</v>
      </c>
      <c r="Q227" s="4">
        <f>SUMIFS(Tab_10.Out[MOVIMENTO],Tab_10.Out[CONTA],$F227)</f>
        <v>0</v>
      </c>
      <c r="R227" s="4">
        <f>SUMIFS(Tab_11.Nov[MOVIMENTO],Tab_11.Nov[CONTA],$F227)</f>
        <v>0</v>
      </c>
      <c r="S227" s="4">
        <f>SUMIFS(Tab_12.Dez[MOVIMENTO],Tab_12.Dez[CONTA],$F227)</f>
        <v>0</v>
      </c>
    </row>
    <row r="228" spans="2:19" x14ac:dyDescent="0.3">
      <c r="B228" s="3"/>
      <c r="C228" s="2" t="str">
        <f t="shared" si="33"/>
        <v>C</v>
      </c>
      <c r="D228" s="2" t="str">
        <f t="shared" si="34"/>
        <v>S</v>
      </c>
      <c r="E228" s="2">
        <f t="shared" si="35"/>
        <v>5</v>
      </c>
      <c r="F228" s="3" t="s">
        <v>595</v>
      </c>
      <c r="G228" s="3" t="s">
        <v>420</v>
      </c>
      <c r="H228" s="4">
        <f>SUMIFS(Tab_01.Jan[MOVIMENTO],Tab_01.Jan[CONTA],$F228)</f>
        <v>427.26</v>
      </c>
      <c r="I228" s="4">
        <f>SUMIFS(Tab_02.Fev[MOVIMENTO],Tab_02.Fev[CONTA],$F228)</f>
        <v>427.26</v>
      </c>
      <c r="J228" s="4">
        <f>SUMIFS(Tab_03.Mar[MOVIMENTO],Tab_03.Mar[CONTA],$F228)</f>
        <v>427.26</v>
      </c>
      <c r="K228" s="4">
        <f>SUMIFS(Tab_04.Abr[MOVIMENTO],Tab_04.Abr[CONTA],$F228)</f>
        <v>427.26</v>
      </c>
      <c r="L228" s="4">
        <f>SUMIFS(Tab_05.Mai[MOVIMENTO],Tab_05.Mai[CONTA],$F228)</f>
        <v>1266.58</v>
      </c>
      <c r="M228" s="4">
        <f>SUMIFS(Tab_06.Jun[MOVIMENTO],Tab_06.Jun[CONTA],$F228)</f>
        <v>727.26</v>
      </c>
      <c r="N228" s="4">
        <f>SUMIFS(Tab_07.Jul[MOVIMENTO],Tab_07.Jul[CONTA],$F228)</f>
        <v>427.26</v>
      </c>
      <c r="O228" s="4">
        <f>SUMIFS(Tab_08.Ago[MOVIMENTO],Tab_08.Ago[CONTA],$F228)</f>
        <v>427.26</v>
      </c>
      <c r="P228" s="4">
        <f>SUMIFS(Tab_09.Set[MOVIMENTO],Tab_09.Set[CONTA],$F228)</f>
        <v>1683.21</v>
      </c>
      <c r="Q228" s="4">
        <f>SUMIFS(Tab_10.Out[MOVIMENTO],Tab_10.Out[CONTA],$F228)</f>
        <v>427.26</v>
      </c>
      <c r="R228" s="4">
        <f>SUMIFS(Tab_11.Nov[MOVIMENTO],Tab_11.Nov[CONTA],$F228)</f>
        <v>427.26</v>
      </c>
      <c r="S228" s="4">
        <f>SUMIFS(Tab_12.Dez[MOVIMENTO],Tab_12.Dez[CONTA],$F228)</f>
        <v>427.26</v>
      </c>
    </row>
    <row r="229" spans="2:19" x14ac:dyDescent="0.3">
      <c r="B229" s="3" t="s">
        <v>103</v>
      </c>
      <c r="C229" s="2" t="str">
        <f t="shared" ref="C229:C233" si="36">IF($F229="","",IF(LEFT($F229,1)*1=1,"A",IF(LEFT($F229,1)*1=2,"P",IF(LEFT($F229,1)*1=3,"R",IF(LEFT($F229,1)*1=4,"C",IF(LEFT($F229,1)*1=5,"C",IF(LEFT($F229,1)*1=6,"C","")))))))</f>
        <v>C</v>
      </c>
      <c r="D229" s="2" t="str">
        <f t="shared" ref="D229:D233" si="37">IF($F229="","",IF(LEN($F229)=13,"A","S"))</f>
        <v>A</v>
      </c>
      <c r="E229" s="2">
        <f t="shared" ref="E229:E233" si="38">IF($F229="","",IF(LEN($F229)=1,1,IF(LEN($F229)=3,2,IF(LEN($F229)=5,3,IF(LEN($F229)=8,4,5)))))</f>
        <v>5</v>
      </c>
      <c r="F229" s="3" t="s">
        <v>419</v>
      </c>
      <c r="G229" s="3" t="s">
        <v>420</v>
      </c>
      <c r="H229" s="4">
        <f>SUMIFS(Tab_01.Jan[MOVIMENTO],Tab_01.Jan[CONTA],$F229)</f>
        <v>427.26</v>
      </c>
      <c r="I229" s="4">
        <f>SUMIFS(Tab_02.Fev[MOVIMENTO],Tab_02.Fev[CONTA],$F229)</f>
        <v>427.26</v>
      </c>
      <c r="J229" s="4">
        <f>SUMIFS(Tab_03.Mar[MOVIMENTO],Tab_03.Mar[CONTA],$F229)</f>
        <v>427.26</v>
      </c>
      <c r="K229" s="4">
        <f>SUMIFS(Tab_04.Abr[MOVIMENTO],Tab_04.Abr[CONTA],$F229)</f>
        <v>427.26</v>
      </c>
      <c r="L229" s="4">
        <f>SUMIFS(Tab_05.Mai[MOVIMENTO],Tab_05.Mai[CONTA],$F229)</f>
        <v>1266.58</v>
      </c>
      <c r="M229" s="4">
        <f>SUMIFS(Tab_06.Jun[MOVIMENTO],Tab_06.Jun[CONTA],$F229)</f>
        <v>727.26</v>
      </c>
      <c r="N229" s="4">
        <f>SUMIFS(Tab_07.Jul[MOVIMENTO],Tab_07.Jul[CONTA],$F229)</f>
        <v>427.26</v>
      </c>
      <c r="O229" s="4">
        <f>SUMIFS(Tab_08.Ago[MOVIMENTO],Tab_08.Ago[CONTA],$F229)</f>
        <v>427.26</v>
      </c>
      <c r="P229" s="4">
        <f>SUMIFS(Tab_09.Set[MOVIMENTO],Tab_09.Set[CONTA],$F229)</f>
        <v>1683.21</v>
      </c>
      <c r="Q229" s="4">
        <f>SUMIFS(Tab_10.Out[MOVIMENTO],Tab_10.Out[CONTA],$F229)</f>
        <v>427.26</v>
      </c>
      <c r="R229" s="4">
        <f>SUMIFS(Tab_11.Nov[MOVIMENTO],Tab_11.Nov[CONTA],$F229)</f>
        <v>427.26</v>
      </c>
      <c r="S229" s="4">
        <f>SUMIFS(Tab_12.Dez[MOVIMENTO],Tab_12.Dez[CONTA],$F229)</f>
        <v>427.26</v>
      </c>
    </row>
    <row r="230" spans="2:19" x14ac:dyDescent="0.3">
      <c r="B230" s="3"/>
      <c r="C230" s="2" t="str">
        <f t="shared" si="36"/>
        <v>C</v>
      </c>
      <c r="D230" s="2" t="str">
        <f t="shared" si="37"/>
        <v>S</v>
      </c>
      <c r="E230" s="2">
        <f t="shared" si="38"/>
        <v>5</v>
      </c>
      <c r="F230" s="3" t="s">
        <v>237</v>
      </c>
      <c r="G230" s="3" t="s">
        <v>702</v>
      </c>
      <c r="H230" s="4">
        <f>SUMIFS(Tab_01.Jan[MOVIMENTO],Tab_01.Jan[CONTA],$F230)</f>
        <v>852439.19</v>
      </c>
      <c r="I230" s="4">
        <f>SUMIFS(Tab_02.Fev[MOVIMENTO],Tab_02.Fev[CONTA],$F230)</f>
        <v>1023072.92</v>
      </c>
      <c r="J230" s="4">
        <f>SUMIFS(Tab_03.Mar[MOVIMENTO],Tab_03.Mar[CONTA],$F230)</f>
        <v>402105.77</v>
      </c>
      <c r="K230" s="4">
        <f>SUMIFS(Tab_04.Abr[MOVIMENTO],Tab_04.Abr[CONTA],$F230)</f>
        <v>659036.97</v>
      </c>
      <c r="L230" s="4">
        <f>SUMIFS(Tab_05.Mai[MOVIMENTO],Tab_05.Mai[CONTA],$F230)</f>
        <v>677488.52</v>
      </c>
      <c r="M230" s="4">
        <f>SUMIFS(Tab_06.Jun[MOVIMENTO],Tab_06.Jun[CONTA],$F230)</f>
        <v>373293.24</v>
      </c>
      <c r="N230" s="4">
        <f>SUMIFS(Tab_07.Jul[MOVIMENTO],Tab_07.Jul[CONTA],$F230)</f>
        <v>701996.59</v>
      </c>
      <c r="O230" s="4">
        <f>SUMIFS(Tab_08.Ago[MOVIMENTO],Tab_08.Ago[CONTA],$F230)</f>
        <v>651841.06999999995</v>
      </c>
      <c r="P230" s="4">
        <f>SUMIFS(Tab_09.Set[MOVIMENTO],Tab_09.Set[CONTA],$F230)</f>
        <v>571301.5</v>
      </c>
      <c r="Q230" s="4">
        <f>SUMIFS(Tab_10.Out[MOVIMENTO],Tab_10.Out[CONTA],$F230)</f>
        <v>804164.96</v>
      </c>
      <c r="R230" s="4">
        <f>SUMIFS(Tab_11.Nov[MOVIMENTO],Tab_11.Nov[CONTA],$F230)</f>
        <v>297490.43</v>
      </c>
      <c r="S230" s="4">
        <f>SUMIFS(Tab_12.Dez[MOVIMENTO],Tab_12.Dez[CONTA],$F230)</f>
        <v>1454631.39</v>
      </c>
    </row>
    <row r="231" spans="2:19" x14ac:dyDescent="0.3">
      <c r="B231" s="3"/>
      <c r="C231" s="2" t="str">
        <f t="shared" si="36"/>
        <v>C</v>
      </c>
      <c r="D231" s="2" t="str">
        <f t="shared" si="37"/>
        <v>S</v>
      </c>
      <c r="E231" s="2">
        <f t="shared" si="38"/>
        <v>5</v>
      </c>
      <c r="F231" s="3" t="s">
        <v>238</v>
      </c>
      <c r="G231" s="3" t="s">
        <v>702</v>
      </c>
      <c r="H231" s="4">
        <f>SUMIFS(Tab_01.Jan[MOVIMENTO],Tab_01.Jan[CONTA],$F231)</f>
        <v>852439.19</v>
      </c>
      <c r="I231" s="4">
        <f>SUMIFS(Tab_02.Fev[MOVIMENTO],Tab_02.Fev[CONTA],$F231)</f>
        <v>1023072.92</v>
      </c>
      <c r="J231" s="4">
        <f>SUMIFS(Tab_03.Mar[MOVIMENTO],Tab_03.Mar[CONTA],$F231)</f>
        <v>402105.77</v>
      </c>
      <c r="K231" s="4">
        <f>SUMIFS(Tab_04.Abr[MOVIMENTO],Tab_04.Abr[CONTA],$F231)</f>
        <v>659036.97</v>
      </c>
      <c r="L231" s="4">
        <f>SUMIFS(Tab_05.Mai[MOVIMENTO],Tab_05.Mai[CONTA],$F231)</f>
        <v>677488.52</v>
      </c>
      <c r="M231" s="4">
        <f>SUMIFS(Tab_06.Jun[MOVIMENTO],Tab_06.Jun[CONTA],$F231)</f>
        <v>373293.24</v>
      </c>
      <c r="N231" s="4">
        <f>SUMIFS(Tab_07.Jul[MOVIMENTO],Tab_07.Jul[CONTA],$F231)</f>
        <v>701996.59</v>
      </c>
      <c r="O231" s="4">
        <f>SUMIFS(Tab_08.Ago[MOVIMENTO],Tab_08.Ago[CONTA],$F231)</f>
        <v>651841.06999999995</v>
      </c>
      <c r="P231" s="4">
        <f>SUMIFS(Tab_09.Set[MOVIMENTO],Tab_09.Set[CONTA],$F231)</f>
        <v>571301.5</v>
      </c>
      <c r="Q231" s="4">
        <f>SUMIFS(Tab_10.Out[MOVIMENTO],Tab_10.Out[CONTA],$F231)</f>
        <v>804164.96</v>
      </c>
      <c r="R231" s="4">
        <f>SUMIFS(Tab_11.Nov[MOVIMENTO],Tab_11.Nov[CONTA],$F231)</f>
        <v>297490.43</v>
      </c>
      <c r="S231" s="4">
        <f>SUMIFS(Tab_12.Dez[MOVIMENTO],Tab_12.Dez[CONTA],$F231)</f>
        <v>1454631.39</v>
      </c>
    </row>
    <row r="232" spans="2:19" x14ac:dyDescent="0.3">
      <c r="B232" s="3" t="s">
        <v>103</v>
      </c>
      <c r="C232" s="2" t="str">
        <f t="shared" si="36"/>
        <v>C</v>
      </c>
      <c r="D232" s="2" t="str">
        <f t="shared" si="37"/>
        <v>A</v>
      </c>
      <c r="E232" s="2">
        <f t="shared" si="38"/>
        <v>5</v>
      </c>
      <c r="F232" s="3" t="s">
        <v>421</v>
      </c>
      <c r="G232" s="3" t="s">
        <v>422</v>
      </c>
      <c r="H232" s="4">
        <f>SUMIFS(Tab_01.Jan[MOVIMENTO],Tab_01.Jan[CONTA],$F232)</f>
        <v>187419.37</v>
      </c>
      <c r="I232" s="4">
        <f>SUMIFS(Tab_02.Fev[MOVIMENTO],Tab_02.Fev[CONTA],$F232)</f>
        <v>247534.56</v>
      </c>
      <c r="J232" s="4">
        <f>SUMIFS(Tab_03.Mar[MOVIMENTO],Tab_03.Mar[CONTA],$F232)</f>
        <v>247414.93</v>
      </c>
      <c r="K232" s="4">
        <f>SUMIFS(Tab_04.Abr[MOVIMENTO],Tab_04.Abr[CONTA],$F232)</f>
        <v>180215.42</v>
      </c>
      <c r="L232" s="4">
        <f>SUMIFS(Tab_05.Mai[MOVIMENTO],Tab_05.Mai[CONTA],$F232)</f>
        <v>332680.82</v>
      </c>
      <c r="M232" s="4">
        <f>SUMIFS(Tab_06.Jun[MOVIMENTO],Tab_06.Jun[CONTA],$F232)</f>
        <v>184021.85</v>
      </c>
      <c r="N232" s="4">
        <f>SUMIFS(Tab_07.Jul[MOVIMENTO],Tab_07.Jul[CONTA],$F232)</f>
        <v>323149.34999999998</v>
      </c>
      <c r="O232" s="4">
        <f>SUMIFS(Tab_08.Ago[MOVIMENTO],Tab_08.Ago[CONTA],$F232)</f>
        <v>224690.95</v>
      </c>
      <c r="P232" s="4">
        <f>SUMIFS(Tab_09.Set[MOVIMENTO],Tab_09.Set[CONTA],$F232)</f>
        <v>198337.07</v>
      </c>
      <c r="Q232" s="4">
        <f>SUMIFS(Tab_10.Out[MOVIMENTO],Tab_10.Out[CONTA],$F232)</f>
        <v>429781.84</v>
      </c>
      <c r="R232" s="4">
        <f>SUMIFS(Tab_11.Nov[MOVIMENTO],Tab_11.Nov[CONTA],$F232)</f>
        <v>188073.31</v>
      </c>
      <c r="S232" s="4">
        <f>SUMIFS(Tab_12.Dez[MOVIMENTO],Tab_12.Dez[CONTA],$F232)</f>
        <v>442629.02</v>
      </c>
    </row>
    <row r="233" spans="2:19" x14ac:dyDescent="0.3">
      <c r="B233" s="3" t="s">
        <v>103</v>
      </c>
      <c r="C233" s="2" t="str">
        <f t="shared" si="36"/>
        <v>C</v>
      </c>
      <c r="D233" s="2" t="str">
        <f t="shared" si="37"/>
        <v>A</v>
      </c>
      <c r="E233" s="2">
        <f t="shared" si="38"/>
        <v>5</v>
      </c>
      <c r="F233" s="3" t="s">
        <v>738</v>
      </c>
      <c r="G233" s="3" t="s">
        <v>367</v>
      </c>
      <c r="H233" s="4">
        <f>SUMIFS(Tab_01.Jan[MOVIMENTO],Tab_01.Jan[CONTA],$F233)</f>
        <v>122569.24</v>
      </c>
      <c r="I233" s="4">
        <f>SUMIFS(Tab_02.Fev[MOVIMENTO],Tab_02.Fev[CONTA],$F233)</f>
        <v>105237.96</v>
      </c>
      <c r="J233" s="4">
        <f>SUMIFS(Tab_03.Mar[MOVIMENTO],Tab_03.Mar[CONTA],$F233)</f>
        <v>154690.84</v>
      </c>
      <c r="K233" s="4">
        <f>SUMIFS(Tab_04.Abr[MOVIMENTO],Tab_04.Abr[CONTA],$F233)</f>
        <v>132289.44</v>
      </c>
      <c r="L233" s="4">
        <f>SUMIFS(Tab_05.Mai[MOVIMENTO],Tab_05.Mai[CONTA],$F233)</f>
        <v>137859.68</v>
      </c>
      <c r="M233" s="4">
        <f>SUMIFS(Tab_06.Jun[MOVIMENTO],Tab_06.Jun[CONTA],$F233)</f>
        <v>129579.24</v>
      </c>
      <c r="N233" s="4">
        <f>SUMIFS(Tab_07.Jul[MOVIMENTO],Tab_07.Jul[CONTA],$F233)</f>
        <v>133881.88</v>
      </c>
      <c r="O233" s="4">
        <f>SUMIFS(Tab_08.Ago[MOVIMENTO],Tab_08.Ago[CONTA],$F233)</f>
        <v>140098.56</v>
      </c>
      <c r="P233" s="4">
        <f>SUMIFS(Tab_09.Set[MOVIMENTO],Tab_09.Set[CONTA],$F233)</f>
        <v>128578.44</v>
      </c>
      <c r="Q233" s="4">
        <f>SUMIFS(Tab_10.Out[MOVIMENTO],Tab_10.Out[CONTA],$F233)</f>
        <v>148911.84</v>
      </c>
      <c r="R233" s="4">
        <f>SUMIFS(Tab_11.Nov[MOVIMENTO],Tab_11.Nov[CONTA],$F233)</f>
        <v>109417.12</v>
      </c>
      <c r="S233" s="4">
        <f>SUMIFS(Tab_12.Dez[MOVIMENTO],Tab_12.Dez[CONTA],$F233)</f>
        <v>112795.04</v>
      </c>
    </row>
    <row r="234" spans="2:19" x14ac:dyDescent="0.3">
      <c r="B234" s="3" t="s">
        <v>103</v>
      </c>
      <c r="C234" s="2" t="str">
        <f t="shared" ref="C234:C238" si="39">IF($F234="","",IF(LEFT($F234,1)*1=1,"A",IF(LEFT($F234,1)*1=2,"P",IF(LEFT($F234,1)*1=3,"R",IF(LEFT($F234,1)*1=4,"C",IF(LEFT($F234,1)*1=5,"C",IF(LEFT($F234,1)*1=6,"C","")))))))</f>
        <v>C</v>
      </c>
      <c r="D234" s="2" t="str">
        <f t="shared" ref="D234:D238" si="40">IF($F234="","",IF(LEN($F234)=13,"A","S"))</f>
        <v>A</v>
      </c>
      <c r="E234" s="2">
        <f t="shared" ref="E234:E238" si="41">IF($F234="","",IF(LEN($F234)=1,1,IF(LEN($F234)=3,2,IF(LEN($F234)=5,3,IF(LEN($F234)=8,4,5)))))</f>
        <v>5</v>
      </c>
      <c r="F234" s="3" t="s">
        <v>423</v>
      </c>
      <c r="G234" s="3" t="s">
        <v>424</v>
      </c>
      <c r="H234" s="4">
        <f>SUMIFS(Tab_01.Jan[MOVIMENTO],Tab_01.Jan[CONTA],$F234)</f>
        <v>542450.57999999996</v>
      </c>
      <c r="I234" s="4">
        <f>SUMIFS(Tab_02.Fev[MOVIMENTO],Tab_02.Fev[CONTA],$F234)</f>
        <v>670300.4</v>
      </c>
      <c r="J234" s="4">
        <f>SUMIFS(Tab_03.Mar[MOVIMENTO],Tab_03.Mar[CONTA],$F234)</f>
        <v>0</v>
      </c>
      <c r="K234" s="4">
        <f>SUMIFS(Tab_04.Abr[MOVIMENTO],Tab_04.Abr[CONTA],$F234)</f>
        <v>346532.11</v>
      </c>
      <c r="L234" s="4">
        <f>SUMIFS(Tab_05.Mai[MOVIMENTO],Tab_05.Mai[CONTA],$F234)</f>
        <v>206948.02</v>
      </c>
      <c r="M234" s="4">
        <f>SUMIFS(Tab_06.Jun[MOVIMENTO],Tab_06.Jun[CONTA],$F234)</f>
        <v>59692.15</v>
      </c>
      <c r="N234" s="4">
        <f>SUMIFS(Tab_07.Jul[MOVIMENTO],Tab_07.Jul[CONTA],$F234)</f>
        <v>244965.36</v>
      </c>
      <c r="O234" s="4">
        <f>SUMIFS(Tab_08.Ago[MOVIMENTO],Tab_08.Ago[CONTA],$F234)</f>
        <v>287051.56</v>
      </c>
      <c r="P234" s="4">
        <f>SUMIFS(Tab_09.Set[MOVIMENTO],Tab_09.Set[CONTA],$F234)</f>
        <v>244385.99</v>
      </c>
      <c r="Q234" s="4">
        <f>SUMIFS(Tab_10.Out[MOVIMENTO],Tab_10.Out[CONTA],$F234)</f>
        <v>225471.28</v>
      </c>
      <c r="R234" s="4">
        <f>SUMIFS(Tab_11.Nov[MOVIMENTO],Tab_11.Nov[CONTA],$F234)</f>
        <v>0</v>
      </c>
      <c r="S234" s="4">
        <f>SUMIFS(Tab_12.Dez[MOVIMENTO],Tab_12.Dez[CONTA],$F234)</f>
        <v>899207.33</v>
      </c>
    </row>
    <row r="235" spans="2:19" x14ac:dyDescent="0.3">
      <c r="B235" s="3"/>
      <c r="C235" s="2" t="str">
        <f t="shared" si="39"/>
        <v>C</v>
      </c>
      <c r="D235" s="2" t="str">
        <f t="shared" si="40"/>
        <v>S</v>
      </c>
      <c r="E235" s="2">
        <f t="shared" si="41"/>
        <v>2</v>
      </c>
      <c r="F235" s="3" t="s">
        <v>596</v>
      </c>
      <c r="G235" s="3" t="s">
        <v>680</v>
      </c>
      <c r="H235" s="4">
        <f>SUMIFS(Tab_01.Jan[MOVIMENTO],Tab_01.Jan[CONTA],$F235)</f>
        <v>0</v>
      </c>
      <c r="I235" s="4">
        <f>SUMIFS(Tab_02.Fev[MOVIMENTO],Tab_02.Fev[CONTA],$F235)</f>
        <v>0</v>
      </c>
      <c r="J235" s="4">
        <f>SUMIFS(Tab_03.Mar[MOVIMENTO],Tab_03.Mar[CONTA],$F235)</f>
        <v>0</v>
      </c>
      <c r="K235" s="4">
        <f>SUMIFS(Tab_04.Abr[MOVIMENTO],Tab_04.Abr[CONTA],$F235)</f>
        <v>0</v>
      </c>
      <c r="L235" s="4">
        <f>SUMIFS(Tab_05.Mai[MOVIMENTO],Tab_05.Mai[CONTA],$F235)</f>
        <v>0</v>
      </c>
      <c r="M235" s="4">
        <f>SUMIFS(Tab_06.Jun[MOVIMENTO],Tab_06.Jun[CONTA],$F235)</f>
        <v>0</v>
      </c>
      <c r="N235" s="4">
        <f>SUMIFS(Tab_07.Jul[MOVIMENTO],Tab_07.Jul[CONTA],$F235)</f>
        <v>16.170000000000002</v>
      </c>
      <c r="O235" s="4">
        <f>SUMIFS(Tab_08.Ago[MOVIMENTO],Tab_08.Ago[CONTA],$F235)</f>
        <v>0</v>
      </c>
      <c r="P235" s="4">
        <f>SUMIFS(Tab_09.Set[MOVIMENTO],Tab_09.Set[CONTA],$F235)</f>
        <v>808.5</v>
      </c>
      <c r="Q235" s="4">
        <f>SUMIFS(Tab_10.Out[MOVIMENTO],Tab_10.Out[CONTA],$F235)</f>
        <v>16.170000000000002</v>
      </c>
      <c r="R235" s="4">
        <f>SUMIFS(Tab_11.Nov[MOVIMENTO],Tab_11.Nov[CONTA],$F235)</f>
        <v>430.16</v>
      </c>
      <c r="S235" s="4">
        <f>SUMIFS(Tab_12.Dez[MOVIMENTO],Tab_12.Dez[CONTA],$F235)</f>
        <v>0</v>
      </c>
    </row>
    <row r="236" spans="2:19" x14ac:dyDescent="0.3">
      <c r="B236" s="3"/>
      <c r="C236" s="2" t="str">
        <f t="shared" si="39"/>
        <v>C</v>
      </c>
      <c r="D236" s="2" t="str">
        <f t="shared" si="40"/>
        <v>S</v>
      </c>
      <c r="E236" s="2">
        <f t="shared" si="41"/>
        <v>5</v>
      </c>
      <c r="F236" s="3" t="s">
        <v>597</v>
      </c>
      <c r="G236" s="3" t="s">
        <v>703</v>
      </c>
      <c r="H236" s="4">
        <f>SUMIFS(Tab_01.Jan[MOVIMENTO],Tab_01.Jan[CONTA],$F236)</f>
        <v>0</v>
      </c>
      <c r="I236" s="4">
        <f>SUMIFS(Tab_02.Fev[MOVIMENTO],Tab_02.Fev[CONTA],$F236)</f>
        <v>0</v>
      </c>
      <c r="J236" s="4">
        <f>SUMIFS(Tab_03.Mar[MOVIMENTO],Tab_03.Mar[CONTA],$F236)</f>
        <v>0</v>
      </c>
      <c r="K236" s="4">
        <f>SUMIFS(Tab_04.Abr[MOVIMENTO],Tab_04.Abr[CONTA],$F236)</f>
        <v>0</v>
      </c>
      <c r="L236" s="4">
        <f>SUMIFS(Tab_05.Mai[MOVIMENTO],Tab_05.Mai[CONTA],$F236)</f>
        <v>0</v>
      </c>
      <c r="M236" s="4">
        <f>SUMIFS(Tab_06.Jun[MOVIMENTO],Tab_06.Jun[CONTA],$F236)</f>
        <v>0</v>
      </c>
      <c r="N236" s="4">
        <f>SUMIFS(Tab_07.Jul[MOVIMENTO],Tab_07.Jul[CONTA],$F236)</f>
        <v>16.170000000000002</v>
      </c>
      <c r="O236" s="4">
        <f>SUMIFS(Tab_08.Ago[MOVIMENTO],Tab_08.Ago[CONTA],$F236)</f>
        <v>0</v>
      </c>
      <c r="P236" s="4">
        <f>SUMIFS(Tab_09.Set[MOVIMENTO],Tab_09.Set[CONTA],$F236)</f>
        <v>808.5</v>
      </c>
      <c r="Q236" s="4">
        <f>SUMIFS(Tab_10.Out[MOVIMENTO],Tab_10.Out[CONTA],$F236)</f>
        <v>16.170000000000002</v>
      </c>
      <c r="R236" s="4">
        <f>SUMIFS(Tab_11.Nov[MOVIMENTO],Tab_11.Nov[CONTA],$F236)</f>
        <v>430.16</v>
      </c>
      <c r="S236" s="4">
        <f>SUMIFS(Tab_12.Dez[MOVIMENTO],Tab_12.Dez[CONTA],$F236)</f>
        <v>0</v>
      </c>
    </row>
    <row r="237" spans="2:19" x14ac:dyDescent="0.3">
      <c r="B237" s="3"/>
      <c r="C237" s="2" t="str">
        <f t="shared" si="39"/>
        <v>C</v>
      </c>
      <c r="D237" s="2" t="str">
        <f t="shared" si="40"/>
        <v>S</v>
      </c>
      <c r="E237" s="2">
        <f t="shared" si="41"/>
        <v>5</v>
      </c>
      <c r="F237" s="3" t="s">
        <v>598</v>
      </c>
      <c r="G237" s="3" t="s">
        <v>704</v>
      </c>
      <c r="H237" s="4">
        <f>SUMIFS(Tab_01.Jan[MOVIMENTO],Tab_01.Jan[CONTA],$F237)</f>
        <v>0</v>
      </c>
      <c r="I237" s="4">
        <f>SUMIFS(Tab_02.Fev[MOVIMENTO],Tab_02.Fev[CONTA],$F237)</f>
        <v>0</v>
      </c>
      <c r="J237" s="4">
        <f>SUMIFS(Tab_03.Mar[MOVIMENTO],Tab_03.Mar[CONTA],$F237)</f>
        <v>0</v>
      </c>
      <c r="K237" s="4">
        <f>SUMIFS(Tab_04.Abr[MOVIMENTO],Tab_04.Abr[CONTA],$F237)</f>
        <v>0</v>
      </c>
      <c r="L237" s="4">
        <f>SUMIFS(Tab_05.Mai[MOVIMENTO],Tab_05.Mai[CONTA],$F237)</f>
        <v>0</v>
      </c>
      <c r="M237" s="4">
        <f>SUMIFS(Tab_06.Jun[MOVIMENTO],Tab_06.Jun[CONTA],$F237)</f>
        <v>0</v>
      </c>
      <c r="N237" s="4">
        <f>SUMIFS(Tab_07.Jul[MOVIMENTO],Tab_07.Jul[CONTA],$F237)</f>
        <v>16.170000000000002</v>
      </c>
      <c r="O237" s="4">
        <f>SUMIFS(Tab_08.Ago[MOVIMENTO],Tab_08.Ago[CONTA],$F237)</f>
        <v>0</v>
      </c>
      <c r="P237" s="4">
        <f>SUMIFS(Tab_09.Set[MOVIMENTO],Tab_09.Set[CONTA],$F237)</f>
        <v>808.5</v>
      </c>
      <c r="Q237" s="4">
        <f>SUMIFS(Tab_10.Out[MOVIMENTO],Tab_10.Out[CONTA],$F237)</f>
        <v>16.170000000000002</v>
      </c>
      <c r="R237" s="4">
        <f>SUMIFS(Tab_11.Nov[MOVIMENTO],Tab_11.Nov[CONTA],$F237)</f>
        <v>430.16</v>
      </c>
      <c r="S237" s="4">
        <f>SUMIFS(Tab_12.Dez[MOVIMENTO],Tab_12.Dez[CONTA],$F237)</f>
        <v>0</v>
      </c>
    </row>
    <row r="238" spans="2:19" x14ac:dyDescent="0.3">
      <c r="B238" s="3" t="s">
        <v>103</v>
      </c>
      <c r="C238" s="2" t="str">
        <f t="shared" si="39"/>
        <v>C</v>
      </c>
      <c r="D238" s="2" t="str">
        <f t="shared" si="40"/>
        <v>A</v>
      </c>
      <c r="E238" s="2">
        <f t="shared" si="41"/>
        <v>5</v>
      </c>
      <c r="F238" s="3" t="s">
        <v>425</v>
      </c>
      <c r="G238" s="3" t="s">
        <v>426</v>
      </c>
      <c r="H238" s="4">
        <f>SUMIFS(Tab_01.Jan[MOVIMENTO],Tab_01.Jan[CONTA],$F238)</f>
        <v>0</v>
      </c>
      <c r="I238" s="4">
        <f>SUMIFS(Tab_02.Fev[MOVIMENTO],Tab_02.Fev[CONTA],$F238)</f>
        <v>0</v>
      </c>
      <c r="J238" s="4">
        <f>SUMIFS(Tab_03.Mar[MOVIMENTO],Tab_03.Mar[CONTA],$F238)</f>
        <v>0</v>
      </c>
      <c r="K238" s="4">
        <f>SUMIFS(Tab_04.Abr[MOVIMENTO],Tab_04.Abr[CONTA],$F238)</f>
        <v>0</v>
      </c>
      <c r="L238" s="4">
        <f>SUMIFS(Tab_05.Mai[MOVIMENTO],Tab_05.Mai[CONTA],$F238)</f>
        <v>0</v>
      </c>
      <c r="M238" s="4">
        <f>SUMIFS(Tab_06.Jun[MOVIMENTO],Tab_06.Jun[CONTA],$F238)</f>
        <v>0</v>
      </c>
      <c r="N238" s="4">
        <f>SUMIFS(Tab_07.Jul[MOVIMENTO],Tab_07.Jul[CONTA],$F238)</f>
        <v>16.170000000000002</v>
      </c>
      <c r="O238" s="4">
        <f>SUMIFS(Tab_08.Ago[MOVIMENTO],Tab_08.Ago[CONTA],$F238)</f>
        <v>0</v>
      </c>
      <c r="P238" s="4">
        <f>SUMIFS(Tab_09.Set[MOVIMENTO],Tab_09.Set[CONTA],$F238)</f>
        <v>808.5</v>
      </c>
      <c r="Q238" s="4">
        <f>SUMIFS(Tab_10.Out[MOVIMENTO],Tab_10.Out[CONTA],$F238)</f>
        <v>16.170000000000002</v>
      </c>
      <c r="R238" s="4">
        <f>SUMIFS(Tab_11.Nov[MOVIMENTO],Tab_11.Nov[CONTA],$F238)</f>
        <v>430.16</v>
      </c>
      <c r="S238" s="4">
        <f>SUMIFS(Tab_12.Dez[MOVIMENTO],Tab_12.Dez[CONTA],$F238)</f>
        <v>0</v>
      </c>
    </row>
    <row r="239" spans="2:19" x14ac:dyDescent="0.3">
      <c r="B239" s="3"/>
      <c r="C239" s="2" t="str">
        <f t="shared" ref="C239:C245" si="42">IF($F239="","",IF(LEFT($F239,1)*1=1,"A",IF(LEFT($F239,1)*1=2,"P",IF(LEFT($F239,1)*1=3,"R",IF(LEFT($F239,1)*1=4,"C",IF(LEFT($F239,1)*1=5,"C",IF(LEFT($F239,1)*1=6,"C","")))))))</f>
        <v>C</v>
      </c>
      <c r="D239" s="2" t="str">
        <f t="shared" ref="D239:D245" si="43">IF($F239="","",IF(LEN($F239)=13,"A","S"))</f>
        <v>S</v>
      </c>
      <c r="E239" s="2">
        <f t="shared" ref="E239:E245" si="44">IF($F239="","",IF(LEN($F239)=1,1,IF(LEN($F239)=3,2,IF(LEN($F239)=5,3,IF(LEN($F239)=8,4,5)))))</f>
        <v>1</v>
      </c>
      <c r="F239" s="3">
        <v>5</v>
      </c>
      <c r="G239" s="3" t="s">
        <v>705</v>
      </c>
      <c r="H239" s="4">
        <f>SUMIFS(Tab_01.Jan[MOVIMENTO],Tab_01.Jan[CONTA],$F239)</f>
        <v>269324.59000000003</v>
      </c>
      <c r="I239" s="4">
        <f>SUMIFS(Tab_02.Fev[MOVIMENTO],Tab_02.Fev[CONTA],$F239)</f>
        <v>527845.93999999994</v>
      </c>
      <c r="J239" s="4">
        <f>SUMIFS(Tab_03.Mar[MOVIMENTO],Tab_03.Mar[CONTA],$F239)</f>
        <v>230055.84</v>
      </c>
      <c r="K239" s="4">
        <f>SUMIFS(Tab_04.Abr[MOVIMENTO],Tab_04.Abr[CONTA],$F239)</f>
        <v>229970.99</v>
      </c>
      <c r="L239" s="4">
        <f>SUMIFS(Tab_05.Mai[MOVIMENTO],Tab_05.Mai[CONTA],$F239)</f>
        <v>214207.31</v>
      </c>
      <c r="M239" s="4">
        <f>SUMIFS(Tab_06.Jun[MOVIMENTO],Tab_06.Jun[CONTA],$F239)</f>
        <v>308453.88</v>
      </c>
      <c r="N239" s="4">
        <f>SUMIFS(Tab_07.Jul[MOVIMENTO],Tab_07.Jul[CONTA],$F239)</f>
        <v>257854.63</v>
      </c>
      <c r="O239" s="4">
        <f>SUMIFS(Tab_08.Ago[MOVIMENTO],Tab_08.Ago[CONTA],$F239)</f>
        <v>266589.09000000003</v>
      </c>
      <c r="P239" s="4">
        <f>SUMIFS(Tab_09.Set[MOVIMENTO],Tab_09.Set[CONTA],$F239)</f>
        <v>307270.42</v>
      </c>
      <c r="Q239" s="4">
        <f>SUMIFS(Tab_10.Out[MOVIMENTO],Tab_10.Out[CONTA],$F239)</f>
        <v>270649.2</v>
      </c>
      <c r="R239" s="4">
        <f>SUMIFS(Tab_11.Nov[MOVIMENTO],Tab_11.Nov[CONTA],$F239)</f>
        <v>272368.46000000002</v>
      </c>
      <c r="S239" s="4">
        <f>SUMIFS(Tab_12.Dez[MOVIMENTO],Tab_12.Dez[CONTA],$F239)</f>
        <v>259299.97</v>
      </c>
    </row>
    <row r="240" spans="2:19" x14ac:dyDescent="0.3">
      <c r="B240" s="3"/>
      <c r="C240" s="2" t="str">
        <f t="shared" si="42"/>
        <v>C</v>
      </c>
      <c r="D240" s="2" t="str">
        <f t="shared" si="43"/>
        <v>S</v>
      </c>
      <c r="E240" s="2">
        <f t="shared" si="44"/>
        <v>2</v>
      </c>
      <c r="F240" s="3" t="s">
        <v>599</v>
      </c>
      <c r="G240" s="3" t="s">
        <v>694</v>
      </c>
      <c r="H240" s="4">
        <f>SUMIFS(Tab_01.Jan[MOVIMENTO],Tab_01.Jan[CONTA],$F240)</f>
        <v>269513.59000000003</v>
      </c>
      <c r="I240" s="4">
        <f>SUMIFS(Tab_02.Fev[MOVIMENTO],Tab_02.Fev[CONTA],$F240)</f>
        <v>527575.93999999994</v>
      </c>
      <c r="J240" s="4">
        <f>SUMIFS(Tab_03.Mar[MOVIMENTO],Tab_03.Mar[CONTA],$F240)</f>
        <v>230055.84</v>
      </c>
      <c r="K240" s="4">
        <f>SUMIFS(Tab_04.Abr[MOVIMENTO],Tab_04.Abr[CONTA],$F240)</f>
        <v>229970.99</v>
      </c>
      <c r="L240" s="4">
        <f>SUMIFS(Tab_05.Mai[MOVIMENTO],Tab_05.Mai[CONTA],$F240)</f>
        <v>214207.31</v>
      </c>
      <c r="M240" s="4">
        <f>SUMIFS(Tab_06.Jun[MOVIMENTO],Tab_06.Jun[CONTA],$F240)</f>
        <v>308318.88</v>
      </c>
      <c r="N240" s="4">
        <f>SUMIFS(Tab_07.Jul[MOVIMENTO],Tab_07.Jul[CONTA],$F240)</f>
        <v>257854.63</v>
      </c>
      <c r="O240" s="4">
        <f>SUMIFS(Tab_08.Ago[MOVIMENTO],Tab_08.Ago[CONTA],$F240)</f>
        <v>266589.09000000003</v>
      </c>
      <c r="P240" s="4">
        <f>SUMIFS(Tab_09.Set[MOVIMENTO],Tab_09.Set[CONTA],$F240)</f>
        <v>307270.42</v>
      </c>
      <c r="Q240" s="4">
        <f>SUMIFS(Tab_10.Out[MOVIMENTO],Tab_10.Out[CONTA],$F240)</f>
        <v>270649.2</v>
      </c>
      <c r="R240" s="4">
        <f>SUMIFS(Tab_11.Nov[MOVIMENTO],Tab_11.Nov[CONTA],$F240)</f>
        <v>272368.46000000002</v>
      </c>
      <c r="S240" s="4">
        <f>SUMIFS(Tab_12.Dez[MOVIMENTO],Tab_12.Dez[CONTA],$F240)</f>
        <v>259299.97</v>
      </c>
    </row>
    <row r="241" spans="2:19" x14ac:dyDescent="0.3">
      <c r="B241" s="3"/>
      <c r="C241" s="2" t="str">
        <f t="shared" si="42"/>
        <v>C</v>
      </c>
      <c r="D241" s="2" t="str">
        <f t="shared" si="43"/>
        <v>S</v>
      </c>
      <c r="E241" s="2">
        <f t="shared" si="44"/>
        <v>5</v>
      </c>
      <c r="F241" s="3" t="s">
        <v>600</v>
      </c>
      <c r="G241" s="3" t="s">
        <v>706</v>
      </c>
      <c r="H241" s="4">
        <f>SUMIFS(Tab_01.Jan[MOVIMENTO],Tab_01.Jan[CONTA],$F241)</f>
        <v>114421.35</v>
      </c>
      <c r="I241" s="4">
        <f>SUMIFS(Tab_02.Fev[MOVIMENTO],Tab_02.Fev[CONTA],$F241)</f>
        <v>379507.48</v>
      </c>
      <c r="J241" s="4">
        <f>SUMIFS(Tab_03.Mar[MOVIMENTO],Tab_03.Mar[CONTA],$F241)</f>
        <v>66478.58</v>
      </c>
      <c r="K241" s="4">
        <f>SUMIFS(Tab_04.Abr[MOVIMENTO],Tab_04.Abr[CONTA],$F241)</f>
        <v>51808.42</v>
      </c>
      <c r="L241" s="4">
        <f>SUMIFS(Tab_05.Mai[MOVIMENTO],Tab_05.Mai[CONTA],$F241)</f>
        <v>51775.96</v>
      </c>
      <c r="M241" s="4">
        <f>SUMIFS(Tab_06.Jun[MOVIMENTO],Tab_06.Jun[CONTA],$F241)</f>
        <v>72121.100000000006</v>
      </c>
      <c r="N241" s="4">
        <f>SUMIFS(Tab_07.Jul[MOVIMENTO],Tab_07.Jul[CONTA],$F241)</f>
        <v>68029.08</v>
      </c>
      <c r="O241" s="4">
        <f>SUMIFS(Tab_08.Ago[MOVIMENTO],Tab_08.Ago[CONTA],$F241)</f>
        <v>77946.320000000007</v>
      </c>
      <c r="P241" s="4">
        <f>SUMIFS(Tab_09.Set[MOVIMENTO],Tab_09.Set[CONTA],$F241)</f>
        <v>59896.72</v>
      </c>
      <c r="Q241" s="4">
        <f>SUMIFS(Tab_10.Out[MOVIMENTO],Tab_10.Out[CONTA],$F241)</f>
        <v>73125.89</v>
      </c>
      <c r="R241" s="4">
        <f>SUMIFS(Tab_11.Nov[MOVIMENTO],Tab_11.Nov[CONTA],$F241)</f>
        <v>71422.64</v>
      </c>
      <c r="S241" s="4">
        <f>SUMIFS(Tab_12.Dez[MOVIMENTO],Tab_12.Dez[CONTA],$F241)</f>
        <v>48629.29</v>
      </c>
    </row>
    <row r="242" spans="2:19" x14ac:dyDescent="0.3">
      <c r="B242" s="3"/>
      <c r="C242" s="2" t="str">
        <f t="shared" si="42"/>
        <v>C</v>
      </c>
      <c r="D242" s="2" t="str">
        <f t="shared" si="43"/>
        <v>S</v>
      </c>
      <c r="E242" s="2">
        <f t="shared" si="44"/>
        <v>5</v>
      </c>
      <c r="F242" s="3" t="s">
        <v>601</v>
      </c>
      <c r="G242" s="3" t="s">
        <v>707</v>
      </c>
      <c r="H242" s="4">
        <f>SUMIFS(Tab_01.Jan[MOVIMENTO],Tab_01.Jan[CONTA],$F242)</f>
        <v>88515.91</v>
      </c>
      <c r="I242" s="4">
        <f>SUMIFS(Tab_02.Fev[MOVIMENTO],Tab_02.Fev[CONTA],$F242)</f>
        <v>171114.77</v>
      </c>
      <c r="J242" s="4">
        <f>SUMIFS(Tab_03.Mar[MOVIMENTO],Tab_03.Mar[CONTA],$F242)</f>
        <v>55048.32</v>
      </c>
      <c r="K242" s="4">
        <f>SUMIFS(Tab_04.Abr[MOVIMENTO],Tab_04.Abr[CONTA],$F242)</f>
        <v>40383.160000000003</v>
      </c>
      <c r="L242" s="4">
        <f>SUMIFS(Tab_05.Mai[MOVIMENTO],Tab_05.Mai[CONTA],$F242)</f>
        <v>40390.699999999997</v>
      </c>
      <c r="M242" s="4">
        <f>SUMIFS(Tab_06.Jun[MOVIMENTO],Tab_06.Jun[CONTA],$F242)</f>
        <v>56514.58</v>
      </c>
      <c r="N242" s="4">
        <f>SUMIFS(Tab_07.Jul[MOVIMENTO],Tab_07.Jul[CONTA],$F242)</f>
        <v>52426.37</v>
      </c>
      <c r="O242" s="4">
        <f>SUMIFS(Tab_08.Ago[MOVIMENTO],Tab_08.Ago[CONTA],$F242)</f>
        <v>61386.7</v>
      </c>
      <c r="P242" s="4">
        <f>SUMIFS(Tab_09.Set[MOVIMENTO],Tab_09.Set[CONTA],$F242)</f>
        <v>49265.33</v>
      </c>
      <c r="Q242" s="4">
        <f>SUMIFS(Tab_10.Out[MOVIMENTO],Tab_10.Out[CONTA],$F242)</f>
        <v>57366.32</v>
      </c>
      <c r="R242" s="4">
        <f>SUMIFS(Tab_11.Nov[MOVIMENTO],Tab_11.Nov[CONTA],$F242)</f>
        <v>55935.46</v>
      </c>
      <c r="S242" s="4">
        <f>SUMIFS(Tab_12.Dez[MOVIMENTO],Tab_12.Dez[CONTA],$F242)</f>
        <v>27557.35</v>
      </c>
    </row>
    <row r="243" spans="2:19" x14ac:dyDescent="0.3">
      <c r="B243" s="3" t="s">
        <v>104</v>
      </c>
      <c r="C243" s="2" t="str">
        <f t="shared" si="42"/>
        <v>C</v>
      </c>
      <c r="D243" s="2" t="str">
        <f t="shared" si="43"/>
        <v>A</v>
      </c>
      <c r="E243" s="2">
        <f t="shared" si="44"/>
        <v>5</v>
      </c>
      <c r="F243" s="3" t="s">
        <v>441</v>
      </c>
      <c r="G243" s="3" t="s">
        <v>427</v>
      </c>
      <c r="H243" s="4">
        <f>SUMIFS(Tab_01.Jan[MOVIMENTO],Tab_01.Jan[CONTA],$F243)</f>
        <v>54518.48</v>
      </c>
      <c r="I243" s="4">
        <f>SUMIFS(Tab_02.Fev[MOVIMENTO],Tab_02.Fev[CONTA],$F243)</f>
        <v>62264.42</v>
      </c>
      <c r="J243" s="4">
        <f>SUMIFS(Tab_03.Mar[MOVIMENTO],Tab_03.Mar[CONTA],$F243)</f>
        <v>45873.4</v>
      </c>
      <c r="K243" s="4">
        <f>SUMIFS(Tab_04.Abr[MOVIMENTO],Tab_04.Abr[CONTA],$F243)</f>
        <v>31271.81</v>
      </c>
      <c r="L243" s="4">
        <f>SUMIFS(Tab_05.Mai[MOVIMENTO],Tab_05.Mai[CONTA],$F243)</f>
        <v>31271.81</v>
      </c>
      <c r="M243" s="4">
        <f>SUMIFS(Tab_06.Jun[MOVIMENTO],Tab_06.Jun[CONTA],$F243)</f>
        <v>45176.639999999999</v>
      </c>
      <c r="N243" s="4">
        <f>SUMIFS(Tab_07.Jul[MOVIMENTO],Tab_07.Jul[CONTA],$F243)</f>
        <v>43052.47</v>
      </c>
      <c r="O243" s="4">
        <f>SUMIFS(Tab_08.Ago[MOVIMENTO],Tab_08.Ago[CONTA],$F243)</f>
        <v>46557.27</v>
      </c>
      <c r="P243" s="4">
        <f>SUMIFS(Tab_09.Set[MOVIMENTO],Tab_09.Set[CONTA],$F243)</f>
        <v>38251.360000000001</v>
      </c>
      <c r="Q243" s="4">
        <f>SUMIFS(Tab_10.Out[MOVIMENTO],Tab_10.Out[CONTA],$F243)</f>
        <v>45619.59</v>
      </c>
      <c r="R243" s="4">
        <f>SUMIFS(Tab_11.Nov[MOVIMENTO],Tab_11.Nov[CONTA],$F243)</f>
        <v>44188.5</v>
      </c>
      <c r="S243" s="4">
        <f>SUMIFS(Tab_12.Dez[MOVIMENTO],Tab_12.Dez[CONTA],$F243)</f>
        <v>44697.96</v>
      </c>
    </row>
    <row r="244" spans="2:19" x14ac:dyDescent="0.3">
      <c r="B244" s="3" t="s">
        <v>104</v>
      </c>
      <c r="C244" s="2" t="str">
        <f t="shared" si="42"/>
        <v>C</v>
      </c>
      <c r="D244" s="2" t="str">
        <f t="shared" si="43"/>
        <v>A</v>
      </c>
      <c r="E244" s="2">
        <f t="shared" si="44"/>
        <v>5</v>
      </c>
      <c r="F244" s="3" t="s">
        <v>442</v>
      </c>
      <c r="G244" s="3" t="s">
        <v>429</v>
      </c>
      <c r="H244" s="4">
        <f>SUMIFS(Tab_01.Jan[MOVIMENTO],Tab_01.Jan[CONTA],$F244)</f>
        <v>0</v>
      </c>
      <c r="I244" s="4">
        <f>SUMIFS(Tab_02.Fev[MOVIMENTO],Tab_02.Fev[CONTA],$F244)</f>
        <v>0</v>
      </c>
      <c r="J244" s="4">
        <f>SUMIFS(Tab_03.Mar[MOVIMENTO],Tab_03.Mar[CONTA],$F244)</f>
        <v>0</v>
      </c>
      <c r="K244" s="4">
        <f>SUMIFS(Tab_04.Abr[MOVIMENTO],Tab_04.Abr[CONTA],$F244)</f>
        <v>0</v>
      </c>
      <c r="L244" s="4">
        <f>SUMIFS(Tab_05.Mai[MOVIMENTO],Tab_05.Mai[CONTA],$F244)</f>
        <v>0</v>
      </c>
      <c r="M244" s="4">
        <f>SUMIFS(Tab_06.Jun[MOVIMENTO],Tab_06.Jun[CONTA],$F244)</f>
        <v>0</v>
      </c>
      <c r="N244" s="4">
        <f>SUMIFS(Tab_07.Jul[MOVIMENTO],Tab_07.Jul[CONTA],$F244)</f>
        <v>0</v>
      </c>
      <c r="O244" s="4">
        <f>SUMIFS(Tab_08.Ago[MOVIMENTO],Tab_08.Ago[CONTA],$F244)</f>
        <v>0</v>
      </c>
      <c r="P244" s="4">
        <f>SUMIFS(Tab_09.Set[MOVIMENTO],Tab_09.Set[CONTA],$F244)</f>
        <v>0</v>
      </c>
      <c r="Q244" s="4">
        <f>SUMIFS(Tab_10.Out[MOVIMENTO],Tab_10.Out[CONTA],$F244)</f>
        <v>0</v>
      </c>
      <c r="R244" s="4">
        <f>SUMIFS(Tab_11.Nov[MOVIMENTO],Tab_11.Nov[CONTA],$F244)</f>
        <v>0</v>
      </c>
      <c r="S244" s="4">
        <f>SUMIFS(Tab_12.Dez[MOVIMENTO],Tab_12.Dez[CONTA],$F244)</f>
        <v>0</v>
      </c>
    </row>
    <row r="245" spans="2:19" x14ac:dyDescent="0.3">
      <c r="B245" s="3" t="s">
        <v>104</v>
      </c>
      <c r="C245" s="2" t="str">
        <f t="shared" si="42"/>
        <v>C</v>
      </c>
      <c r="D245" s="2" t="str">
        <f t="shared" si="43"/>
        <v>A</v>
      </c>
      <c r="E245" s="2">
        <f t="shared" si="44"/>
        <v>5</v>
      </c>
      <c r="F245" s="3" t="s">
        <v>443</v>
      </c>
      <c r="G245" s="3" t="s">
        <v>431</v>
      </c>
      <c r="H245" s="4">
        <f>SUMIFS(Tab_01.Jan[MOVIMENTO],Tab_01.Jan[CONTA],$F245)</f>
        <v>10254.450000000001</v>
      </c>
      <c r="I245" s="4">
        <f>SUMIFS(Tab_02.Fev[MOVIMENTO],Tab_02.Fev[CONTA],$F245)</f>
        <v>13703.14</v>
      </c>
      <c r="J245" s="4">
        <f>SUMIFS(Tab_03.Mar[MOVIMENTO],Tab_03.Mar[CONTA],$F245)</f>
        <v>4442.91</v>
      </c>
      <c r="K245" s="4">
        <f>SUMIFS(Tab_04.Abr[MOVIMENTO],Tab_04.Abr[CONTA],$F245)</f>
        <v>2959.89</v>
      </c>
      <c r="L245" s="4">
        <f>SUMIFS(Tab_05.Mai[MOVIMENTO],Tab_05.Mai[CONTA],$F245)</f>
        <v>2226.54</v>
      </c>
      <c r="M245" s="4">
        <f>SUMIFS(Tab_06.Jun[MOVIMENTO],Tab_06.Jun[CONTA],$F245)</f>
        <v>4905.08</v>
      </c>
      <c r="N245" s="4">
        <f>SUMIFS(Tab_07.Jul[MOVIMENTO],Tab_07.Jul[CONTA],$F245)</f>
        <v>4673.3599999999997</v>
      </c>
      <c r="O245" s="4">
        <f>SUMIFS(Tab_08.Ago[MOVIMENTO],Tab_08.Ago[CONTA],$F245)</f>
        <v>7090.46</v>
      </c>
      <c r="P245" s="4">
        <f>SUMIFS(Tab_09.Set[MOVIMENTO],Tab_09.Set[CONTA],$F245)</f>
        <v>4813.3599999999997</v>
      </c>
      <c r="Q245" s="4">
        <f>SUMIFS(Tab_10.Out[MOVIMENTO],Tab_10.Out[CONTA],$F245)</f>
        <v>0</v>
      </c>
      <c r="R245" s="4">
        <f>SUMIFS(Tab_11.Nov[MOVIMENTO],Tab_11.Nov[CONTA],$F245)</f>
        <v>0</v>
      </c>
      <c r="S245" s="4">
        <f>SUMIFS(Tab_12.Dez[MOVIMENTO],Tab_12.Dez[CONTA],$F245)</f>
        <v>0</v>
      </c>
    </row>
    <row r="246" spans="2:19" x14ac:dyDescent="0.3">
      <c r="B246" s="3" t="s">
        <v>104</v>
      </c>
      <c r="C246" s="2" t="str">
        <f>IF($F246="","",IF(LEFT($F246,1)*1=1,"A",IF(LEFT($F246,1)*1=2,"P",IF(LEFT($F246,1)*1=3,"R",IF(LEFT($F246,1)*1=4,"C",IF(LEFT($F246,1)*1=5,"C",IF(LEFT($F246,1)*1=6,"C","")))))))</f>
        <v>C</v>
      </c>
      <c r="D246" s="2" t="str">
        <f>IF($F246="","",IF(LEN($F246)=13,"A","S"))</f>
        <v>A</v>
      </c>
      <c r="E246" s="2">
        <f>IF($F246="","",IF(LEN($F246)=1,1,IF(LEN($F246)=3,2,IF(LEN($F246)=5,3,IF(LEN($F246)=8,4,5)))))</f>
        <v>5</v>
      </c>
      <c r="F246" s="3" t="s">
        <v>444</v>
      </c>
      <c r="G246" s="3" t="s">
        <v>433</v>
      </c>
      <c r="H246" s="4">
        <f>SUMIFS(Tab_01.Jan[MOVIMENTO],Tab_01.Jan[CONTA],$F246)</f>
        <v>6223.05</v>
      </c>
      <c r="I246" s="4">
        <f>SUMIFS(Tab_02.Fev[MOVIMENTO],Tab_02.Fev[CONTA],$F246)</f>
        <v>12192.51</v>
      </c>
      <c r="J246" s="4">
        <f>SUMIFS(Tab_03.Mar[MOVIMENTO],Tab_03.Mar[CONTA],$F246)</f>
        <v>3238.34</v>
      </c>
      <c r="K246" s="4">
        <f>SUMIFS(Tab_04.Abr[MOVIMENTO],Tab_04.Abr[CONTA],$F246)</f>
        <v>3238.34</v>
      </c>
      <c r="L246" s="4">
        <f>SUMIFS(Tab_05.Mai[MOVIMENTO],Tab_05.Mai[CONTA],$F246)</f>
        <v>3505.01</v>
      </c>
      <c r="M246" s="4">
        <f>SUMIFS(Tab_06.Jun[MOVIMENTO],Tab_06.Jun[CONTA],$F246)</f>
        <v>3505.02</v>
      </c>
      <c r="N246" s="4">
        <f>SUMIFS(Tab_07.Jul[MOVIMENTO],Tab_07.Jul[CONTA],$F246)</f>
        <v>2219.91</v>
      </c>
      <c r="O246" s="4">
        <f>SUMIFS(Tab_08.Ago[MOVIMENTO],Tab_08.Ago[CONTA],$F246)</f>
        <v>4247.7</v>
      </c>
      <c r="P246" s="4">
        <f>SUMIFS(Tab_09.Set[MOVIMENTO],Tab_09.Set[CONTA],$F246)</f>
        <v>2829.22</v>
      </c>
      <c r="Q246" s="4">
        <f>SUMIFS(Tab_10.Out[MOVIMENTO],Tab_10.Out[CONTA],$F246)</f>
        <v>8651.6</v>
      </c>
      <c r="R246" s="4">
        <f>SUMIFS(Tab_11.Nov[MOVIMENTO],Tab_11.Nov[CONTA],$F246)</f>
        <v>8651.6200000000008</v>
      </c>
      <c r="S246" s="4">
        <f>SUMIFS(Tab_12.Dez[MOVIMENTO],Tab_12.Dez[CONTA],$F246)</f>
        <v>-18430.560000000001</v>
      </c>
    </row>
    <row r="247" spans="2:19" x14ac:dyDescent="0.3">
      <c r="B247" s="3" t="s">
        <v>104</v>
      </c>
      <c r="C247" s="2" t="str">
        <f>IF($F247="","",IF(LEFT($F247,1)*1=1,"A",IF(LEFT($F247,1)*1=2,"P",IF(LEFT($F247,1)*1=3,"R",IF(LEFT($F247,1)*1=4,"C",IF(LEFT($F247,1)*1=5,"C",IF(LEFT($F247,1)*1=6,"C","")))))))</f>
        <v>C</v>
      </c>
      <c r="D247" s="2" t="str">
        <f>IF($F247="","",IF(LEN($F247)=13,"A","S"))</f>
        <v>A</v>
      </c>
      <c r="E247" s="2">
        <f>IF($F247="","",IF(LEN($F247)=1,1,IF(LEN($F247)=3,2,IF(LEN($F247)=5,3,IF(LEN($F247)=8,4,5)))))</f>
        <v>5</v>
      </c>
      <c r="F247" s="3" t="s">
        <v>775</v>
      </c>
      <c r="G247" s="3" t="s">
        <v>749</v>
      </c>
      <c r="H247" s="4">
        <f>SUMIFS(Tab_01.Jan[MOVIMENTO],Tab_01.Jan[CONTA],$F247)</f>
        <v>0</v>
      </c>
      <c r="I247" s="4">
        <f>SUMIFS(Tab_02.Fev[MOVIMENTO],Tab_02.Fev[CONTA],$F247)</f>
        <v>85959.77</v>
      </c>
      <c r="J247" s="4">
        <f>SUMIFS(Tab_03.Mar[MOVIMENTO],Tab_03.Mar[CONTA],$F247)</f>
        <v>0</v>
      </c>
      <c r="K247" s="4">
        <f>SUMIFS(Tab_04.Abr[MOVIMENTO],Tab_04.Abr[CONTA],$F247)</f>
        <v>0</v>
      </c>
      <c r="L247" s="4">
        <f>SUMIFS(Tab_05.Mai[MOVIMENTO],Tab_05.Mai[CONTA],$F247)</f>
        <v>0</v>
      </c>
      <c r="M247" s="4">
        <f>SUMIFS(Tab_06.Jun[MOVIMENTO],Tab_06.Jun[CONTA],$F247)</f>
        <v>0</v>
      </c>
      <c r="N247" s="4">
        <f>SUMIFS(Tab_07.Jul[MOVIMENTO],Tab_07.Jul[CONTA],$F247)</f>
        <v>0</v>
      </c>
      <c r="O247" s="4">
        <f>SUMIFS(Tab_08.Ago[MOVIMENTO],Tab_08.Ago[CONTA],$F247)</f>
        <v>0</v>
      </c>
      <c r="P247" s="4">
        <f>SUMIFS(Tab_09.Set[MOVIMENTO],Tab_09.Set[CONTA],$F247)</f>
        <v>0</v>
      </c>
      <c r="Q247" s="4">
        <f>SUMIFS(Tab_10.Out[MOVIMENTO],Tab_10.Out[CONTA],$F247)</f>
        <v>0</v>
      </c>
      <c r="R247" s="4">
        <f>SUMIFS(Tab_11.Nov[MOVIMENTO],Tab_11.Nov[CONTA],$F247)</f>
        <v>0</v>
      </c>
      <c r="S247" s="4">
        <f>SUMIFS(Tab_12.Dez[MOVIMENTO],Tab_12.Dez[CONTA],$F247)</f>
        <v>0</v>
      </c>
    </row>
    <row r="248" spans="2:19" x14ac:dyDescent="0.3">
      <c r="B248" s="3" t="s">
        <v>104</v>
      </c>
      <c r="C248" s="2" t="str">
        <f t="shared" ref="C248:C262" si="45">IF($F248="","",IF(LEFT($F248,1)*1=1,"A",IF(LEFT($F248,1)*1=2,"P",IF(LEFT($F248,1)*1=3,"R",IF(LEFT($F248,1)*1=4,"C",IF(LEFT($F248,1)*1=5,"C",IF(LEFT($F248,1)*1=6,"C","")))))))</f>
        <v>C</v>
      </c>
      <c r="D248" s="2" t="str">
        <f t="shared" ref="D248:D262" si="46">IF($F248="","",IF(LEN($F248)=13,"A","S"))</f>
        <v>A</v>
      </c>
      <c r="E248" s="2">
        <f t="shared" ref="E248:E262" si="47">IF($F248="","",IF(LEN($F248)=1,1,IF(LEN($F248)=3,2,IF(LEN($F248)=5,3,IF(LEN($F248)=8,4,5)))))</f>
        <v>5</v>
      </c>
      <c r="F248" s="3" t="s">
        <v>445</v>
      </c>
      <c r="G248" s="3" t="s">
        <v>446</v>
      </c>
      <c r="H248" s="4">
        <f>SUMIFS(Tab_01.Jan[MOVIMENTO],Tab_01.Jan[CONTA],$F248)</f>
        <v>0</v>
      </c>
      <c r="I248" s="4">
        <f>SUMIFS(Tab_02.Fev[MOVIMENTO],Tab_02.Fev[CONTA],$F248)</f>
        <v>0</v>
      </c>
      <c r="J248" s="4">
        <f>SUMIFS(Tab_03.Mar[MOVIMENTO],Tab_03.Mar[CONTA],$F248)</f>
        <v>0</v>
      </c>
      <c r="K248" s="4">
        <f>SUMIFS(Tab_04.Abr[MOVIMENTO],Tab_04.Abr[CONTA],$F248)</f>
        <v>0</v>
      </c>
      <c r="L248" s="4">
        <f>SUMIFS(Tab_05.Mai[MOVIMENTO],Tab_05.Mai[CONTA],$F248)</f>
        <v>0</v>
      </c>
      <c r="M248" s="4">
        <f>SUMIFS(Tab_06.Jun[MOVIMENTO],Tab_06.Jun[CONTA],$F248)</f>
        <v>0</v>
      </c>
      <c r="N248" s="4">
        <f>SUMIFS(Tab_07.Jul[MOVIMENTO],Tab_07.Jul[CONTA],$F248)</f>
        <v>0</v>
      </c>
      <c r="O248" s="4">
        <f>SUMIFS(Tab_08.Ago[MOVIMENTO],Tab_08.Ago[CONTA],$F248)</f>
        <v>0</v>
      </c>
      <c r="P248" s="4">
        <f>SUMIFS(Tab_09.Set[MOVIMENTO],Tab_09.Set[CONTA],$F248)</f>
        <v>0</v>
      </c>
      <c r="Q248" s="4">
        <f>SUMIFS(Tab_10.Out[MOVIMENTO],Tab_10.Out[CONTA],$F248)</f>
        <v>0</v>
      </c>
      <c r="R248" s="4">
        <f>SUMIFS(Tab_11.Nov[MOVIMENTO],Tab_11.Nov[CONTA],$F248)</f>
        <v>0</v>
      </c>
      <c r="S248" s="4">
        <f>SUMIFS(Tab_12.Dez[MOVIMENTO],Tab_12.Dez[CONTA],$F248)</f>
        <v>0</v>
      </c>
    </row>
    <row r="249" spans="2:19" x14ac:dyDescent="0.3">
      <c r="B249" s="3" t="s">
        <v>104</v>
      </c>
      <c r="C249" s="2" t="str">
        <f t="shared" si="45"/>
        <v>C</v>
      </c>
      <c r="D249" s="2" t="str">
        <f t="shared" si="46"/>
        <v>A</v>
      </c>
      <c r="E249" s="2">
        <f t="shared" si="47"/>
        <v>5</v>
      </c>
      <c r="F249" s="3" t="s">
        <v>447</v>
      </c>
      <c r="G249" s="3" t="s">
        <v>448</v>
      </c>
      <c r="H249" s="4">
        <f>SUMIFS(Tab_01.Jan[MOVIMENTO],Tab_01.Jan[CONTA],$F249)</f>
        <v>0</v>
      </c>
      <c r="I249" s="4">
        <f>SUMIFS(Tab_02.Fev[MOVIMENTO],Tab_02.Fev[CONTA],$F249)</f>
        <v>0</v>
      </c>
      <c r="J249" s="4">
        <f>SUMIFS(Tab_03.Mar[MOVIMENTO],Tab_03.Mar[CONTA],$F249)</f>
        <v>0</v>
      </c>
      <c r="K249" s="4">
        <f>SUMIFS(Tab_04.Abr[MOVIMENTO],Tab_04.Abr[CONTA],$F249)</f>
        <v>0</v>
      </c>
      <c r="L249" s="4">
        <f>SUMIFS(Tab_05.Mai[MOVIMENTO],Tab_05.Mai[CONTA],$F249)</f>
        <v>476.67</v>
      </c>
      <c r="M249" s="4">
        <f>SUMIFS(Tab_06.Jun[MOVIMENTO],Tab_06.Jun[CONTA],$F249)</f>
        <v>0</v>
      </c>
      <c r="N249" s="4">
        <f>SUMIFS(Tab_07.Jul[MOVIMENTO],Tab_07.Jul[CONTA],$F249)</f>
        <v>0</v>
      </c>
      <c r="O249" s="4">
        <f>SUMIFS(Tab_08.Ago[MOVIMENTO],Tab_08.Ago[CONTA],$F249)</f>
        <v>0</v>
      </c>
      <c r="P249" s="4">
        <f>SUMIFS(Tab_09.Set[MOVIMENTO],Tab_09.Set[CONTA],$F249)</f>
        <v>1100</v>
      </c>
      <c r="Q249" s="4">
        <f>SUMIFS(Tab_10.Out[MOVIMENTO],Tab_10.Out[CONTA],$F249)</f>
        <v>0</v>
      </c>
      <c r="R249" s="4">
        <f>SUMIFS(Tab_11.Nov[MOVIMENTO],Tab_11.Nov[CONTA],$F249)</f>
        <v>0</v>
      </c>
      <c r="S249" s="4">
        <f>SUMIFS(Tab_12.Dez[MOVIMENTO],Tab_12.Dez[CONTA],$F249)</f>
        <v>0</v>
      </c>
    </row>
    <row r="250" spans="2:19" x14ac:dyDescent="0.3">
      <c r="B250" s="3" t="s">
        <v>104</v>
      </c>
      <c r="C250" s="2" t="str">
        <f t="shared" si="45"/>
        <v>C</v>
      </c>
      <c r="D250" s="2" t="str">
        <f t="shared" si="46"/>
        <v>A</v>
      </c>
      <c r="E250" s="2">
        <f t="shared" si="47"/>
        <v>5</v>
      </c>
      <c r="F250" s="3" t="s">
        <v>449</v>
      </c>
      <c r="G250" s="3" t="s">
        <v>450</v>
      </c>
      <c r="H250" s="4">
        <f>SUMIFS(Tab_01.Jan[MOVIMENTO],Tab_01.Jan[CONTA],$F250)</f>
        <v>0</v>
      </c>
      <c r="I250" s="4">
        <f>SUMIFS(Tab_02.Fev[MOVIMENTO],Tab_02.Fev[CONTA],$F250)</f>
        <v>0</v>
      </c>
      <c r="J250" s="4">
        <f>SUMIFS(Tab_03.Mar[MOVIMENTO],Tab_03.Mar[CONTA],$F250)</f>
        <v>0</v>
      </c>
      <c r="K250" s="4">
        <f>SUMIFS(Tab_04.Abr[MOVIMENTO],Tab_04.Abr[CONTA],$F250)</f>
        <v>0</v>
      </c>
      <c r="L250" s="4">
        <f>SUMIFS(Tab_05.Mai[MOVIMENTO],Tab_05.Mai[CONTA],$F250)</f>
        <v>0</v>
      </c>
      <c r="M250" s="4">
        <f>SUMIFS(Tab_06.Jun[MOVIMENTO],Tab_06.Jun[CONTA],$F250)</f>
        <v>0</v>
      </c>
      <c r="N250" s="4">
        <f>SUMIFS(Tab_07.Jul[MOVIMENTO],Tab_07.Jul[CONTA],$F250)</f>
        <v>0</v>
      </c>
      <c r="O250" s="4">
        <f>SUMIFS(Tab_08.Ago[MOVIMENTO],Tab_08.Ago[CONTA],$F250)</f>
        <v>0</v>
      </c>
      <c r="P250" s="4">
        <f>SUMIFS(Tab_09.Set[MOVIMENTO],Tab_09.Set[CONTA],$F250)</f>
        <v>0</v>
      </c>
      <c r="Q250" s="4">
        <f>SUMIFS(Tab_10.Out[MOVIMENTO],Tab_10.Out[CONTA],$F250)</f>
        <v>0</v>
      </c>
      <c r="R250" s="4">
        <f>SUMIFS(Tab_11.Nov[MOVIMENTO],Tab_11.Nov[CONTA],$F250)</f>
        <v>0</v>
      </c>
      <c r="S250" s="4">
        <f>SUMIFS(Tab_12.Dez[MOVIMENTO],Tab_12.Dez[CONTA],$F250)</f>
        <v>0</v>
      </c>
    </row>
    <row r="251" spans="2:19" x14ac:dyDescent="0.3">
      <c r="B251" s="3" t="s">
        <v>104</v>
      </c>
      <c r="C251" s="2" t="str">
        <f t="shared" si="45"/>
        <v>C</v>
      </c>
      <c r="D251" s="2" t="str">
        <f t="shared" si="46"/>
        <v>A</v>
      </c>
      <c r="E251" s="2">
        <f t="shared" si="47"/>
        <v>5</v>
      </c>
      <c r="F251" s="3" t="s">
        <v>802</v>
      </c>
      <c r="G251" s="3" t="s">
        <v>791</v>
      </c>
      <c r="H251" s="4">
        <f>SUMIFS(Tab_01.Jan[MOVIMENTO],Tab_01.Jan[CONTA],$F251)</f>
        <v>862.74</v>
      </c>
      <c r="I251" s="4">
        <f>SUMIFS(Tab_02.Fev[MOVIMENTO],Tab_02.Fev[CONTA],$F251)</f>
        <v>0</v>
      </c>
      <c r="J251" s="4">
        <f>SUMIFS(Tab_03.Mar[MOVIMENTO],Tab_03.Mar[CONTA],$F251)</f>
        <v>0</v>
      </c>
      <c r="K251" s="4">
        <f>SUMIFS(Tab_04.Abr[MOVIMENTO],Tab_04.Abr[CONTA],$F251)</f>
        <v>1157.1500000000001</v>
      </c>
      <c r="L251" s="4">
        <f>SUMIFS(Tab_05.Mai[MOVIMENTO],Tab_05.Mai[CONTA],$F251)</f>
        <v>1252.44</v>
      </c>
      <c r="M251" s="4">
        <f>SUMIFS(Tab_06.Jun[MOVIMENTO],Tab_06.Jun[CONTA],$F251)</f>
        <v>1252.48</v>
      </c>
      <c r="N251" s="4">
        <f>SUMIFS(Tab_07.Jul[MOVIMENTO],Tab_07.Jul[CONTA],$F251)</f>
        <v>1252.46</v>
      </c>
      <c r="O251" s="4">
        <f>SUMIFS(Tab_08.Ago[MOVIMENTO],Tab_08.Ago[CONTA],$F251)</f>
        <v>1517.83</v>
      </c>
      <c r="P251" s="4">
        <f>SUMIFS(Tab_09.Set[MOVIMENTO],Tab_09.Set[CONTA],$F251)</f>
        <v>932.15</v>
      </c>
      <c r="Q251" s="4">
        <f>SUMIFS(Tab_10.Out[MOVIMENTO],Tab_10.Out[CONTA],$F251)</f>
        <v>0</v>
      </c>
      <c r="R251" s="4">
        <f>SUMIFS(Tab_11.Nov[MOVIMENTO],Tab_11.Nov[CONTA],$F251)</f>
        <v>0</v>
      </c>
      <c r="S251" s="4">
        <f>SUMIFS(Tab_12.Dez[MOVIMENTO],Tab_12.Dez[CONTA],$F251)</f>
        <v>0</v>
      </c>
    </row>
    <row r="252" spans="2:19" x14ac:dyDescent="0.3">
      <c r="B252" s="3" t="s">
        <v>104</v>
      </c>
      <c r="C252" s="2" t="str">
        <f t="shared" si="45"/>
        <v>C</v>
      </c>
      <c r="D252" s="2" t="str">
        <f t="shared" si="46"/>
        <v>A</v>
      </c>
      <c r="E252" s="2">
        <f t="shared" si="47"/>
        <v>5</v>
      </c>
      <c r="F252" s="3" t="s">
        <v>803</v>
      </c>
      <c r="G252" s="3" t="s">
        <v>793</v>
      </c>
      <c r="H252" s="4">
        <f>SUMIFS(Tab_01.Jan[MOVIMENTO],Tab_01.Jan[CONTA],$F252)</f>
        <v>14346.41</v>
      </c>
      <c r="I252" s="4">
        <f>SUMIFS(Tab_02.Fev[MOVIMENTO],Tab_02.Fev[CONTA],$F252)</f>
        <v>-5232.99</v>
      </c>
      <c r="J252" s="4">
        <f>SUMIFS(Tab_03.Mar[MOVIMENTO],Tab_03.Mar[CONTA],$F252)</f>
        <v>345.44</v>
      </c>
      <c r="K252" s="4">
        <f>SUMIFS(Tab_04.Abr[MOVIMENTO],Tab_04.Abr[CONTA],$F252)</f>
        <v>567.08000000000004</v>
      </c>
      <c r="L252" s="4">
        <f>SUMIFS(Tab_05.Mai[MOVIMENTO],Tab_05.Mai[CONTA],$F252)</f>
        <v>373.86</v>
      </c>
      <c r="M252" s="4">
        <f>SUMIFS(Tab_06.Jun[MOVIMENTO],Tab_06.Jun[CONTA],$F252)</f>
        <v>373.86</v>
      </c>
      <c r="N252" s="4">
        <f>SUMIFS(Tab_07.Jul[MOVIMENTO],Tab_07.Jul[CONTA],$F252)</f>
        <v>373.87</v>
      </c>
      <c r="O252" s="4">
        <f>SUMIFS(Tab_08.Ago[MOVIMENTO],Tab_08.Ago[CONTA],$F252)</f>
        <v>453.09</v>
      </c>
      <c r="P252" s="4">
        <f>SUMIFS(Tab_09.Set[MOVIMENTO],Tab_09.Set[CONTA],$F252)</f>
        <v>278.25</v>
      </c>
      <c r="Q252" s="4">
        <f>SUMIFS(Tab_10.Out[MOVIMENTO],Tab_10.Out[CONTA],$F252)</f>
        <v>0</v>
      </c>
      <c r="R252" s="4">
        <f>SUMIFS(Tab_11.Nov[MOVIMENTO],Tab_11.Nov[CONTA],$F252)</f>
        <v>0</v>
      </c>
      <c r="S252" s="4">
        <f>SUMIFS(Tab_12.Dez[MOVIMENTO],Tab_12.Dez[CONTA],$F252)</f>
        <v>0</v>
      </c>
    </row>
    <row r="253" spans="2:19" x14ac:dyDescent="0.3">
      <c r="B253" s="3" t="s">
        <v>104</v>
      </c>
      <c r="C253" s="2" t="str">
        <f t="shared" si="45"/>
        <v>C</v>
      </c>
      <c r="D253" s="2" t="str">
        <f t="shared" si="46"/>
        <v>A</v>
      </c>
      <c r="E253" s="2">
        <f t="shared" si="47"/>
        <v>5</v>
      </c>
      <c r="F253" s="3" t="s">
        <v>804</v>
      </c>
      <c r="G253" s="3" t="s">
        <v>795</v>
      </c>
      <c r="H253" s="4">
        <f>SUMIFS(Tab_01.Jan[MOVIMENTO],Tab_01.Jan[CONTA],$F253)</f>
        <v>82.97</v>
      </c>
      <c r="I253" s="4">
        <f>SUMIFS(Tab_02.Fev[MOVIMENTO],Tab_02.Fev[CONTA],$F253)</f>
        <v>0</v>
      </c>
      <c r="J253" s="4">
        <f>SUMIFS(Tab_03.Mar[MOVIMENTO],Tab_03.Mar[CONTA],$F253)</f>
        <v>-11.13</v>
      </c>
      <c r="K253" s="4">
        <f>SUMIFS(Tab_04.Abr[MOVIMENTO],Tab_04.Abr[CONTA],$F253)</f>
        <v>29.6</v>
      </c>
      <c r="L253" s="4">
        <f>SUMIFS(Tab_05.Mai[MOVIMENTO],Tab_05.Mai[CONTA],$F253)</f>
        <v>29.59</v>
      </c>
      <c r="M253" s="4">
        <f>SUMIFS(Tab_06.Jun[MOVIMENTO],Tab_06.Jun[CONTA],$F253)</f>
        <v>46.74</v>
      </c>
      <c r="N253" s="4">
        <f>SUMIFS(Tab_07.Jul[MOVIMENTO],Tab_07.Jul[CONTA],$F253)</f>
        <v>46.74</v>
      </c>
      <c r="O253" s="4">
        <f>SUMIFS(Tab_08.Ago[MOVIMENTO],Tab_08.Ago[CONTA],$F253)</f>
        <v>-0.4</v>
      </c>
      <c r="P253" s="4">
        <f>SUMIFS(Tab_09.Set[MOVIMENTO],Tab_09.Set[CONTA],$F253)</f>
        <v>48.14</v>
      </c>
      <c r="Q253" s="4">
        <f>SUMIFS(Tab_10.Out[MOVIMENTO],Tab_10.Out[CONTA],$F253)</f>
        <v>0</v>
      </c>
      <c r="R253" s="4">
        <f>SUMIFS(Tab_11.Nov[MOVIMENTO],Tab_11.Nov[CONTA],$F253)</f>
        <v>0</v>
      </c>
      <c r="S253" s="4">
        <f>SUMIFS(Tab_12.Dez[MOVIMENTO],Tab_12.Dez[CONTA],$F253)</f>
        <v>0</v>
      </c>
    </row>
    <row r="254" spans="2:19" x14ac:dyDescent="0.3">
      <c r="B254" s="3" t="s">
        <v>104</v>
      </c>
      <c r="C254" s="2" t="str">
        <f t="shared" si="45"/>
        <v>C</v>
      </c>
      <c r="D254" s="2" t="str">
        <f t="shared" si="46"/>
        <v>A</v>
      </c>
      <c r="E254" s="2">
        <f t="shared" si="47"/>
        <v>5</v>
      </c>
      <c r="F254" s="3" t="s">
        <v>805</v>
      </c>
      <c r="G254" s="3" t="s">
        <v>797</v>
      </c>
      <c r="H254" s="4">
        <f>SUMIFS(Tab_01.Jan[MOVIMENTO],Tab_01.Jan[CONTA],$F254)</f>
        <v>1667.78</v>
      </c>
      <c r="I254" s="4">
        <f>SUMIFS(Tab_02.Fev[MOVIMENTO],Tab_02.Fev[CONTA],$F254)</f>
        <v>1667.83</v>
      </c>
      <c r="J254" s="4">
        <f>SUMIFS(Tab_03.Mar[MOVIMENTO],Tab_03.Mar[CONTA],$F254)</f>
        <v>867.9</v>
      </c>
      <c r="K254" s="4">
        <f>SUMIFS(Tab_04.Abr[MOVIMENTO],Tab_04.Abr[CONTA],$F254)</f>
        <v>867.85</v>
      </c>
      <c r="L254" s="4">
        <f>SUMIFS(Tab_05.Mai[MOVIMENTO],Tab_05.Mai[CONTA],$F254)</f>
        <v>939.31</v>
      </c>
      <c r="M254" s="4">
        <f>SUMIFS(Tab_06.Jun[MOVIMENTO],Tab_06.Jun[CONTA],$F254)</f>
        <v>939.34</v>
      </c>
      <c r="N254" s="4">
        <f>SUMIFS(Tab_07.Jul[MOVIMENTO],Tab_07.Jul[CONTA],$F254)</f>
        <v>594.92999999999995</v>
      </c>
      <c r="O254" s="4">
        <f>SUMIFS(Tab_08.Ago[MOVIMENTO],Tab_08.Ago[CONTA],$F254)</f>
        <v>1138.44</v>
      </c>
      <c r="P254" s="4">
        <f>SUMIFS(Tab_09.Set[MOVIMENTO],Tab_09.Set[CONTA],$F254)</f>
        <v>758.23</v>
      </c>
      <c r="Q254" s="4">
        <f>SUMIFS(Tab_10.Out[MOVIMENTO],Tab_10.Out[CONTA],$F254)</f>
        <v>2316.54</v>
      </c>
      <c r="R254" s="4">
        <f>SUMIFS(Tab_11.Nov[MOVIMENTO],Tab_11.Nov[CONTA],$F254)</f>
        <v>2316.7800000000002</v>
      </c>
      <c r="S254" s="4">
        <f>SUMIFS(Tab_12.Dez[MOVIMENTO],Tab_12.Dez[CONTA],$F254)</f>
        <v>965.67</v>
      </c>
    </row>
    <row r="255" spans="2:19" x14ac:dyDescent="0.3">
      <c r="B255" s="3" t="s">
        <v>104</v>
      </c>
      <c r="C255" s="2" t="str">
        <f t="shared" si="45"/>
        <v>C</v>
      </c>
      <c r="D255" s="2" t="str">
        <f t="shared" si="46"/>
        <v>A</v>
      </c>
      <c r="E255" s="2">
        <f t="shared" si="47"/>
        <v>5</v>
      </c>
      <c r="F255" s="3" t="s">
        <v>806</v>
      </c>
      <c r="G255" s="3" t="s">
        <v>799</v>
      </c>
      <c r="H255" s="4">
        <f>SUMIFS(Tab_01.Jan[MOVIMENTO],Tab_01.Jan[CONTA],$F255)</f>
        <v>497.81</v>
      </c>
      <c r="I255" s="4">
        <f>SUMIFS(Tab_02.Fev[MOVIMENTO],Tab_02.Fev[CONTA],$F255)</f>
        <v>497.85</v>
      </c>
      <c r="J255" s="4">
        <f>SUMIFS(Tab_03.Mar[MOVIMENTO],Tab_03.Mar[CONTA],$F255)</f>
        <v>259.08</v>
      </c>
      <c r="K255" s="4">
        <f>SUMIFS(Tab_04.Abr[MOVIMENTO],Tab_04.Abr[CONTA],$F255)</f>
        <v>259.06</v>
      </c>
      <c r="L255" s="4">
        <f>SUMIFS(Tab_05.Mai[MOVIMENTO],Tab_05.Mai[CONTA],$F255)</f>
        <v>280.41000000000003</v>
      </c>
      <c r="M255" s="4">
        <f>SUMIFS(Tab_06.Jun[MOVIMENTO],Tab_06.Jun[CONTA],$F255)</f>
        <v>280.38</v>
      </c>
      <c r="N255" s="4">
        <f>SUMIFS(Tab_07.Jul[MOVIMENTO],Tab_07.Jul[CONTA],$F255)</f>
        <v>177.59</v>
      </c>
      <c r="O255" s="4">
        <f>SUMIFS(Tab_08.Ago[MOVIMENTO],Tab_08.Ago[CONTA],$F255)</f>
        <v>339.81</v>
      </c>
      <c r="P255" s="4">
        <f>SUMIFS(Tab_09.Set[MOVIMENTO],Tab_09.Set[CONTA],$F255)</f>
        <v>226.33</v>
      </c>
      <c r="Q255" s="4">
        <f>SUMIFS(Tab_10.Out[MOVIMENTO],Tab_10.Out[CONTA],$F255)</f>
        <v>692.14</v>
      </c>
      <c r="R255" s="4">
        <f>SUMIFS(Tab_11.Nov[MOVIMENTO],Tab_11.Nov[CONTA],$F255)</f>
        <v>692.11</v>
      </c>
      <c r="S255" s="4">
        <f>SUMIFS(Tab_12.Dez[MOVIMENTO],Tab_12.Dez[CONTA],$F255)</f>
        <v>288.26</v>
      </c>
    </row>
    <row r="256" spans="2:19" x14ac:dyDescent="0.3">
      <c r="B256" s="3" t="s">
        <v>104</v>
      </c>
      <c r="C256" s="2" t="str">
        <f t="shared" si="45"/>
        <v>C</v>
      </c>
      <c r="D256" s="2" t="str">
        <f t="shared" si="46"/>
        <v>A</v>
      </c>
      <c r="E256" s="2">
        <f t="shared" si="47"/>
        <v>5</v>
      </c>
      <c r="F256" s="3" t="s">
        <v>807</v>
      </c>
      <c r="G256" s="3" t="s">
        <v>801</v>
      </c>
      <c r="H256" s="4">
        <f>SUMIFS(Tab_01.Jan[MOVIMENTO],Tab_01.Jan[CONTA],$F256)</f>
        <v>62.22</v>
      </c>
      <c r="I256" s="4">
        <f>SUMIFS(Tab_02.Fev[MOVIMENTO],Tab_02.Fev[CONTA],$F256)</f>
        <v>62.24</v>
      </c>
      <c r="J256" s="4">
        <f>SUMIFS(Tab_03.Mar[MOVIMENTO],Tab_03.Mar[CONTA],$F256)</f>
        <v>32.380000000000003</v>
      </c>
      <c r="K256" s="4">
        <f>SUMIFS(Tab_04.Abr[MOVIMENTO],Tab_04.Abr[CONTA],$F256)</f>
        <v>32.380000000000003</v>
      </c>
      <c r="L256" s="4">
        <f>SUMIFS(Tab_05.Mai[MOVIMENTO],Tab_05.Mai[CONTA],$F256)</f>
        <v>35.06</v>
      </c>
      <c r="M256" s="4">
        <f>SUMIFS(Tab_06.Jun[MOVIMENTO],Tab_06.Jun[CONTA],$F256)</f>
        <v>35.04</v>
      </c>
      <c r="N256" s="4">
        <f>SUMIFS(Tab_07.Jul[MOVIMENTO],Tab_07.Jul[CONTA],$F256)</f>
        <v>35.04</v>
      </c>
      <c r="O256" s="4">
        <f>SUMIFS(Tab_08.Ago[MOVIMENTO],Tab_08.Ago[CONTA],$F256)</f>
        <v>42.5</v>
      </c>
      <c r="P256" s="4">
        <f>SUMIFS(Tab_09.Set[MOVIMENTO],Tab_09.Set[CONTA],$F256)</f>
        <v>28.29</v>
      </c>
      <c r="Q256" s="4">
        <f>SUMIFS(Tab_10.Out[MOVIMENTO],Tab_10.Out[CONTA],$F256)</f>
        <v>86.45</v>
      </c>
      <c r="R256" s="4">
        <f>SUMIFS(Tab_11.Nov[MOVIMENTO],Tab_11.Nov[CONTA],$F256)</f>
        <v>86.45</v>
      </c>
      <c r="S256" s="4">
        <f>SUMIFS(Tab_12.Dez[MOVIMENTO],Tab_12.Dez[CONTA],$F256)</f>
        <v>36.020000000000003</v>
      </c>
    </row>
    <row r="257" spans="2:19" x14ac:dyDescent="0.3">
      <c r="B257" s="3"/>
      <c r="C257" s="2" t="str">
        <f t="shared" si="45"/>
        <v>C</v>
      </c>
      <c r="D257" s="2" t="str">
        <f t="shared" si="46"/>
        <v>S</v>
      </c>
      <c r="E257" s="2">
        <f t="shared" si="47"/>
        <v>5</v>
      </c>
      <c r="F257" s="3" t="s">
        <v>602</v>
      </c>
      <c r="G257" s="3" t="s">
        <v>708</v>
      </c>
      <c r="H257" s="4">
        <f>SUMIFS(Tab_01.Jan[MOVIMENTO],Tab_01.Jan[CONTA],$F257)</f>
        <v>1014</v>
      </c>
      <c r="I257" s="4">
        <f>SUMIFS(Tab_02.Fev[MOVIMENTO],Tab_02.Fev[CONTA],$F257)</f>
        <v>0</v>
      </c>
      <c r="J257" s="4">
        <f>SUMIFS(Tab_03.Mar[MOVIMENTO],Tab_03.Mar[CONTA],$F257)</f>
        <v>0</v>
      </c>
      <c r="K257" s="4">
        <f>SUMIFS(Tab_04.Abr[MOVIMENTO],Tab_04.Abr[CONTA],$F257)</f>
        <v>0</v>
      </c>
      <c r="L257" s="4">
        <f>SUMIFS(Tab_05.Mai[MOVIMENTO],Tab_05.Mai[CONTA],$F257)</f>
        <v>0</v>
      </c>
      <c r="M257" s="4">
        <f>SUMIFS(Tab_06.Jun[MOVIMENTO],Tab_06.Jun[CONTA],$F257)</f>
        <v>0</v>
      </c>
      <c r="N257" s="4">
        <f>SUMIFS(Tab_07.Jul[MOVIMENTO],Tab_07.Jul[CONTA],$F257)</f>
        <v>0</v>
      </c>
      <c r="O257" s="4">
        <f>SUMIFS(Tab_08.Ago[MOVIMENTO],Tab_08.Ago[CONTA],$F257)</f>
        <v>386.16</v>
      </c>
      <c r="P257" s="4">
        <f>SUMIFS(Tab_09.Set[MOVIMENTO],Tab_09.Set[CONTA],$F257)</f>
        <v>-386.16</v>
      </c>
      <c r="Q257" s="4">
        <f>SUMIFS(Tab_10.Out[MOVIMENTO],Tab_10.Out[CONTA],$F257)</f>
        <v>0</v>
      </c>
      <c r="R257" s="4">
        <f>SUMIFS(Tab_11.Nov[MOVIMENTO],Tab_11.Nov[CONTA],$F257)</f>
        <v>0</v>
      </c>
      <c r="S257" s="4">
        <f>SUMIFS(Tab_12.Dez[MOVIMENTO],Tab_12.Dez[CONTA],$F257)</f>
        <v>119.61</v>
      </c>
    </row>
    <row r="258" spans="2:19" x14ac:dyDescent="0.3">
      <c r="B258" s="3" t="s">
        <v>105</v>
      </c>
      <c r="C258" s="2" t="str">
        <f t="shared" si="45"/>
        <v>C</v>
      </c>
      <c r="D258" s="2" t="str">
        <f t="shared" si="46"/>
        <v>A</v>
      </c>
      <c r="E258" s="2">
        <f t="shared" si="47"/>
        <v>5</v>
      </c>
      <c r="F258" s="3" t="s">
        <v>772</v>
      </c>
      <c r="G258" s="3" t="s">
        <v>435</v>
      </c>
      <c r="H258" s="4">
        <f>SUMIFS(Tab_01.Jan[MOVIMENTO],Tab_01.Jan[CONTA],$F258)</f>
        <v>0</v>
      </c>
      <c r="I258" s="4">
        <f>SUMIFS(Tab_02.Fev[MOVIMENTO],Tab_02.Fev[CONTA],$F258)</f>
        <v>0</v>
      </c>
      <c r="J258" s="4">
        <f>SUMIFS(Tab_03.Mar[MOVIMENTO],Tab_03.Mar[CONTA],$F258)</f>
        <v>0</v>
      </c>
      <c r="K258" s="4">
        <f>SUMIFS(Tab_04.Abr[MOVIMENTO],Tab_04.Abr[CONTA],$F258)</f>
        <v>0</v>
      </c>
      <c r="L258" s="4">
        <f>SUMIFS(Tab_05.Mai[MOVIMENTO],Tab_05.Mai[CONTA],$F258)</f>
        <v>0</v>
      </c>
      <c r="M258" s="4">
        <f>SUMIFS(Tab_06.Jun[MOVIMENTO],Tab_06.Jun[CONTA],$F258)</f>
        <v>0</v>
      </c>
      <c r="N258" s="4">
        <f>SUMIFS(Tab_07.Jul[MOVIMENTO],Tab_07.Jul[CONTA],$F258)</f>
        <v>0</v>
      </c>
      <c r="O258" s="4">
        <f>SUMIFS(Tab_08.Ago[MOVIMENTO],Tab_08.Ago[CONTA],$F258)</f>
        <v>0</v>
      </c>
      <c r="P258" s="4">
        <f>SUMIFS(Tab_09.Set[MOVIMENTO],Tab_09.Set[CONTA],$F258)</f>
        <v>0</v>
      </c>
      <c r="Q258" s="4">
        <f>SUMIFS(Tab_10.Out[MOVIMENTO],Tab_10.Out[CONTA],$F258)</f>
        <v>0</v>
      </c>
      <c r="R258" s="4">
        <f>SUMIFS(Tab_11.Nov[MOVIMENTO],Tab_11.Nov[CONTA],$F258)</f>
        <v>0</v>
      </c>
      <c r="S258" s="4">
        <f>SUMIFS(Tab_12.Dez[MOVIMENTO],Tab_12.Dez[CONTA],$F258)</f>
        <v>0</v>
      </c>
    </row>
    <row r="259" spans="2:19" x14ac:dyDescent="0.3">
      <c r="B259" s="3" t="s">
        <v>105</v>
      </c>
      <c r="C259" s="2" t="str">
        <f t="shared" si="45"/>
        <v>C</v>
      </c>
      <c r="D259" s="2" t="str">
        <f t="shared" si="46"/>
        <v>A</v>
      </c>
      <c r="E259" s="2">
        <f t="shared" si="47"/>
        <v>5</v>
      </c>
      <c r="F259" s="3" t="s">
        <v>773</v>
      </c>
      <c r="G259" s="3" t="s">
        <v>751</v>
      </c>
      <c r="H259" s="4">
        <f>SUMIFS(Tab_01.Jan[MOVIMENTO],Tab_01.Jan[CONTA],$F259)</f>
        <v>0</v>
      </c>
      <c r="I259" s="4">
        <f>SUMIFS(Tab_02.Fev[MOVIMENTO],Tab_02.Fev[CONTA],$F259)</f>
        <v>0</v>
      </c>
      <c r="J259" s="4">
        <f>SUMIFS(Tab_03.Mar[MOVIMENTO],Tab_03.Mar[CONTA],$F259)</f>
        <v>0</v>
      </c>
      <c r="K259" s="4">
        <f>SUMIFS(Tab_04.Abr[MOVIMENTO],Tab_04.Abr[CONTA],$F259)</f>
        <v>0</v>
      </c>
      <c r="L259" s="4">
        <f>SUMIFS(Tab_05.Mai[MOVIMENTO],Tab_05.Mai[CONTA],$F259)</f>
        <v>0</v>
      </c>
      <c r="M259" s="4">
        <f>SUMIFS(Tab_06.Jun[MOVIMENTO],Tab_06.Jun[CONTA],$F259)</f>
        <v>0</v>
      </c>
      <c r="N259" s="4">
        <f>SUMIFS(Tab_07.Jul[MOVIMENTO],Tab_07.Jul[CONTA],$F259)</f>
        <v>0</v>
      </c>
      <c r="O259" s="4">
        <f>SUMIFS(Tab_08.Ago[MOVIMENTO],Tab_08.Ago[CONTA],$F259)</f>
        <v>386.16</v>
      </c>
      <c r="P259" s="4">
        <f>SUMIFS(Tab_09.Set[MOVIMENTO],Tab_09.Set[CONTA],$F259)</f>
        <v>-386.16</v>
      </c>
      <c r="Q259" s="4">
        <f>SUMIFS(Tab_10.Out[MOVIMENTO],Tab_10.Out[CONTA],$F259)</f>
        <v>0</v>
      </c>
      <c r="R259" s="4">
        <f>SUMIFS(Tab_11.Nov[MOVIMENTO],Tab_11.Nov[CONTA],$F259)</f>
        <v>0</v>
      </c>
      <c r="S259" s="4">
        <f>SUMIFS(Tab_12.Dez[MOVIMENTO],Tab_12.Dez[CONTA],$F259)</f>
        <v>0</v>
      </c>
    </row>
    <row r="260" spans="2:19" x14ac:dyDescent="0.3">
      <c r="B260" s="3" t="s">
        <v>105</v>
      </c>
      <c r="C260" s="2" t="str">
        <f t="shared" si="45"/>
        <v>C</v>
      </c>
      <c r="D260" s="2" t="str">
        <f t="shared" si="46"/>
        <v>A</v>
      </c>
      <c r="E260" s="2">
        <f t="shared" si="47"/>
        <v>5</v>
      </c>
      <c r="F260" s="3" t="s">
        <v>455</v>
      </c>
      <c r="G260" s="3" t="s">
        <v>456</v>
      </c>
      <c r="H260" s="4">
        <f>SUMIFS(Tab_01.Jan[MOVIMENTO],Tab_01.Jan[CONTA],$F260)</f>
        <v>1014</v>
      </c>
      <c r="I260" s="4">
        <f>SUMIFS(Tab_02.Fev[MOVIMENTO],Tab_02.Fev[CONTA],$F260)</f>
        <v>0</v>
      </c>
      <c r="J260" s="4">
        <f>SUMIFS(Tab_03.Mar[MOVIMENTO],Tab_03.Mar[CONTA],$F260)</f>
        <v>0</v>
      </c>
      <c r="K260" s="4">
        <f>SUMIFS(Tab_04.Abr[MOVIMENTO],Tab_04.Abr[CONTA],$F260)</f>
        <v>0</v>
      </c>
      <c r="L260" s="4">
        <f>SUMIFS(Tab_05.Mai[MOVIMENTO],Tab_05.Mai[CONTA],$F260)</f>
        <v>0</v>
      </c>
      <c r="M260" s="4">
        <f>SUMIFS(Tab_06.Jun[MOVIMENTO],Tab_06.Jun[CONTA],$F260)</f>
        <v>0</v>
      </c>
      <c r="N260" s="4">
        <f>SUMIFS(Tab_07.Jul[MOVIMENTO],Tab_07.Jul[CONTA],$F260)</f>
        <v>0</v>
      </c>
      <c r="O260" s="4">
        <f>SUMIFS(Tab_08.Ago[MOVIMENTO],Tab_08.Ago[CONTA],$F260)</f>
        <v>0</v>
      </c>
      <c r="P260" s="4">
        <f>SUMIFS(Tab_09.Set[MOVIMENTO],Tab_09.Set[CONTA],$F260)</f>
        <v>0</v>
      </c>
      <c r="Q260" s="4">
        <f>SUMIFS(Tab_10.Out[MOVIMENTO],Tab_10.Out[CONTA],$F260)</f>
        <v>0</v>
      </c>
      <c r="R260" s="4">
        <f>SUMIFS(Tab_11.Nov[MOVIMENTO],Tab_11.Nov[CONTA],$F260)</f>
        <v>0</v>
      </c>
      <c r="S260" s="4">
        <f>SUMIFS(Tab_12.Dez[MOVIMENTO],Tab_12.Dez[CONTA],$F260)</f>
        <v>119.61</v>
      </c>
    </row>
    <row r="261" spans="2:19" x14ac:dyDescent="0.3">
      <c r="B261" s="3"/>
      <c r="C261" s="2" t="str">
        <f t="shared" si="45"/>
        <v>C</v>
      </c>
      <c r="D261" s="2" t="str">
        <f t="shared" si="46"/>
        <v>S</v>
      </c>
      <c r="E261" s="2">
        <f t="shared" si="47"/>
        <v>5</v>
      </c>
      <c r="F261" s="3" t="s">
        <v>603</v>
      </c>
      <c r="G261" s="3" t="s">
        <v>709</v>
      </c>
      <c r="H261" s="4">
        <f>SUMIFS(Tab_01.Jan[MOVIMENTO],Tab_01.Jan[CONTA],$F261)</f>
        <v>24701.439999999999</v>
      </c>
      <c r="I261" s="4">
        <f>SUMIFS(Tab_02.Fev[MOVIMENTO],Tab_02.Fev[CONTA],$F261)</f>
        <v>208157.71</v>
      </c>
      <c r="J261" s="4">
        <f>SUMIFS(Tab_03.Mar[MOVIMENTO],Tab_03.Mar[CONTA],$F261)</f>
        <v>11195.26</v>
      </c>
      <c r="K261" s="4">
        <f>SUMIFS(Tab_04.Abr[MOVIMENTO],Tab_04.Abr[CONTA],$F261)</f>
        <v>11195.26</v>
      </c>
      <c r="L261" s="4">
        <f>SUMIFS(Tab_05.Mai[MOVIMENTO],Tab_05.Mai[CONTA],$F261)</f>
        <v>11195.26</v>
      </c>
      <c r="M261" s="4">
        <f>SUMIFS(Tab_06.Jun[MOVIMENTO],Tab_06.Jun[CONTA],$F261)</f>
        <v>15331.52</v>
      </c>
      <c r="N261" s="4">
        <f>SUMIFS(Tab_07.Jul[MOVIMENTO],Tab_07.Jul[CONTA],$F261)</f>
        <v>15412.71</v>
      </c>
      <c r="O261" s="4">
        <f>SUMIFS(Tab_08.Ago[MOVIMENTO],Tab_08.Ago[CONTA],$F261)</f>
        <v>15983.46</v>
      </c>
      <c r="P261" s="4">
        <f>SUMIFS(Tab_09.Set[MOVIMENTO],Tab_09.Set[CONTA],$F261)</f>
        <v>9827.5499999999993</v>
      </c>
      <c r="Q261" s="4">
        <f>SUMIFS(Tab_10.Out[MOVIMENTO],Tab_10.Out[CONTA],$F261)</f>
        <v>15479.57</v>
      </c>
      <c r="R261" s="4">
        <f>SUMIFS(Tab_11.Nov[MOVIMENTO],Tab_11.Nov[CONTA],$F261)</f>
        <v>15297.18</v>
      </c>
      <c r="S261" s="4">
        <f>SUMIFS(Tab_12.Dez[MOVIMENTO],Tab_12.Dez[CONTA],$F261)</f>
        <v>20722.330000000002</v>
      </c>
    </row>
    <row r="262" spans="2:19" x14ac:dyDescent="0.3">
      <c r="B262" s="3" t="s">
        <v>104</v>
      </c>
      <c r="C262" s="2" t="str">
        <f t="shared" si="45"/>
        <v>C</v>
      </c>
      <c r="D262" s="2" t="str">
        <f t="shared" si="46"/>
        <v>A</v>
      </c>
      <c r="E262" s="2">
        <f t="shared" si="47"/>
        <v>5</v>
      </c>
      <c r="F262" s="3" t="s">
        <v>451</v>
      </c>
      <c r="G262" s="3" t="s">
        <v>437</v>
      </c>
      <c r="H262" s="4">
        <f>SUMIFS(Tab_01.Jan[MOVIMENTO],Tab_01.Jan[CONTA],$F262)</f>
        <v>18491.599999999999</v>
      </c>
      <c r="I262" s="4">
        <f>SUMIFS(Tab_02.Fev[MOVIMENTO],Tab_02.Fev[CONTA],$F262)</f>
        <v>16379.85</v>
      </c>
      <c r="J262" s="4">
        <f>SUMIFS(Tab_03.Mar[MOVIMENTO],Tab_03.Mar[CONTA],$F262)</f>
        <v>8380.82</v>
      </c>
      <c r="K262" s="4">
        <f>SUMIFS(Tab_04.Abr[MOVIMENTO],Tab_04.Abr[CONTA],$F262)</f>
        <v>8380.82</v>
      </c>
      <c r="L262" s="4">
        <f>SUMIFS(Tab_05.Mai[MOVIMENTO],Tab_05.Mai[CONTA],$F262)</f>
        <v>8380.82</v>
      </c>
      <c r="M262" s="4">
        <f>SUMIFS(Tab_06.Jun[MOVIMENTO],Tab_06.Jun[CONTA],$F262)</f>
        <v>13072.58</v>
      </c>
      <c r="N262" s="4">
        <f>SUMIFS(Tab_07.Jul[MOVIMENTO],Tab_07.Jul[CONTA],$F262)</f>
        <v>11538.01</v>
      </c>
      <c r="O262" s="4">
        <f>SUMIFS(Tab_08.Ago[MOVIMENTO],Tab_08.Ago[CONTA],$F262)</f>
        <v>11961.36</v>
      </c>
      <c r="P262" s="4">
        <f>SUMIFS(Tab_09.Set[MOVIMENTO],Tab_09.Set[CONTA],$F262)</f>
        <v>7356.94</v>
      </c>
      <c r="Q262" s="4">
        <f>SUMIFS(Tab_10.Out[MOVIMENTO],Tab_10.Out[CONTA],$F262)</f>
        <v>11588.06</v>
      </c>
      <c r="R262" s="4">
        <f>SUMIFS(Tab_11.Nov[MOVIMENTO],Tab_11.Nov[CONTA],$F262)</f>
        <v>11451.52</v>
      </c>
      <c r="S262" s="4">
        <f>SUMIFS(Tab_12.Dez[MOVIMENTO],Tab_12.Dez[CONTA],$F262)</f>
        <v>16830.82</v>
      </c>
    </row>
    <row r="263" spans="2:19" x14ac:dyDescent="0.3">
      <c r="B263" s="3" t="s">
        <v>104</v>
      </c>
      <c r="C263" s="2" t="str">
        <f t="shared" ref="C263:C264" si="48">IF($F263="","",IF(LEFT($F263,1)*1=1,"A",IF(LEFT($F263,1)*1=2,"P",IF(LEFT($F263,1)*1=3,"R",IF(LEFT($F263,1)*1=4,"C",IF(LEFT($F263,1)*1=5,"C",IF(LEFT($F263,1)*1=6,"C","")))))))</f>
        <v>C</v>
      </c>
      <c r="D263" s="2" t="str">
        <f t="shared" ref="D263:D264" si="49">IF($F263="","",IF(LEN($F263)=13,"A","S"))</f>
        <v>A</v>
      </c>
      <c r="E263" s="2">
        <f t="shared" ref="E263:E264" si="50">IF($F263="","",IF(LEN($F263)=1,1,IF(LEN($F263)=3,2,IF(LEN($F263)=5,3,IF(LEN($F263)=8,4,5)))))</f>
        <v>5</v>
      </c>
      <c r="F263" s="3" t="s">
        <v>452</v>
      </c>
      <c r="G263" s="3" t="s">
        <v>196</v>
      </c>
      <c r="H263" s="4">
        <f>SUMIFS(Tab_01.Jan[MOVIMENTO],Tab_01.Jan[CONTA],$F263)</f>
        <v>5519.86</v>
      </c>
      <c r="I263" s="4">
        <f>SUMIFS(Tab_02.Fev[MOVIMENTO],Tab_02.Fev[CONTA],$F263)</f>
        <v>191166.67</v>
      </c>
      <c r="J263" s="4">
        <f>SUMIFS(Tab_03.Mar[MOVIMENTO],Tab_03.Mar[CONTA],$F263)</f>
        <v>2501.7199999999998</v>
      </c>
      <c r="K263" s="4">
        <f>SUMIFS(Tab_04.Abr[MOVIMENTO],Tab_04.Abr[CONTA],$F263)</f>
        <v>2501.7199999999998</v>
      </c>
      <c r="L263" s="4">
        <f>SUMIFS(Tab_05.Mai[MOVIMENTO],Tab_05.Mai[CONTA],$F263)</f>
        <v>2501.7199999999998</v>
      </c>
      <c r="M263" s="4">
        <f>SUMIFS(Tab_06.Jun[MOVIMENTO],Tab_06.Jun[CONTA],$F263)</f>
        <v>1771.15</v>
      </c>
      <c r="N263" s="4">
        <f>SUMIFS(Tab_07.Jul[MOVIMENTO],Tab_07.Jul[CONTA],$F263)</f>
        <v>3444.18</v>
      </c>
      <c r="O263" s="4">
        <f>SUMIFS(Tab_08.Ago[MOVIMENTO],Tab_08.Ago[CONTA],$F263)</f>
        <v>3575.19</v>
      </c>
      <c r="P263" s="4">
        <f>SUMIFS(Tab_09.Set[MOVIMENTO],Tab_09.Set[CONTA],$F263)</f>
        <v>2196.1</v>
      </c>
      <c r="Q263" s="4">
        <f>SUMIFS(Tab_10.Out[MOVIMENTO],Tab_10.Out[CONTA],$F263)</f>
        <v>3459.12</v>
      </c>
      <c r="R263" s="4">
        <f>SUMIFS(Tab_11.Nov[MOVIMENTO],Tab_11.Nov[CONTA],$F263)</f>
        <v>3418.36</v>
      </c>
      <c r="S263" s="4">
        <f>SUMIFS(Tab_12.Dez[MOVIMENTO],Tab_12.Dez[CONTA],$F263)</f>
        <v>3459.12</v>
      </c>
    </row>
    <row r="264" spans="2:19" x14ac:dyDescent="0.3">
      <c r="B264" s="3" t="s">
        <v>104</v>
      </c>
      <c r="C264" s="2" t="str">
        <f t="shared" si="48"/>
        <v>C</v>
      </c>
      <c r="D264" s="2" t="str">
        <f t="shared" si="49"/>
        <v>A</v>
      </c>
      <c r="E264" s="2">
        <f t="shared" si="50"/>
        <v>5</v>
      </c>
      <c r="F264" s="3" t="s">
        <v>453</v>
      </c>
      <c r="G264" s="3" t="s">
        <v>454</v>
      </c>
      <c r="H264" s="4">
        <f>SUMIFS(Tab_01.Jan[MOVIMENTO],Tab_01.Jan[CONTA],$F264)</f>
        <v>689.98</v>
      </c>
      <c r="I264" s="4">
        <f>SUMIFS(Tab_02.Fev[MOVIMENTO],Tab_02.Fev[CONTA],$F264)</f>
        <v>611.19000000000005</v>
      </c>
      <c r="J264" s="4">
        <f>SUMIFS(Tab_03.Mar[MOVIMENTO],Tab_03.Mar[CONTA],$F264)</f>
        <v>312.72000000000003</v>
      </c>
      <c r="K264" s="4">
        <f>SUMIFS(Tab_04.Abr[MOVIMENTO],Tab_04.Abr[CONTA],$F264)</f>
        <v>312.72000000000003</v>
      </c>
      <c r="L264" s="4">
        <f>SUMIFS(Tab_05.Mai[MOVIMENTO],Tab_05.Mai[CONTA],$F264)</f>
        <v>312.72000000000003</v>
      </c>
      <c r="M264" s="4">
        <f>SUMIFS(Tab_06.Jun[MOVIMENTO],Tab_06.Jun[CONTA],$F264)</f>
        <v>487.79</v>
      </c>
      <c r="N264" s="4">
        <f>SUMIFS(Tab_07.Jul[MOVIMENTO],Tab_07.Jul[CONTA],$F264)</f>
        <v>430.52</v>
      </c>
      <c r="O264" s="4">
        <f>SUMIFS(Tab_08.Ago[MOVIMENTO],Tab_08.Ago[CONTA],$F264)</f>
        <v>446.91</v>
      </c>
      <c r="P264" s="4">
        <f>SUMIFS(Tab_09.Set[MOVIMENTO],Tab_09.Set[CONTA],$F264)</f>
        <v>274.51</v>
      </c>
      <c r="Q264" s="4">
        <f>SUMIFS(Tab_10.Out[MOVIMENTO],Tab_10.Out[CONTA],$F264)</f>
        <v>432.39</v>
      </c>
      <c r="R264" s="4">
        <f>SUMIFS(Tab_11.Nov[MOVIMENTO],Tab_11.Nov[CONTA],$F264)</f>
        <v>427.3</v>
      </c>
      <c r="S264" s="4">
        <f>SUMIFS(Tab_12.Dez[MOVIMENTO],Tab_12.Dez[CONTA],$F264)</f>
        <v>432.39</v>
      </c>
    </row>
    <row r="265" spans="2:19" x14ac:dyDescent="0.3">
      <c r="B265" s="3"/>
      <c r="C265" s="2" t="str">
        <f t="shared" ref="C265:C318" si="51">IF($F265="","",IF(LEFT($F265,1)*1=1,"A",IF(LEFT($F265,1)*1=2,"P",IF(LEFT($F265,1)*1=3,"R",IF(LEFT($F265,1)*1=4,"C",IF(LEFT($F265,1)*1=5,"C",IF(LEFT($F265,1)*1=6,"C","")))))))</f>
        <v>C</v>
      </c>
      <c r="D265" s="2" t="str">
        <f t="shared" ref="D265:D318" si="52">IF($F265="","",IF(LEN($F265)=13,"A","S"))</f>
        <v>S</v>
      </c>
      <c r="E265" s="2">
        <f t="shared" ref="E265:E318" si="53">IF($F265="","",IF(LEN($F265)=1,1,IF(LEN($F265)=3,2,IF(LEN($F265)=5,3,IF(LEN($F265)=8,4,5)))))</f>
        <v>5</v>
      </c>
      <c r="F265" s="3" t="s">
        <v>604</v>
      </c>
      <c r="G265" s="3" t="s">
        <v>710</v>
      </c>
      <c r="H265" s="4">
        <f>SUMIFS(Tab_01.Jan[MOVIMENTO],Tab_01.Jan[CONTA],$F265)</f>
        <v>190</v>
      </c>
      <c r="I265" s="4">
        <f>SUMIFS(Tab_02.Fev[MOVIMENTO],Tab_02.Fev[CONTA],$F265)</f>
        <v>235</v>
      </c>
      <c r="J265" s="4">
        <f>SUMIFS(Tab_03.Mar[MOVIMENTO],Tab_03.Mar[CONTA],$F265)</f>
        <v>235</v>
      </c>
      <c r="K265" s="4">
        <f>SUMIFS(Tab_04.Abr[MOVIMENTO],Tab_04.Abr[CONTA],$F265)</f>
        <v>230</v>
      </c>
      <c r="L265" s="4">
        <f>SUMIFS(Tab_05.Mai[MOVIMENTO],Tab_05.Mai[CONTA],$F265)</f>
        <v>190</v>
      </c>
      <c r="M265" s="4">
        <f>SUMIFS(Tab_06.Jun[MOVIMENTO],Tab_06.Jun[CONTA],$F265)</f>
        <v>275</v>
      </c>
      <c r="N265" s="4">
        <f>SUMIFS(Tab_07.Jul[MOVIMENTO],Tab_07.Jul[CONTA],$F265)</f>
        <v>190</v>
      </c>
      <c r="O265" s="4">
        <f>SUMIFS(Tab_08.Ago[MOVIMENTO],Tab_08.Ago[CONTA],$F265)</f>
        <v>190</v>
      </c>
      <c r="P265" s="4">
        <f>SUMIFS(Tab_09.Set[MOVIMENTO],Tab_09.Set[CONTA],$F265)</f>
        <v>1190</v>
      </c>
      <c r="Q265" s="4">
        <f>SUMIFS(Tab_10.Out[MOVIMENTO],Tab_10.Out[CONTA],$F265)</f>
        <v>280</v>
      </c>
      <c r="R265" s="4">
        <f>SUMIFS(Tab_11.Nov[MOVIMENTO],Tab_11.Nov[CONTA],$F265)</f>
        <v>190</v>
      </c>
      <c r="S265" s="4">
        <f>SUMIFS(Tab_12.Dez[MOVIMENTO],Tab_12.Dez[CONTA],$F265)</f>
        <v>230</v>
      </c>
    </row>
    <row r="266" spans="2:19" x14ac:dyDescent="0.3">
      <c r="B266" s="3" t="s">
        <v>105</v>
      </c>
      <c r="C266" s="2" t="str">
        <f t="shared" si="51"/>
        <v>C</v>
      </c>
      <c r="D266" s="2" t="str">
        <f t="shared" si="52"/>
        <v>A</v>
      </c>
      <c r="E266" s="2">
        <f t="shared" si="53"/>
        <v>5</v>
      </c>
      <c r="F266" s="3" t="s">
        <v>457</v>
      </c>
      <c r="G266" s="3" t="s">
        <v>458</v>
      </c>
      <c r="H266" s="4">
        <f>SUMIFS(Tab_01.Jan[MOVIMENTO],Tab_01.Jan[CONTA],$F266)</f>
        <v>190</v>
      </c>
      <c r="I266" s="4">
        <f>SUMIFS(Tab_02.Fev[MOVIMENTO],Tab_02.Fev[CONTA],$F266)</f>
        <v>235</v>
      </c>
      <c r="J266" s="4">
        <f>SUMIFS(Tab_03.Mar[MOVIMENTO],Tab_03.Mar[CONTA],$F266)</f>
        <v>235</v>
      </c>
      <c r="K266" s="4">
        <f>SUMIFS(Tab_04.Abr[MOVIMENTO],Tab_04.Abr[CONTA],$F266)</f>
        <v>230</v>
      </c>
      <c r="L266" s="4">
        <f>SUMIFS(Tab_05.Mai[MOVIMENTO],Tab_05.Mai[CONTA],$F266)</f>
        <v>190</v>
      </c>
      <c r="M266" s="4">
        <f>SUMIFS(Tab_06.Jun[MOVIMENTO],Tab_06.Jun[CONTA],$F266)</f>
        <v>275</v>
      </c>
      <c r="N266" s="4">
        <f>SUMIFS(Tab_07.Jul[MOVIMENTO],Tab_07.Jul[CONTA],$F266)</f>
        <v>190</v>
      </c>
      <c r="O266" s="4">
        <f>SUMIFS(Tab_08.Ago[MOVIMENTO],Tab_08.Ago[CONTA],$F266)</f>
        <v>190</v>
      </c>
      <c r="P266" s="4">
        <f>SUMIFS(Tab_09.Set[MOVIMENTO],Tab_09.Set[CONTA],$F266)</f>
        <v>1190</v>
      </c>
      <c r="Q266" s="4">
        <f>SUMIFS(Tab_10.Out[MOVIMENTO],Tab_10.Out[CONTA],$F266)</f>
        <v>280</v>
      </c>
      <c r="R266" s="4">
        <f>SUMIFS(Tab_11.Nov[MOVIMENTO],Tab_11.Nov[CONTA],$F266)</f>
        <v>190</v>
      </c>
      <c r="S266" s="4">
        <f>SUMIFS(Tab_12.Dez[MOVIMENTO],Tab_12.Dez[CONTA],$F266)</f>
        <v>230</v>
      </c>
    </row>
    <row r="267" spans="2:19" x14ac:dyDescent="0.3">
      <c r="B267" s="3"/>
      <c r="C267" s="2" t="str">
        <f t="shared" si="51"/>
        <v>C</v>
      </c>
      <c r="D267" s="2" t="str">
        <f t="shared" si="52"/>
        <v>S</v>
      </c>
      <c r="E267" s="2">
        <f t="shared" si="53"/>
        <v>5</v>
      </c>
      <c r="F267" s="3" t="s">
        <v>605</v>
      </c>
      <c r="G267" s="3" t="s">
        <v>711</v>
      </c>
      <c r="H267" s="4">
        <f>SUMIFS(Tab_01.Jan[MOVIMENTO],Tab_01.Jan[CONTA],$F267)</f>
        <v>128411.32</v>
      </c>
      <c r="I267" s="4">
        <f>SUMIFS(Tab_02.Fev[MOVIMENTO],Tab_02.Fev[CONTA],$F267)</f>
        <v>124829.59</v>
      </c>
      <c r="J267" s="4">
        <f>SUMIFS(Tab_03.Mar[MOVIMENTO],Tab_03.Mar[CONTA],$F267)</f>
        <v>124829.59</v>
      </c>
      <c r="K267" s="4">
        <f>SUMIFS(Tab_04.Abr[MOVIMENTO],Tab_04.Abr[CONTA],$F267)</f>
        <v>133340.35999999999</v>
      </c>
      <c r="L267" s="4">
        <f>SUMIFS(Tab_05.Mai[MOVIMENTO],Tab_05.Mai[CONTA],$F267)</f>
        <v>139724.43</v>
      </c>
      <c r="M267" s="4">
        <f>SUMIFS(Tab_06.Jun[MOVIMENTO],Tab_06.Jun[CONTA],$F267)</f>
        <v>212238.61</v>
      </c>
      <c r="N267" s="4">
        <f>SUMIFS(Tab_07.Jul[MOVIMENTO],Tab_07.Jul[CONTA],$F267)</f>
        <v>167870.49</v>
      </c>
      <c r="O267" s="4">
        <f>SUMIFS(Tab_08.Ago[MOVIMENTO],Tab_08.Ago[CONTA],$F267)</f>
        <v>164660.78</v>
      </c>
      <c r="P267" s="4">
        <f>SUMIFS(Tab_09.Set[MOVIMENTO],Tab_09.Set[CONTA],$F267)</f>
        <v>162984.39000000001</v>
      </c>
      <c r="Q267" s="4">
        <f>SUMIFS(Tab_10.Out[MOVIMENTO],Tab_10.Out[CONTA],$F267)</f>
        <v>161531.21</v>
      </c>
      <c r="R267" s="4">
        <f>SUMIFS(Tab_11.Nov[MOVIMENTO],Tab_11.Nov[CONTA],$F267)</f>
        <v>170953.71</v>
      </c>
      <c r="S267" s="4">
        <f>SUMIFS(Tab_12.Dez[MOVIMENTO],Tab_12.Dez[CONTA],$F267)</f>
        <v>161172.53</v>
      </c>
    </row>
    <row r="268" spans="2:19" x14ac:dyDescent="0.3">
      <c r="B268" s="3"/>
      <c r="C268" s="2" t="str">
        <f t="shared" si="51"/>
        <v>C</v>
      </c>
      <c r="D268" s="2" t="str">
        <f t="shared" si="52"/>
        <v>S</v>
      </c>
      <c r="E268" s="2">
        <f t="shared" si="53"/>
        <v>5</v>
      </c>
      <c r="F268" s="3" t="s">
        <v>606</v>
      </c>
      <c r="G268" s="3" t="s">
        <v>712</v>
      </c>
      <c r="H268" s="4">
        <f>SUMIFS(Tab_01.Jan[MOVIMENTO],Tab_01.Jan[CONTA],$F268)</f>
        <v>45445.24</v>
      </c>
      <c r="I268" s="4">
        <f>SUMIFS(Tab_02.Fev[MOVIMENTO],Tab_02.Fev[CONTA],$F268)</f>
        <v>41863.51</v>
      </c>
      <c r="J268" s="4">
        <f>SUMIFS(Tab_03.Mar[MOVIMENTO],Tab_03.Mar[CONTA],$F268)</f>
        <v>41863.51</v>
      </c>
      <c r="K268" s="4">
        <f>SUMIFS(Tab_04.Abr[MOVIMENTO],Tab_04.Abr[CONTA],$F268)</f>
        <v>50374.28</v>
      </c>
      <c r="L268" s="4">
        <f>SUMIFS(Tab_05.Mai[MOVIMENTO],Tab_05.Mai[CONTA],$F268)</f>
        <v>56758.35</v>
      </c>
      <c r="M268" s="4">
        <f>SUMIFS(Tab_06.Jun[MOVIMENTO],Tab_06.Jun[CONTA],$F268)</f>
        <v>129272.53</v>
      </c>
      <c r="N268" s="4">
        <f>SUMIFS(Tab_07.Jul[MOVIMENTO],Tab_07.Jul[CONTA],$F268)</f>
        <v>84904.41</v>
      </c>
      <c r="O268" s="4">
        <f>SUMIFS(Tab_08.Ago[MOVIMENTO],Tab_08.Ago[CONTA],$F268)</f>
        <v>81694.7</v>
      </c>
      <c r="P268" s="4">
        <f>SUMIFS(Tab_09.Set[MOVIMENTO],Tab_09.Set[CONTA],$F268)</f>
        <v>80018.3</v>
      </c>
      <c r="Q268" s="4">
        <f>SUMIFS(Tab_10.Out[MOVIMENTO],Tab_10.Out[CONTA],$F268)</f>
        <v>78565.13</v>
      </c>
      <c r="R268" s="4">
        <f>SUMIFS(Tab_11.Nov[MOVIMENTO],Tab_11.Nov[CONTA],$F268)</f>
        <v>87987.63</v>
      </c>
      <c r="S268" s="4">
        <f>SUMIFS(Tab_12.Dez[MOVIMENTO],Tab_12.Dez[CONTA],$F268)</f>
        <v>78206.45</v>
      </c>
    </row>
    <row r="269" spans="2:19" x14ac:dyDescent="0.3">
      <c r="B269" s="3" t="s">
        <v>106</v>
      </c>
      <c r="C269" s="2" t="str">
        <f t="shared" si="51"/>
        <v>C</v>
      </c>
      <c r="D269" s="2" t="str">
        <f t="shared" si="52"/>
        <v>A</v>
      </c>
      <c r="E269" s="2">
        <f t="shared" si="53"/>
        <v>5</v>
      </c>
      <c r="F269" s="3" t="s">
        <v>459</v>
      </c>
      <c r="G269" s="3" t="s">
        <v>460</v>
      </c>
      <c r="H269" s="4">
        <f>SUMIFS(Tab_01.Jan[MOVIMENTO],Tab_01.Jan[CONTA],$F269)</f>
        <v>7634.62</v>
      </c>
      <c r="I269" s="4">
        <f>SUMIFS(Tab_02.Fev[MOVIMENTO],Tab_02.Fev[CONTA],$F269)</f>
        <v>7634.62</v>
      </c>
      <c r="J269" s="4">
        <f>SUMIFS(Tab_03.Mar[MOVIMENTO],Tab_03.Mar[CONTA],$F269)</f>
        <v>7634.62</v>
      </c>
      <c r="K269" s="4">
        <f>SUMIFS(Tab_04.Abr[MOVIMENTO],Tab_04.Abr[CONTA],$F269)</f>
        <v>7678.72</v>
      </c>
      <c r="L269" s="4">
        <f>SUMIFS(Tab_05.Mai[MOVIMENTO],Tab_05.Mai[CONTA],$F269)</f>
        <v>7634.62</v>
      </c>
      <c r="M269" s="4">
        <f>SUMIFS(Tab_06.Jun[MOVIMENTO],Tab_06.Jun[CONTA],$F269)</f>
        <v>7634.62</v>
      </c>
      <c r="N269" s="4">
        <f>SUMIFS(Tab_07.Jul[MOVIMENTO],Tab_07.Jul[CONTA],$F269)</f>
        <v>7634.62</v>
      </c>
      <c r="O269" s="4">
        <f>SUMIFS(Tab_08.Ago[MOVIMENTO],Tab_08.Ago[CONTA],$F269)</f>
        <v>7957.56</v>
      </c>
      <c r="P269" s="4">
        <f>SUMIFS(Tab_09.Set[MOVIMENTO],Tab_09.Set[CONTA],$F269)</f>
        <v>9157.56</v>
      </c>
      <c r="Q269" s="4">
        <f>SUMIFS(Tab_10.Out[MOVIMENTO],Tab_10.Out[CONTA],$F269)</f>
        <v>9157.56</v>
      </c>
      <c r="R269" s="4">
        <f>SUMIFS(Tab_11.Nov[MOVIMENTO],Tab_11.Nov[CONTA],$F269)</f>
        <v>17115.12</v>
      </c>
      <c r="S269" s="4">
        <f>SUMIFS(Tab_12.Dez[MOVIMENTO],Tab_12.Dez[CONTA],$F269)</f>
        <v>9157.56</v>
      </c>
    </row>
    <row r="270" spans="2:19" x14ac:dyDescent="0.3">
      <c r="B270" s="3" t="s">
        <v>106</v>
      </c>
      <c r="C270" s="2" t="str">
        <f t="shared" si="51"/>
        <v>C</v>
      </c>
      <c r="D270" s="2" t="str">
        <f t="shared" si="52"/>
        <v>A</v>
      </c>
      <c r="E270" s="2">
        <f t="shared" si="53"/>
        <v>5</v>
      </c>
      <c r="F270" s="3" t="s">
        <v>461</v>
      </c>
      <c r="G270" s="3" t="s">
        <v>462</v>
      </c>
      <c r="H270" s="4">
        <f>SUMIFS(Tab_01.Jan[MOVIMENTO],Tab_01.Jan[CONTA],$F270)</f>
        <v>17299.38</v>
      </c>
      <c r="I270" s="4">
        <f>SUMIFS(Tab_02.Fev[MOVIMENTO],Tab_02.Fev[CONTA],$F270)</f>
        <v>13807.65</v>
      </c>
      <c r="J270" s="4">
        <f>SUMIFS(Tab_03.Mar[MOVIMENTO],Tab_03.Mar[CONTA],$F270)</f>
        <v>13807.65</v>
      </c>
      <c r="K270" s="4">
        <f>SUMIFS(Tab_04.Abr[MOVIMENTO],Tab_04.Abr[CONTA],$F270)</f>
        <v>13657.65</v>
      </c>
      <c r="L270" s="4">
        <f>SUMIFS(Tab_05.Mai[MOVIMENTO],Tab_05.Mai[CONTA],$F270)</f>
        <v>20954.43</v>
      </c>
      <c r="M270" s="4">
        <f>SUMIFS(Tab_06.Jun[MOVIMENTO],Tab_06.Jun[CONTA],$F270)</f>
        <v>14050</v>
      </c>
      <c r="N270" s="4">
        <f>SUMIFS(Tab_07.Jul[MOVIMENTO],Tab_07.Jul[CONTA],$F270)</f>
        <v>11469.72</v>
      </c>
      <c r="O270" s="4">
        <f>SUMIFS(Tab_08.Ago[MOVIMENTO],Tab_08.Ago[CONTA],$F270)</f>
        <v>14225.62</v>
      </c>
      <c r="P270" s="4">
        <f>SUMIFS(Tab_09.Set[MOVIMENTO],Tab_09.Set[CONTA],$F270)</f>
        <v>12350</v>
      </c>
      <c r="Q270" s="4">
        <f>SUMIFS(Tab_10.Out[MOVIMENTO],Tab_10.Out[CONTA],$F270)</f>
        <v>12350</v>
      </c>
      <c r="R270" s="4">
        <f>SUMIFS(Tab_11.Nov[MOVIMENTO],Tab_11.Nov[CONTA],$F270)</f>
        <v>12200</v>
      </c>
      <c r="S270" s="4">
        <f>SUMIFS(Tab_12.Dez[MOVIMENTO],Tab_12.Dez[CONTA],$F270)</f>
        <v>12350</v>
      </c>
    </row>
    <row r="271" spans="2:19" x14ac:dyDescent="0.3">
      <c r="B271" s="3" t="s">
        <v>106</v>
      </c>
      <c r="C271" s="2" t="str">
        <f t="shared" si="51"/>
        <v>C</v>
      </c>
      <c r="D271" s="2" t="str">
        <f t="shared" si="52"/>
        <v>A</v>
      </c>
      <c r="E271" s="2">
        <f t="shared" si="53"/>
        <v>5</v>
      </c>
      <c r="F271" s="3" t="s">
        <v>463</v>
      </c>
      <c r="G271" s="3" t="s">
        <v>464</v>
      </c>
      <c r="H271" s="4">
        <f>SUMIFS(Tab_01.Jan[MOVIMENTO],Tab_01.Jan[CONTA],$F271)</f>
        <v>0</v>
      </c>
      <c r="I271" s="4">
        <f>SUMIFS(Tab_02.Fev[MOVIMENTO],Tab_02.Fev[CONTA],$F271)</f>
        <v>0</v>
      </c>
      <c r="J271" s="4">
        <f>SUMIFS(Tab_03.Mar[MOVIMENTO],Tab_03.Mar[CONTA],$F271)</f>
        <v>0</v>
      </c>
      <c r="K271" s="4">
        <f>SUMIFS(Tab_04.Abr[MOVIMENTO],Tab_04.Abr[CONTA],$F271)</f>
        <v>7166.67</v>
      </c>
      <c r="L271" s="4">
        <f>SUMIFS(Tab_05.Mai[MOVIMENTO],Tab_05.Mai[CONTA],$F271)</f>
        <v>7166.67</v>
      </c>
      <c r="M271" s="4">
        <f>SUMIFS(Tab_06.Jun[MOVIMENTO],Tab_06.Jun[CONTA],$F271)</f>
        <v>7166.67</v>
      </c>
      <c r="N271" s="4">
        <f>SUMIFS(Tab_07.Jul[MOVIMENTO],Tab_07.Jul[CONTA],$F271)</f>
        <v>0</v>
      </c>
      <c r="O271" s="4">
        <f>SUMIFS(Tab_08.Ago[MOVIMENTO],Tab_08.Ago[CONTA],$F271)</f>
        <v>0</v>
      </c>
      <c r="P271" s="4">
        <f>SUMIFS(Tab_09.Set[MOVIMENTO],Tab_09.Set[CONTA],$F271)</f>
        <v>0</v>
      </c>
      <c r="Q271" s="4">
        <f>SUMIFS(Tab_10.Out[MOVIMENTO],Tab_10.Out[CONTA],$F271)</f>
        <v>0</v>
      </c>
      <c r="R271" s="4">
        <f>SUMIFS(Tab_11.Nov[MOVIMENTO],Tab_11.Nov[CONTA],$F271)</f>
        <v>0</v>
      </c>
      <c r="S271" s="4">
        <f>SUMIFS(Tab_12.Dez[MOVIMENTO],Tab_12.Dez[CONTA],$F271)</f>
        <v>0</v>
      </c>
    </row>
    <row r="272" spans="2:19" x14ac:dyDescent="0.3">
      <c r="B272" s="3" t="s">
        <v>106</v>
      </c>
      <c r="C272" s="2" t="str">
        <f t="shared" si="51"/>
        <v>C</v>
      </c>
      <c r="D272" s="2" t="str">
        <f t="shared" si="52"/>
        <v>A</v>
      </c>
      <c r="E272" s="2">
        <f t="shared" si="53"/>
        <v>5</v>
      </c>
      <c r="F272" s="3" t="s">
        <v>465</v>
      </c>
      <c r="G272" s="3" t="s">
        <v>466</v>
      </c>
      <c r="H272" s="4">
        <f>SUMIFS(Tab_01.Jan[MOVIMENTO],Tab_01.Jan[CONTA],$F272)</f>
        <v>4524.45</v>
      </c>
      <c r="I272" s="4">
        <f>SUMIFS(Tab_02.Fev[MOVIMENTO],Tab_02.Fev[CONTA],$F272)</f>
        <v>4434.45</v>
      </c>
      <c r="J272" s="4">
        <f>SUMIFS(Tab_03.Mar[MOVIMENTO],Tab_03.Mar[CONTA],$F272)</f>
        <v>4434.45</v>
      </c>
      <c r="K272" s="4">
        <f>SUMIFS(Tab_04.Abr[MOVIMENTO],Tab_04.Abr[CONTA],$F272)</f>
        <v>5884.45</v>
      </c>
      <c r="L272" s="4">
        <f>SUMIFS(Tab_05.Mai[MOVIMENTO],Tab_05.Mai[CONTA],$F272)</f>
        <v>5015.84</v>
      </c>
      <c r="M272" s="4">
        <f>SUMIFS(Tab_06.Jun[MOVIMENTO],Tab_06.Jun[CONTA],$F272)</f>
        <v>84434.45</v>
      </c>
      <c r="N272" s="4">
        <f>SUMIFS(Tab_07.Jul[MOVIMENTO],Tab_07.Jul[CONTA],$F272)</f>
        <v>49166.95</v>
      </c>
      <c r="O272" s="4">
        <f>SUMIFS(Tab_08.Ago[MOVIMENTO],Tab_08.Ago[CONTA],$F272)</f>
        <v>44528.22</v>
      </c>
      <c r="P272" s="4">
        <f>SUMIFS(Tab_09.Set[MOVIMENTO],Tab_09.Set[CONTA],$F272)</f>
        <v>43896.77</v>
      </c>
      <c r="Q272" s="4">
        <f>SUMIFS(Tab_10.Out[MOVIMENTO],Tab_10.Out[CONTA],$F272)</f>
        <v>42074.27</v>
      </c>
      <c r="R272" s="4">
        <f>SUMIFS(Tab_11.Nov[MOVIMENTO],Tab_11.Nov[CONTA],$F272)</f>
        <v>44058.54</v>
      </c>
      <c r="S272" s="4">
        <f>SUMIFS(Tab_12.Dez[MOVIMENTO],Tab_12.Dez[CONTA],$F272)</f>
        <v>42074.27</v>
      </c>
    </row>
    <row r="273" spans="2:19" x14ac:dyDescent="0.3">
      <c r="B273" s="3" t="s">
        <v>105</v>
      </c>
      <c r="C273" s="2" t="str">
        <f t="shared" si="51"/>
        <v>C</v>
      </c>
      <c r="D273" s="2" t="str">
        <f t="shared" si="52"/>
        <v>A</v>
      </c>
      <c r="E273" s="2">
        <f t="shared" si="53"/>
        <v>5</v>
      </c>
      <c r="F273" s="3" t="s">
        <v>473</v>
      </c>
      <c r="G273" s="3" t="s">
        <v>474</v>
      </c>
      <c r="H273" s="4">
        <f>SUMIFS(Tab_01.Jan[MOVIMENTO],Tab_01.Jan[CONTA],$F273)</f>
        <v>4500</v>
      </c>
      <c r="I273" s="4">
        <f>SUMIFS(Tab_02.Fev[MOVIMENTO],Tab_02.Fev[CONTA],$F273)</f>
        <v>4500</v>
      </c>
      <c r="J273" s="4">
        <f>SUMIFS(Tab_03.Mar[MOVIMENTO],Tab_03.Mar[CONTA],$F273)</f>
        <v>4500</v>
      </c>
      <c r="K273" s="4">
        <f>SUMIFS(Tab_04.Abr[MOVIMENTO],Tab_04.Abr[CONTA],$F273)</f>
        <v>4500</v>
      </c>
      <c r="L273" s="4">
        <f>SUMIFS(Tab_05.Mai[MOVIMENTO],Tab_05.Mai[CONTA],$F273)</f>
        <v>4500</v>
      </c>
      <c r="M273" s="4">
        <f>SUMIFS(Tab_06.Jun[MOVIMENTO],Tab_06.Jun[CONTA],$F273)</f>
        <v>4500</v>
      </c>
      <c r="N273" s="4">
        <f>SUMIFS(Tab_07.Jul[MOVIMENTO],Tab_07.Jul[CONTA],$F273)</f>
        <v>4500</v>
      </c>
      <c r="O273" s="4">
        <f>SUMIFS(Tab_08.Ago[MOVIMENTO],Tab_08.Ago[CONTA],$F273)</f>
        <v>4500</v>
      </c>
      <c r="P273" s="4">
        <f>SUMIFS(Tab_09.Set[MOVIMENTO],Tab_09.Set[CONTA],$F273)</f>
        <v>4500</v>
      </c>
      <c r="Q273" s="4">
        <f>SUMIFS(Tab_10.Out[MOVIMENTO],Tab_10.Out[CONTA],$F273)</f>
        <v>4500</v>
      </c>
      <c r="R273" s="4">
        <f>SUMIFS(Tab_11.Nov[MOVIMENTO],Tab_11.Nov[CONTA],$F273)</f>
        <v>4500</v>
      </c>
      <c r="S273" s="4">
        <f>SUMIFS(Tab_12.Dez[MOVIMENTO],Tab_12.Dez[CONTA],$F273)</f>
        <v>4500</v>
      </c>
    </row>
    <row r="274" spans="2:19" x14ac:dyDescent="0.3">
      <c r="B274" s="3" t="s">
        <v>106</v>
      </c>
      <c r="C274" s="2" t="str">
        <f t="shared" si="51"/>
        <v>C</v>
      </c>
      <c r="D274" s="2" t="str">
        <f t="shared" si="52"/>
        <v>A</v>
      </c>
      <c r="E274" s="2">
        <f t="shared" si="53"/>
        <v>5</v>
      </c>
      <c r="F274" s="3" t="s">
        <v>467</v>
      </c>
      <c r="G274" s="3" t="s">
        <v>468</v>
      </c>
      <c r="H274" s="4">
        <f>SUMIFS(Tab_01.Jan[MOVIMENTO],Tab_01.Jan[CONTA],$F274)</f>
        <v>223.56</v>
      </c>
      <c r="I274" s="4">
        <f>SUMIFS(Tab_02.Fev[MOVIMENTO],Tab_02.Fev[CONTA],$F274)</f>
        <v>223.56</v>
      </c>
      <c r="J274" s="4">
        <f>SUMIFS(Tab_03.Mar[MOVIMENTO],Tab_03.Mar[CONTA],$F274)</f>
        <v>223.56</v>
      </c>
      <c r="K274" s="4">
        <f>SUMIFS(Tab_04.Abr[MOVIMENTO],Tab_04.Abr[CONTA],$F274)</f>
        <v>223.56</v>
      </c>
      <c r="L274" s="4">
        <f>SUMIFS(Tab_05.Mai[MOVIMENTO],Tab_05.Mai[CONTA],$F274)</f>
        <v>223.56</v>
      </c>
      <c r="M274" s="4">
        <f>SUMIFS(Tab_06.Jun[MOVIMENTO],Tab_06.Jun[CONTA],$F274)</f>
        <v>223.56</v>
      </c>
      <c r="N274" s="4">
        <f>SUMIFS(Tab_07.Jul[MOVIMENTO],Tab_07.Jul[CONTA],$F274)</f>
        <v>223.56</v>
      </c>
      <c r="O274" s="4">
        <f>SUMIFS(Tab_08.Ago[MOVIMENTO],Tab_08.Ago[CONTA],$F274)</f>
        <v>223.56</v>
      </c>
      <c r="P274" s="4">
        <f>SUMIFS(Tab_09.Set[MOVIMENTO],Tab_09.Set[CONTA],$F274)</f>
        <v>223.56</v>
      </c>
      <c r="Q274" s="4">
        <f>SUMIFS(Tab_10.Out[MOVIMENTO],Tab_10.Out[CONTA],$F274)</f>
        <v>223.56</v>
      </c>
      <c r="R274" s="4">
        <f>SUMIFS(Tab_11.Nov[MOVIMENTO],Tab_11.Nov[CONTA],$F274)</f>
        <v>223.56</v>
      </c>
      <c r="S274" s="4">
        <f>SUMIFS(Tab_12.Dez[MOVIMENTO],Tab_12.Dez[CONTA],$F274)</f>
        <v>234.21</v>
      </c>
    </row>
    <row r="275" spans="2:19" x14ac:dyDescent="0.3">
      <c r="B275" s="3" t="s">
        <v>105</v>
      </c>
      <c r="C275" s="2" t="str">
        <f t="shared" si="51"/>
        <v>C</v>
      </c>
      <c r="D275" s="2" t="str">
        <f t="shared" si="52"/>
        <v>A</v>
      </c>
      <c r="E275" s="2">
        <f t="shared" si="53"/>
        <v>5</v>
      </c>
      <c r="F275" s="3" t="s">
        <v>475</v>
      </c>
      <c r="G275" s="3" t="s">
        <v>476</v>
      </c>
      <c r="H275" s="4">
        <f>SUMIFS(Tab_01.Jan[MOVIMENTO],Tab_01.Jan[CONTA],$F275)</f>
        <v>0</v>
      </c>
      <c r="I275" s="4">
        <f>SUMIFS(Tab_02.Fev[MOVIMENTO],Tab_02.Fev[CONTA],$F275)</f>
        <v>0</v>
      </c>
      <c r="J275" s="4">
        <f>SUMIFS(Tab_03.Mar[MOVIMENTO],Tab_03.Mar[CONTA],$F275)</f>
        <v>0</v>
      </c>
      <c r="K275" s="4">
        <f>SUMIFS(Tab_04.Abr[MOVIMENTO],Tab_04.Abr[CONTA],$F275)</f>
        <v>0</v>
      </c>
      <c r="L275" s="4">
        <f>SUMIFS(Tab_05.Mai[MOVIMENTO],Tab_05.Mai[CONTA],$F275)</f>
        <v>0</v>
      </c>
      <c r="M275" s="4">
        <f>SUMIFS(Tab_06.Jun[MOVIMENTO],Tab_06.Jun[CONTA],$F275)</f>
        <v>0</v>
      </c>
      <c r="N275" s="4">
        <f>SUMIFS(Tab_07.Jul[MOVIMENTO],Tab_07.Jul[CONTA],$F275)</f>
        <v>0</v>
      </c>
      <c r="O275" s="4">
        <f>SUMIFS(Tab_08.Ago[MOVIMENTO],Tab_08.Ago[CONTA],$F275)</f>
        <v>0</v>
      </c>
      <c r="P275" s="4">
        <f>SUMIFS(Tab_09.Set[MOVIMENTO],Tab_09.Set[CONTA],$F275)</f>
        <v>0</v>
      </c>
      <c r="Q275" s="4">
        <f>SUMIFS(Tab_10.Out[MOVIMENTO],Tab_10.Out[CONTA],$F275)</f>
        <v>0</v>
      </c>
      <c r="R275" s="4">
        <f>SUMIFS(Tab_11.Nov[MOVIMENTO],Tab_11.Nov[CONTA],$F275)</f>
        <v>0</v>
      </c>
      <c r="S275" s="4">
        <f>SUMIFS(Tab_12.Dez[MOVIMENTO],Tab_12.Dez[CONTA],$F275)</f>
        <v>0</v>
      </c>
    </row>
    <row r="276" spans="2:19" x14ac:dyDescent="0.3">
      <c r="B276" s="3" t="s">
        <v>106</v>
      </c>
      <c r="C276" s="2" t="str">
        <f t="shared" si="51"/>
        <v>C</v>
      </c>
      <c r="D276" s="2" t="str">
        <f t="shared" si="52"/>
        <v>A</v>
      </c>
      <c r="E276" s="2">
        <f t="shared" si="53"/>
        <v>5</v>
      </c>
      <c r="F276" s="3" t="s">
        <v>469</v>
      </c>
      <c r="G276" s="3" t="s">
        <v>470</v>
      </c>
      <c r="H276" s="4">
        <f>SUMIFS(Tab_01.Jan[MOVIMENTO],Tab_01.Jan[CONTA],$F276)</f>
        <v>6599.82</v>
      </c>
      <c r="I276" s="4">
        <f>SUMIFS(Tab_02.Fev[MOVIMENTO],Tab_02.Fev[CONTA],$F276)</f>
        <v>6599.82</v>
      </c>
      <c r="J276" s="4">
        <f>SUMIFS(Tab_03.Mar[MOVIMENTO],Tab_03.Mar[CONTA],$F276)</f>
        <v>6599.82</v>
      </c>
      <c r="K276" s="4">
        <f>SUMIFS(Tab_04.Abr[MOVIMENTO],Tab_04.Abr[CONTA],$F276)</f>
        <v>6599.82</v>
      </c>
      <c r="L276" s="4">
        <f>SUMIFS(Tab_05.Mai[MOVIMENTO],Tab_05.Mai[CONTA],$F276)</f>
        <v>6599.82</v>
      </c>
      <c r="M276" s="4">
        <f>SUMIFS(Tab_06.Jun[MOVIMENTO],Tab_06.Jun[CONTA],$F276)</f>
        <v>6599.82</v>
      </c>
      <c r="N276" s="4">
        <f>SUMIFS(Tab_07.Jul[MOVIMENTO],Tab_07.Jul[CONTA],$F276)</f>
        <v>6599.82</v>
      </c>
      <c r="O276" s="4">
        <f>SUMIFS(Tab_08.Ago[MOVIMENTO],Tab_08.Ago[CONTA],$F276)</f>
        <v>4950</v>
      </c>
      <c r="P276" s="4">
        <f>SUMIFS(Tab_09.Set[MOVIMENTO],Tab_09.Set[CONTA],$F276)</f>
        <v>4950</v>
      </c>
      <c r="Q276" s="4">
        <f>SUMIFS(Tab_10.Out[MOVIMENTO],Tab_10.Out[CONTA],$F276)</f>
        <v>4950</v>
      </c>
      <c r="R276" s="4">
        <f>SUMIFS(Tab_11.Nov[MOVIMENTO],Tab_11.Nov[CONTA],$F276)</f>
        <v>4950</v>
      </c>
      <c r="S276" s="4">
        <f>SUMIFS(Tab_12.Dez[MOVIMENTO],Tab_12.Dez[CONTA],$F276)</f>
        <v>4950</v>
      </c>
    </row>
    <row r="277" spans="2:19" x14ac:dyDescent="0.3">
      <c r="B277" s="3" t="s">
        <v>106</v>
      </c>
      <c r="C277" s="2" t="str">
        <f t="shared" si="51"/>
        <v>C</v>
      </c>
      <c r="D277" s="2" t="str">
        <f t="shared" si="52"/>
        <v>A</v>
      </c>
      <c r="E277" s="2">
        <f t="shared" si="53"/>
        <v>5</v>
      </c>
      <c r="F277" s="3" t="s">
        <v>471</v>
      </c>
      <c r="G277" s="3" t="s">
        <v>472</v>
      </c>
      <c r="H277" s="4">
        <f>SUMIFS(Tab_01.Jan[MOVIMENTO],Tab_01.Jan[CONTA],$F277)</f>
        <v>4663.41</v>
      </c>
      <c r="I277" s="4">
        <f>SUMIFS(Tab_02.Fev[MOVIMENTO],Tab_02.Fev[CONTA],$F277)</f>
        <v>4663.41</v>
      </c>
      <c r="J277" s="4">
        <f>SUMIFS(Tab_03.Mar[MOVIMENTO],Tab_03.Mar[CONTA],$F277)</f>
        <v>4663.41</v>
      </c>
      <c r="K277" s="4">
        <f>SUMIFS(Tab_04.Abr[MOVIMENTO],Tab_04.Abr[CONTA],$F277)</f>
        <v>4663.41</v>
      </c>
      <c r="L277" s="4">
        <f>SUMIFS(Tab_05.Mai[MOVIMENTO],Tab_05.Mai[CONTA],$F277)</f>
        <v>4663.41</v>
      </c>
      <c r="M277" s="4">
        <f>SUMIFS(Tab_06.Jun[MOVIMENTO],Tab_06.Jun[CONTA],$F277)</f>
        <v>4663.41</v>
      </c>
      <c r="N277" s="4">
        <f>SUMIFS(Tab_07.Jul[MOVIMENTO],Tab_07.Jul[CONTA],$F277)</f>
        <v>5309.74</v>
      </c>
      <c r="O277" s="4">
        <f>SUMIFS(Tab_08.Ago[MOVIMENTO],Tab_08.Ago[CONTA],$F277)</f>
        <v>5309.74</v>
      </c>
      <c r="P277" s="4">
        <f>SUMIFS(Tab_09.Set[MOVIMENTO],Tab_09.Set[CONTA],$F277)</f>
        <v>4940.41</v>
      </c>
      <c r="Q277" s="4">
        <f>SUMIFS(Tab_10.Out[MOVIMENTO],Tab_10.Out[CONTA],$F277)</f>
        <v>5309.74</v>
      </c>
      <c r="R277" s="4">
        <f>SUMIFS(Tab_11.Nov[MOVIMENTO],Tab_11.Nov[CONTA],$F277)</f>
        <v>4940.41</v>
      </c>
      <c r="S277" s="4">
        <f>SUMIFS(Tab_12.Dez[MOVIMENTO],Tab_12.Dez[CONTA],$F277)</f>
        <v>4940.41</v>
      </c>
    </row>
    <row r="278" spans="2:19" x14ac:dyDescent="0.3">
      <c r="B278" s="3" t="s">
        <v>105</v>
      </c>
      <c r="C278" s="2" t="str">
        <f t="shared" si="51"/>
        <v>C</v>
      </c>
      <c r="D278" s="2" t="str">
        <f t="shared" si="52"/>
        <v>A</v>
      </c>
      <c r="E278" s="2">
        <f t="shared" si="53"/>
        <v>5</v>
      </c>
      <c r="F278" s="3" t="s">
        <v>477</v>
      </c>
      <c r="G278" s="3" t="s">
        <v>478</v>
      </c>
      <c r="H278" s="4">
        <f>SUMIFS(Tab_01.Jan[MOVIMENTO],Tab_01.Jan[CONTA],$F278)</f>
        <v>0</v>
      </c>
      <c r="I278" s="4">
        <f>SUMIFS(Tab_02.Fev[MOVIMENTO],Tab_02.Fev[CONTA],$F278)</f>
        <v>0</v>
      </c>
      <c r="J278" s="4">
        <f>SUMIFS(Tab_03.Mar[MOVIMENTO],Tab_03.Mar[CONTA],$F278)</f>
        <v>0</v>
      </c>
      <c r="K278" s="4">
        <f>SUMIFS(Tab_04.Abr[MOVIMENTO],Tab_04.Abr[CONTA],$F278)</f>
        <v>0</v>
      </c>
      <c r="L278" s="4">
        <f>SUMIFS(Tab_05.Mai[MOVIMENTO],Tab_05.Mai[CONTA],$F278)</f>
        <v>0</v>
      </c>
      <c r="M278" s="4">
        <f>SUMIFS(Tab_06.Jun[MOVIMENTO],Tab_06.Jun[CONTA],$F278)</f>
        <v>0</v>
      </c>
      <c r="N278" s="4">
        <f>SUMIFS(Tab_07.Jul[MOVIMENTO],Tab_07.Jul[CONTA],$F278)</f>
        <v>0</v>
      </c>
      <c r="O278" s="4">
        <f>SUMIFS(Tab_08.Ago[MOVIMENTO],Tab_08.Ago[CONTA],$F278)</f>
        <v>0</v>
      </c>
      <c r="P278" s="4">
        <f>SUMIFS(Tab_09.Set[MOVIMENTO],Tab_09.Set[CONTA],$F278)</f>
        <v>0</v>
      </c>
      <c r="Q278" s="4">
        <f>SUMIFS(Tab_10.Out[MOVIMENTO],Tab_10.Out[CONTA],$F278)</f>
        <v>0</v>
      </c>
      <c r="R278" s="4">
        <f>SUMIFS(Tab_11.Nov[MOVIMENTO],Tab_11.Nov[CONTA],$F278)</f>
        <v>0</v>
      </c>
      <c r="S278" s="4">
        <f>SUMIFS(Tab_12.Dez[MOVIMENTO],Tab_12.Dez[CONTA],$F278)</f>
        <v>0</v>
      </c>
    </row>
    <row r="279" spans="2:19" x14ac:dyDescent="0.3">
      <c r="B279" s="3"/>
      <c r="C279" s="2" t="str">
        <f t="shared" si="51"/>
        <v>C</v>
      </c>
      <c r="D279" s="2" t="str">
        <f t="shared" si="52"/>
        <v>S</v>
      </c>
      <c r="E279" s="2">
        <f t="shared" si="53"/>
        <v>5</v>
      </c>
      <c r="F279" s="3" t="s">
        <v>607</v>
      </c>
      <c r="G279" s="3" t="s">
        <v>408</v>
      </c>
      <c r="H279" s="4">
        <f>SUMIFS(Tab_01.Jan[MOVIMENTO],Tab_01.Jan[CONTA],$F279)</f>
        <v>0</v>
      </c>
      <c r="I279" s="4">
        <f>SUMIFS(Tab_02.Fev[MOVIMENTO],Tab_02.Fev[CONTA],$F279)</f>
        <v>0</v>
      </c>
      <c r="J279" s="4">
        <f>SUMIFS(Tab_03.Mar[MOVIMENTO],Tab_03.Mar[CONTA],$F279)</f>
        <v>0</v>
      </c>
      <c r="K279" s="4">
        <f>SUMIFS(Tab_04.Abr[MOVIMENTO],Tab_04.Abr[CONTA],$F279)</f>
        <v>0</v>
      </c>
      <c r="L279" s="4">
        <f>SUMIFS(Tab_05.Mai[MOVIMENTO],Tab_05.Mai[CONTA],$F279)</f>
        <v>0</v>
      </c>
      <c r="M279" s="4">
        <f>SUMIFS(Tab_06.Jun[MOVIMENTO],Tab_06.Jun[CONTA],$F279)</f>
        <v>0</v>
      </c>
      <c r="N279" s="4">
        <f>SUMIFS(Tab_07.Jul[MOVIMENTO],Tab_07.Jul[CONTA],$F279)</f>
        <v>0</v>
      </c>
      <c r="O279" s="4">
        <f>SUMIFS(Tab_08.Ago[MOVIMENTO],Tab_08.Ago[CONTA],$F279)</f>
        <v>0</v>
      </c>
      <c r="P279" s="4">
        <f>SUMIFS(Tab_09.Set[MOVIMENTO],Tab_09.Set[CONTA],$F279)</f>
        <v>0</v>
      </c>
      <c r="Q279" s="4">
        <f>SUMIFS(Tab_10.Out[MOVIMENTO],Tab_10.Out[CONTA],$F279)</f>
        <v>0</v>
      </c>
      <c r="R279" s="4">
        <f>SUMIFS(Tab_11.Nov[MOVIMENTO],Tab_11.Nov[CONTA],$F279)</f>
        <v>0</v>
      </c>
      <c r="S279" s="4">
        <f>SUMIFS(Tab_12.Dez[MOVIMENTO],Tab_12.Dez[CONTA],$F279)</f>
        <v>0</v>
      </c>
    </row>
    <row r="280" spans="2:19" x14ac:dyDescent="0.3">
      <c r="B280" s="3" t="s">
        <v>106</v>
      </c>
      <c r="C280" s="2" t="str">
        <f t="shared" si="51"/>
        <v>C</v>
      </c>
      <c r="D280" s="2" t="str">
        <f t="shared" si="52"/>
        <v>A</v>
      </c>
      <c r="E280" s="2">
        <f t="shared" si="53"/>
        <v>5</v>
      </c>
      <c r="F280" s="3" t="s">
        <v>479</v>
      </c>
      <c r="G280" s="3" t="s">
        <v>408</v>
      </c>
      <c r="H280" s="4">
        <f>SUMIFS(Tab_01.Jan[MOVIMENTO],Tab_01.Jan[CONTA],$F280)</f>
        <v>0</v>
      </c>
      <c r="I280" s="4">
        <f>SUMIFS(Tab_02.Fev[MOVIMENTO],Tab_02.Fev[CONTA],$F280)</f>
        <v>0</v>
      </c>
      <c r="J280" s="4">
        <f>SUMIFS(Tab_03.Mar[MOVIMENTO],Tab_03.Mar[CONTA],$F280)</f>
        <v>0</v>
      </c>
      <c r="K280" s="4">
        <f>SUMIFS(Tab_04.Abr[MOVIMENTO],Tab_04.Abr[CONTA],$F280)</f>
        <v>0</v>
      </c>
      <c r="L280" s="4">
        <f>SUMIFS(Tab_05.Mai[MOVIMENTO],Tab_05.Mai[CONTA],$F280)</f>
        <v>0</v>
      </c>
      <c r="M280" s="4">
        <f>SUMIFS(Tab_06.Jun[MOVIMENTO],Tab_06.Jun[CONTA],$F280)</f>
        <v>0</v>
      </c>
      <c r="N280" s="4">
        <f>SUMIFS(Tab_07.Jul[MOVIMENTO],Tab_07.Jul[CONTA],$F280)</f>
        <v>0</v>
      </c>
      <c r="O280" s="4">
        <f>SUMIFS(Tab_08.Ago[MOVIMENTO],Tab_08.Ago[CONTA],$F280)</f>
        <v>0</v>
      </c>
      <c r="P280" s="4">
        <f>SUMIFS(Tab_09.Set[MOVIMENTO],Tab_09.Set[CONTA],$F280)</f>
        <v>0</v>
      </c>
      <c r="Q280" s="4">
        <f>SUMIFS(Tab_10.Out[MOVIMENTO],Tab_10.Out[CONTA],$F280)</f>
        <v>0</v>
      </c>
      <c r="R280" s="4">
        <f>SUMIFS(Tab_11.Nov[MOVIMENTO],Tab_11.Nov[CONTA],$F280)</f>
        <v>0</v>
      </c>
      <c r="S280" s="4">
        <f>SUMIFS(Tab_12.Dez[MOVIMENTO],Tab_12.Dez[CONTA],$F280)</f>
        <v>0</v>
      </c>
    </row>
    <row r="281" spans="2:19" x14ac:dyDescent="0.3">
      <c r="B281" s="3"/>
      <c r="C281" s="2" t="str">
        <f t="shared" si="51"/>
        <v>C</v>
      </c>
      <c r="D281" s="2" t="str">
        <f t="shared" si="52"/>
        <v>S</v>
      </c>
      <c r="E281" s="2">
        <f t="shared" si="53"/>
        <v>5</v>
      </c>
      <c r="F281" s="3" t="s">
        <v>608</v>
      </c>
      <c r="G281" s="3" t="s">
        <v>713</v>
      </c>
      <c r="H281" s="4">
        <f>SUMIFS(Tab_01.Jan[MOVIMENTO],Tab_01.Jan[CONTA],$F281)</f>
        <v>82966.080000000002</v>
      </c>
      <c r="I281" s="4">
        <f>SUMIFS(Tab_02.Fev[MOVIMENTO],Tab_02.Fev[CONTA],$F281)</f>
        <v>82966.080000000002</v>
      </c>
      <c r="J281" s="4">
        <f>SUMIFS(Tab_03.Mar[MOVIMENTO],Tab_03.Mar[CONTA],$F281)</f>
        <v>82966.080000000002</v>
      </c>
      <c r="K281" s="4">
        <f>SUMIFS(Tab_04.Abr[MOVIMENTO],Tab_04.Abr[CONTA],$F281)</f>
        <v>82966.080000000002</v>
      </c>
      <c r="L281" s="4">
        <f>SUMIFS(Tab_05.Mai[MOVIMENTO],Tab_05.Mai[CONTA],$F281)</f>
        <v>82966.080000000002</v>
      </c>
      <c r="M281" s="4">
        <f>SUMIFS(Tab_06.Jun[MOVIMENTO],Tab_06.Jun[CONTA],$F281)</f>
        <v>82966.080000000002</v>
      </c>
      <c r="N281" s="4">
        <f>SUMIFS(Tab_07.Jul[MOVIMENTO],Tab_07.Jul[CONTA],$F281)</f>
        <v>82966.080000000002</v>
      </c>
      <c r="O281" s="4">
        <f>SUMIFS(Tab_08.Ago[MOVIMENTO],Tab_08.Ago[CONTA],$F281)</f>
        <v>82966.080000000002</v>
      </c>
      <c r="P281" s="4">
        <f>SUMIFS(Tab_09.Set[MOVIMENTO],Tab_09.Set[CONTA],$F281)</f>
        <v>82966.09</v>
      </c>
      <c r="Q281" s="4">
        <f>SUMIFS(Tab_10.Out[MOVIMENTO],Tab_10.Out[CONTA],$F281)</f>
        <v>82966.080000000002</v>
      </c>
      <c r="R281" s="4">
        <f>SUMIFS(Tab_11.Nov[MOVIMENTO],Tab_11.Nov[CONTA],$F281)</f>
        <v>82966.080000000002</v>
      </c>
      <c r="S281" s="4">
        <f>SUMIFS(Tab_12.Dez[MOVIMENTO],Tab_12.Dez[CONTA],$F281)</f>
        <v>82966.080000000002</v>
      </c>
    </row>
    <row r="282" spans="2:19" x14ac:dyDescent="0.3">
      <c r="B282" s="3" t="s">
        <v>105</v>
      </c>
      <c r="C282" s="2" t="str">
        <f t="shared" si="51"/>
        <v>C</v>
      </c>
      <c r="D282" s="2" t="str">
        <f t="shared" si="52"/>
        <v>A</v>
      </c>
      <c r="E282" s="2">
        <f t="shared" si="53"/>
        <v>5</v>
      </c>
      <c r="F282" s="3" t="s">
        <v>480</v>
      </c>
      <c r="G282" s="3" t="s">
        <v>481</v>
      </c>
      <c r="H282" s="4">
        <f>SUMIFS(Tab_01.Jan[MOVIMENTO],Tab_01.Jan[CONTA],$F282)</f>
        <v>57486</v>
      </c>
      <c r="I282" s="4">
        <f>SUMIFS(Tab_02.Fev[MOVIMENTO],Tab_02.Fev[CONTA],$F282)</f>
        <v>57486</v>
      </c>
      <c r="J282" s="4">
        <f>SUMIFS(Tab_03.Mar[MOVIMENTO],Tab_03.Mar[CONTA],$F282)</f>
        <v>57486</v>
      </c>
      <c r="K282" s="4">
        <f>SUMIFS(Tab_04.Abr[MOVIMENTO],Tab_04.Abr[CONTA],$F282)</f>
        <v>57486</v>
      </c>
      <c r="L282" s="4">
        <f>SUMIFS(Tab_05.Mai[MOVIMENTO],Tab_05.Mai[CONTA],$F282)</f>
        <v>57486</v>
      </c>
      <c r="M282" s="4">
        <f>SUMIFS(Tab_06.Jun[MOVIMENTO],Tab_06.Jun[CONTA],$F282)</f>
        <v>57486</v>
      </c>
      <c r="N282" s="4">
        <f>SUMIFS(Tab_07.Jul[MOVIMENTO],Tab_07.Jul[CONTA],$F282)</f>
        <v>57486</v>
      </c>
      <c r="O282" s="4">
        <f>SUMIFS(Tab_08.Ago[MOVIMENTO],Tab_08.Ago[CONTA],$F282)</f>
        <v>57486</v>
      </c>
      <c r="P282" s="4">
        <f>SUMIFS(Tab_09.Set[MOVIMENTO],Tab_09.Set[CONTA],$F282)</f>
        <v>57486</v>
      </c>
      <c r="Q282" s="4">
        <f>SUMIFS(Tab_10.Out[MOVIMENTO],Tab_10.Out[CONTA],$F282)</f>
        <v>57486</v>
      </c>
      <c r="R282" s="4">
        <f>SUMIFS(Tab_11.Nov[MOVIMENTO],Tab_11.Nov[CONTA],$F282)</f>
        <v>57486</v>
      </c>
      <c r="S282" s="4">
        <f>SUMIFS(Tab_12.Dez[MOVIMENTO],Tab_12.Dez[CONTA],$F282)</f>
        <v>57486</v>
      </c>
    </row>
    <row r="283" spans="2:19" x14ac:dyDescent="0.3">
      <c r="B283" s="3" t="s">
        <v>105</v>
      </c>
      <c r="C283" s="2" t="str">
        <f t="shared" si="51"/>
        <v>C</v>
      </c>
      <c r="D283" s="2" t="str">
        <f t="shared" si="52"/>
        <v>A</v>
      </c>
      <c r="E283" s="2">
        <f t="shared" si="53"/>
        <v>5</v>
      </c>
      <c r="F283" s="3" t="s">
        <v>741</v>
      </c>
      <c r="G283" s="3" t="s">
        <v>742</v>
      </c>
      <c r="H283" s="4">
        <f>SUMIFS(Tab_01.Jan[MOVIMENTO],Tab_01.Jan[CONTA],$F283)</f>
        <v>17980.080000000002</v>
      </c>
      <c r="I283" s="4">
        <f>SUMIFS(Tab_02.Fev[MOVIMENTO],Tab_02.Fev[CONTA],$F283)</f>
        <v>17980.080000000002</v>
      </c>
      <c r="J283" s="4">
        <f>SUMIFS(Tab_03.Mar[MOVIMENTO],Tab_03.Mar[CONTA],$F283)</f>
        <v>17980.080000000002</v>
      </c>
      <c r="K283" s="4">
        <f>SUMIFS(Tab_04.Abr[MOVIMENTO],Tab_04.Abr[CONTA],$F283)</f>
        <v>17980.080000000002</v>
      </c>
      <c r="L283" s="4">
        <f>SUMIFS(Tab_05.Mai[MOVIMENTO],Tab_05.Mai[CONTA],$F283)</f>
        <v>17980.080000000002</v>
      </c>
      <c r="M283" s="4">
        <f>SUMIFS(Tab_06.Jun[MOVIMENTO],Tab_06.Jun[CONTA],$F283)</f>
        <v>17980.080000000002</v>
      </c>
      <c r="N283" s="4">
        <f>SUMIFS(Tab_07.Jul[MOVIMENTO],Tab_07.Jul[CONTA],$F283)</f>
        <v>17980.080000000002</v>
      </c>
      <c r="O283" s="4">
        <f>SUMIFS(Tab_08.Ago[MOVIMENTO],Tab_08.Ago[CONTA],$F283)</f>
        <v>17980.080000000002</v>
      </c>
      <c r="P283" s="4">
        <f>SUMIFS(Tab_09.Set[MOVIMENTO],Tab_09.Set[CONTA],$F283)</f>
        <v>17980.09</v>
      </c>
      <c r="Q283" s="4">
        <f>SUMIFS(Tab_10.Out[MOVIMENTO],Tab_10.Out[CONTA],$F283)</f>
        <v>17980.080000000002</v>
      </c>
      <c r="R283" s="4">
        <f>SUMIFS(Tab_11.Nov[MOVIMENTO],Tab_11.Nov[CONTA],$F283)</f>
        <v>17980.080000000002</v>
      </c>
      <c r="S283" s="4">
        <f>SUMIFS(Tab_12.Dez[MOVIMENTO],Tab_12.Dez[CONTA],$F283)</f>
        <v>17980.080000000002</v>
      </c>
    </row>
    <row r="284" spans="2:19" x14ac:dyDescent="0.3">
      <c r="B284" s="3" t="s">
        <v>105</v>
      </c>
      <c r="C284" s="2" t="str">
        <f>IF($F284="","",IF(LEFT($F284,1)*1=1,"A",IF(LEFT($F284,1)*1=2,"P",IF(LEFT($F284,1)*1=3,"R",IF(LEFT($F284,1)*1=4,"C",IF(LEFT($F284,1)*1=5,"C",IF(LEFT($F284,1)*1=6,"C","")))))))</f>
        <v>C</v>
      </c>
      <c r="D284" s="2" t="str">
        <f>IF($F284="","",IF(LEN($F284)=13,"A","S"))</f>
        <v>A</v>
      </c>
      <c r="E284" s="2">
        <f>IF($F284="","",IF(LEN($F284)=1,1,IF(LEN($F284)=3,2,IF(LEN($F284)=5,3,IF(LEN($F284)=8,4,5)))))</f>
        <v>5</v>
      </c>
      <c r="F284" s="3" t="s">
        <v>833</v>
      </c>
      <c r="G284" s="3" t="s">
        <v>834</v>
      </c>
      <c r="H284" s="4">
        <f>SUMIFS(Tab_01.Jan[MOVIMENTO],Tab_01.Jan[CONTA],$F284)</f>
        <v>7500</v>
      </c>
      <c r="I284" s="4">
        <f>SUMIFS(Tab_02.Fev[MOVIMENTO],Tab_02.Fev[CONTA],$F284)</f>
        <v>7500</v>
      </c>
      <c r="J284" s="4">
        <f>SUMIFS(Tab_03.Mar[MOVIMENTO],Tab_03.Mar[CONTA],$F284)</f>
        <v>7500</v>
      </c>
      <c r="K284" s="4">
        <f>SUMIFS(Tab_04.Abr[MOVIMENTO],Tab_04.Abr[CONTA],$F284)</f>
        <v>7500</v>
      </c>
      <c r="L284" s="4">
        <f>SUMIFS(Tab_05.Mai[MOVIMENTO],Tab_05.Mai[CONTA],$F284)</f>
        <v>7500</v>
      </c>
      <c r="M284" s="4">
        <f>SUMIFS(Tab_06.Jun[MOVIMENTO],Tab_06.Jun[CONTA],$F284)</f>
        <v>7500</v>
      </c>
      <c r="N284" s="4">
        <f>SUMIFS(Tab_07.Jul[MOVIMENTO],Tab_07.Jul[CONTA],$F284)</f>
        <v>7500</v>
      </c>
      <c r="O284" s="4">
        <f>SUMIFS(Tab_08.Ago[MOVIMENTO],Tab_08.Ago[CONTA],$F284)</f>
        <v>7500</v>
      </c>
      <c r="P284" s="4">
        <f>SUMIFS(Tab_09.Set[MOVIMENTO],Tab_09.Set[CONTA],$F284)</f>
        <v>7500</v>
      </c>
      <c r="Q284" s="4">
        <f>SUMIFS(Tab_10.Out[MOVIMENTO],Tab_10.Out[CONTA],$F284)</f>
        <v>7500</v>
      </c>
      <c r="R284" s="4">
        <f>SUMIFS(Tab_11.Nov[MOVIMENTO],Tab_11.Nov[CONTA],$F284)</f>
        <v>7500</v>
      </c>
      <c r="S284" s="4">
        <f>SUMIFS(Tab_12.Dez[MOVIMENTO],Tab_12.Dez[CONTA],$F284)</f>
        <v>7500</v>
      </c>
    </row>
    <row r="285" spans="2:19" x14ac:dyDescent="0.3">
      <c r="B285" s="3"/>
      <c r="C285" s="2" t="str">
        <f t="shared" si="51"/>
        <v>C</v>
      </c>
      <c r="D285" s="2" t="str">
        <f t="shared" si="52"/>
        <v>S</v>
      </c>
      <c r="E285" s="2">
        <f t="shared" si="53"/>
        <v>5</v>
      </c>
      <c r="F285" s="3" t="s">
        <v>609</v>
      </c>
      <c r="G285" s="3" t="s">
        <v>714</v>
      </c>
      <c r="H285" s="4">
        <f>SUMIFS(Tab_01.Jan[MOVIMENTO],Tab_01.Jan[CONTA],$F285)</f>
        <v>1438.95</v>
      </c>
      <c r="I285" s="4">
        <f>SUMIFS(Tab_02.Fev[MOVIMENTO],Tab_02.Fev[CONTA],$F285)</f>
        <v>1061.57</v>
      </c>
      <c r="J285" s="4">
        <f>SUMIFS(Tab_03.Mar[MOVIMENTO],Tab_03.Mar[CONTA],$F285)</f>
        <v>2391.23</v>
      </c>
      <c r="K285" s="4">
        <f>SUMIFS(Tab_04.Abr[MOVIMENTO],Tab_04.Abr[CONTA],$F285)</f>
        <v>6518.03</v>
      </c>
      <c r="L285" s="4">
        <f>SUMIFS(Tab_05.Mai[MOVIMENTO],Tab_05.Mai[CONTA],$F285)</f>
        <v>517.5</v>
      </c>
      <c r="M285" s="4">
        <f>SUMIFS(Tab_06.Jun[MOVIMENTO],Tab_06.Jun[CONTA],$F285)</f>
        <v>1565.11</v>
      </c>
      <c r="N285" s="4">
        <f>SUMIFS(Tab_07.Jul[MOVIMENTO],Tab_07.Jul[CONTA],$F285)</f>
        <v>1813.26</v>
      </c>
      <c r="O285" s="4">
        <f>SUMIFS(Tab_08.Ago[MOVIMENTO],Tab_08.Ago[CONTA],$F285)</f>
        <v>1403.43</v>
      </c>
      <c r="P285" s="4">
        <f>SUMIFS(Tab_09.Set[MOVIMENTO],Tab_09.Set[CONTA],$F285)</f>
        <v>1087.81</v>
      </c>
      <c r="Q285" s="4">
        <f>SUMIFS(Tab_10.Out[MOVIMENTO],Tab_10.Out[CONTA],$F285)</f>
        <v>1300.33</v>
      </c>
      <c r="R285" s="4">
        <f>SUMIFS(Tab_11.Nov[MOVIMENTO],Tab_11.Nov[CONTA],$F285)</f>
        <v>2926.36</v>
      </c>
      <c r="S285" s="4">
        <f>SUMIFS(Tab_12.Dez[MOVIMENTO],Tab_12.Dez[CONTA],$F285)</f>
        <v>168</v>
      </c>
    </row>
    <row r="286" spans="2:19" x14ac:dyDescent="0.3">
      <c r="B286" s="3"/>
      <c r="C286" s="2" t="str">
        <f t="shared" si="51"/>
        <v>C</v>
      </c>
      <c r="D286" s="2" t="str">
        <f t="shared" si="52"/>
        <v>S</v>
      </c>
      <c r="E286" s="2">
        <f t="shared" si="53"/>
        <v>5</v>
      </c>
      <c r="F286" s="3" t="s">
        <v>610</v>
      </c>
      <c r="G286" s="3" t="s">
        <v>714</v>
      </c>
      <c r="H286" s="4">
        <f>SUMIFS(Tab_01.Jan[MOVIMENTO],Tab_01.Jan[CONTA],$F286)</f>
        <v>1438.95</v>
      </c>
      <c r="I286" s="4">
        <f>SUMIFS(Tab_02.Fev[MOVIMENTO],Tab_02.Fev[CONTA],$F286)</f>
        <v>1061.57</v>
      </c>
      <c r="J286" s="4">
        <f>SUMIFS(Tab_03.Mar[MOVIMENTO],Tab_03.Mar[CONTA],$F286)</f>
        <v>2391.23</v>
      </c>
      <c r="K286" s="4">
        <f>SUMIFS(Tab_04.Abr[MOVIMENTO],Tab_04.Abr[CONTA],$F286)</f>
        <v>6518.03</v>
      </c>
      <c r="L286" s="4">
        <f>SUMIFS(Tab_05.Mai[MOVIMENTO],Tab_05.Mai[CONTA],$F286)</f>
        <v>517.5</v>
      </c>
      <c r="M286" s="4">
        <f>SUMIFS(Tab_06.Jun[MOVIMENTO],Tab_06.Jun[CONTA],$F286)</f>
        <v>1565.11</v>
      </c>
      <c r="N286" s="4">
        <f>SUMIFS(Tab_07.Jul[MOVIMENTO],Tab_07.Jul[CONTA],$F286)</f>
        <v>1813.26</v>
      </c>
      <c r="O286" s="4">
        <f>SUMIFS(Tab_08.Ago[MOVIMENTO],Tab_08.Ago[CONTA],$F286)</f>
        <v>1403.43</v>
      </c>
      <c r="P286" s="4">
        <f>SUMIFS(Tab_09.Set[MOVIMENTO],Tab_09.Set[CONTA],$F286)</f>
        <v>859.81</v>
      </c>
      <c r="Q286" s="4">
        <f>SUMIFS(Tab_10.Out[MOVIMENTO],Tab_10.Out[CONTA],$F286)</f>
        <v>1300.33</v>
      </c>
      <c r="R286" s="4">
        <f>SUMIFS(Tab_11.Nov[MOVIMENTO],Tab_11.Nov[CONTA],$F286)</f>
        <v>2926.36</v>
      </c>
      <c r="S286" s="4">
        <f>SUMIFS(Tab_12.Dez[MOVIMENTO],Tab_12.Dez[CONTA],$F286)</f>
        <v>168</v>
      </c>
    </row>
    <row r="287" spans="2:19" x14ac:dyDescent="0.3">
      <c r="B287" s="3" t="s">
        <v>105</v>
      </c>
      <c r="C287" s="2" t="str">
        <f t="shared" si="51"/>
        <v>C</v>
      </c>
      <c r="D287" s="2" t="str">
        <f t="shared" si="52"/>
        <v>A</v>
      </c>
      <c r="E287" s="2">
        <f t="shared" si="53"/>
        <v>5</v>
      </c>
      <c r="F287" s="3" t="s">
        <v>482</v>
      </c>
      <c r="G287" s="3" t="s">
        <v>483</v>
      </c>
      <c r="H287" s="4">
        <f>SUMIFS(Tab_01.Jan[MOVIMENTO],Tab_01.Jan[CONTA],$F287)</f>
        <v>236.9</v>
      </c>
      <c r="I287" s="4">
        <f>SUMIFS(Tab_02.Fev[MOVIMENTO],Tab_02.Fev[CONTA],$F287)</f>
        <v>1061.57</v>
      </c>
      <c r="J287" s="4">
        <f>SUMIFS(Tab_03.Mar[MOVIMENTO],Tab_03.Mar[CONTA],$F287)</f>
        <v>937.8</v>
      </c>
      <c r="K287" s="4">
        <f>SUMIFS(Tab_04.Abr[MOVIMENTO],Tab_04.Abr[CONTA],$F287)</f>
        <v>738.03</v>
      </c>
      <c r="L287" s="4">
        <f>SUMIFS(Tab_05.Mai[MOVIMENTO],Tab_05.Mai[CONTA],$F287)</f>
        <v>463.94</v>
      </c>
      <c r="M287" s="4">
        <f>SUMIFS(Tab_06.Jun[MOVIMENTO],Tab_06.Jun[CONTA],$F287)</f>
        <v>700.75</v>
      </c>
      <c r="N287" s="4">
        <f>SUMIFS(Tab_07.Jul[MOVIMENTO],Tab_07.Jul[CONTA],$F287)</f>
        <v>866.32</v>
      </c>
      <c r="O287" s="4">
        <f>SUMIFS(Tab_08.Ago[MOVIMENTO],Tab_08.Ago[CONTA],$F287)</f>
        <v>115.2</v>
      </c>
      <c r="P287" s="4">
        <f>SUMIFS(Tab_09.Set[MOVIMENTO],Tab_09.Set[CONTA],$F287)</f>
        <v>316.10000000000002</v>
      </c>
      <c r="Q287" s="4">
        <f>SUMIFS(Tab_10.Out[MOVIMENTO],Tab_10.Out[CONTA],$F287)</f>
        <v>456</v>
      </c>
      <c r="R287" s="4">
        <f>SUMIFS(Tab_11.Nov[MOVIMENTO],Tab_11.Nov[CONTA],$F287)</f>
        <v>1743.62</v>
      </c>
      <c r="S287" s="4">
        <f>SUMIFS(Tab_12.Dez[MOVIMENTO],Tab_12.Dez[CONTA],$F287)</f>
        <v>168</v>
      </c>
    </row>
    <row r="288" spans="2:19" x14ac:dyDescent="0.3">
      <c r="B288" s="3" t="s">
        <v>105</v>
      </c>
      <c r="C288" s="2" t="str">
        <f t="shared" si="51"/>
        <v>C</v>
      </c>
      <c r="D288" s="2" t="str">
        <f t="shared" si="52"/>
        <v>A</v>
      </c>
      <c r="E288" s="2">
        <f t="shared" si="53"/>
        <v>5</v>
      </c>
      <c r="F288" s="3" t="s">
        <v>752</v>
      </c>
      <c r="G288" s="3" t="s">
        <v>753</v>
      </c>
      <c r="H288" s="4">
        <f>SUMIFS(Tab_01.Jan[MOVIMENTO],Tab_01.Jan[CONTA],$F288)</f>
        <v>0</v>
      </c>
      <c r="I288" s="4">
        <f>SUMIFS(Tab_02.Fev[MOVIMENTO],Tab_02.Fev[CONTA],$F288)</f>
        <v>0</v>
      </c>
      <c r="J288" s="4">
        <f>SUMIFS(Tab_03.Mar[MOVIMENTO],Tab_03.Mar[CONTA],$F288)</f>
        <v>0</v>
      </c>
      <c r="K288" s="4">
        <f>SUMIFS(Tab_04.Abr[MOVIMENTO],Tab_04.Abr[CONTA],$F288)</f>
        <v>5000</v>
      </c>
      <c r="L288" s="4">
        <f>SUMIFS(Tab_05.Mai[MOVIMENTO],Tab_05.Mai[CONTA],$F288)</f>
        <v>0</v>
      </c>
      <c r="M288" s="4">
        <f>SUMIFS(Tab_06.Jun[MOVIMENTO],Tab_06.Jun[CONTA],$F288)</f>
        <v>0</v>
      </c>
      <c r="N288" s="4">
        <f>SUMIFS(Tab_07.Jul[MOVIMENTO],Tab_07.Jul[CONTA],$F288)</f>
        <v>0</v>
      </c>
      <c r="O288" s="4">
        <f>SUMIFS(Tab_08.Ago[MOVIMENTO],Tab_08.Ago[CONTA],$F288)</f>
        <v>0</v>
      </c>
      <c r="P288" s="4">
        <f>SUMIFS(Tab_09.Set[MOVIMENTO],Tab_09.Set[CONTA],$F288)</f>
        <v>0</v>
      </c>
      <c r="Q288" s="4">
        <f>SUMIFS(Tab_10.Out[MOVIMENTO],Tab_10.Out[CONTA],$F288)</f>
        <v>0</v>
      </c>
      <c r="R288" s="4">
        <f>SUMIFS(Tab_11.Nov[MOVIMENTO],Tab_11.Nov[CONTA],$F288)</f>
        <v>0</v>
      </c>
      <c r="S288" s="4">
        <f>SUMIFS(Tab_12.Dez[MOVIMENTO],Tab_12.Dez[CONTA],$F288)</f>
        <v>0</v>
      </c>
    </row>
    <row r="289" spans="2:19" x14ac:dyDescent="0.3">
      <c r="B289" s="3" t="s">
        <v>105</v>
      </c>
      <c r="C289" s="2" t="str">
        <f t="shared" si="51"/>
        <v>C</v>
      </c>
      <c r="D289" s="2" t="str">
        <f t="shared" si="52"/>
        <v>A</v>
      </c>
      <c r="E289" s="2">
        <f t="shared" si="53"/>
        <v>5</v>
      </c>
      <c r="F289" s="3" t="s">
        <v>484</v>
      </c>
      <c r="G289" s="3" t="s">
        <v>485</v>
      </c>
      <c r="H289" s="4">
        <f>SUMIFS(Tab_01.Jan[MOVIMENTO],Tab_01.Jan[CONTA],$F289)</f>
        <v>1202.05</v>
      </c>
      <c r="I289" s="4">
        <f>SUMIFS(Tab_02.Fev[MOVIMENTO],Tab_02.Fev[CONTA],$F289)</f>
        <v>0</v>
      </c>
      <c r="J289" s="4">
        <f>SUMIFS(Tab_03.Mar[MOVIMENTO],Tab_03.Mar[CONTA],$F289)</f>
        <v>1453.43</v>
      </c>
      <c r="K289" s="4">
        <f>SUMIFS(Tab_04.Abr[MOVIMENTO],Tab_04.Abr[CONTA],$F289)</f>
        <v>780</v>
      </c>
      <c r="L289" s="4">
        <f>SUMIFS(Tab_05.Mai[MOVIMENTO],Tab_05.Mai[CONTA],$F289)</f>
        <v>53.56</v>
      </c>
      <c r="M289" s="4">
        <f>SUMIFS(Tab_06.Jun[MOVIMENTO],Tab_06.Jun[CONTA],$F289)</f>
        <v>864.36</v>
      </c>
      <c r="N289" s="4">
        <f>SUMIFS(Tab_07.Jul[MOVIMENTO],Tab_07.Jul[CONTA],$F289)</f>
        <v>946.94</v>
      </c>
      <c r="O289" s="4">
        <f>SUMIFS(Tab_08.Ago[MOVIMENTO],Tab_08.Ago[CONTA],$F289)</f>
        <v>1288.23</v>
      </c>
      <c r="P289" s="4">
        <f>SUMIFS(Tab_09.Set[MOVIMENTO],Tab_09.Set[CONTA],$F289)</f>
        <v>543.71</v>
      </c>
      <c r="Q289" s="4">
        <f>SUMIFS(Tab_10.Out[MOVIMENTO],Tab_10.Out[CONTA],$F289)</f>
        <v>844.33</v>
      </c>
      <c r="R289" s="4">
        <f>SUMIFS(Tab_11.Nov[MOVIMENTO],Tab_11.Nov[CONTA],$F289)</f>
        <v>1182.74</v>
      </c>
      <c r="S289" s="4">
        <f>SUMIFS(Tab_12.Dez[MOVIMENTO],Tab_12.Dez[CONTA],$F289)</f>
        <v>0</v>
      </c>
    </row>
    <row r="290" spans="2:19" x14ac:dyDescent="0.3">
      <c r="B290" s="3" t="s">
        <v>105</v>
      </c>
      <c r="C290" s="2" t="str">
        <f t="shared" si="51"/>
        <v>C</v>
      </c>
      <c r="D290" s="2" t="str">
        <f t="shared" si="52"/>
        <v>A</v>
      </c>
      <c r="E290" s="2">
        <f t="shared" si="53"/>
        <v>5</v>
      </c>
      <c r="F290" s="3" t="s">
        <v>486</v>
      </c>
      <c r="G290" s="3" t="s">
        <v>487</v>
      </c>
      <c r="H290" s="4">
        <f>SUMIFS(Tab_01.Jan[MOVIMENTO],Tab_01.Jan[CONTA],$F290)</f>
        <v>0</v>
      </c>
      <c r="I290" s="4">
        <f>SUMIFS(Tab_02.Fev[MOVIMENTO],Tab_02.Fev[CONTA],$F290)</f>
        <v>0</v>
      </c>
      <c r="J290" s="4">
        <f>SUMIFS(Tab_03.Mar[MOVIMENTO],Tab_03.Mar[CONTA],$F290)</f>
        <v>0</v>
      </c>
      <c r="K290" s="4">
        <f>SUMIFS(Tab_04.Abr[MOVIMENTO],Tab_04.Abr[CONTA],$F290)</f>
        <v>0</v>
      </c>
      <c r="L290" s="4">
        <f>SUMIFS(Tab_05.Mai[MOVIMENTO],Tab_05.Mai[CONTA],$F290)</f>
        <v>0</v>
      </c>
      <c r="M290" s="4">
        <f>SUMIFS(Tab_06.Jun[MOVIMENTO],Tab_06.Jun[CONTA],$F290)</f>
        <v>0</v>
      </c>
      <c r="N290" s="4">
        <f>SUMIFS(Tab_07.Jul[MOVIMENTO],Tab_07.Jul[CONTA],$F290)</f>
        <v>0</v>
      </c>
      <c r="O290" s="4">
        <f>SUMIFS(Tab_08.Ago[MOVIMENTO],Tab_08.Ago[CONTA],$F290)</f>
        <v>0</v>
      </c>
      <c r="P290" s="4">
        <f>SUMIFS(Tab_09.Set[MOVIMENTO],Tab_09.Set[CONTA],$F290)</f>
        <v>0</v>
      </c>
      <c r="Q290" s="4">
        <f>SUMIFS(Tab_10.Out[MOVIMENTO],Tab_10.Out[CONTA],$F290)</f>
        <v>0</v>
      </c>
      <c r="R290" s="4">
        <f>SUMIFS(Tab_11.Nov[MOVIMENTO],Tab_11.Nov[CONTA],$F290)</f>
        <v>0</v>
      </c>
      <c r="S290" s="4">
        <f>SUMIFS(Tab_12.Dez[MOVIMENTO],Tab_12.Dez[CONTA],$F290)</f>
        <v>0</v>
      </c>
    </row>
    <row r="291" spans="2:19" x14ac:dyDescent="0.3">
      <c r="B291" s="3" t="s">
        <v>105</v>
      </c>
      <c r="C291" s="2" t="str">
        <f t="shared" si="51"/>
        <v>C</v>
      </c>
      <c r="D291" s="2" t="str">
        <f t="shared" si="52"/>
        <v>A</v>
      </c>
      <c r="E291" s="2">
        <f t="shared" si="53"/>
        <v>5</v>
      </c>
      <c r="F291" s="3" t="s">
        <v>488</v>
      </c>
      <c r="G291" s="3" t="s">
        <v>414</v>
      </c>
      <c r="H291" s="4">
        <f>SUMIFS(Tab_01.Jan[MOVIMENTO],Tab_01.Jan[CONTA],$F291)</f>
        <v>0</v>
      </c>
      <c r="I291" s="4">
        <f>SUMIFS(Tab_02.Fev[MOVIMENTO],Tab_02.Fev[CONTA],$F291)</f>
        <v>0</v>
      </c>
      <c r="J291" s="4">
        <f>SUMIFS(Tab_03.Mar[MOVIMENTO],Tab_03.Mar[CONTA],$F291)</f>
        <v>0</v>
      </c>
      <c r="K291" s="4">
        <f>SUMIFS(Tab_04.Abr[MOVIMENTO],Tab_04.Abr[CONTA],$F291)</f>
        <v>0</v>
      </c>
      <c r="L291" s="4">
        <f>SUMIFS(Tab_05.Mai[MOVIMENTO],Tab_05.Mai[CONTA],$F291)</f>
        <v>0</v>
      </c>
      <c r="M291" s="4">
        <f>SUMIFS(Tab_06.Jun[MOVIMENTO],Tab_06.Jun[CONTA],$F291)</f>
        <v>0</v>
      </c>
      <c r="N291" s="4">
        <f>SUMIFS(Tab_07.Jul[MOVIMENTO],Tab_07.Jul[CONTA],$F291)</f>
        <v>0</v>
      </c>
      <c r="O291" s="4">
        <f>SUMIFS(Tab_08.Ago[MOVIMENTO],Tab_08.Ago[CONTA],$F291)</f>
        <v>0</v>
      </c>
      <c r="P291" s="4">
        <f>SUMIFS(Tab_09.Set[MOVIMENTO],Tab_09.Set[CONTA],$F291)</f>
        <v>0</v>
      </c>
      <c r="Q291" s="4">
        <f>SUMIFS(Tab_10.Out[MOVIMENTO],Tab_10.Out[CONTA],$F291)</f>
        <v>0</v>
      </c>
      <c r="R291" s="4">
        <f>SUMIFS(Tab_11.Nov[MOVIMENTO],Tab_11.Nov[CONTA],$F291)</f>
        <v>0</v>
      </c>
      <c r="S291" s="4">
        <f>SUMIFS(Tab_12.Dez[MOVIMENTO],Tab_12.Dez[CONTA],$F291)</f>
        <v>0</v>
      </c>
    </row>
    <row r="292" spans="2:19" x14ac:dyDescent="0.3">
      <c r="B292" s="3"/>
      <c r="C292" s="2" t="str">
        <f t="shared" si="51"/>
        <v>C</v>
      </c>
      <c r="D292" s="2" t="str">
        <f t="shared" si="52"/>
        <v>S</v>
      </c>
      <c r="E292" s="2">
        <f t="shared" si="53"/>
        <v>5</v>
      </c>
      <c r="F292" s="3" t="s">
        <v>611</v>
      </c>
      <c r="G292" s="3" t="s">
        <v>715</v>
      </c>
      <c r="H292" s="4">
        <f>SUMIFS(Tab_01.Jan[MOVIMENTO],Tab_01.Jan[CONTA],$F292)</f>
        <v>0</v>
      </c>
      <c r="I292" s="4">
        <f>SUMIFS(Tab_02.Fev[MOVIMENTO],Tab_02.Fev[CONTA],$F292)</f>
        <v>0</v>
      </c>
      <c r="J292" s="4">
        <f>SUMIFS(Tab_03.Mar[MOVIMENTO],Tab_03.Mar[CONTA],$F292)</f>
        <v>0</v>
      </c>
      <c r="K292" s="4">
        <f>SUMIFS(Tab_04.Abr[MOVIMENTO],Tab_04.Abr[CONTA],$F292)</f>
        <v>0</v>
      </c>
      <c r="L292" s="4">
        <f>SUMIFS(Tab_05.Mai[MOVIMENTO],Tab_05.Mai[CONTA],$F292)</f>
        <v>0</v>
      </c>
      <c r="M292" s="4">
        <f>SUMIFS(Tab_06.Jun[MOVIMENTO],Tab_06.Jun[CONTA],$F292)</f>
        <v>0</v>
      </c>
      <c r="N292" s="4">
        <f>SUMIFS(Tab_07.Jul[MOVIMENTO],Tab_07.Jul[CONTA],$F292)</f>
        <v>0</v>
      </c>
      <c r="O292" s="4">
        <f>SUMIFS(Tab_08.Ago[MOVIMENTO],Tab_08.Ago[CONTA],$F292)</f>
        <v>0</v>
      </c>
      <c r="P292" s="4">
        <f>SUMIFS(Tab_09.Set[MOVIMENTO],Tab_09.Set[CONTA],$F292)</f>
        <v>228</v>
      </c>
      <c r="Q292" s="4">
        <f>SUMIFS(Tab_10.Out[MOVIMENTO],Tab_10.Out[CONTA],$F292)</f>
        <v>0</v>
      </c>
      <c r="R292" s="4">
        <f>SUMIFS(Tab_11.Nov[MOVIMENTO],Tab_11.Nov[CONTA],$F292)</f>
        <v>0</v>
      </c>
      <c r="S292" s="4">
        <f>SUMIFS(Tab_12.Dez[MOVIMENTO],Tab_12.Dez[CONTA],$F292)</f>
        <v>0</v>
      </c>
    </row>
    <row r="293" spans="2:19" x14ac:dyDescent="0.3">
      <c r="B293" s="3" t="s">
        <v>105</v>
      </c>
      <c r="C293" s="2" t="str">
        <f t="shared" si="51"/>
        <v>C</v>
      </c>
      <c r="D293" s="2" t="str">
        <f t="shared" si="52"/>
        <v>A</v>
      </c>
      <c r="E293" s="2">
        <f t="shared" si="53"/>
        <v>5</v>
      </c>
      <c r="F293" s="3" t="s">
        <v>489</v>
      </c>
      <c r="G293" s="3" t="s">
        <v>490</v>
      </c>
      <c r="H293" s="4">
        <f>SUMIFS(Tab_01.Jan[MOVIMENTO],Tab_01.Jan[CONTA],$F293)</f>
        <v>0</v>
      </c>
      <c r="I293" s="4">
        <f>SUMIFS(Tab_02.Fev[MOVIMENTO],Tab_02.Fev[CONTA],$F293)</f>
        <v>0</v>
      </c>
      <c r="J293" s="4">
        <f>SUMIFS(Tab_03.Mar[MOVIMENTO],Tab_03.Mar[CONTA],$F293)</f>
        <v>0</v>
      </c>
      <c r="K293" s="4">
        <f>SUMIFS(Tab_04.Abr[MOVIMENTO],Tab_04.Abr[CONTA],$F293)</f>
        <v>0</v>
      </c>
      <c r="L293" s="4">
        <f>SUMIFS(Tab_05.Mai[MOVIMENTO],Tab_05.Mai[CONTA],$F293)</f>
        <v>0</v>
      </c>
      <c r="M293" s="4">
        <f>SUMIFS(Tab_06.Jun[MOVIMENTO],Tab_06.Jun[CONTA],$F293)</f>
        <v>0</v>
      </c>
      <c r="N293" s="4">
        <f>SUMIFS(Tab_07.Jul[MOVIMENTO],Tab_07.Jul[CONTA],$F293)</f>
        <v>0</v>
      </c>
      <c r="O293" s="4">
        <f>SUMIFS(Tab_08.Ago[MOVIMENTO],Tab_08.Ago[CONTA],$F293)</f>
        <v>0</v>
      </c>
      <c r="P293" s="4">
        <f>SUMIFS(Tab_09.Set[MOVIMENTO],Tab_09.Set[CONTA],$F293)</f>
        <v>228</v>
      </c>
      <c r="Q293" s="4">
        <f>SUMIFS(Tab_10.Out[MOVIMENTO],Tab_10.Out[CONTA],$F293)</f>
        <v>0</v>
      </c>
      <c r="R293" s="4">
        <f>SUMIFS(Tab_11.Nov[MOVIMENTO],Tab_11.Nov[CONTA],$F293)</f>
        <v>0</v>
      </c>
      <c r="S293" s="4">
        <f>SUMIFS(Tab_12.Dez[MOVIMENTO],Tab_12.Dez[CONTA],$F293)</f>
        <v>0</v>
      </c>
    </row>
    <row r="294" spans="2:19" x14ac:dyDescent="0.3">
      <c r="B294" s="3"/>
      <c r="C294" s="2" t="str">
        <f t="shared" si="51"/>
        <v>C</v>
      </c>
      <c r="D294" s="2" t="str">
        <f t="shared" si="52"/>
        <v>S</v>
      </c>
      <c r="E294" s="2">
        <f t="shared" si="53"/>
        <v>5</v>
      </c>
      <c r="F294" s="3" t="s">
        <v>612</v>
      </c>
      <c r="G294" s="3" t="s">
        <v>716</v>
      </c>
      <c r="H294" s="4">
        <f>SUMIFS(Tab_01.Jan[MOVIMENTO],Tab_01.Jan[CONTA],$F294)</f>
        <v>11083.2</v>
      </c>
      <c r="I294" s="4">
        <f>SUMIFS(Tab_02.Fev[MOVIMENTO],Tab_02.Fev[CONTA],$F294)</f>
        <v>6398.49</v>
      </c>
      <c r="J294" s="4">
        <f>SUMIFS(Tab_03.Mar[MOVIMENTO],Tab_03.Mar[CONTA],$F294)</f>
        <v>8160.13</v>
      </c>
      <c r="K294" s="4">
        <f>SUMIFS(Tab_04.Abr[MOVIMENTO],Tab_04.Abr[CONTA],$F294)</f>
        <v>14288.74</v>
      </c>
      <c r="L294" s="4">
        <f>SUMIFS(Tab_05.Mai[MOVIMENTO],Tab_05.Mai[CONTA],$F294)</f>
        <v>8854.3700000000008</v>
      </c>
      <c r="M294" s="4">
        <f>SUMIFS(Tab_06.Jun[MOVIMENTO],Tab_06.Jun[CONTA],$F294)</f>
        <v>9288.0300000000007</v>
      </c>
      <c r="N294" s="4">
        <f>SUMIFS(Tab_07.Jul[MOVIMENTO],Tab_07.Jul[CONTA],$F294)</f>
        <v>7586.35</v>
      </c>
      <c r="O294" s="4">
        <f>SUMIFS(Tab_08.Ago[MOVIMENTO],Tab_08.Ago[CONTA],$F294)</f>
        <v>9493.27</v>
      </c>
      <c r="P294" s="4">
        <f>SUMIFS(Tab_09.Set[MOVIMENTO],Tab_09.Set[CONTA],$F294)</f>
        <v>20252.41</v>
      </c>
      <c r="Q294" s="4">
        <f>SUMIFS(Tab_10.Out[MOVIMENTO],Tab_10.Out[CONTA],$F294)</f>
        <v>7085.09</v>
      </c>
      <c r="R294" s="4">
        <f>SUMIFS(Tab_11.Nov[MOVIMENTO],Tab_11.Nov[CONTA],$F294)</f>
        <v>12576.33</v>
      </c>
      <c r="S294" s="4">
        <f>SUMIFS(Tab_12.Dez[MOVIMENTO],Tab_12.Dez[CONTA],$F294)</f>
        <v>29974.2</v>
      </c>
    </row>
    <row r="295" spans="2:19" x14ac:dyDescent="0.3">
      <c r="B295" s="3"/>
      <c r="C295" s="2" t="str">
        <f t="shared" si="51"/>
        <v>C</v>
      </c>
      <c r="D295" s="2" t="str">
        <f t="shared" si="52"/>
        <v>S</v>
      </c>
      <c r="E295" s="2">
        <f t="shared" si="53"/>
        <v>5</v>
      </c>
      <c r="F295" s="3" t="s">
        <v>613</v>
      </c>
      <c r="G295" s="3" t="s">
        <v>717</v>
      </c>
      <c r="H295" s="4">
        <f>SUMIFS(Tab_01.Jan[MOVIMENTO],Tab_01.Jan[CONTA],$F295)</f>
        <v>8031.73</v>
      </c>
      <c r="I295" s="4">
        <f>SUMIFS(Tab_02.Fev[MOVIMENTO],Tab_02.Fev[CONTA],$F295)</f>
        <v>5570.63</v>
      </c>
      <c r="J295" s="4">
        <f>SUMIFS(Tab_03.Mar[MOVIMENTO],Tab_03.Mar[CONTA],$F295)</f>
        <v>6259.83</v>
      </c>
      <c r="K295" s="4">
        <f>SUMIFS(Tab_04.Abr[MOVIMENTO],Tab_04.Abr[CONTA],$F295)</f>
        <v>6494.45</v>
      </c>
      <c r="L295" s="4">
        <f>SUMIFS(Tab_05.Mai[MOVIMENTO],Tab_05.Mai[CONTA],$F295)</f>
        <v>6202.26</v>
      </c>
      <c r="M295" s="4">
        <f>SUMIFS(Tab_06.Jun[MOVIMENTO],Tab_06.Jun[CONTA],$F295)</f>
        <v>4843.74</v>
      </c>
      <c r="N295" s="4">
        <f>SUMIFS(Tab_07.Jul[MOVIMENTO],Tab_07.Jul[CONTA],$F295)</f>
        <v>5018.91</v>
      </c>
      <c r="O295" s="4">
        <f>SUMIFS(Tab_08.Ago[MOVIMENTO],Tab_08.Ago[CONTA],$F295)</f>
        <v>4631.12</v>
      </c>
      <c r="P295" s="4">
        <f>SUMIFS(Tab_09.Set[MOVIMENTO],Tab_09.Set[CONTA],$F295)</f>
        <v>2901.92</v>
      </c>
      <c r="Q295" s="4">
        <f>SUMIFS(Tab_10.Out[MOVIMENTO],Tab_10.Out[CONTA],$F295)</f>
        <v>3567.61</v>
      </c>
      <c r="R295" s="4">
        <f>SUMIFS(Tab_11.Nov[MOVIMENTO],Tab_11.Nov[CONTA],$F295)</f>
        <v>8192.7000000000007</v>
      </c>
      <c r="S295" s="4">
        <f>SUMIFS(Tab_12.Dez[MOVIMENTO],Tab_12.Dez[CONTA],$F295)</f>
        <v>2833.93</v>
      </c>
    </row>
    <row r="296" spans="2:19" x14ac:dyDescent="0.3">
      <c r="B296" s="3" t="s">
        <v>105</v>
      </c>
      <c r="C296" s="2" t="str">
        <f t="shared" si="51"/>
        <v>C</v>
      </c>
      <c r="D296" s="2" t="str">
        <f t="shared" si="52"/>
        <v>A</v>
      </c>
      <c r="E296" s="2">
        <f t="shared" si="53"/>
        <v>5</v>
      </c>
      <c r="F296" s="3" t="s">
        <v>491</v>
      </c>
      <c r="G296" s="3" t="s">
        <v>492</v>
      </c>
      <c r="H296" s="4">
        <f>SUMIFS(Tab_01.Jan[MOVIMENTO],Tab_01.Jan[CONTA],$F296)</f>
        <v>3476.84</v>
      </c>
      <c r="I296" s="4">
        <f>SUMIFS(Tab_02.Fev[MOVIMENTO],Tab_02.Fev[CONTA],$F296)</f>
        <v>3315.03</v>
      </c>
      <c r="J296" s="4">
        <f>SUMIFS(Tab_03.Mar[MOVIMENTO],Tab_03.Mar[CONTA],$F296)</f>
        <v>3703.93</v>
      </c>
      <c r="K296" s="4">
        <f>SUMIFS(Tab_04.Abr[MOVIMENTO],Tab_04.Abr[CONTA],$F296)</f>
        <v>2664.43</v>
      </c>
      <c r="L296" s="4">
        <f>SUMIFS(Tab_05.Mai[MOVIMENTO],Tab_05.Mai[CONTA],$F296)</f>
        <v>3313.41</v>
      </c>
      <c r="M296" s="4">
        <f>SUMIFS(Tab_06.Jun[MOVIMENTO],Tab_06.Jun[CONTA],$F296)</f>
        <v>2166.44</v>
      </c>
      <c r="N296" s="4">
        <f>SUMIFS(Tab_07.Jul[MOVIMENTO],Tab_07.Jul[CONTA],$F296)</f>
        <v>1918.54</v>
      </c>
      <c r="O296" s="4">
        <f>SUMIFS(Tab_08.Ago[MOVIMENTO],Tab_08.Ago[CONTA],$F296)</f>
        <v>1817.16</v>
      </c>
      <c r="P296" s="4">
        <f>SUMIFS(Tab_09.Set[MOVIMENTO],Tab_09.Set[CONTA],$F296)</f>
        <v>0</v>
      </c>
      <c r="Q296" s="4">
        <f>SUMIFS(Tab_10.Out[MOVIMENTO],Tab_10.Out[CONTA],$F296)</f>
        <v>1970.55</v>
      </c>
      <c r="R296" s="4">
        <f>SUMIFS(Tab_11.Nov[MOVIMENTO],Tab_11.Nov[CONTA],$F296)</f>
        <v>5054.1499999999996</v>
      </c>
      <c r="S296" s="4">
        <f>SUMIFS(Tab_12.Dez[MOVIMENTO],Tab_12.Dez[CONTA],$F296)</f>
        <v>0</v>
      </c>
    </row>
    <row r="297" spans="2:19" x14ac:dyDescent="0.3">
      <c r="B297" s="3" t="s">
        <v>105</v>
      </c>
      <c r="C297" s="2" t="str">
        <f t="shared" si="51"/>
        <v>C</v>
      </c>
      <c r="D297" s="2" t="str">
        <f t="shared" si="52"/>
        <v>A</v>
      </c>
      <c r="E297" s="2">
        <f t="shared" si="53"/>
        <v>5</v>
      </c>
      <c r="F297" s="3" t="s">
        <v>493</v>
      </c>
      <c r="G297" s="3" t="s">
        <v>494</v>
      </c>
      <c r="H297" s="4">
        <f>SUMIFS(Tab_01.Jan[MOVIMENTO],Tab_01.Jan[CONTA],$F297)</f>
        <v>3157.37</v>
      </c>
      <c r="I297" s="4">
        <f>SUMIFS(Tab_02.Fev[MOVIMENTO],Tab_02.Fev[CONTA],$F297)</f>
        <v>846.95</v>
      </c>
      <c r="J297" s="4">
        <f>SUMIFS(Tab_03.Mar[MOVIMENTO],Tab_03.Mar[CONTA],$F297)</f>
        <v>1145.3800000000001</v>
      </c>
      <c r="K297" s="4">
        <f>SUMIFS(Tab_04.Abr[MOVIMENTO],Tab_04.Abr[CONTA],$F297)</f>
        <v>2390.13</v>
      </c>
      <c r="L297" s="4">
        <f>SUMIFS(Tab_05.Mai[MOVIMENTO],Tab_05.Mai[CONTA],$F297)</f>
        <v>1448.96</v>
      </c>
      <c r="M297" s="4">
        <f>SUMIFS(Tab_06.Jun[MOVIMENTO],Tab_06.Jun[CONTA],$F297)</f>
        <v>1374.07</v>
      </c>
      <c r="N297" s="4">
        <f>SUMIFS(Tab_07.Jul[MOVIMENTO],Tab_07.Jul[CONTA],$F297)</f>
        <v>1523.82</v>
      </c>
      <c r="O297" s="4">
        <f>SUMIFS(Tab_08.Ago[MOVIMENTO],Tab_08.Ago[CONTA],$F297)</f>
        <v>1374.07</v>
      </c>
      <c r="P297" s="4">
        <f>SUMIFS(Tab_09.Set[MOVIMENTO],Tab_09.Set[CONTA],$F297)</f>
        <v>1598.69</v>
      </c>
      <c r="Q297" s="4">
        <f>SUMIFS(Tab_10.Out[MOVIMENTO],Tab_10.Out[CONTA],$F297)</f>
        <v>0</v>
      </c>
      <c r="R297" s="4">
        <f>SUMIFS(Tab_11.Nov[MOVIMENTO],Tab_11.Nov[CONTA],$F297)</f>
        <v>1678.69</v>
      </c>
      <c r="S297" s="4">
        <f>SUMIFS(Tab_12.Dez[MOVIMENTO],Tab_12.Dez[CONTA],$F297)</f>
        <v>1374.07</v>
      </c>
    </row>
    <row r="298" spans="2:19" x14ac:dyDescent="0.3">
      <c r="B298" s="3" t="s">
        <v>105</v>
      </c>
      <c r="C298" s="2" t="str">
        <f t="shared" si="51"/>
        <v>C</v>
      </c>
      <c r="D298" s="2" t="str">
        <f t="shared" si="52"/>
        <v>A</v>
      </c>
      <c r="E298" s="2">
        <f t="shared" si="53"/>
        <v>5</v>
      </c>
      <c r="F298" s="3" t="s">
        <v>495</v>
      </c>
      <c r="G298" s="3" t="s">
        <v>496</v>
      </c>
      <c r="H298" s="4">
        <f>SUMIFS(Tab_01.Jan[MOVIMENTO],Tab_01.Jan[CONTA],$F298)</f>
        <v>1397.52</v>
      </c>
      <c r="I298" s="4">
        <f>SUMIFS(Tab_02.Fev[MOVIMENTO],Tab_02.Fev[CONTA],$F298)</f>
        <v>1408.65</v>
      </c>
      <c r="J298" s="4">
        <f>SUMIFS(Tab_03.Mar[MOVIMENTO],Tab_03.Mar[CONTA],$F298)</f>
        <v>1410.52</v>
      </c>
      <c r="K298" s="4">
        <f>SUMIFS(Tab_04.Abr[MOVIMENTO],Tab_04.Abr[CONTA],$F298)</f>
        <v>1439.89</v>
      </c>
      <c r="L298" s="4">
        <f>SUMIFS(Tab_05.Mai[MOVIMENTO],Tab_05.Mai[CONTA],$F298)</f>
        <v>1439.89</v>
      </c>
      <c r="M298" s="4">
        <f>SUMIFS(Tab_06.Jun[MOVIMENTO],Tab_06.Jun[CONTA],$F298)</f>
        <v>1303.23</v>
      </c>
      <c r="N298" s="4">
        <f>SUMIFS(Tab_07.Jul[MOVIMENTO],Tab_07.Jul[CONTA],$F298)</f>
        <v>1576.55</v>
      </c>
      <c r="O298" s="4">
        <f>SUMIFS(Tab_08.Ago[MOVIMENTO],Tab_08.Ago[CONTA],$F298)</f>
        <v>1439.89</v>
      </c>
      <c r="P298" s="4">
        <f>SUMIFS(Tab_09.Set[MOVIMENTO],Tab_09.Set[CONTA],$F298)</f>
        <v>1303.23</v>
      </c>
      <c r="Q298" s="4">
        <f>SUMIFS(Tab_10.Out[MOVIMENTO],Tab_10.Out[CONTA],$F298)</f>
        <v>1597.06</v>
      </c>
      <c r="R298" s="4">
        <f>SUMIFS(Tab_11.Nov[MOVIMENTO],Tab_11.Nov[CONTA],$F298)</f>
        <v>1459.86</v>
      </c>
      <c r="S298" s="4">
        <f>SUMIFS(Tab_12.Dez[MOVIMENTO],Tab_12.Dez[CONTA],$F298)</f>
        <v>1459.86</v>
      </c>
    </row>
    <row r="299" spans="2:19" x14ac:dyDescent="0.3">
      <c r="B299" s="3"/>
      <c r="C299" s="2" t="str">
        <f t="shared" si="51"/>
        <v>C</v>
      </c>
      <c r="D299" s="2" t="str">
        <f t="shared" si="52"/>
        <v>S</v>
      </c>
      <c r="E299" s="2">
        <f t="shared" si="53"/>
        <v>5</v>
      </c>
      <c r="F299" s="3" t="s">
        <v>614</v>
      </c>
      <c r="G299" s="3" t="s">
        <v>718</v>
      </c>
      <c r="H299" s="4">
        <f>SUMIFS(Tab_01.Jan[MOVIMENTO],Tab_01.Jan[CONTA],$F299)</f>
        <v>3051.47</v>
      </c>
      <c r="I299" s="4">
        <f>SUMIFS(Tab_02.Fev[MOVIMENTO],Tab_02.Fev[CONTA],$F299)</f>
        <v>827.86</v>
      </c>
      <c r="J299" s="4">
        <f>SUMIFS(Tab_03.Mar[MOVIMENTO],Tab_03.Mar[CONTA],$F299)</f>
        <v>1900.3</v>
      </c>
      <c r="K299" s="4">
        <f>SUMIFS(Tab_04.Abr[MOVIMENTO],Tab_04.Abr[CONTA],$F299)</f>
        <v>7794.29</v>
      </c>
      <c r="L299" s="4">
        <f>SUMIFS(Tab_05.Mai[MOVIMENTO],Tab_05.Mai[CONTA],$F299)</f>
        <v>2652.11</v>
      </c>
      <c r="M299" s="4">
        <f>SUMIFS(Tab_06.Jun[MOVIMENTO],Tab_06.Jun[CONTA],$F299)</f>
        <v>4444.29</v>
      </c>
      <c r="N299" s="4">
        <f>SUMIFS(Tab_07.Jul[MOVIMENTO],Tab_07.Jul[CONTA],$F299)</f>
        <v>2567.44</v>
      </c>
      <c r="O299" s="4">
        <f>SUMIFS(Tab_08.Ago[MOVIMENTO],Tab_08.Ago[CONTA],$F299)</f>
        <v>4862.1499999999996</v>
      </c>
      <c r="P299" s="4">
        <f>SUMIFS(Tab_09.Set[MOVIMENTO],Tab_09.Set[CONTA],$F299)</f>
        <v>17350.490000000002</v>
      </c>
      <c r="Q299" s="4">
        <f>SUMIFS(Tab_10.Out[MOVIMENTO],Tab_10.Out[CONTA],$F299)</f>
        <v>3517.48</v>
      </c>
      <c r="R299" s="4">
        <f>SUMIFS(Tab_11.Nov[MOVIMENTO],Tab_11.Nov[CONTA],$F299)</f>
        <v>4383.63</v>
      </c>
      <c r="S299" s="4">
        <f>SUMIFS(Tab_12.Dez[MOVIMENTO],Tab_12.Dez[CONTA],$F299)</f>
        <v>27140.27</v>
      </c>
    </row>
    <row r="300" spans="2:19" x14ac:dyDescent="0.3">
      <c r="B300" s="3" t="s">
        <v>105</v>
      </c>
      <c r="C300" s="2" t="str">
        <f t="shared" si="51"/>
        <v>C</v>
      </c>
      <c r="D300" s="2" t="str">
        <f t="shared" si="52"/>
        <v>A</v>
      </c>
      <c r="E300" s="2">
        <f t="shared" si="53"/>
        <v>5</v>
      </c>
      <c r="F300" s="3" t="s">
        <v>497</v>
      </c>
      <c r="G300" s="3" t="s">
        <v>498</v>
      </c>
      <c r="H300" s="4">
        <f>SUMIFS(Tab_01.Jan[MOVIMENTO],Tab_01.Jan[CONTA],$F300)</f>
        <v>0</v>
      </c>
      <c r="I300" s="4">
        <f>SUMIFS(Tab_02.Fev[MOVIMENTO],Tab_02.Fev[CONTA],$F300)</f>
        <v>0</v>
      </c>
      <c r="J300" s="4">
        <f>SUMIFS(Tab_03.Mar[MOVIMENTO],Tab_03.Mar[CONTA],$F300)</f>
        <v>0</v>
      </c>
      <c r="K300" s="4">
        <f>SUMIFS(Tab_04.Abr[MOVIMENTO],Tab_04.Abr[CONTA],$F300)</f>
        <v>95</v>
      </c>
      <c r="L300" s="4">
        <f>SUMIFS(Tab_05.Mai[MOVIMENTO],Tab_05.Mai[CONTA],$F300)</f>
        <v>0</v>
      </c>
      <c r="M300" s="4">
        <f>SUMIFS(Tab_06.Jun[MOVIMENTO],Tab_06.Jun[CONTA],$F300)</f>
        <v>0</v>
      </c>
      <c r="N300" s="4">
        <f>SUMIFS(Tab_07.Jul[MOVIMENTO],Tab_07.Jul[CONTA],$F300)</f>
        <v>0</v>
      </c>
      <c r="O300" s="4">
        <f>SUMIFS(Tab_08.Ago[MOVIMENTO],Tab_08.Ago[CONTA],$F300)</f>
        <v>0</v>
      </c>
      <c r="P300" s="4">
        <f>SUMIFS(Tab_09.Set[MOVIMENTO],Tab_09.Set[CONTA],$F300)</f>
        <v>0</v>
      </c>
      <c r="Q300" s="4">
        <f>SUMIFS(Tab_10.Out[MOVIMENTO],Tab_10.Out[CONTA],$F300)</f>
        <v>0</v>
      </c>
      <c r="R300" s="4">
        <f>SUMIFS(Tab_11.Nov[MOVIMENTO],Tab_11.Nov[CONTA],$F300)</f>
        <v>0</v>
      </c>
      <c r="S300" s="4">
        <f>SUMIFS(Tab_12.Dez[MOVIMENTO],Tab_12.Dez[CONTA],$F300)</f>
        <v>0</v>
      </c>
    </row>
    <row r="301" spans="2:19" x14ac:dyDescent="0.3">
      <c r="B301" s="3" t="s">
        <v>105</v>
      </c>
      <c r="C301" s="2" t="str">
        <f t="shared" si="51"/>
        <v>C</v>
      </c>
      <c r="D301" s="2" t="str">
        <f t="shared" si="52"/>
        <v>A</v>
      </c>
      <c r="E301" s="2">
        <f t="shared" si="53"/>
        <v>5</v>
      </c>
      <c r="F301" s="3" t="s">
        <v>499</v>
      </c>
      <c r="G301" s="3" t="s">
        <v>500</v>
      </c>
      <c r="H301" s="4">
        <f>SUMIFS(Tab_01.Jan[MOVIMENTO],Tab_01.Jan[CONTA],$F301)</f>
        <v>146.94</v>
      </c>
      <c r="I301" s="4">
        <f>SUMIFS(Tab_02.Fev[MOVIMENTO],Tab_02.Fev[CONTA],$F301)</f>
        <v>0</v>
      </c>
      <c r="J301" s="4">
        <f>SUMIFS(Tab_03.Mar[MOVIMENTO],Tab_03.Mar[CONTA],$F301)</f>
        <v>1215</v>
      </c>
      <c r="K301" s="4">
        <f>SUMIFS(Tab_04.Abr[MOVIMENTO],Tab_04.Abr[CONTA],$F301)</f>
        <v>2247.4</v>
      </c>
      <c r="L301" s="4">
        <f>SUMIFS(Tab_05.Mai[MOVIMENTO],Tab_05.Mai[CONTA],$F301)</f>
        <v>2080</v>
      </c>
      <c r="M301" s="4">
        <f>SUMIFS(Tab_06.Jun[MOVIMENTO],Tab_06.Jun[CONTA],$F301)</f>
        <v>3937.4</v>
      </c>
      <c r="N301" s="4">
        <f>SUMIFS(Tab_07.Jul[MOVIMENTO],Tab_07.Jul[CONTA],$F301)</f>
        <v>167.4</v>
      </c>
      <c r="O301" s="4">
        <f>SUMIFS(Tab_08.Ago[MOVIMENTO],Tab_08.Ago[CONTA],$F301)</f>
        <v>1127.4000000000001</v>
      </c>
      <c r="P301" s="4">
        <f>SUMIFS(Tab_09.Set[MOVIMENTO],Tab_09.Set[CONTA],$F301)</f>
        <v>10487.9</v>
      </c>
      <c r="Q301" s="4">
        <f>SUMIFS(Tab_10.Out[MOVIMENTO],Tab_10.Out[CONTA],$F301)</f>
        <v>334.8</v>
      </c>
      <c r="R301" s="4">
        <f>SUMIFS(Tab_11.Nov[MOVIMENTO],Tab_11.Nov[CONTA],$F301)</f>
        <v>1028</v>
      </c>
      <c r="S301" s="4">
        <f>SUMIFS(Tab_12.Dez[MOVIMENTO],Tab_12.Dez[CONTA],$F301)</f>
        <v>50</v>
      </c>
    </row>
    <row r="302" spans="2:19" x14ac:dyDescent="0.3">
      <c r="B302" s="3" t="s">
        <v>105</v>
      </c>
      <c r="C302" s="2" t="str">
        <f t="shared" si="51"/>
        <v>C</v>
      </c>
      <c r="D302" s="2" t="str">
        <f t="shared" si="52"/>
        <v>A</v>
      </c>
      <c r="E302" s="2">
        <f t="shared" si="53"/>
        <v>5</v>
      </c>
      <c r="F302" s="3" t="s">
        <v>501</v>
      </c>
      <c r="G302" s="3" t="s">
        <v>502</v>
      </c>
      <c r="H302" s="4">
        <f>SUMIFS(Tab_01.Jan[MOVIMENTO],Tab_01.Jan[CONTA],$F302)</f>
        <v>2241.66</v>
      </c>
      <c r="I302" s="4">
        <f>SUMIFS(Tab_02.Fev[MOVIMENTO],Tab_02.Fev[CONTA],$F302)</f>
        <v>213.22</v>
      </c>
      <c r="J302" s="4">
        <f>SUMIFS(Tab_03.Mar[MOVIMENTO],Tab_03.Mar[CONTA],$F302)</f>
        <v>96.29</v>
      </c>
      <c r="K302" s="4">
        <f>SUMIFS(Tab_04.Abr[MOVIMENTO],Tab_04.Abr[CONTA],$F302)</f>
        <v>4810.78</v>
      </c>
      <c r="L302" s="4">
        <f>SUMIFS(Tab_05.Mai[MOVIMENTO],Tab_05.Mai[CONTA],$F302)</f>
        <v>115.5</v>
      </c>
      <c r="M302" s="4">
        <f>SUMIFS(Tab_06.Jun[MOVIMENTO],Tab_06.Jun[CONTA],$F302)</f>
        <v>162.99</v>
      </c>
      <c r="N302" s="4">
        <f>SUMIFS(Tab_07.Jul[MOVIMENTO],Tab_07.Jul[CONTA],$F302)</f>
        <v>2024.25</v>
      </c>
      <c r="O302" s="4">
        <f>SUMIFS(Tab_08.Ago[MOVIMENTO],Tab_08.Ago[CONTA],$F302)</f>
        <v>755.33</v>
      </c>
      <c r="P302" s="4">
        <f>SUMIFS(Tab_09.Set[MOVIMENTO],Tab_09.Set[CONTA],$F302)</f>
        <v>3976</v>
      </c>
      <c r="Q302" s="4">
        <f>SUMIFS(Tab_10.Out[MOVIMENTO],Tab_10.Out[CONTA],$F302)</f>
        <v>166</v>
      </c>
      <c r="R302" s="4">
        <f>SUMIFS(Tab_11.Nov[MOVIMENTO],Tab_11.Nov[CONTA],$F302)</f>
        <v>449.18</v>
      </c>
      <c r="S302" s="4">
        <f>SUMIFS(Tab_12.Dez[MOVIMENTO],Tab_12.Dez[CONTA],$F302)</f>
        <v>24298</v>
      </c>
    </row>
    <row r="303" spans="2:19" x14ac:dyDescent="0.3">
      <c r="B303" s="3" t="s">
        <v>67</v>
      </c>
      <c r="C303" s="2" t="str">
        <f t="shared" si="51"/>
        <v>C</v>
      </c>
      <c r="D303" s="2" t="str">
        <f t="shared" si="52"/>
        <v>A</v>
      </c>
      <c r="E303" s="2">
        <f t="shared" si="53"/>
        <v>5</v>
      </c>
      <c r="F303" s="3" t="s">
        <v>503</v>
      </c>
      <c r="G303" s="3" t="s">
        <v>504</v>
      </c>
      <c r="H303" s="4">
        <f>SUMIFS(Tab_01.Jan[MOVIMENTO],Tab_01.Jan[CONTA],$F303)</f>
        <v>662.87</v>
      </c>
      <c r="I303" s="4">
        <f>SUMIFS(Tab_02.Fev[MOVIMENTO],Tab_02.Fev[CONTA],$F303)</f>
        <v>614.64</v>
      </c>
      <c r="J303" s="4">
        <f>SUMIFS(Tab_03.Mar[MOVIMENTO],Tab_03.Mar[CONTA],$F303)</f>
        <v>589.01</v>
      </c>
      <c r="K303" s="4">
        <f>SUMIFS(Tab_04.Abr[MOVIMENTO],Tab_04.Abr[CONTA],$F303)</f>
        <v>641.11</v>
      </c>
      <c r="L303" s="4">
        <f>SUMIFS(Tab_05.Mai[MOVIMENTO],Tab_05.Mai[CONTA],$F303)</f>
        <v>456.61</v>
      </c>
      <c r="M303" s="4">
        <f>SUMIFS(Tab_06.Jun[MOVIMENTO],Tab_06.Jun[CONTA],$F303)</f>
        <v>343.9</v>
      </c>
      <c r="N303" s="4">
        <f>SUMIFS(Tab_07.Jul[MOVIMENTO],Tab_07.Jul[CONTA],$F303)</f>
        <v>375.79</v>
      </c>
      <c r="O303" s="4">
        <f>SUMIFS(Tab_08.Ago[MOVIMENTO],Tab_08.Ago[CONTA],$F303)</f>
        <v>2959.26</v>
      </c>
      <c r="P303" s="4">
        <f>SUMIFS(Tab_09.Set[MOVIMENTO],Tab_09.Set[CONTA],$F303)</f>
        <v>2886.59</v>
      </c>
      <c r="Q303" s="4">
        <f>SUMIFS(Tab_10.Out[MOVIMENTO],Tab_10.Out[CONTA],$F303)</f>
        <v>3016.68</v>
      </c>
      <c r="R303" s="4">
        <f>SUMIFS(Tab_11.Nov[MOVIMENTO],Tab_11.Nov[CONTA],$F303)</f>
        <v>2766.91</v>
      </c>
      <c r="S303" s="4">
        <f>SUMIFS(Tab_12.Dez[MOVIMENTO],Tab_12.Dez[CONTA],$F303)</f>
        <v>2792.27</v>
      </c>
    </row>
    <row r="304" spans="2:19" x14ac:dyDescent="0.3">
      <c r="B304" s="3" t="s">
        <v>67</v>
      </c>
      <c r="C304" s="2" t="str">
        <f t="shared" si="51"/>
        <v>C</v>
      </c>
      <c r="D304" s="2" t="str">
        <f t="shared" si="52"/>
        <v>A</v>
      </c>
      <c r="E304" s="2">
        <f t="shared" si="53"/>
        <v>5</v>
      </c>
      <c r="F304" s="3" t="s">
        <v>505</v>
      </c>
      <c r="G304" s="3" t="s">
        <v>506</v>
      </c>
      <c r="H304" s="4">
        <f>SUMIFS(Tab_01.Jan[MOVIMENTO],Tab_01.Jan[CONTA],$F304)</f>
        <v>0</v>
      </c>
      <c r="I304" s="4">
        <f>SUMIFS(Tab_02.Fev[MOVIMENTO],Tab_02.Fev[CONTA],$F304)</f>
        <v>0</v>
      </c>
      <c r="J304" s="4">
        <f>SUMIFS(Tab_03.Mar[MOVIMENTO],Tab_03.Mar[CONTA],$F304)</f>
        <v>0</v>
      </c>
      <c r="K304" s="4">
        <f>SUMIFS(Tab_04.Abr[MOVIMENTO],Tab_04.Abr[CONTA],$F304)</f>
        <v>0</v>
      </c>
      <c r="L304" s="4">
        <f>SUMIFS(Tab_05.Mai[MOVIMENTO],Tab_05.Mai[CONTA],$F304)</f>
        <v>0</v>
      </c>
      <c r="M304" s="4">
        <f>SUMIFS(Tab_06.Jun[MOVIMENTO],Tab_06.Jun[CONTA],$F304)</f>
        <v>0</v>
      </c>
      <c r="N304" s="4">
        <f>SUMIFS(Tab_07.Jul[MOVIMENTO],Tab_07.Jul[CONTA],$F304)</f>
        <v>0</v>
      </c>
      <c r="O304" s="4">
        <f>SUMIFS(Tab_08.Ago[MOVIMENTO],Tab_08.Ago[CONTA],$F304)</f>
        <v>20.16</v>
      </c>
      <c r="P304" s="4">
        <f>SUMIFS(Tab_09.Set[MOVIMENTO],Tab_09.Set[CONTA],$F304)</f>
        <v>0</v>
      </c>
      <c r="Q304" s="4">
        <f>SUMIFS(Tab_10.Out[MOVIMENTO],Tab_10.Out[CONTA],$F304)</f>
        <v>0</v>
      </c>
      <c r="R304" s="4">
        <f>SUMIFS(Tab_11.Nov[MOVIMENTO],Tab_11.Nov[CONTA],$F304)</f>
        <v>139.54</v>
      </c>
      <c r="S304" s="4">
        <f>SUMIFS(Tab_12.Dez[MOVIMENTO],Tab_12.Dez[CONTA],$F304)</f>
        <v>0</v>
      </c>
    </row>
    <row r="305" spans="2:19" x14ac:dyDescent="0.3">
      <c r="B305" s="3"/>
      <c r="C305" s="2" t="str">
        <f t="shared" si="51"/>
        <v>C</v>
      </c>
      <c r="D305" s="2" t="str">
        <f t="shared" si="52"/>
        <v>S</v>
      </c>
      <c r="E305" s="2">
        <f t="shared" si="53"/>
        <v>5</v>
      </c>
      <c r="F305" s="3" t="s">
        <v>615</v>
      </c>
      <c r="G305" s="3" t="s">
        <v>719</v>
      </c>
      <c r="H305" s="4">
        <f>SUMIFS(Tab_01.Jan[MOVIMENTO],Tab_01.Jan[CONTA],$F305)</f>
        <v>4265.3900000000003</v>
      </c>
      <c r="I305" s="4">
        <f>SUMIFS(Tab_02.Fev[MOVIMENTO],Tab_02.Fev[CONTA],$F305)</f>
        <v>4686.1499999999996</v>
      </c>
      <c r="J305" s="4">
        <f>SUMIFS(Tab_03.Mar[MOVIMENTO],Tab_03.Mar[CONTA],$F305)</f>
        <v>4409.2700000000004</v>
      </c>
      <c r="K305" s="4">
        <f>SUMIFS(Tab_04.Abr[MOVIMENTO],Tab_04.Abr[CONTA],$F305)</f>
        <v>15889.19</v>
      </c>
      <c r="L305" s="4">
        <f>SUMIFS(Tab_05.Mai[MOVIMENTO],Tab_05.Mai[CONTA],$F305)</f>
        <v>4504.12</v>
      </c>
      <c r="M305" s="4">
        <f>SUMIFS(Tab_06.Jun[MOVIMENTO],Tab_06.Jun[CONTA],$F305)</f>
        <v>4642.22</v>
      </c>
      <c r="N305" s="4">
        <f>SUMIFS(Tab_07.Jul[MOVIMENTO],Tab_07.Jul[CONTA],$F305)</f>
        <v>4362.9799999999996</v>
      </c>
      <c r="O305" s="4">
        <f>SUMIFS(Tab_08.Ago[MOVIMENTO],Tab_08.Ago[CONTA],$F305)</f>
        <v>4827.3999999999996</v>
      </c>
      <c r="P305" s="4">
        <f>SUMIFS(Tab_09.Set[MOVIMENTO],Tab_09.Set[CONTA],$F305)</f>
        <v>4701.1400000000003</v>
      </c>
      <c r="Q305" s="4">
        <f>SUMIFS(Tab_10.Out[MOVIMENTO],Tab_10.Out[CONTA],$F305)</f>
        <v>6641.29</v>
      </c>
      <c r="R305" s="4">
        <f>SUMIFS(Tab_11.Nov[MOVIMENTO],Tab_11.Nov[CONTA],$F305)</f>
        <v>4451.76</v>
      </c>
      <c r="S305" s="4">
        <f>SUMIFS(Tab_12.Dez[MOVIMENTO],Tab_12.Dez[CONTA],$F305)</f>
        <v>5375.14</v>
      </c>
    </row>
    <row r="306" spans="2:19" x14ac:dyDescent="0.3">
      <c r="B306" s="3"/>
      <c r="C306" s="2" t="str">
        <f t="shared" si="51"/>
        <v>C</v>
      </c>
      <c r="D306" s="2" t="str">
        <f t="shared" si="52"/>
        <v>S</v>
      </c>
      <c r="E306" s="2">
        <f t="shared" si="53"/>
        <v>5</v>
      </c>
      <c r="F306" s="3" t="s">
        <v>616</v>
      </c>
      <c r="G306" s="3" t="s">
        <v>720</v>
      </c>
      <c r="H306" s="4">
        <f>SUMIFS(Tab_01.Jan[MOVIMENTO],Tab_01.Jan[CONTA],$F306)</f>
        <v>0</v>
      </c>
      <c r="I306" s="4">
        <f>SUMIFS(Tab_02.Fev[MOVIMENTO],Tab_02.Fev[CONTA],$F306)</f>
        <v>0</v>
      </c>
      <c r="J306" s="4">
        <f>SUMIFS(Tab_03.Mar[MOVIMENTO],Tab_03.Mar[CONTA],$F306)</f>
        <v>0</v>
      </c>
      <c r="K306" s="4">
        <f>SUMIFS(Tab_04.Abr[MOVIMENTO],Tab_04.Abr[CONTA],$F306)</f>
        <v>0</v>
      </c>
      <c r="L306" s="4">
        <f>SUMIFS(Tab_05.Mai[MOVIMENTO],Tab_05.Mai[CONTA],$F306)</f>
        <v>0</v>
      </c>
      <c r="M306" s="4">
        <f>SUMIFS(Tab_06.Jun[MOVIMENTO],Tab_06.Jun[CONTA],$F306)</f>
        <v>0</v>
      </c>
      <c r="N306" s="4">
        <f>SUMIFS(Tab_07.Jul[MOVIMENTO],Tab_07.Jul[CONTA],$F306)</f>
        <v>0</v>
      </c>
      <c r="O306" s="4">
        <f>SUMIFS(Tab_08.Ago[MOVIMENTO],Tab_08.Ago[CONTA],$F306)</f>
        <v>0</v>
      </c>
      <c r="P306" s="4">
        <f>SUMIFS(Tab_09.Set[MOVIMENTO],Tab_09.Set[CONTA],$F306)</f>
        <v>0</v>
      </c>
      <c r="Q306" s="4">
        <f>SUMIFS(Tab_10.Out[MOVIMENTO],Tab_10.Out[CONTA],$F306)</f>
        <v>0</v>
      </c>
      <c r="R306" s="4">
        <f>SUMIFS(Tab_11.Nov[MOVIMENTO],Tab_11.Nov[CONTA],$F306)</f>
        <v>0</v>
      </c>
      <c r="S306" s="4">
        <f>SUMIFS(Tab_12.Dez[MOVIMENTO],Tab_12.Dez[CONTA],$F306)</f>
        <v>0</v>
      </c>
    </row>
    <row r="307" spans="2:19" x14ac:dyDescent="0.3">
      <c r="B307" s="3" t="s">
        <v>105</v>
      </c>
      <c r="C307" s="2" t="str">
        <f t="shared" si="51"/>
        <v>C</v>
      </c>
      <c r="D307" s="2" t="str">
        <f t="shared" si="52"/>
        <v>A</v>
      </c>
      <c r="E307" s="2">
        <f t="shared" si="53"/>
        <v>5</v>
      </c>
      <c r="F307" s="3" t="s">
        <v>507</v>
      </c>
      <c r="G307" s="3" t="s">
        <v>508</v>
      </c>
      <c r="H307" s="4">
        <f>SUMIFS(Tab_01.Jan[MOVIMENTO],Tab_01.Jan[CONTA],$F307)</f>
        <v>0</v>
      </c>
      <c r="I307" s="4">
        <f>SUMIFS(Tab_02.Fev[MOVIMENTO],Tab_02.Fev[CONTA],$F307)</f>
        <v>0</v>
      </c>
      <c r="J307" s="4">
        <f>SUMIFS(Tab_03.Mar[MOVIMENTO],Tab_03.Mar[CONTA],$F307)</f>
        <v>0</v>
      </c>
      <c r="K307" s="4">
        <f>SUMIFS(Tab_04.Abr[MOVIMENTO],Tab_04.Abr[CONTA],$F307)</f>
        <v>0</v>
      </c>
      <c r="L307" s="4">
        <f>SUMIFS(Tab_05.Mai[MOVIMENTO],Tab_05.Mai[CONTA],$F307)</f>
        <v>0</v>
      </c>
      <c r="M307" s="4">
        <f>SUMIFS(Tab_06.Jun[MOVIMENTO],Tab_06.Jun[CONTA],$F307)</f>
        <v>0</v>
      </c>
      <c r="N307" s="4">
        <f>SUMIFS(Tab_07.Jul[MOVIMENTO],Tab_07.Jul[CONTA],$F307)</f>
        <v>0</v>
      </c>
      <c r="O307" s="4">
        <f>SUMIFS(Tab_08.Ago[MOVIMENTO],Tab_08.Ago[CONTA],$F307)</f>
        <v>0</v>
      </c>
      <c r="P307" s="4">
        <f>SUMIFS(Tab_09.Set[MOVIMENTO],Tab_09.Set[CONTA],$F307)</f>
        <v>0</v>
      </c>
      <c r="Q307" s="4">
        <f>SUMIFS(Tab_10.Out[MOVIMENTO],Tab_10.Out[CONTA],$F307)</f>
        <v>0</v>
      </c>
      <c r="R307" s="4">
        <f>SUMIFS(Tab_11.Nov[MOVIMENTO],Tab_11.Nov[CONTA],$F307)</f>
        <v>0</v>
      </c>
      <c r="S307" s="4">
        <f>SUMIFS(Tab_12.Dez[MOVIMENTO],Tab_12.Dez[CONTA],$F307)</f>
        <v>0</v>
      </c>
    </row>
    <row r="308" spans="2:19" x14ac:dyDescent="0.3">
      <c r="B308" s="3"/>
      <c r="C308" s="2" t="str">
        <f t="shared" si="51"/>
        <v>C</v>
      </c>
      <c r="D308" s="2" t="str">
        <f t="shared" si="52"/>
        <v>S</v>
      </c>
      <c r="E308" s="2">
        <f t="shared" si="53"/>
        <v>5</v>
      </c>
      <c r="F308" s="3" t="s">
        <v>617</v>
      </c>
      <c r="G308" s="3" t="s">
        <v>721</v>
      </c>
      <c r="H308" s="4">
        <f>SUMIFS(Tab_01.Jan[MOVIMENTO],Tab_01.Jan[CONTA],$F308)</f>
        <v>287.74</v>
      </c>
      <c r="I308" s="4">
        <f>SUMIFS(Tab_02.Fev[MOVIMENTO],Tab_02.Fev[CONTA],$F308)</f>
        <v>287.74</v>
      </c>
      <c r="J308" s="4">
        <f>SUMIFS(Tab_03.Mar[MOVIMENTO],Tab_03.Mar[CONTA],$F308)</f>
        <v>287.74</v>
      </c>
      <c r="K308" s="4">
        <f>SUMIFS(Tab_04.Abr[MOVIMENTO],Tab_04.Abr[CONTA],$F308)</f>
        <v>287.74</v>
      </c>
      <c r="L308" s="4">
        <f>SUMIFS(Tab_05.Mai[MOVIMENTO],Tab_05.Mai[CONTA],$F308)</f>
        <v>287.74</v>
      </c>
      <c r="M308" s="4">
        <f>SUMIFS(Tab_06.Jun[MOVIMENTO],Tab_06.Jun[CONTA],$F308)</f>
        <v>287.74</v>
      </c>
      <c r="N308" s="4">
        <f>SUMIFS(Tab_07.Jul[MOVIMENTO],Tab_07.Jul[CONTA],$F308)</f>
        <v>287.74</v>
      </c>
      <c r="O308" s="4">
        <f>SUMIFS(Tab_08.Ago[MOVIMENTO],Tab_08.Ago[CONTA],$F308)</f>
        <v>287.74</v>
      </c>
      <c r="P308" s="4">
        <f>SUMIFS(Tab_09.Set[MOVIMENTO],Tab_09.Set[CONTA],$F308)</f>
        <v>275.14999999999998</v>
      </c>
      <c r="Q308" s="4">
        <f>SUMIFS(Tab_10.Out[MOVIMENTO],Tab_10.Out[CONTA],$F308)</f>
        <v>291.76</v>
      </c>
      <c r="R308" s="4">
        <f>SUMIFS(Tab_11.Nov[MOVIMENTO],Tab_11.Nov[CONTA],$F308)</f>
        <v>291.76</v>
      </c>
      <c r="S308" s="4">
        <f>SUMIFS(Tab_12.Dez[MOVIMENTO],Tab_12.Dez[CONTA],$F308)</f>
        <v>291.76</v>
      </c>
    </row>
    <row r="309" spans="2:19" x14ac:dyDescent="0.3">
      <c r="B309" s="3" t="s">
        <v>105</v>
      </c>
      <c r="C309" s="2" t="str">
        <f t="shared" si="51"/>
        <v>C</v>
      </c>
      <c r="D309" s="2" t="str">
        <f t="shared" si="52"/>
        <v>A</v>
      </c>
      <c r="E309" s="2">
        <f t="shared" si="53"/>
        <v>5</v>
      </c>
      <c r="F309" s="3" t="s">
        <v>509</v>
      </c>
      <c r="G309" s="3" t="s">
        <v>510</v>
      </c>
      <c r="H309" s="4">
        <f>SUMIFS(Tab_01.Jan[MOVIMENTO],Tab_01.Jan[CONTA],$F309)</f>
        <v>0</v>
      </c>
      <c r="I309" s="4">
        <f>SUMIFS(Tab_02.Fev[MOVIMENTO],Tab_02.Fev[CONTA],$F309)</f>
        <v>0</v>
      </c>
      <c r="J309" s="4">
        <f>SUMIFS(Tab_03.Mar[MOVIMENTO],Tab_03.Mar[CONTA],$F309)</f>
        <v>0</v>
      </c>
      <c r="K309" s="4">
        <f>SUMIFS(Tab_04.Abr[MOVIMENTO],Tab_04.Abr[CONTA],$F309)</f>
        <v>0</v>
      </c>
      <c r="L309" s="4">
        <f>SUMIFS(Tab_05.Mai[MOVIMENTO],Tab_05.Mai[CONTA],$F309)</f>
        <v>0</v>
      </c>
      <c r="M309" s="4">
        <f>SUMIFS(Tab_06.Jun[MOVIMENTO],Tab_06.Jun[CONTA],$F309)</f>
        <v>0</v>
      </c>
      <c r="N309" s="4">
        <f>SUMIFS(Tab_07.Jul[MOVIMENTO],Tab_07.Jul[CONTA],$F309)</f>
        <v>0</v>
      </c>
      <c r="O309" s="4">
        <f>SUMIFS(Tab_08.Ago[MOVIMENTO],Tab_08.Ago[CONTA],$F309)</f>
        <v>0</v>
      </c>
      <c r="P309" s="4">
        <f>SUMIFS(Tab_09.Set[MOVIMENTO],Tab_09.Set[CONTA],$F309)</f>
        <v>0</v>
      </c>
      <c r="Q309" s="4">
        <f>SUMIFS(Tab_10.Out[MOVIMENTO],Tab_10.Out[CONTA],$F309)</f>
        <v>0</v>
      </c>
      <c r="R309" s="4">
        <f>SUMIFS(Tab_11.Nov[MOVIMENTO],Tab_11.Nov[CONTA],$F309)</f>
        <v>0</v>
      </c>
      <c r="S309" s="4">
        <f>SUMIFS(Tab_12.Dez[MOVIMENTO],Tab_12.Dez[CONTA],$F309)</f>
        <v>0</v>
      </c>
    </row>
    <row r="310" spans="2:19" x14ac:dyDescent="0.3">
      <c r="B310" s="3" t="s">
        <v>105</v>
      </c>
      <c r="C310" s="2" t="str">
        <f t="shared" si="51"/>
        <v>C</v>
      </c>
      <c r="D310" s="2" t="str">
        <f t="shared" si="52"/>
        <v>A</v>
      </c>
      <c r="E310" s="2">
        <f t="shared" si="53"/>
        <v>5</v>
      </c>
      <c r="F310" s="3" t="s">
        <v>739</v>
      </c>
      <c r="G310" s="3" t="s">
        <v>740</v>
      </c>
      <c r="H310" s="4">
        <f>SUMIFS(Tab_01.Jan[MOVIMENTO],Tab_01.Jan[CONTA],$F310)</f>
        <v>287.74</v>
      </c>
      <c r="I310" s="4">
        <f>SUMIFS(Tab_02.Fev[MOVIMENTO],Tab_02.Fev[CONTA],$F310)</f>
        <v>287.74</v>
      </c>
      <c r="J310" s="4">
        <f>SUMIFS(Tab_03.Mar[MOVIMENTO],Tab_03.Mar[CONTA],$F310)</f>
        <v>287.74</v>
      </c>
      <c r="K310" s="4">
        <f>SUMIFS(Tab_04.Abr[MOVIMENTO],Tab_04.Abr[CONTA],$F310)</f>
        <v>287.74</v>
      </c>
      <c r="L310" s="4">
        <f>SUMIFS(Tab_05.Mai[MOVIMENTO],Tab_05.Mai[CONTA],$F310)</f>
        <v>287.74</v>
      </c>
      <c r="M310" s="4">
        <f>SUMIFS(Tab_06.Jun[MOVIMENTO],Tab_06.Jun[CONTA],$F310)</f>
        <v>287.74</v>
      </c>
      <c r="N310" s="4">
        <f>SUMIFS(Tab_07.Jul[MOVIMENTO],Tab_07.Jul[CONTA],$F310)</f>
        <v>287.74</v>
      </c>
      <c r="O310" s="4">
        <f>SUMIFS(Tab_08.Ago[MOVIMENTO],Tab_08.Ago[CONTA],$F310)</f>
        <v>287.74</v>
      </c>
      <c r="P310" s="4">
        <f>SUMIFS(Tab_09.Set[MOVIMENTO],Tab_09.Set[CONTA],$F310)</f>
        <v>275.14999999999998</v>
      </c>
      <c r="Q310" s="4">
        <f>SUMIFS(Tab_10.Out[MOVIMENTO],Tab_10.Out[CONTA],$F310)</f>
        <v>291.76</v>
      </c>
      <c r="R310" s="4">
        <f>SUMIFS(Tab_11.Nov[MOVIMENTO],Tab_11.Nov[CONTA],$F310)</f>
        <v>291.76</v>
      </c>
      <c r="S310" s="4">
        <f>SUMIFS(Tab_12.Dez[MOVIMENTO],Tab_12.Dez[CONTA],$F310)</f>
        <v>291.76</v>
      </c>
    </row>
    <row r="311" spans="2:19" x14ac:dyDescent="0.3">
      <c r="B311" s="3"/>
      <c r="C311" s="2" t="str">
        <f t="shared" si="51"/>
        <v>C</v>
      </c>
      <c r="D311" s="2" t="str">
        <f t="shared" si="52"/>
        <v>S</v>
      </c>
      <c r="E311" s="2">
        <f t="shared" si="53"/>
        <v>5</v>
      </c>
      <c r="F311" s="3" t="s">
        <v>618</v>
      </c>
      <c r="G311" s="3" t="s">
        <v>722</v>
      </c>
      <c r="H311" s="4">
        <f>SUMIFS(Tab_01.Jan[MOVIMENTO],Tab_01.Jan[CONTA],$F311)</f>
        <v>2260.8200000000002</v>
      </c>
      <c r="I311" s="4">
        <f>SUMIFS(Tab_02.Fev[MOVIMENTO],Tab_02.Fev[CONTA],$F311)</f>
        <v>2755.8</v>
      </c>
      <c r="J311" s="4">
        <f>SUMIFS(Tab_03.Mar[MOVIMENTO],Tab_03.Mar[CONTA],$F311)</f>
        <v>2497.5</v>
      </c>
      <c r="K311" s="4">
        <f>SUMIFS(Tab_04.Abr[MOVIMENTO],Tab_04.Abr[CONTA],$F311)</f>
        <v>2716.14</v>
      </c>
      <c r="L311" s="4">
        <f>SUMIFS(Tab_05.Mai[MOVIMENTO],Tab_05.Mai[CONTA],$F311)</f>
        <v>2582.0300000000002</v>
      </c>
      <c r="M311" s="4">
        <f>SUMIFS(Tab_06.Jun[MOVIMENTO],Tab_06.Jun[CONTA],$F311)</f>
        <v>2651.27</v>
      </c>
      <c r="N311" s="4">
        <f>SUMIFS(Tab_07.Jul[MOVIMENTO],Tab_07.Jul[CONTA],$F311)</f>
        <v>2592.38</v>
      </c>
      <c r="O311" s="4">
        <f>SUMIFS(Tab_08.Ago[MOVIMENTO],Tab_08.Ago[CONTA],$F311)</f>
        <v>2906.29</v>
      </c>
      <c r="P311" s="4">
        <f>SUMIFS(Tab_09.Set[MOVIMENTO],Tab_09.Set[CONTA],$F311)</f>
        <v>2752.18</v>
      </c>
      <c r="Q311" s="4">
        <f>SUMIFS(Tab_10.Out[MOVIMENTO],Tab_10.Out[CONTA],$F311)</f>
        <v>3235.8</v>
      </c>
      <c r="R311" s="4">
        <f>SUMIFS(Tab_11.Nov[MOVIMENTO],Tab_11.Nov[CONTA],$F311)</f>
        <v>2261.4699999999998</v>
      </c>
      <c r="S311" s="4">
        <f>SUMIFS(Tab_12.Dez[MOVIMENTO],Tab_12.Dez[CONTA],$F311)</f>
        <v>2708.67</v>
      </c>
    </row>
    <row r="312" spans="2:19" x14ac:dyDescent="0.3">
      <c r="B312" s="3" t="s">
        <v>105</v>
      </c>
      <c r="C312" s="2" t="str">
        <f t="shared" si="51"/>
        <v>C</v>
      </c>
      <c r="D312" s="2" t="str">
        <f t="shared" si="52"/>
        <v>A</v>
      </c>
      <c r="E312" s="2">
        <f t="shared" si="53"/>
        <v>5</v>
      </c>
      <c r="F312" s="3" t="s">
        <v>511</v>
      </c>
      <c r="G312" s="3" t="s">
        <v>512</v>
      </c>
      <c r="H312" s="4">
        <f>SUMIFS(Tab_01.Jan[MOVIMENTO],Tab_01.Jan[CONTA],$F312)</f>
        <v>2260.8200000000002</v>
      </c>
      <c r="I312" s="4">
        <f>SUMIFS(Tab_02.Fev[MOVIMENTO],Tab_02.Fev[CONTA],$F312)</f>
        <v>2755.8</v>
      </c>
      <c r="J312" s="4">
        <f>SUMIFS(Tab_03.Mar[MOVIMENTO],Tab_03.Mar[CONTA],$F312)</f>
        <v>2497.5</v>
      </c>
      <c r="K312" s="4">
        <f>SUMIFS(Tab_04.Abr[MOVIMENTO],Tab_04.Abr[CONTA],$F312)</f>
        <v>2716.14</v>
      </c>
      <c r="L312" s="4">
        <f>SUMIFS(Tab_05.Mai[MOVIMENTO],Tab_05.Mai[CONTA],$F312)</f>
        <v>2582.0300000000002</v>
      </c>
      <c r="M312" s="4">
        <f>SUMIFS(Tab_06.Jun[MOVIMENTO],Tab_06.Jun[CONTA],$F312)</f>
        <v>2651.27</v>
      </c>
      <c r="N312" s="4">
        <f>SUMIFS(Tab_07.Jul[MOVIMENTO],Tab_07.Jul[CONTA],$F312)</f>
        <v>2592.38</v>
      </c>
      <c r="O312" s="4">
        <f>SUMIFS(Tab_08.Ago[MOVIMENTO],Tab_08.Ago[CONTA],$F312)</f>
        <v>2906.29</v>
      </c>
      <c r="P312" s="4">
        <f>SUMIFS(Tab_09.Set[MOVIMENTO],Tab_09.Set[CONTA],$F312)</f>
        <v>2752.18</v>
      </c>
      <c r="Q312" s="4">
        <f>SUMIFS(Tab_10.Out[MOVIMENTO],Tab_10.Out[CONTA],$F312)</f>
        <v>3235.8</v>
      </c>
      <c r="R312" s="4">
        <f>SUMIFS(Tab_11.Nov[MOVIMENTO],Tab_11.Nov[CONTA],$F312)</f>
        <v>2261.4699999999998</v>
      </c>
      <c r="S312" s="4">
        <f>SUMIFS(Tab_12.Dez[MOVIMENTO],Tab_12.Dez[CONTA],$F312)</f>
        <v>2708.67</v>
      </c>
    </row>
    <row r="313" spans="2:19" x14ac:dyDescent="0.3">
      <c r="B313" s="3" t="s">
        <v>105</v>
      </c>
      <c r="C313" s="2" t="str">
        <f t="shared" si="51"/>
        <v>C</v>
      </c>
      <c r="D313" s="2" t="str">
        <f t="shared" si="52"/>
        <v>A</v>
      </c>
      <c r="E313" s="2">
        <f t="shared" si="53"/>
        <v>5</v>
      </c>
      <c r="F313" s="3" t="s">
        <v>513</v>
      </c>
      <c r="G313" s="3" t="s">
        <v>514</v>
      </c>
      <c r="H313" s="4">
        <f>SUMIFS(Tab_01.Jan[MOVIMENTO],Tab_01.Jan[CONTA],$F313)</f>
        <v>0</v>
      </c>
      <c r="I313" s="4">
        <f>SUMIFS(Tab_02.Fev[MOVIMENTO],Tab_02.Fev[CONTA],$F313)</f>
        <v>0</v>
      </c>
      <c r="J313" s="4">
        <f>SUMIFS(Tab_03.Mar[MOVIMENTO],Tab_03.Mar[CONTA],$F313)</f>
        <v>0</v>
      </c>
      <c r="K313" s="4">
        <f>SUMIFS(Tab_04.Abr[MOVIMENTO],Tab_04.Abr[CONTA],$F313)</f>
        <v>0</v>
      </c>
      <c r="L313" s="4">
        <f>SUMIFS(Tab_05.Mai[MOVIMENTO],Tab_05.Mai[CONTA],$F313)</f>
        <v>0</v>
      </c>
      <c r="M313" s="4">
        <f>SUMIFS(Tab_06.Jun[MOVIMENTO],Tab_06.Jun[CONTA],$F313)</f>
        <v>0</v>
      </c>
      <c r="N313" s="4">
        <f>SUMIFS(Tab_07.Jul[MOVIMENTO],Tab_07.Jul[CONTA],$F313)</f>
        <v>0</v>
      </c>
      <c r="O313" s="4">
        <f>SUMIFS(Tab_08.Ago[MOVIMENTO],Tab_08.Ago[CONTA],$F313)</f>
        <v>0</v>
      </c>
      <c r="P313" s="4">
        <f>SUMIFS(Tab_09.Set[MOVIMENTO],Tab_09.Set[CONTA],$F313)</f>
        <v>0</v>
      </c>
      <c r="Q313" s="4">
        <f>SUMIFS(Tab_10.Out[MOVIMENTO],Tab_10.Out[CONTA],$F313)</f>
        <v>0</v>
      </c>
      <c r="R313" s="4">
        <f>SUMIFS(Tab_11.Nov[MOVIMENTO],Tab_11.Nov[CONTA],$F313)</f>
        <v>0</v>
      </c>
      <c r="S313" s="4">
        <f>SUMIFS(Tab_12.Dez[MOVIMENTO],Tab_12.Dez[CONTA],$F313)</f>
        <v>0</v>
      </c>
    </row>
    <row r="314" spans="2:19" x14ac:dyDescent="0.3">
      <c r="B314" s="3"/>
      <c r="C314" s="2" t="str">
        <f t="shared" si="51"/>
        <v>C</v>
      </c>
      <c r="D314" s="2" t="str">
        <f t="shared" si="52"/>
        <v>S</v>
      </c>
      <c r="E314" s="2">
        <f t="shared" si="53"/>
        <v>5</v>
      </c>
      <c r="F314" s="3" t="s">
        <v>619</v>
      </c>
      <c r="G314" s="3" t="s">
        <v>420</v>
      </c>
      <c r="H314" s="4">
        <f>SUMIFS(Tab_01.Jan[MOVIMENTO],Tab_01.Jan[CONTA],$F314)</f>
        <v>1716.83</v>
      </c>
      <c r="I314" s="4">
        <f>SUMIFS(Tab_02.Fev[MOVIMENTO],Tab_02.Fev[CONTA],$F314)</f>
        <v>1642.61</v>
      </c>
      <c r="J314" s="4">
        <f>SUMIFS(Tab_03.Mar[MOVIMENTO],Tab_03.Mar[CONTA],$F314)</f>
        <v>1624.03</v>
      </c>
      <c r="K314" s="4">
        <f>SUMIFS(Tab_04.Abr[MOVIMENTO],Tab_04.Abr[CONTA],$F314)</f>
        <v>12885.31</v>
      </c>
      <c r="L314" s="4">
        <f>SUMIFS(Tab_05.Mai[MOVIMENTO],Tab_05.Mai[CONTA],$F314)</f>
        <v>1634.35</v>
      </c>
      <c r="M314" s="4">
        <f>SUMIFS(Tab_06.Jun[MOVIMENTO],Tab_06.Jun[CONTA],$F314)</f>
        <v>1703.21</v>
      </c>
      <c r="N314" s="4">
        <f>SUMIFS(Tab_07.Jul[MOVIMENTO],Tab_07.Jul[CONTA],$F314)</f>
        <v>1482.86</v>
      </c>
      <c r="O314" s="4">
        <f>SUMIFS(Tab_08.Ago[MOVIMENTO],Tab_08.Ago[CONTA],$F314)</f>
        <v>1633.37</v>
      </c>
      <c r="P314" s="4">
        <f>SUMIFS(Tab_09.Set[MOVIMENTO],Tab_09.Set[CONTA],$F314)</f>
        <v>1673.81</v>
      </c>
      <c r="Q314" s="4">
        <f>SUMIFS(Tab_10.Out[MOVIMENTO],Tab_10.Out[CONTA],$F314)</f>
        <v>3113.73</v>
      </c>
      <c r="R314" s="4">
        <f>SUMIFS(Tab_11.Nov[MOVIMENTO],Tab_11.Nov[CONTA],$F314)</f>
        <v>1898.53</v>
      </c>
      <c r="S314" s="4">
        <f>SUMIFS(Tab_12.Dez[MOVIMENTO],Tab_12.Dez[CONTA],$F314)</f>
        <v>2374.71</v>
      </c>
    </row>
    <row r="315" spans="2:19" x14ac:dyDescent="0.3">
      <c r="B315" s="3" t="s">
        <v>105</v>
      </c>
      <c r="C315" s="2" t="str">
        <f t="shared" si="51"/>
        <v>C</v>
      </c>
      <c r="D315" s="2" t="str">
        <f t="shared" si="52"/>
        <v>A</v>
      </c>
      <c r="E315" s="2">
        <f t="shared" si="53"/>
        <v>5</v>
      </c>
      <c r="F315" s="3" t="s">
        <v>515</v>
      </c>
      <c r="G315" s="3" t="s">
        <v>420</v>
      </c>
      <c r="H315" s="4">
        <f>SUMIFS(Tab_01.Jan[MOVIMENTO],Tab_01.Jan[CONTA],$F315)</f>
        <v>1716.83</v>
      </c>
      <c r="I315" s="4">
        <f>SUMIFS(Tab_02.Fev[MOVIMENTO],Tab_02.Fev[CONTA],$F315)</f>
        <v>1642.61</v>
      </c>
      <c r="J315" s="4">
        <f>SUMIFS(Tab_03.Mar[MOVIMENTO],Tab_03.Mar[CONTA],$F315)</f>
        <v>1624.03</v>
      </c>
      <c r="K315" s="4">
        <f>SUMIFS(Tab_04.Abr[MOVIMENTO],Tab_04.Abr[CONTA],$F315)</f>
        <v>12885.31</v>
      </c>
      <c r="L315" s="4">
        <f>SUMIFS(Tab_05.Mai[MOVIMENTO],Tab_05.Mai[CONTA],$F315)</f>
        <v>1634.35</v>
      </c>
      <c r="M315" s="4">
        <f>SUMIFS(Tab_06.Jun[MOVIMENTO],Tab_06.Jun[CONTA],$F315)</f>
        <v>1703.21</v>
      </c>
      <c r="N315" s="4">
        <f>SUMIFS(Tab_07.Jul[MOVIMENTO],Tab_07.Jul[CONTA],$F315)</f>
        <v>1482.86</v>
      </c>
      <c r="O315" s="4">
        <f>SUMIFS(Tab_08.Ago[MOVIMENTO],Tab_08.Ago[CONTA],$F315)</f>
        <v>1633.37</v>
      </c>
      <c r="P315" s="4">
        <f>SUMIFS(Tab_09.Set[MOVIMENTO],Tab_09.Set[CONTA],$F315)</f>
        <v>1673.81</v>
      </c>
      <c r="Q315" s="4">
        <f>SUMIFS(Tab_10.Out[MOVIMENTO],Tab_10.Out[CONTA],$F315)</f>
        <v>3113.73</v>
      </c>
      <c r="R315" s="4">
        <f>SUMIFS(Tab_11.Nov[MOVIMENTO],Tab_11.Nov[CONTA],$F315)</f>
        <v>1898.53</v>
      </c>
      <c r="S315" s="4">
        <f>SUMIFS(Tab_12.Dez[MOVIMENTO],Tab_12.Dez[CONTA],$F315)</f>
        <v>2374.71</v>
      </c>
    </row>
    <row r="316" spans="2:19" x14ac:dyDescent="0.3">
      <c r="B316" s="3"/>
      <c r="C316" s="2" t="str">
        <f t="shared" si="51"/>
        <v>C</v>
      </c>
      <c r="D316" s="2" t="str">
        <f t="shared" si="52"/>
        <v>S</v>
      </c>
      <c r="E316" s="2">
        <f t="shared" si="53"/>
        <v>5</v>
      </c>
      <c r="F316" s="3" t="s">
        <v>620</v>
      </c>
      <c r="G316" s="3" t="s">
        <v>517</v>
      </c>
      <c r="H316" s="4">
        <f>SUMIFS(Tab_01.Jan[MOVIMENTO],Tab_01.Jan[CONTA],$F316)</f>
        <v>0</v>
      </c>
      <c r="I316" s="4">
        <f>SUMIFS(Tab_02.Fev[MOVIMENTO],Tab_02.Fev[CONTA],$F316)</f>
        <v>0</v>
      </c>
      <c r="J316" s="4">
        <f>SUMIFS(Tab_03.Mar[MOVIMENTO],Tab_03.Mar[CONTA],$F316)</f>
        <v>0</v>
      </c>
      <c r="K316" s="4">
        <f>SUMIFS(Tab_04.Abr[MOVIMENTO],Tab_04.Abr[CONTA],$F316)</f>
        <v>0</v>
      </c>
      <c r="L316" s="4">
        <f>SUMIFS(Tab_05.Mai[MOVIMENTO],Tab_05.Mai[CONTA],$F316)</f>
        <v>0</v>
      </c>
      <c r="M316" s="4">
        <f>SUMIFS(Tab_06.Jun[MOVIMENTO],Tab_06.Jun[CONTA],$F316)</f>
        <v>0</v>
      </c>
      <c r="N316" s="4">
        <f>SUMIFS(Tab_07.Jul[MOVIMENTO],Tab_07.Jul[CONTA],$F316)</f>
        <v>0</v>
      </c>
      <c r="O316" s="4">
        <f>SUMIFS(Tab_08.Ago[MOVIMENTO],Tab_08.Ago[CONTA],$F316)</f>
        <v>0</v>
      </c>
      <c r="P316" s="4">
        <f>SUMIFS(Tab_09.Set[MOVIMENTO],Tab_09.Set[CONTA],$F316)</f>
        <v>0</v>
      </c>
      <c r="Q316" s="4">
        <f>SUMIFS(Tab_10.Out[MOVIMENTO],Tab_10.Out[CONTA],$F316)</f>
        <v>0</v>
      </c>
      <c r="R316" s="4">
        <f>SUMIFS(Tab_11.Nov[MOVIMENTO],Tab_11.Nov[CONTA],$F316)</f>
        <v>0</v>
      </c>
      <c r="S316" s="4">
        <f>SUMIFS(Tab_12.Dez[MOVIMENTO],Tab_12.Dez[CONTA],$F316)</f>
        <v>0</v>
      </c>
    </row>
    <row r="317" spans="2:19" x14ac:dyDescent="0.3">
      <c r="B317" s="3" t="s">
        <v>105</v>
      </c>
      <c r="C317" s="2" t="str">
        <f t="shared" si="51"/>
        <v>C</v>
      </c>
      <c r="D317" s="2" t="str">
        <f t="shared" si="52"/>
        <v>A</v>
      </c>
      <c r="E317" s="2">
        <f t="shared" si="53"/>
        <v>5</v>
      </c>
      <c r="F317" s="3" t="s">
        <v>516</v>
      </c>
      <c r="G317" s="3" t="s">
        <v>517</v>
      </c>
      <c r="H317" s="4">
        <f>SUMIFS(Tab_01.Jan[MOVIMENTO],Tab_01.Jan[CONTA],$F317)</f>
        <v>0</v>
      </c>
      <c r="I317" s="4">
        <f>SUMIFS(Tab_02.Fev[MOVIMENTO],Tab_02.Fev[CONTA],$F317)</f>
        <v>0</v>
      </c>
      <c r="J317" s="4">
        <f>SUMIFS(Tab_03.Mar[MOVIMENTO],Tab_03.Mar[CONTA],$F317)</f>
        <v>0</v>
      </c>
      <c r="K317" s="4">
        <f>SUMIFS(Tab_04.Abr[MOVIMENTO],Tab_04.Abr[CONTA],$F317)</f>
        <v>0</v>
      </c>
      <c r="L317" s="4">
        <f>SUMIFS(Tab_05.Mai[MOVIMENTO],Tab_05.Mai[CONTA],$F317)</f>
        <v>0</v>
      </c>
      <c r="M317" s="4">
        <f>SUMIFS(Tab_06.Jun[MOVIMENTO],Tab_06.Jun[CONTA],$F317)</f>
        <v>0</v>
      </c>
      <c r="N317" s="4">
        <f>SUMIFS(Tab_07.Jul[MOVIMENTO],Tab_07.Jul[CONTA],$F317)</f>
        <v>0</v>
      </c>
      <c r="O317" s="4">
        <f>SUMIFS(Tab_08.Ago[MOVIMENTO],Tab_08.Ago[CONTA],$F317)</f>
        <v>0</v>
      </c>
      <c r="P317" s="4">
        <f>SUMIFS(Tab_09.Set[MOVIMENTO],Tab_09.Set[CONTA],$F317)</f>
        <v>0</v>
      </c>
      <c r="Q317" s="4">
        <f>SUMIFS(Tab_10.Out[MOVIMENTO],Tab_10.Out[CONTA],$F317)</f>
        <v>0</v>
      </c>
      <c r="R317" s="4">
        <f>SUMIFS(Tab_11.Nov[MOVIMENTO],Tab_11.Nov[CONTA],$F317)</f>
        <v>0</v>
      </c>
      <c r="S317" s="4">
        <f>SUMIFS(Tab_12.Dez[MOVIMENTO],Tab_12.Dez[CONTA],$F317)</f>
        <v>0</v>
      </c>
    </row>
    <row r="318" spans="2:19" x14ac:dyDescent="0.3">
      <c r="B318" s="3"/>
      <c r="C318" s="2" t="str">
        <f t="shared" si="51"/>
        <v>C</v>
      </c>
      <c r="D318" s="2" t="str">
        <f t="shared" si="52"/>
        <v>S</v>
      </c>
      <c r="E318" s="2">
        <f t="shared" si="53"/>
        <v>5</v>
      </c>
      <c r="F318" s="3" t="s">
        <v>621</v>
      </c>
      <c r="G318" s="3" t="s">
        <v>723</v>
      </c>
      <c r="H318" s="4">
        <f>SUMIFS(Tab_01.Jan[MOVIMENTO],Tab_01.Jan[CONTA],$F318)</f>
        <v>1467.2</v>
      </c>
      <c r="I318" s="4">
        <f>SUMIFS(Tab_02.Fev[MOVIMENTO],Tab_02.Fev[CONTA],$F318)</f>
        <v>1901.38</v>
      </c>
      <c r="J318" s="4">
        <f>SUMIFS(Tab_03.Mar[MOVIMENTO],Tab_03.Mar[CONTA],$F318)</f>
        <v>1291.93</v>
      </c>
      <c r="K318" s="4">
        <f>SUMIFS(Tab_04.Abr[MOVIMENTO],Tab_04.Abr[CONTA],$F318)</f>
        <v>2476.92</v>
      </c>
      <c r="L318" s="4">
        <f>SUMIFS(Tab_05.Mai[MOVIMENTO],Tab_05.Mai[CONTA],$F318)</f>
        <v>1451.38</v>
      </c>
      <c r="M318" s="4">
        <f>SUMIFS(Tab_06.Jun[MOVIMENTO],Tab_06.Jun[CONTA],$F318)</f>
        <v>1291.92</v>
      </c>
      <c r="N318" s="4">
        <f>SUMIFS(Tab_07.Jul[MOVIMENTO],Tab_07.Jul[CONTA],$F318)</f>
        <v>1860.58</v>
      </c>
      <c r="O318" s="4">
        <f>SUMIFS(Tab_08.Ago[MOVIMENTO],Tab_08.Ago[CONTA],$F318)</f>
        <v>1309.06</v>
      </c>
      <c r="P318" s="4">
        <f>SUMIFS(Tab_09.Set[MOVIMENTO],Tab_09.Set[CONTA],$F318)</f>
        <v>1263.6300000000001</v>
      </c>
      <c r="Q318" s="4">
        <f>SUMIFS(Tab_10.Out[MOVIMENTO],Tab_10.Out[CONTA],$F318)</f>
        <v>12142.14</v>
      </c>
      <c r="R318" s="4">
        <f>SUMIFS(Tab_11.Nov[MOVIMENTO],Tab_11.Nov[CONTA],$F318)</f>
        <v>1164.04</v>
      </c>
      <c r="S318" s="4">
        <f>SUMIFS(Tab_12.Dez[MOVIMENTO],Tab_12.Dez[CONTA],$F318)</f>
        <v>879.34</v>
      </c>
    </row>
    <row r="319" spans="2:19" x14ac:dyDescent="0.3">
      <c r="B319" s="3"/>
      <c r="C319" s="2" t="str">
        <f t="shared" ref="C319:C323" si="54">IF($F319="","",IF(LEFT($F319,1)*1=1,"A",IF(LEFT($F319,1)*1=2,"P",IF(LEFT($F319,1)*1=3,"R",IF(LEFT($F319,1)*1=4,"C",IF(LEFT($F319,1)*1=5,"C",IF(LEFT($F319,1)*1=6,"C","")))))))</f>
        <v>C</v>
      </c>
      <c r="D319" s="2" t="str">
        <f t="shared" ref="D319:D323" si="55">IF($F319="","",IF(LEN($F319)=13,"A","S"))</f>
        <v>S</v>
      </c>
      <c r="E319" s="2">
        <f t="shared" ref="E319:E323" si="56">IF($F319="","",IF(LEN($F319)=1,1,IF(LEN($F319)=3,2,IF(LEN($F319)=5,3,IF(LEN($F319)=8,4,5)))))</f>
        <v>5</v>
      </c>
      <c r="F319" s="3" t="s">
        <v>622</v>
      </c>
      <c r="G319" s="3" t="s">
        <v>723</v>
      </c>
      <c r="H319" s="4">
        <f>SUMIFS(Tab_01.Jan[MOVIMENTO],Tab_01.Jan[CONTA],$F319)</f>
        <v>1467.2</v>
      </c>
      <c r="I319" s="4">
        <f>SUMIFS(Tab_02.Fev[MOVIMENTO],Tab_02.Fev[CONTA],$F319)</f>
        <v>1901.38</v>
      </c>
      <c r="J319" s="4">
        <f>SUMIFS(Tab_03.Mar[MOVIMENTO],Tab_03.Mar[CONTA],$F319)</f>
        <v>1291.93</v>
      </c>
      <c r="K319" s="4">
        <f>SUMIFS(Tab_04.Abr[MOVIMENTO],Tab_04.Abr[CONTA],$F319)</f>
        <v>2476.92</v>
      </c>
      <c r="L319" s="4">
        <f>SUMIFS(Tab_05.Mai[MOVIMENTO],Tab_05.Mai[CONTA],$F319)</f>
        <v>1451.38</v>
      </c>
      <c r="M319" s="4">
        <f>SUMIFS(Tab_06.Jun[MOVIMENTO],Tab_06.Jun[CONTA],$F319)</f>
        <v>1291.92</v>
      </c>
      <c r="N319" s="4">
        <f>SUMIFS(Tab_07.Jul[MOVIMENTO],Tab_07.Jul[CONTA],$F319)</f>
        <v>1860.58</v>
      </c>
      <c r="O319" s="4">
        <f>SUMIFS(Tab_08.Ago[MOVIMENTO],Tab_08.Ago[CONTA],$F319)</f>
        <v>1309.06</v>
      </c>
      <c r="P319" s="4">
        <f>SUMIFS(Tab_09.Set[MOVIMENTO],Tab_09.Set[CONTA],$F319)</f>
        <v>1263.6300000000001</v>
      </c>
      <c r="Q319" s="4">
        <f>SUMIFS(Tab_10.Out[MOVIMENTO],Tab_10.Out[CONTA],$F319)</f>
        <v>12142.14</v>
      </c>
      <c r="R319" s="4">
        <f>SUMIFS(Tab_11.Nov[MOVIMENTO],Tab_11.Nov[CONTA],$F319)</f>
        <v>1164.04</v>
      </c>
      <c r="S319" s="4">
        <f>SUMIFS(Tab_12.Dez[MOVIMENTO],Tab_12.Dez[CONTA],$F319)</f>
        <v>879.34</v>
      </c>
    </row>
    <row r="320" spans="2:19" x14ac:dyDescent="0.3">
      <c r="B320" s="3" t="s">
        <v>105</v>
      </c>
      <c r="C320" s="2" t="str">
        <f t="shared" si="54"/>
        <v>C</v>
      </c>
      <c r="D320" s="2" t="str">
        <f t="shared" si="55"/>
        <v>A</v>
      </c>
      <c r="E320" s="2">
        <f t="shared" si="56"/>
        <v>5</v>
      </c>
      <c r="F320" s="3" t="s">
        <v>518</v>
      </c>
      <c r="G320" s="3" t="s">
        <v>519</v>
      </c>
      <c r="H320" s="4">
        <f>SUMIFS(Tab_01.Jan[MOVIMENTO],Tab_01.Jan[CONTA],$F320)</f>
        <v>1467.2</v>
      </c>
      <c r="I320" s="4">
        <f>SUMIFS(Tab_02.Fev[MOVIMENTO],Tab_02.Fev[CONTA],$F320)</f>
        <v>1901.38</v>
      </c>
      <c r="J320" s="4">
        <f>SUMIFS(Tab_03.Mar[MOVIMENTO],Tab_03.Mar[CONTA],$F320)</f>
        <v>1291.93</v>
      </c>
      <c r="K320" s="4">
        <f>SUMIFS(Tab_04.Abr[MOVIMENTO],Tab_04.Abr[CONTA],$F320)</f>
        <v>2476.92</v>
      </c>
      <c r="L320" s="4">
        <f>SUMIFS(Tab_05.Mai[MOVIMENTO],Tab_05.Mai[CONTA],$F320)</f>
        <v>1451.38</v>
      </c>
      <c r="M320" s="4">
        <f>SUMIFS(Tab_06.Jun[MOVIMENTO],Tab_06.Jun[CONTA],$F320)</f>
        <v>1291.92</v>
      </c>
      <c r="N320" s="4">
        <f>SUMIFS(Tab_07.Jul[MOVIMENTO],Tab_07.Jul[CONTA],$F320)</f>
        <v>1860.58</v>
      </c>
      <c r="O320" s="4">
        <f>SUMIFS(Tab_08.Ago[MOVIMENTO],Tab_08.Ago[CONTA],$F320)</f>
        <v>1309.06</v>
      </c>
      <c r="P320" s="4">
        <f>SUMIFS(Tab_09.Set[MOVIMENTO],Tab_09.Set[CONTA],$F320)</f>
        <v>1263.6300000000001</v>
      </c>
      <c r="Q320" s="4">
        <f>SUMIFS(Tab_10.Out[MOVIMENTO],Tab_10.Out[CONTA],$F320)</f>
        <v>12142.14</v>
      </c>
      <c r="R320" s="4">
        <f>SUMIFS(Tab_11.Nov[MOVIMENTO],Tab_11.Nov[CONTA],$F320)</f>
        <v>1164.04</v>
      </c>
      <c r="S320" s="4">
        <f>SUMIFS(Tab_12.Dez[MOVIMENTO],Tab_12.Dez[CONTA],$F320)</f>
        <v>879.34</v>
      </c>
    </row>
    <row r="321" spans="2:19" x14ac:dyDescent="0.3">
      <c r="B321" s="3"/>
      <c r="C321" s="2" t="str">
        <f t="shared" si="54"/>
        <v>C</v>
      </c>
      <c r="D321" s="2" t="str">
        <f t="shared" si="55"/>
        <v>S</v>
      </c>
      <c r="E321" s="2">
        <f t="shared" si="56"/>
        <v>5</v>
      </c>
      <c r="F321" s="3" t="s">
        <v>623</v>
      </c>
      <c r="G321" s="3" t="s">
        <v>724</v>
      </c>
      <c r="H321" s="4">
        <f>SUMIFS(Tab_01.Jan[MOVIMENTO],Tab_01.Jan[CONTA],$F321)</f>
        <v>5364.1</v>
      </c>
      <c r="I321" s="4">
        <f>SUMIFS(Tab_02.Fev[MOVIMENTO],Tab_02.Fev[CONTA],$F321)</f>
        <v>5249.74</v>
      </c>
      <c r="J321" s="4">
        <f>SUMIFS(Tab_03.Mar[MOVIMENTO],Tab_03.Mar[CONTA],$F321)</f>
        <v>3667.05</v>
      </c>
      <c r="K321" s="4">
        <f>SUMIFS(Tab_04.Abr[MOVIMENTO],Tab_04.Abr[CONTA],$F321)</f>
        <v>3667.05</v>
      </c>
      <c r="L321" s="4">
        <f>SUMIFS(Tab_05.Mai[MOVIMENTO],Tab_05.Mai[CONTA],$F321)</f>
        <v>3667.05</v>
      </c>
      <c r="M321" s="4">
        <f>SUMIFS(Tab_06.Jun[MOVIMENTO],Tab_06.Jun[CONTA],$F321)</f>
        <v>3666.75</v>
      </c>
      <c r="N321" s="4">
        <f>SUMIFS(Tab_07.Jul[MOVIMENTO],Tab_07.Jul[CONTA],$F321)</f>
        <v>3666.75</v>
      </c>
      <c r="O321" s="4">
        <f>SUMIFS(Tab_08.Ago[MOVIMENTO],Tab_08.Ago[CONTA],$F321)</f>
        <v>3666.75</v>
      </c>
      <c r="P321" s="4">
        <f>SUMIFS(Tab_09.Set[MOVIMENTO],Tab_09.Set[CONTA],$F321)</f>
        <v>3666.75</v>
      </c>
      <c r="Q321" s="4">
        <f>SUMIFS(Tab_10.Out[MOVIMENTO],Tab_10.Out[CONTA],$F321)</f>
        <v>3666.75</v>
      </c>
      <c r="R321" s="4">
        <f>SUMIFS(Tab_11.Nov[MOVIMENTO],Tab_11.Nov[CONTA],$F321)</f>
        <v>3666.75</v>
      </c>
      <c r="S321" s="4">
        <f>SUMIFS(Tab_12.Dez[MOVIMENTO],Tab_12.Dez[CONTA],$F321)</f>
        <v>3666.75</v>
      </c>
    </row>
    <row r="322" spans="2:19" x14ac:dyDescent="0.3">
      <c r="B322" s="3"/>
      <c r="C322" s="2" t="str">
        <f t="shared" si="54"/>
        <v>C</v>
      </c>
      <c r="D322" s="2" t="str">
        <f t="shared" si="55"/>
        <v>S</v>
      </c>
      <c r="E322" s="2">
        <f t="shared" si="56"/>
        <v>5</v>
      </c>
      <c r="F322" s="3" t="s">
        <v>624</v>
      </c>
      <c r="G322" s="3" t="s">
        <v>724</v>
      </c>
      <c r="H322" s="4">
        <f>SUMIFS(Tab_01.Jan[MOVIMENTO],Tab_01.Jan[CONTA],$F322)</f>
        <v>5364.1</v>
      </c>
      <c r="I322" s="4">
        <f>SUMIFS(Tab_02.Fev[MOVIMENTO],Tab_02.Fev[CONTA],$F322)</f>
        <v>5249.74</v>
      </c>
      <c r="J322" s="4">
        <f>SUMIFS(Tab_03.Mar[MOVIMENTO],Tab_03.Mar[CONTA],$F322)</f>
        <v>3667.05</v>
      </c>
      <c r="K322" s="4">
        <f>SUMIFS(Tab_04.Abr[MOVIMENTO],Tab_04.Abr[CONTA],$F322)</f>
        <v>3667.05</v>
      </c>
      <c r="L322" s="4">
        <f>SUMIFS(Tab_05.Mai[MOVIMENTO],Tab_05.Mai[CONTA],$F322)</f>
        <v>3667.05</v>
      </c>
      <c r="M322" s="4">
        <f>SUMIFS(Tab_06.Jun[MOVIMENTO],Tab_06.Jun[CONTA],$F322)</f>
        <v>3666.75</v>
      </c>
      <c r="N322" s="4">
        <f>SUMIFS(Tab_07.Jul[MOVIMENTO],Tab_07.Jul[CONTA],$F322)</f>
        <v>3666.75</v>
      </c>
      <c r="O322" s="4">
        <f>SUMIFS(Tab_08.Ago[MOVIMENTO],Tab_08.Ago[CONTA],$F322)</f>
        <v>3666.75</v>
      </c>
      <c r="P322" s="4">
        <f>SUMIFS(Tab_09.Set[MOVIMENTO],Tab_09.Set[CONTA],$F322)</f>
        <v>3666.75</v>
      </c>
      <c r="Q322" s="4">
        <f>SUMIFS(Tab_10.Out[MOVIMENTO],Tab_10.Out[CONTA],$F322)</f>
        <v>3666.75</v>
      </c>
      <c r="R322" s="4">
        <f>SUMIFS(Tab_11.Nov[MOVIMENTO],Tab_11.Nov[CONTA],$F322)</f>
        <v>3666.75</v>
      </c>
      <c r="S322" s="4">
        <f>SUMIFS(Tab_12.Dez[MOVIMENTO],Tab_12.Dez[CONTA],$F322)</f>
        <v>3666.75</v>
      </c>
    </row>
    <row r="323" spans="2:19" x14ac:dyDescent="0.3">
      <c r="B323" s="3" t="s">
        <v>109</v>
      </c>
      <c r="C323" s="2" t="str">
        <f t="shared" si="54"/>
        <v>C</v>
      </c>
      <c r="D323" s="2" t="str">
        <f t="shared" si="55"/>
        <v>A</v>
      </c>
      <c r="E323" s="2">
        <f t="shared" si="56"/>
        <v>5</v>
      </c>
      <c r="F323" s="3" t="s">
        <v>520</v>
      </c>
      <c r="G323" s="3" t="s">
        <v>521</v>
      </c>
      <c r="H323" s="4">
        <f>SUMIFS(Tab_01.Jan[MOVIMENTO],Tab_01.Jan[CONTA],$F323)</f>
        <v>5364.1</v>
      </c>
      <c r="I323" s="4">
        <f>SUMIFS(Tab_02.Fev[MOVIMENTO],Tab_02.Fev[CONTA],$F323)</f>
        <v>5249.74</v>
      </c>
      <c r="J323" s="4">
        <f>SUMIFS(Tab_03.Mar[MOVIMENTO],Tab_03.Mar[CONTA],$F323)</f>
        <v>3667.05</v>
      </c>
      <c r="K323" s="4">
        <f>SUMIFS(Tab_04.Abr[MOVIMENTO],Tab_04.Abr[CONTA],$F323)</f>
        <v>3667.05</v>
      </c>
      <c r="L323" s="4">
        <f>SUMIFS(Tab_05.Mai[MOVIMENTO],Tab_05.Mai[CONTA],$F323)</f>
        <v>3667.05</v>
      </c>
      <c r="M323" s="4">
        <f>SUMIFS(Tab_06.Jun[MOVIMENTO],Tab_06.Jun[CONTA],$F323)</f>
        <v>3666.75</v>
      </c>
      <c r="N323" s="4">
        <f>SUMIFS(Tab_07.Jul[MOVIMENTO],Tab_07.Jul[CONTA],$F323)</f>
        <v>3666.75</v>
      </c>
      <c r="O323" s="4">
        <f>SUMIFS(Tab_08.Ago[MOVIMENTO],Tab_08.Ago[CONTA],$F323)</f>
        <v>3666.75</v>
      </c>
      <c r="P323" s="4">
        <f>SUMIFS(Tab_09.Set[MOVIMENTO],Tab_09.Set[CONTA],$F323)</f>
        <v>3666.75</v>
      </c>
      <c r="Q323" s="4">
        <f>SUMIFS(Tab_10.Out[MOVIMENTO],Tab_10.Out[CONTA],$F323)</f>
        <v>3666.75</v>
      </c>
      <c r="R323" s="4">
        <f>SUMIFS(Tab_11.Nov[MOVIMENTO],Tab_11.Nov[CONTA],$F323)</f>
        <v>3666.75</v>
      </c>
      <c r="S323" s="4">
        <f>SUMIFS(Tab_12.Dez[MOVIMENTO],Tab_12.Dez[CONTA],$F323)</f>
        <v>3666.75</v>
      </c>
    </row>
    <row r="324" spans="2:19" x14ac:dyDescent="0.3">
      <c r="B324" s="3"/>
      <c r="C324" s="2" t="str">
        <f t="shared" ref="C324:C329" si="57">IF($F324="","",IF(LEFT($F324,1)*1=1,"A",IF(LEFT($F324,1)*1=2,"P",IF(LEFT($F324,1)*1=3,"R",IF(LEFT($F324,1)*1=4,"C",IF(LEFT($F324,1)*1=5,"C",IF(LEFT($F324,1)*1=6,"C","")))))))</f>
        <v>C</v>
      </c>
      <c r="D324" s="2" t="str">
        <f t="shared" ref="D324:D329" si="58">IF($F324="","",IF(LEN($F324)=13,"A","S"))</f>
        <v>S</v>
      </c>
      <c r="E324" s="2">
        <f t="shared" ref="E324:E329" si="59">IF($F324="","",IF(LEN($F324)=1,1,IF(LEN($F324)=3,2,IF(LEN($F324)=5,3,IF(LEN($F324)=8,4,5)))))</f>
        <v>5</v>
      </c>
      <c r="F324" s="3" t="s">
        <v>625</v>
      </c>
      <c r="G324" s="3" t="s">
        <v>542</v>
      </c>
      <c r="H324" s="4">
        <f>SUMIFS(Tab_01.Jan[MOVIMENTO],Tab_01.Jan[CONTA],$F324)</f>
        <v>3062.08</v>
      </c>
      <c r="I324" s="4">
        <f>SUMIFS(Tab_02.Fev[MOVIMENTO],Tab_02.Fev[CONTA],$F324)</f>
        <v>3941.54</v>
      </c>
      <c r="J324" s="4">
        <f>SUMIFS(Tab_03.Mar[MOVIMENTO],Tab_03.Mar[CONTA],$F324)</f>
        <v>18828.060000000001</v>
      </c>
      <c r="K324" s="4">
        <f>SUMIFS(Tab_04.Abr[MOVIMENTO],Tab_04.Abr[CONTA],$F324)</f>
        <v>1982.28</v>
      </c>
      <c r="L324" s="4">
        <f>SUMIFS(Tab_05.Mai[MOVIMENTO],Tab_05.Mai[CONTA],$F324)</f>
        <v>3712.5</v>
      </c>
      <c r="M324" s="4">
        <f>SUMIFS(Tab_06.Jun[MOVIMENTO],Tab_06.Jun[CONTA],$F324)</f>
        <v>3505.14</v>
      </c>
      <c r="N324" s="4">
        <f>SUMIFS(Tab_07.Jul[MOVIMENTO],Tab_07.Jul[CONTA],$F324)</f>
        <v>2665.14</v>
      </c>
      <c r="O324" s="4">
        <f>SUMIFS(Tab_08.Ago[MOVIMENTO],Tab_08.Ago[CONTA],$F324)</f>
        <v>3282.08</v>
      </c>
      <c r="P324" s="4">
        <f>SUMIFS(Tab_09.Set[MOVIMENTO],Tab_09.Set[CONTA],$F324)</f>
        <v>3516.07</v>
      </c>
      <c r="Q324" s="4">
        <f>SUMIFS(Tab_10.Out[MOVIMENTO],Tab_10.Out[CONTA],$F324)</f>
        <v>5156.5</v>
      </c>
      <c r="R324" s="4">
        <f>SUMIFS(Tab_11.Nov[MOVIMENTO],Tab_11.Nov[CONTA],$F324)</f>
        <v>5206.87</v>
      </c>
      <c r="S324" s="4">
        <f>SUMIFS(Tab_12.Dez[MOVIMENTO],Tab_12.Dez[CONTA],$F324)</f>
        <v>9434.7199999999993</v>
      </c>
    </row>
    <row r="325" spans="2:19" x14ac:dyDescent="0.3">
      <c r="B325" s="3"/>
      <c r="C325" s="2" t="str">
        <f t="shared" si="57"/>
        <v>C</v>
      </c>
      <c r="D325" s="2" t="str">
        <f t="shared" si="58"/>
        <v>S</v>
      </c>
      <c r="E325" s="2">
        <f t="shared" si="59"/>
        <v>5</v>
      </c>
      <c r="F325" s="3" t="s">
        <v>626</v>
      </c>
      <c r="G325" s="3" t="s">
        <v>725</v>
      </c>
      <c r="H325" s="4">
        <f>SUMIFS(Tab_01.Jan[MOVIMENTO],Tab_01.Jan[CONTA],$F325)</f>
        <v>1075.6099999999999</v>
      </c>
      <c r="I325" s="4">
        <f>SUMIFS(Tab_02.Fev[MOVIMENTO],Tab_02.Fev[CONTA],$F325)</f>
        <v>1344.3</v>
      </c>
      <c r="J325" s="4">
        <f>SUMIFS(Tab_03.Mar[MOVIMENTO],Tab_03.Mar[CONTA],$F325)</f>
        <v>13022.99</v>
      </c>
      <c r="K325" s="4">
        <f>SUMIFS(Tab_04.Abr[MOVIMENTO],Tab_04.Abr[CONTA],$F325)</f>
        <v>425.45</v>
      </c>
      <c r="L325" s="4">
        <f>SUMIFS(Tab_05.Mai[MOVIMENTO],Tab_05.Mai[CONTA],$F325)</f>
        <v>115.5</v>
      </c>
      <c r="M325" s="4">
        <f>SUMIFS(Tab_06.Jun[MOVIMENTO],Tab_06.Jun[CONTA],$F325)</f>
        <v>13.14</v>
      </c>
      <c r="N325" s="4">
        <f>SUMIFS(Tab_07.Jul[MOVIMENTO],Tab_07.Jul[CONTA],$F325)</f>
        <v>99.82</v>
      </c>
      <c r="O325" s="4">
        <f>SUMIFS(Tab_08.Ago[MOVIMENTO],Tab_08.Ago[CONTA],$F325)</f>
        <v>87.96</v>
      </c>
      <c r="P325" s="4">
        <f>SUMIFS(Tab_09.Set[MOVIMENTO],Tab_09.Set[CONTA],$F325)</f>
        <v>13.14</v>
      </c>
      <c r="Q325" s="4">
        <f>SUMIFS(Tab_10.Out[MOVIMENTO],Tab_10.Out[CONTA],$F325)</f>
        <v>0</v>
      </c>
      <c r="R325" s="4">
        <f>SUMIFS(Tab_11.Nov[MOVIMENTO],Tab_11.Nov[CONTA],$F325)</f>
        <v>1343.24</v>
      </c>
      <c r="S325" s="4">
        <f>SUMIFS(Tab_12.Dez[MOVIMENTO],Tab_12.Dez[CONTA],$F325)</f>
        <v>24.62</v>
      </c>
    </row>
    <row r="326" spans="2:19" x14ac:dyDescent="0.3">
      <c r="B326" s="3" t="s">
        <v>108</v>
      </c>
      <c r="C326" s="2" t="str">
        <f t="shared" si="57"/>
        <v>C</v>
      </c>
      <c r="D326" s="2" t="str">
        <f t="shared" si="58"/>
        <v>A</v>
      </c>
      <c r="E326" s="2">
        <f t="shared" si="59"/>
        <v>5</v>
      </c>
      <c r="F326" s="3" t="s">
        <v>522</v>
      </c>
      <c r="G326" s="3" t="s">
        <v>523</v>
      </c>
      <c r="H326" s="4">
        <f>SUMIFS(Tab_01.Jan[MOVIMENTO],Tab_01.Jan[CONTA],$F326)</f>
        <v>1075.6099999999999</v>
      </c>
      <c r="I326" s="4">
        <f>SUMIFS(Tab_02.Fev[MOVIMENTO],Tab_02.Fev[CONTA],$F326)</f>
        <v>1328.97</v>
      </c>
      <c r="J326" s="4">
        <f>SUMIFS(Tab_03.Mar[MOVIMENTO],Tab_03.Mar[CONTA],$F326)</f>
        <v>13007.66</v>
      </c>
      <c r="K326" s="4">
        <f>SUMIFS(Tab_04.Abr[MOVIMENTO],Tab_04.Abr[CONTA],$F326)</f>
        <v>0</v>
      </c>
      <c r="L326" s="4">
        <f>SUMIFS(Tab_05.Mai[MOVIMENTO],Tab_05.Mai[CONTA],$F326)</f>
        <v>115.5</v>
      </c>
      <c r="M326" s="4">
        <f>SUMIFS(Tab_06.Jun[MOVIMENTO],Tab_06.Jun[CONTA],$F326)</f>
        <v>0</v>
      </c>
      <c r="N326" s="4">
        <f>SUMIFS(Tab_07.Jul[MOVIMENTO],Tab_07.Jul[CONTA],$F326)</f>
        <v>0</v>
      </c>
      <c r="O326" s="4">
        <f>SUMIFS(Tab_08.Ago[MOVIMENTO],Tab_08.Ago[CONTA],$F326)</f>
        <v>0</v>
      </c>
      <c r="P326" s="4">
        <f>SUMIFS(Tab_09.Set[MOVIMENTO],Tab_09.Set[CONTA],$F326)</f>
        <v>0</v>
      </c>
      <c r="Q326" s="4">
        <f>SUMIFS(Tab_10.Out[MOVIMENTO],Tab_10.Out[CONTA],$F326)</f>
        <v>0</v>
      </c>
      <c r="R326" s="4">
        <f>SUMIFS(Tab_11.Nov[MOVIMENTO],Tab_11.Nov[CONTA],$F326)</f>
        <v>1326.6</v>
      </c>
      <c r="S326" s="4">
        <f>SUMIFS(Tab_12.Dez[MOVIMENTO],Tab_12.Dez[CONTA],$F326)</f>
        <v>0</v>
      </c>
    </row>
    <row r="327" spans="2:19" x14ac:dyDescent="0.3">
      <c r="B327" s="3" t="s">
        <v>67</v>
      </c>
      <c r="C327" s="2" t="str">
        <f t="shared" si="57"/>
        <v>C</v>
      </c>
      <c r="D327" s="2" t="str">
        <f t="shared" si="58"/>
        <v>A</v>
      </c>
      <c r="E327" s="2">
        <f t="shared" si="59"/>
        <v>5</v>
      </c>
      <c r="F327" s="3" t="s">
        <v>524</v>
      </c>
      <c r="G327" s="3" t="s">
        <v>525</v>
      </c>
      <c r="H327" s="4">
        <f>SUMIFS(Tab_01.Jan[MOVIMENTO],Tab_01.Jan[CONTA],$F327)</f>
        <v>0</v>
      </c>
      <c r="I327" s="4">
        <f>SUMIFS(Tab_02.Fev[MOVIMENTO],Tab_02.Fev[CONTA],$F327)</f>
        <v>15.33</v>
      </c>
      <c r="J327" s="4">
        <f>SUMIFS(Tab_03.Mar[MOVIMENTO],Tab_03.Mar[CONTA],$F327)</f>
        <v>15.33</v>
      </c>
      <c r="K327" s="4">
        <f>SUMIFS(Tab_04.Abr[MOVIMENTO],Tab_04.Abr[CONTA],$F327)</f>
        <v>425.45</v>
      </c>
      <c r="L327" s="4">
        <f>SUMIFS(Tab_05.Mai[MOVIMENTO],Tab_05.Mai[CONTA],$F327)</f>
        <v>0</v>
      </c>
      <c r="M327" s="4">
        <f>SUMIFS(Tab_06.Jun[MOVIMENTO],Tab_06.Jun[CONTA],$F327)</f>
        <v>13.14</v>
      </c>
      <c r="N327" s="4">
        <f>SUMIFS(Tab_07.Jul[MOVIMENTO],Tab_07.Jul[CONTA],$F327)</f>
        <v>99.82</v>
      </c>
      <c r="O327" s="4">
        <f>SUMIFS(Tab_08.Ago[MOVIMENTO],Tab_08.Ago[CONTA],$F327)</f>
        <v>87.96</v>
      </c>
      <c r="P327" s="4">
        <f>SUMIFS(Tab_09.Set[MOVIMENTO],Tab_09.Set[CONTA],$F327)</f>
        <v>13.14</v>
      </c>
      <c r="Q327" s="4">
        <f>SUMIFS(Tab_10.Out[MOVIMENTO],Tab_10.Out[CONTA],$F327)</f>
        <v>0</v>
      </c>
      <c r="R327" s="4">
        <f>SUMIFS(Tab_11.Nov[MOVIMENTO],Tab_11.Nov[CONTA],$F327)</f>
        <v>16.64</v>
      </c>
      <c r="S327" s="4">
        <f>SUMIFS(Tab_12.Dez[MOVIMENTO],Tab_12.Dez[CONTA],$F327)</f>
        <v>24.62</v>
      </c>
    </row>
    <row r="328" spans="2:19" x14ac:dyDescent="0.3">
      <c r="B328" s="3" t="s">
        <v>108</v>
      </c>
      <c r="C328" s="2" t="str">
        <f t="shared" si="57"/>
        <v>C</v>
      </c>
      <c r="D328" s="2" t="str">
        <f t="shared" si="58"/>
        <v>A</v>
      </c>
      <c r="E328" s="2">
        <f t="shared" si="59"/>
        <v>5</v>
      </c>
      <c r="F328" s="3" t="s">
        <v>526</v>
      </c>
      <c r="G328" s="3" t="s">
        <v>527</v>
      </c>
      <c r="H328" s="4">
        <f>SUMIFS(Tab_01.Jan[MOVIMENTO],Tab_01.Jan[CONTA],$F328)</f>
        <v>0</v>
      </c>
      <c r="I328" s="4">
        <f>SUMIFS(Tab_02.Fev[MOVIMENTO],Tab_02.Fev[CONTA],$F328)</f>
        <v>0</v>
      </c>
      <c r="J328" s="4">
        <f>SUMIFS(Tab_03.Mar[MOVIMENTO],Tab_03.Mar[CONTA],$F328)</f>
        <v>0</v>
      </c>
      <c r="K328" s="4">
        <f>SUMIFS(Tab_04.Abr[MOVIMENTO],Tab_04.Abr[CONTA],$F328)</f>
        <v>0</v>
      </c>
      <c r="L328" s="4">
        <f>SUMIFS(Tab_05.Mai[MOVIMENTO],Tab_05.Mai[CONTA],$F328)</f>
        <v>0</v>
      </c>
      <c r="M328" s="4">
        <f>SUMIFS(Tab_06.Jun[MOVIMENTO],Tab_06.Jun[CONTA],$F328)</f>
        <v>0</v>
      </c>
      <c r="N328" s="4">
        <f>SUMIFS(Tab_07.Jul[MOVIMENTO],Tab_07.Jul[CONTA],$F328)</f>
        <v>0</v>
      </c>
      <c r="O328" s="4">
        <f>SUMIFS(Tab_08.Ago[MOVIMENTO],Tab_08.Ago[CONTA],$F328)</f>
        <v>0</v>
      </c>
      <c r="P328" s="4">
        <f>SUMIFS(Tab_09.Set[MOVIMENTO],Tab_09.Set[CONTA],$F328)</f>
        <v>0</v>
      </c>
      <c r="Q328" s="4">
        <f>SUMIFS(Tab_10.Out[MOVIMENTO],Tab_10.Out[CONTA],$F328)</f>
        <v>0</v>
      </c>
      <c r="R328" s="4">
        <f>SUMIFS(Tab_11.Nov[MOVIMENTO],Tab_11.Nov[CONTA],$F328)</f>
        <v>0</v>
      </c>
      <c r="S328" s="4">
        <f>SUMIFS(Tab_12.Dez[MOVIMENTO],Tab_12.Dez[CONTA],$F328)</f>
        <v>0</v>
      </c>
    </row>
    <row r="329" spans="2:19" x14ac:dyDescent="0.3">
      <c r="B329" s="3"/>
      <c r="C329" s="2" t="str">
        <f t="shared" si="57"/>
        <v>C</v>
      </c>
      <c r="D329" s="2" t="str">
        <f t="shared" si="58"/>
        <v>S</v>
      </c>
      <c r="E329" s="2">
        <f t="shared" si="59"/>
        <v>5</v>
      </c>
      <c r="F329" s="3" t="s">
        <v>627</v>
      </c>
      <c r="G329" s="3" t="s">
        <v>542</v>
      </c>
      <c r="H329" s="4">
        <f>SUMIFS(Tab_01.Jan[MOVIMENTO],Tab_01.Jan[CONTA],$F329)</f>
        <v>1986.47</v>
      </c>
      <c r="I329" s="4">
        <f>SUMIFS(Tab_02.Fev[MOVIMENTO],Tab_02.Fev[CONTA],$F329)</f>
        <v>2597.2399999999998</v>
      </c>
      <c r="J329" s="4">
        <f>SUMIFS(Tab_03.Mar[MOVIMENTO],Tab_03.Mar[CONTA],$F329)</f>
        <v>5805.07</v>
      </c>
      <c r="K329" s="4">
        <f>SUMIFS(Tab_04.Abr[MOVIMENTO],Tab_04.Abr[CONTA],$F329)</f>
        <v>1556.83</v>
      </c>
      <c r="L329" s="4">
        <f>SUMIFS(Tab_05.Mai[MOVIMENTO],Tab_05.Mai[CONTA],$F329)</f>
        <v>3597</v>
      </c>
      <c r="M329" s="4">
        <f>SUMIFS(Tab_06.Jun[MOVIMENTO],Tab_06.Jun[CONTA],$F329)</f>
        <v>3492</v>
      </c>
      <c r="N329" s="4">
        <f>SUMIFS(Tab_07.Jul[MOVIMENTO],Tab_07.Jul[CONTA],$F329)</f>
        <v>2565.3200000000002</v>
      </c>
      <c r="O329" s="4">
        <f>SUMIFS(Tab_08.Ago[MOVIMENTO],Tab_08.Ago[CONTA],$F329)</f>
        <v>3194.12</v>
      </c>
      <c r="P329" s="4">
        <f>SUMIFS(Tab_09.Set[MOVIMENTO],Tab_09.Set[CONTA],$F329)</f>
        <v>3502.93</v>
      </c>
      <c r="Q329" s="4">
        <f>SUMIFS(Tab_10.Out[MOVIMENTO],Tab_10.Out[CONTA],$F329)</f>
        <v>5156.5</v>
      </c>
      <c r="R329" s="4">
        <f>SUMIFS(Tab_11.Nov[MOVIMENTO],Tab_11.Nov[CONTA],$F329)</f>
        <v>3863.63</v>
      </c>
      <c r="S329" s="4">
        <f>SUMIFS(Tab_12.Dez[MOVIMENTO],Tab_12.Dez[CONTA],$F329)</f>
        <v>9410.1</v>
      </c>
    </row>
    <row r="330" spans="2:19" x14ac:dyDescent="0.3">
      <c r="B330" s="3" t="s">
        <v>105</v>
      </c>
      <c r="C330" s="2" t="str">
        <f t="shared" ref="C330:C331" si="60">IF($F330="","",IF(LEFT($F330,1)*1=1,"A",IF(LEFT($F330,1)*1=2,"P",IF(LEFT($F330,1)*1=3,"R",IF(LEFT($F330,1)*1=4,"C",IF(LEFT($F330,1)*1=5,"C",IF(LEFT($F330,1)*1=6,"C","")))))))</f>
        <v>C</v>
      </c>
      <c r="D330" s="2" t="str">
        <f t="shared" ref="D330:D331" si="61">IF($F330="","",IF(LEN($F330)=13,"A","S"))</f>
        <v>A</v>
      </c>
      <c r="E330" s="2">
        <f t="shared" ref="E330:E331" si="62">IF($F330="","",IF(LEN($F330)=1,1,IF(LEN($F330)=3,2,IF(LEN($F330)=5,3,IF(LEN($F330)=8,4,5)))))</f>
        <v>5</v>
      </c>
      <c r="F330" s="3" t="s">
        <v>528</v>
      </c>
      <c r="G330" s="3" t="s">
        <v>416</v>
      </c>
      <c r="H330" s="4">
        <f>SUMIFS(Tab_01.Jan[MOVIMENTO],Tab_01.Jan[CONTA],$F330)</f>
        <v>100.59</v>
      </c>
      <c r="I330" s="4">
        <f>SUMIFS(Tab_02.Fev[MOVIMENTO],Tab_02.Fev[CONTA],$F330)</f>
        <v>49.87</v>
      </c>
      <c r="J330" s="4">
        <f>SUMIFS(Tab_03.Mar[MOVIMENTO],Tab_03.Mar[CONTA],$F330)</f>
        <v>199.18</v>
      </c>
      <c r="K330" s="4">
        <f>SUMIFS(Tab_04.Abr[MOVIMENTO],Tab_04.Abr[CONTA],$F330)</f>
        <v>50</v>
      </c>
      <c r="L330" s="4">
        <f>SUMIFS(Tab_05.Mai[MOVIMENTO],Tab_05.Mai[CONTA],$F330)</f>
        <v>94.81</v>
      </c>
      <c r="M330" s="4">
        <f>SUMIFS(Tab_06.Jun[MOVIMENTO],Tab_06.Jun[CONTA],$F330)</f>
        <v>133.66999999999999</v>
      </c>
      <c r="N330" s="4">
        <f>SUMIFS(Tab_07.Jul[MOVIMENTO],Tab_07.Jul[CONTA],$F330)</f>
        <v>121.89</v>
      </c>
      <c r="O330" s="4">
        <f>SUMIFS(Tab_08.Ago[MOVIMENTO],Tab_08.Ago[CONTA],$F330)</f>
        <v>645.41</v>
      </c>
      <c r="P330" s="4">
        <f>SUMIFS(Tab_09.Set[MOVIMENTO],Tab_09.Set[CONTA],$F330)</f>
        <v>282</v>
      </c>
      <c r="Q330" s="4">
        <f>SUMIFS(Tab_10.Out[MOVIMENTO],Tab_10.Out[CONTA],$F330)</f>
        <v>787.32</v>
      </c>
      <c r="R330" s="4">
        <f>SUMIFS(Tab_11.Nov[MOVIMENTO],Tab_11.Nov[CONTA],$F330)</f>
        <v>0</v>
      </c>
      <c r="S330" s="4">
        <f>SUMIFS(Tab_12.Dez[MOVIMENTO],Tab_12.Dez[CONTA],$F330)</f>
        <v>0</v>
      </c>
    </row>
    <row r="331" spans="2:19" x14ac:dyDescent="0.3">
      <c r="B331" s="3" t="s">
        <v>105</v>
      </c>
      <c r="C331" s="2" t="str">
        <f t="shared" si="60"/>
        <v>C</v>
      </c>
      <c r="D331" s="2" t="str">
        <f t="shared" si="61"/>
        <v>A</v>
      </c>
      <c r="E331" s="2">
        <f t="shared" si="62"/>
        <v>5</v>
      </c>
      <c r="F331" s="3" t="s">
        <v>529</v>
      </c>
      <c r="G331" s="3" t="s">
        <v>530</v>
      </c>
      <c r="H331" s="4">
        <f>SUMIFS(Tab_01.Jan[MOVIMENTO],Tab_01.Jan[CONTA],$F331)</f>
        <v>0</v>
      </c>
      <c r="I331" s="4">
        <f>SUMIFS(Tab_02.Fev[MOVIMENTO],Tab_02.Fev[CONTA],$F331)</f>
        <v>0</v>
      </c>
      <c r="J331" s="4">
        <f>SUMIFS(Tab_03.Mar[MOVIMENTO],Tab_03.Mar[CONTA],$F331)</f>
        <v>0</v>
      </c>
      <c r="K331" s="4">
        <f>SUMIFS(Tab_04.Abr[MOVIMENTO],Tab_04.Abr[CONTA],$F331)</f>
        <v>0</v>
      </c>
      <c r="L331" s="4">
        <f>SUMIFS(Tab_05.Mai[MOVIMENTO],Tab_05.Mai[CONTA],$F331)</f>
        <v>0</v>
      </c>
      <c r="M331" s="4">
        <f>SUMIFS(Tab_06.Jun[MOVIMENTO],Tab_06.Jun[CONTA],$F331)</f>
        <v>258</v>
      </c>
      <c r="N331" s="4">
        <f>SUMIFS(Tab_07.Jul[MOVIMENTO],Tab_07.Jul[CONTA],$F331)</f>
        <v>0</v>
      </c>
      <c r="O331" s="4">
        <f>SUMIFS(Tab_08.Ago[MOVIMENTO],Tab_08.Ago[CONTA],$F331)</f>
        <v>0</v>
      </c>
      <c r="P331" s="4">
        <f>SUMIFS(Tab_09.Set[MOVIMENTO],Tab_09.Set[CONTA],$F331)</f>
        <v>91.32</v>
      </c>
      <c r="Q331" s="4">
        <f>SUMIFS(Tab_10.Out[MOVIMENTO],Tab_10.Out[CONTA],$F331)</f>
        <v>500</v>
      </c>
      <c r="R331" s="4">
        <f>SUMIFS(Tab_11.Nov[MOVIMENTO],Tab_11.Nov[CONTA],$F331)</f>
        <v>0</v>
      </c>
      <c r="S331" s="4">
        <f>SUMIFS(Tab_12.Dez[MOVIMENTO],Tab_12.Dez[CONTA],$F331)</f>
        <v>0</v>
      </c>
    </row>
    <row r="332" spans="2:19" x14ac:dyDescent="0.3">
      <c r="B332" s="3" t="s">
        <v>105</v>
      </c>
      <c r="C332" s="2" t="str">
        <f>IF($F332="","",IF(LEFT($F332,1)*1=1,"A",IF(LEFT($F332,1)*1=2,"P",IF(LEFT($F332,1)*1=3,"R",IF(LEFT($F332,1)*1=4,"C",IF(LEFT($F332,1)*1=5,"C",IF(LEFT($F332,1)*1=6,"C","")))))))</f>
        <v>C</v>
      </c>
      <c r="D332" s="2" t="str">
        <f>IF($F332="","",IF(LEN($F332)=13,"A","S"))</f>
        <v>A</v>
      </c>
      <c r="E332" s="2">
        <f>IF($F332="","",IF(LEN($F332)=1,1,IF(LEN($F332)=3,2,IF(LEN($F332)=5,3,IF(LEN($F332)=8,4,5)))))</f>
        <v>5</v>
      </c>
      <c r="F332" s="3" t="s">
        <v>531</v>
      </c>
      <c r="G332" s="3" t="s">
        <v>532</v>
      </c>
      <c r="H332" s="4">
        <f>SUMIFS(Tab_01.Jan[MOVIMENTO],Tab_01.Jan[CONTA],$F332)</f>
        <v>114</v>
      </c>
      <c r="I332" s="4">
        <f>SUMIFS(Tab_02.Fev[MOVIMENTO],Tab_02.Fev[CONTA],$F332)</f>
        <v>62.97</v>
      </c>
      <c r="J332" s="4">
        <f>SUMIFS(Tab_03.Mar[MOVIMENTO],Tab_03.Mar[CONTA],$F332)</f>
        <v>0</v>
      </c>
      <c r="K332" s="4">
        <f>SUMIFS(Tab_04.Abr[MOVIMENTO],Tab_04.Abr[CONTA],$F332)</f>
        <v>93.26</v>
      </c>
      <c r="L332" s="4">
        <f>SUMIFS(Tab_05.Mai[MOVIMENTO],Tab_05.Mai[CONTA],$F332)</f>
        <v>153.81</v>
      </c>
      <c r="M332" s="4">
        <f>SUMIFS(Tab_06.Jun[MOVIMENTO],Tab_06.Jun[CONTA],$F332)</f>
        <v>50.54</v>
      </c>
      <c r="N332" s="4">
        <f>SUMIFS(Tab_07.Jul[MOVIMENTO],Tab_07.Jul[CONTA],$F332)</f>
        <v>616.04999999999995</v>
      </c>
      <c r="O332" s="4">
        <f>SUMIFS(Tab_08.Ago[MOVIMENTO],Tab_08.Ago[CONTA],$F332)</f>
        <v>170.37</v>
      </c>
      <c r="P332" s="4">
        <f>SUMIFS(Tab_09.Set[MOVIMENTO],Tab_09.Set[CONTA],$F332)</f>
        <v>176.92</v>
      </c>
      <c r="Q332" s="4">
        <f>SUMIFS(Tab_10.Out[MOVIMENTO],Tab_10.Out[CONTA],$F332)</f>
        <v>169.5</v>
      </c>
      <c r="R332" s="4">
        <f>SUMIFS(Tab_11.Nov[MOVIMENTO],Tab_11.Nov[CONTA],$F332)</f>
        <v>56.68</v>
      </c>
      <c r="S332" s="4">
        <f>SUMIFS(Tab_12.Dez[MOVIMENTO],Tab_12.Dez[CONTA],$F332)</f>
        <v>44.28</v>
      </c>
    </row>
    <row r="333" spans="2:19" x14ac:dyDescent="0.3">
      <c r="B333" s="3" t="s">
        <v>105</v>
      </c>
      <c r="C333" s="2" t="str">
        <f t="shared" ref="C333:C352" si="63">IF($F333="","",IF(LEFT($F333,1)*1=1,"A",IF(LEFT($F333,1)*1=2,"P",IF(LEFT($F333,1)*1=3,"R",IF(LEFT($F333,1)*1=4,"C",IF(LEFT($F333,1)*1=5,"C",IF(LEFT($F333,1)*1=6,"C","")))))))</f>
        <v>C</v>
      </c>
      <c r="D333" s="2" t="str">
        <f t="shared" ref="D333:D352" si="64">IF($F333="","",IF(LEN($F333)=13,"A","S"))</f>
        <v>A</v>
      </c>
      <c r="E333" s="2">
        <f t="shared" ref="E333:E352" si="65">IF($F333="","",IF(LEN($F333)=1,1,IF(LEN($F333)=3,2,IF(LEN($F333)=5,3,IF(LEN($F333)=8,4,5)))))</f>
        <v>5</v>
      </c>
      <c r="F333" s="3" t="s">
        <v>533</v>
      </c>
      <c r="G333" s="3" t="s">
        <v>534</v>
      </c>
      <c r="H333" s="4">
        <f>SUMIFS(Tab_01.Jan[MOVIMENTO],Tab_01.Jan[CONTA],$F333)</f>
        <v>350</v>
      </c>
      <c r="I333" s="4">
        <f>SUMIFS(Tab_02.Fev[MOVIMENTO],Tab_02.Fev[CONTA],$F333)</f>
        <v>0</v>
      </c>
      <c r="J333" s="4">
        <f>SUMIFS(Tab_03.Mar[MOVIMENTO],Tab_03.Mar[CONTA],$F333)</f>
        <v>0</v>
      </c>
      <c r="K333" s="4">
        <f>SUMIFS(Tab_04.Abr[MOVIMENTO],Tab_04.Abr[CONTA],$F333)</f>
        <v>0</v>
      </c>
      <c r="L333" s="4">
        <f>SUMIFS(Tab_05.Mai[MOVIMENTO],Tab_05.Mai[CONTA],$F333)</f>
        <v>1400</v>
      </c>
      <c r="M333" s="4">
        <f>SUMIFS(Tab_06.Jun[MOVIMENTO],Tab_06.Jun[CONTA],$F333)</f>
        <v>0</v>
      </c>
      <c r="N333" s="4">
        <f>SUMIFS(Tab_07.Jul[MOVIMENTO],Tab_07.Jul[CONTA],$F333)</f>
        <v>350</v>
      </c>
      <c r="O333" s="4">
        <f>SUMIFS(Tab_08.Ago[MOVIMENTO],Tab_08.Ago[CONTA],$F333)</f>
        <v>600</v>
      </c>
      <c r="P333" s="4">
        <f>SUMIFS(Tab_09.Set[MOVIMENTO],Tab_09.Set[CONTA],$F333)</f>
        <v>1098.9100000000001</v>
      </c>
      <c r="Q333" s="4">
        <f>SUMIFS(Tab_10.Out[MOVIMENTO],Tab_10.Out[CONTA],$F333)</f>
        <v>1190</v>
      </c>
      <c r="R333" s="4">
        <f>SUMIFS(Tab_11.Nov[MOVIMENTO],Tab_11.Nov[CONTA],$F333)</f>
        <v>2071.2800000000002</v>
      </c>
      <c r="S333" s="4">
        <f>SUMIFS(Tab_12.Dez[MOVIMENTO],Tab_12.Dez[CONTA],$F333)</f>
        <v>7010</v>
      </c>
    </row>
    <row r="334" spans="2:19" x14ac:dyDescent="0.3">
      <c r="B334" s="3" t="s">
        <v>105</v>
      </c>
      <c r="C334" s="2" t="str">
        <f t="shared" si="63"/>
        <v>C</v>
      </c>
      <c r="D334" s="2" t="str">
        <f t="shared" si="64"/>
        <v>A</v>
      </c>
      <c r="E334" s="2">
        <f t="shared" si="65"/>
        <v>5</v>
      </c>
      <c r="F334" s="3" t="s">
        <v>535</v>
      </c>
      <c r="G334" s="3" t="s">
        <v>536</v>
      </c>
      <c r="H334" s="4">
        <f>SUMIFS(Tab_01.Jan[MOVIMENTO],Tab_01.Jan[CONTA],$F334)</f>
        <v>0</v>
      </c>
      <c r="I334" s="4">
        <f>SUMIFS(Tab_02.Fev[MOVIMENTO],Tab_02.Fev[CONTA],$F334)</f>
        <v>0</v>
      </c>
      <c r="J334" s="4">
        <f>SUMIFS(Tab_03.Mar[MOVIMENTO],Tab_03.Mar[CONTA],$F334)</f>
        <v>0</v>
      </c>
      <c r="K334" s="4">
        <f>SUMIFS(Tab_04.Abr[MOVIMENTO],Tab_04.Abr[CONTA],$F334)</f>
        <v>0</v>
      </c>
      <c r="L334" s="4">
        <f>SUMIFS(Tab_05.Mai[MOVIMENTO],Tab_05.Mai[CONTA],$F334)</f>
        <v>0</v>
      </c>
      <c r="M334" s="4">
        <f>SUMIFS(Tab_06.Jun[MOVIMENTO],Tab_06.Jun[CONTA],$F334)</f>
        <v>0</v>
      </c>
      <c r="N334" s="4">
        <f>SUMIFS(Tab_07.Jul[MOVIMENTO],Tab_07.Jul[CONTA],$F334)</f>
        <v>0</v>
      </c>
      <c r="O334" s="4">
        <f>SUMIFS(Tab_08.Ago[MOVIMENTO],Tab_08.Ago[CONTA],$F334)</f>
        <v>0</v>
      </c>
      <c r="P334" s="4">
        <f>SUMIFS(Tab_09.Set[MOVIMENTO],Tab_09.Set[CONTA],$F334)</f>
        <v>0</v>
      </c>
      <c r="Q334" s="4">
        <f>SUMIFS(Tab_10.Out[MOVIMENTO],Tab_10.Out[CONTA],$F334)</f>
        <v>0</v>
      </c>
      <c r="R334" s="4">
        <f>SUMIFS(Tab_11.Nov[MOVIMENTO],Tab_11.Nov[CONTA],$F334)</f>
        <v>0</v>
      </c>
      <c r="S334" s="4">
        <f>SUMIFS(Tab_12.Dez[MOVIMENTO],Tab_12.Dez[CONTA],$F334)</f>
        <v>0</v>
      </c>
    </row>
    <row r="335" spans="2:19" x14ac:dyDescent="0.3">
      <c r="B335" s="3" t="s">
        <v>105</v>
      </c>
      <c r="C335" s="2" t="str">
        <f t="shared" si="63"/>
        <v>C</v>
      </c>
      <c r="D335" s="2" t="str">
        <f t="shared" si="64"/>
        <v>A</v>
      </c>
      <c r="E335" s="2">
        <f t="shared" si="65"/>
        <v>5</v>
      </c>
      <c r="F335" s="3" t="s">
        <v>537</v>
      </c>
      <c r="G335" s="3" t="s">
        <v>538</v>
      </c>
      <c r="H335" s="4">
        <f>SUMIFS(Tab_01.Jan[MOVIMENTO],Tab_01.Jan[CONTA],$F335)</f>
        <v>1059.06</v>
      </c>
      <c r="I335" s="4">
        <f>SUMIFS(Tab_02.Fev[MOVIMENTO],Tab_02.Fev[CONTA],$F335)</f>
        <v>0</v>
      </c>
      <c r="J335" s="4">
        <f>SUMIFS(Tab_03.Mar[MOVIMENTO],Tab_03.Mar[CONTA],$F335)</f>
        <v>3685.72</v>
      </c>
      <c r="K335" s="4">
        <f>SUMIFS(Tab_04.Abr[MOVIMENTO],Tab_04.Abr[CONTA],$F335)</f>
        <v>0</v>
      </c>
      <c r="L335" s="4">
        <f>SUMIFS(Tab_05.Mai[MOVIMENTO],Tab_05.Mai[CONTA],$F335)</f>
        <v>0</v>
      </c>
      <c r="M335" s="4">
        <f>SUMIFS(Tab_06.Jun[MOVIMENTO],Tab_06.Jun[CONTA],$F335)</f>
        <v>0.01</v>
      </c>
      <c r="N335" s="4">
        <f>SUMIFS(Tab_07.Jul[MOVIMENTO],Tab_07.Jul[CONTA],$F335)</f>
        <v>5.0999999999999996</v>
      </c>
      <c r="O335" s="4">
        <f>SUMIFS(Tab_08.Ago[MOVIMENTO],Tab_08.Ago[CONTA],$F335)</f>
        <v>0</v>
      </c>
      <c r="P335" s="4">
        <f>SUMIFS(Tab_09.Set[MOVIMENTO],Tab_09.Set[CONTA],$F335)</f>
        <v>0</v>
      </c>
      <c r="Q335" s="4">
        <f>SUMIFS(Tab_10.Out[MOVIMENTO],Tab_10.Out[CONTA],$F335)</f>
        <v>0</v>
      </c>
      <c r="R335" s="4">
        <f>SUMIFS(Tab_11.Nov[MOVIMENTO],Tab_11.Nov[CONTA],$F335)</f>
        <v>0</v>
      </c>
      <c r="S335" s="4">
        <f>SUMIFS(Tab_12.Dez[MOVIMENTO],Tab_12.Dez[CONTA],$F335)</f>
        <v>6.2</v>
      </c>
    </row>
    <row r="336" spans="2:19" x14ac:dyDescent="0.3">
      <c r="B336" s="3" t="s">
        <v>105</v>
      </c>
      <c r="C336" s="2" t="str">
        <f t="shared" si="63"/>
        <v>C</v>
      </c>
      <c r="D336" s="2" t="str">
        <f t="shared" si="64"/>
        <v>A</v>
      </c>
      <c r="E336" s="2">
        <f t="shared" si="65"/>
        <v>5</v>
      </c>
      <c r="F336" s="3" t="s">
        <v>539</v>
      </c>
      <c r="G336" s="3" t="s">
        <v>540</v>
      </c>
      <c r="H336" s="4">
        <f>SUMIFS(Tab_01.Jan[MOVIMENTO],Tab_01.Jan[CONTA],$F336)</f>
        <v>0</v>
      </c>
      <c r="I336" s="4">
        <f>SUMIFS(Tab_02.Fev[MOVIMENTO],Tab_02.Fev[CONTA],$F336)</f>
        <v>2484.4</v>
      </c>
      <c r="J336" s="4">
        <f>SUMIFS(Tab_03.Mar[MOVIMENTO],Tab_03.Mar[CONTA],$F336)</f>
        <v>1742.12</v>
      </c>
      <c r="K336" s="4">
        <f>SUMIFS(Tab_04.Abr[MOVIMENTO],Tab_04.Abr[CONTA],$F336)</f>
        <v>1253.57</v>
      </c>
      <c r="L336" s="4">
        <f>SUMIFS(Tab_05.Mai[MOVIMENTO],Tab_05.Mai[CONTA],$F336)</f>
        <v>1648.48</v>
      </c>
      <c r="M336" s="4">
        <f>SUMIFS(Tab_06.Jun[MOVIMENTO],Tab_06.Jun[CONTA],$F336)</f>
        <v>2621.68</v>
      </c>
      <c r="N336" s="4">
        <f>SUMIFS(Tab_07.Jul[MOVIMENTO],Tab_07.Jul[CONTA],$F336)</f>
        <v>1214.8800000000001</v>
      </c>
      <c r="O336" s="4">
        <f>SUMIFS(Tab_08.Ago[MOVIMENTO],Tab_08.Ago[CONTA],$F336)</f>
        <v>1175.6500000000001</v>
      </c>
      <c r="P336" s="4">
        <f>SUMIFS(Tab_09.Set[MOVIMENTO],Tab_09.Set[CONTA],$F336)</f>
        <v>1456.02</v>
      </c>
      <c r="Q336" s="4">
        <f>SUMIFS(Tab_10.Out[MOVIMENTO],Tab_10.Out[CONTA],$F336)</f>
        <v>1304.8</v>
      </c>
      <c r="R336" s="4">
        <f>SUMIFS(Tab_11.Nov[MOVIMENTO],Tab_11.Nov[CONTA],$F336)</f>
        <v>1401.17</v>
      </c>
      <c r="S336" s="4">
        <f>SUMIFS(Tab_12.Dez[MOVIMENTO],Tab_12.Dez[CONTA],$F336)</f>
        <v>1348.07</v>
      </c>
    </row>
    <row r="337" spans="2:19" x14ac:dyDescent="0.3">
      <c r="B337" s="3" t="s">
        <v>105</v>
      </c>
      <c r="C337" s="2" t="str">
        <f t="shared" si="63"/>
        <v>C</v>
      </c>
      <c r="D337" s="2" t="str">
        <f t="shared" si="64"/>
        <v>A</v>
      </c>
      <c r="E337" s="2">
        <f t="shared" si="65"/>
        <v>5</v>
      </c>
      <c r="F337" s="3" t="s">
        <v>541</v>
      </c>
      <c r="G337" s="3" t="s">
        <v>542</v>
      </c>
      <c r="H337" s="4">
        <f>SUMIFS(Tab_01.Jan[MOVIMENTO],Tab_01.Jan[CONTA],$F337)</f>
        <v>362.82</v>
      </c>
      <c r="I337" s="4">
        <f>SUMIFS(Tab_02.Fev[MOVIMENTO],Tab_02.Fev[CONTA],$F337)</f>
        <v>0</v>
      </c>
      <c r="J337" s="4">
        <f>SUMIFS(Tab_03.Mar[MOVIMENTO],Tab_03.Mar[CONTA],$F337)</f>
        <v>178.05</v>
      </c>
      <c r="K337" s="4">
        <f>SUMIFS(Tab_04.Abr[MOVIMENTO],Tab_04.Abr[CONTA],$F337)</f>
        <v>160</v>
      </c>
      <c r="L337" s="4">
        <f>SUMIFS(Tab_05.Mai[MOVIMENTO],Tab_05.Mai[CONTA],$F337)</f>
        <v>299.89999999999998</v>
      </c>
      <c r="M337" s="4">
        <f>SUMIFS(Tab_06.Jun[MOVIMENTO],Tab_06.Jun[CONTA],$F337)</f>
        <v>428.1</v>
      </c>
      <c r="N337" s="4">
        <f>SUMIFS(Tab_07.Jul[MOVIMENTO],Tab_07.Jul[CONTA],$F337)</f>
        <v>257.39999999999998</v>
      </c>
      <c r="O337" s="4">
        <f>SUMIFS(Tab_08.Ago[MOVIMENTO],Tab_08.Ago[CONTA],$F337)</f>
        <v>602.69000000000005</v>
      </c>
      <c r="P337" s="4">
        <f>SUMIFS(Tab_09.Set[MOVIMENTO],Tab_09.Set[CONTA],$F337)</f>
        <v>397.76</v>
      </c>
      <c r="Q337" s="4">
        <f>SUMIFS(Tab_10.Out[MOVIMENTO],Tab_10.Out[CONTA],$F337)</f>
        <v>1204.8800000000001</v>
      </c>
      <c r="R337" s="4">
        <f>SUMIFS(Tab_11.Nov[MOVIMENTO],Tab_11.Nov[CONTA],$F337)</f>
        <v>334.5</v>
      </c>
      <c r="S337" s="4">
        <f>SUMIFS(Tab_12.Dez[MOVIMENTO],Tab_12.Dez[CONTA],$F337)</f>
        <v>1001.55</v>
      </c>
    </row>
    <row r="338" spans="2:19" x14ac:dyDescent="0.3">
      <c r="B338" s="3"/>
      <c r="C338" s="2" t="str">
        <f t="shared" si="63"/>
        <v>C</v>
      </c>
      <c r="D338" s="2" t="str">
        <f t="shared" si="64"/>
        <v>S</v>
      </c>
      <c r="E338" s="2">
        <f t="shared" si="65"/>
        <v>5</v>
      </c>
      <c r="F338" s="3" t="s">
        <v>628</v>
      </c>
      <c r="G338" s="3" t="s">
        <v>726</v>
      </c>
      <c r="H338" s="4">
        <f>SUMIFS(Tab_01.Jan[MOVIMENTO],Tab_01.Jan[CONTA],$F338)</f>
        <v>0</v>
      </c>
      <c r="I338" s="4">
        <f>SUMIFS(Tab_02.Fev[MOVIMENTO],Tab_02.Fev[CONTA],$F338)</f>
        <v>0</v>
      </c>
      <c r="J338" s="4">
        <f>SUMIFS(Tab_03.Mar[MOVIMENTO],Tab_03.Mar[CONTA],$F338)</f>
        <v>0</v>
      </c>
      <c r="K338" s="4">
        <f>SUMIFS(Tab_04.Abr[MOVIMENTO],Tab_04.Abr[CONTA],$F338)</f>
        <v>0</v>
      </c>
      <c r="L338" s="4">
        <f>SUMIFS(Tab_05.Mai[MOVIMENTO],Tab_05.Mai[CONTA],$F338)</f>
        <v>0</v>
      </c>
      <c r="M338" s="4">
        <f>SUMIFS(Tab_06.Jun[MOVIMENTO],Tab_06.Jun[CONTA],$F338)</f>
        <v>0</v>
      </c>
      <c r="N338" s="4">
        <f>SUMIFS(Tab_07.Jul[MOVIMENTO],Tab_07.Jul[CONTA],$F338)</f>
        <v>0</v>
      </c>
      <c r="O338" s="4">
        <f>SUMIFS(Tab_08.Ago[MOVIMENTO],Tab_08.Ago[CONTA],$F338)</f>
        <v>0</v>
      </c>
      <c r="P338" s="4">
        <f>SUMIFS(Tab_09.Set[MOVIMENTO],Tab_09.Set[CONTA],$F338)</f>
        <v>49901.5</v>
      </c>
      <c r="Q338" s="4">
        <f>SUMIFS(Tab_10.Out[MOVIMENTO],Tab_10.Out[CONTA],$F338)</f>
        <v>0</v>
      </c>
      <c r="R338" s="4">
        <f>SUMIFS(Tab_11.Nov[MOVIMENTO],Tab_11.Nov[CONTA],$F338)</f>
        <v>0</v>
      </c>
      <c r="S338" s="4">
        <f>SUMIFS(Tab_12.Dez[MOVIMENTO],Tab_12.Dez[CONTA],$F338)</f>
        <v>0</v>
      </c>
    </row>
    <row r="339" spans="2:19" x14ac:dyDescent="0.3">
      <c r="B339" s="3"/>
      <c r="C339" s="2" t="str">
        <f t="shared" si="63"/>
        <v>C</v>
      </c>
      <c r="D339" s="2" t="str">
        <f t="shared" si="64"/>
        <v>S</v>
      </c>
      <c r="E339" s="2">
        <f t="shared" si="65"/>
        <v>5</v>
      </c>
      <c r="F339" s="3" t="s">
        <v>629</v>
      </c>
      <c r="G339" s="3" t="s">
        <v>727</v>
      </c>
      <c r="H339" s="4">
        <f>SUMIFS(Tab_01.Jan[MOVIMENTO],Tab_01.Jan[CONTA],$F339)</f>
        <v>0</v>
      </c>
      <c r="I339" s="4">
        <f>SUMIFS(Tab_02.Fev[MOVIMENTO],Tab_02.Fev[CONTA],$F339)</f>
        <v>0</v>
      </c>
      <c r="J339" s="4">
        <f>SUMIFS(Tab_03.Mar[MOVIMENTO],Tab_03.Mar[CONTA],$F339)</f>
        <v>0</v>
      </c>
      <c r="K339" s="4">
        <f>SUMIFS(Tab_04.Abr[MOVIMENTO],Tab_04.Abr[CONTA],$F339)</f>
        <v>0</v>
      </c>
      <c r="L339" s="4">
        <f>SUMIFS(Tab_05.Mai[MOVIMENTO],Tab_05.Mai[CONTA],$F339)</f>
        <v>0</v>
      </c>
      <c r="M339" s="4">
        <f>SUMIFS(Tab_06.Jun[MOVIMENTO],Tab_06.Jun[CONTA],$F339)</f>
        <v>0</v>
      </c>
      <c r="N339" s="4">
        <f>SUMIFS(Tab_07.Jul[MOVIMENTO],Tab_07.Jul[CONTA],$F339)</f>
        <v>0</v>
      </c>
      <c r="O339" s="4">
        <f>SUMIFS(Tab_08.Ago[MOVIMENTO],Tab_08.Ago[CONTA],$F339)</f>
        <v>0</v>
      </c>
      <c r="P339" s="4">
        <f>SUMIFS(Tab_09.Set[MOVIMENTO],Tab_09.Set[CONTA],$F339)</f>
        <v>0</v>
      </c>
      <c r="Q339" s="4">
        <f>SUMIFS(Tab_10.Out[MOVIMENTO],Tab_10.Out[CONTA],$F339)</f>
        <v>0</v>
      </c>
      <c r="R339" s="4">
        <f>SUMIFS(Tab_11.Nov[MOVIMENTO],Tab_11.Nov[CONTA],$F339)</f>
        <v>0</v>
      </c>
      <c r="S339" s="4">
        <f>SUMIFS(Tab_12.Dez[MOVIMENTO],Tab_12.Dez[CONTA],$F339)</f>
        <v>0</v>
      </c>
    </row>
    <row r="340" spans="2:19" x14ac:dyDescent="0.3">
      <c r="B340" s="3" t="s">
        <v>66</v>
      </c>
      <c r="C340" s="2" t="str">
        <f t="shared" si="63"/>
        <v>C</v>
      </c>
      <c r="D340" s="2" t="str">
        <f t="shared" si="64"/>
        <v>A</v>
      </c>
      <c r="E340" s="2">
        <f t="shared" si="65"/>
        <v>5</v>
      </c>
      <c r="F340" s="3" t="s">
        <v>543</v>
      </c>
      <c r="G340" s="3" t="s">
        <v>544</v>
      </c>
      <c r="H340" s="4">
        <f>SUMIFS(Tab_01.Jan[MOVIMENTO],Tab_01.Jan[CONTA],$F340)</f>
        <v>0</v>
      </c>
      <c r="I340" s="4">
        <f>SUMIFS(Tab_02.Fev[MOVIMENTO],Tab_02.Fev[CONTA],$F340)</f>
        <v>0</v>
      </c>
      <c r="J340" s="4">
        <f>SUMIFS(Tab_03.Mar[MOVIMENTO],Tab_03.Mar[CONTA],$F340)</f>
        <v>0</v>
      </c>
      <c r="K340" s="4">
        <f>SUMIFS(Tab_04.Abr[MOVIMENTO],Tab_04.Abr[CONTA],$F340)</f>
        <v>0</v>
      </c>
      <c r="L340" s="4">
        <f>SUMIFS(Tab_05.Mai[MOVIMENTO],Tab_05.Mai[CONTA],$F340)</f>
        <v>0</v>
      </c>
      <c r="M340" s="4">
        <f>SUMIFS(Tab_06.Jun[MOVIMENTO],Tab_06.Jun[CONTA],$F340)</f>
        <v>0</v>
      </c>
      <c r="N340" s="4">
        <f>SUMIFS(Tab_07.Jul[MOVIMENTO],Tab_07.Jul[CONTA],$F340)</f>
        <v>0</v>
      </c>
      <c r="O340" s="4">
        <f>SUMIFS(Tab_08.Ago[MOVIMENTO],Tab_08.Ago[CONTA],$F340)</f>
        <v>0</v>
      </c>
      <c r="P340" s="4">
        <f>SUMIFS(Tab_09.Set[MOVIMENTO],Tab_09.Set[CONTA],$F340)</f>
        <v>0</v>
      </c>
      <c r="Q340" s="4">
        <f>SUMIFS(Tab_10.Out[MOVIMENTO],Tab_10.Out[CONTA],$F340)</f>
        <v>0</v>
      </c>
      <c r="R340" s="4">
        <f>SUMIFS(Tab_11.Nov[MOVIMENTO],Tab_11.Nov[CONTA],$F340)</f>
        <v>0</v>
      </c>
      <c r="S340" s="4">
        <f>SUMIFS(Tab_12.Dez[MOVIMENTO],Tab_12.Dez[CONTA],$F340)</f>
        <v>0</v>
      </c>
    </row>
    <row r="341" spans="2:19" x14ac:dyDescent="0.3">
      <c r="B341" s="3" t="s">
        <v>66</v>
      </c>
      <c r="C341" s="2" t="str">
        <f>IF($F341="","",IF(LEFT($F341,1)*1=1,"A",IF(LEFT($F341,1)*1=2,"P",IF(LEFT($F341,1)*1=3,"R",IF(LEFT($F341,1)*1=4,"C",IF(LEFT($F341,1)*1=5,"C",IF(LEFT($F341,1)*1=6,"C","")))))))</f>
        <v>C</v>
      </c>
      <c r="D341" s="2" t="str">
        <f>IF($F341="","",IF(LEN($F341)=13,"A","S"))</f>
        <v>S</v>
      </c>
      <c r="E341" s="2">
        <f>IF($F341="","",IF(LEN($F341)=1,1,IF(LEN($F341)=3,2,IF(LEN($F341)=5,3,IF(LEN($F341)=8,4,5)))))</f>
        <v>5</v>
      </c>
      <c r="F341" s="3" t="s">
        <v>1004</v>
      </c>
      <c r="G341" s="3" t="s">
        <v>1005</v>
      </c>
      <c r="H341" s="4">
        <f>SUMIFS(Tab_01.Jan[MOVIMENTO],Tab_01.Jan[CONTA],$F341)</f>
        <v>0</v>
      </c>
      <c r="I341" s="4">
        <f>SUMIFS(Tab_02.Fev[MOVIMENTO],Tab_02.Fev[CONTA],$F341)</f>
        <v>0</v>
      </c>
      <c r="J341" s="4">
        <f>SUMIFS(Tab_03.Mar[MOVIMENTO],Tab_03.Mar[CONTA],$F341)</f>
        <v>0</v>
      </c>
      <c r="K341" s="4">
        <f>SUMIFS(Tab_04.Abr[MOVIMENTO],Tab_04.Abr[CONTA],$F341)</f>
        <v>0</v>
      </c>
      <c r="L341" s="4">
        <f>SUMIFS(Tab_05.Mai[MOVIMENTO],Tab_05.Mai[CONTA],$F341)</f>
        <v>0</v>
      </c>
      <c r="M341" s="4">
        <f>SUMIFS(Tab_06.Jun[MOVIMENTO],Tab_06.Jun[CONTA],$F341)</f>
        <v>0</v>
      </c>
      <c r="N341" s="4">
        <f>SUMIFS(Tab_07.Jul[MOVIMENTO],Tab_07.Jul[CONTA],$F341)</f>
        <v>0</v>
      </c>
      <c r="O341" s="4">
        <f>SUMIFS(Tab_08.Ago[MOVIMENTO],Tab_08.Ago[CONTA],$F341)</f>
        <v>0</v>
      </c>
      <c r="P341" s="4">
        <f>SUMIFS(Tab_09.Set[MOVIMENTO],Tab_09.Set[CONTA],$F341)</f>
        <v>49901.5</v>
      </c>
      <c r="Q341" s="4">
        <f>SUMIFS(Tab_10.Out[MOVIMENTO],Tab_10.Out[CONTA],$F341)</f>
        <v>0</v>
      </c>
      <c r="R341" s="4">
        <f>SUMIFS(Tab_11.Nov[MOVIMENTO],Tab_11.Nov[CONTA],$F341)</f>
        <v>0</v>
      </c>
      <c r="S341" s="4">
        <f>SUMIFS(Tab_12.Dez[MOVIMENTO],Tab_12.Dez[CONTA],$F341)</f>
        <v>0</v>
      </c>
    </row>
    <row r="342" spans="2:19" x14ac:dyDescent="0.3">
      <c r="B342" s="3"/>
      <c r="C342" s="2" t="str">
        <f>IF($F342="","",IF(LEFT($F342,1)*1=1,"A",IF(LEFT($F342,1)*1=2,"P",IF(LEFT($F342,1)*1=3,"R",IF(LEFT($F342,1)*1=4,"C",IF(LEFT($F342,1)*1=5,"C",IF(LEFT($F342,1)*1=6,"C","")))))))</f>
        <v>C</v>
      </c>
      <c r="D342" s="2" t="str">
        <f>IF($F342="","",IF(LEN($F342)=13,"A","S"))</f>
        <v>A</v>
      </c>
      <c r="E342" s="2">
        <f>IF($F342="","",IF(LEN($F342)=1,1,IF(LEN($F342)=3,2,IF(LEN($F342)=5,3,IF(LEN($F342)=8,4,5)))))</f>
        <v>5</v>
      </c>
      <c r="F342" s="3" t="s">
        <v>1006</v>
      </c>
      <c r="G342" s="3" t="s">
        <v>1007</v>
      </c>
      <c r="H342" s="4">
        <f>SUMIFS(Tab_01.Jan[MOVIMENTO],Tab_01.Jan[CONTA],$F342)</f>
        <v>0</v>
      </c>
      <c r="I342" s="4">
        <f>SUMIFS(Tab_02.Fev[MOVIMENTO],Tab_02.Fev[CONTA],$F342)</f>
        <v>0</v>
      </c>
      <c r="J342" s="4">
        <f>SUMIFS(Tab_03.Mar[MOVIMENTO],Tab_03.Mar[CONTA],$F342)</f>
        <v>0</v>
      </c>
      <c r="K342" s="4">
        <f>SUMIFS(Tab_04.Abr[MOVIMENTO],Tab_04.Abr[CONTA],$F342)</f>
        <v>0</v>
      </c>
      <c r="L342" s="4">
        <f>SUMIFS(Tab_05.Mai[MOVIMENTO],Tab_05.Mai[CONTA],$F342)</f>
        <v>0</v>
      </c>
      <c r="M342" s="4">
        <f>SUMIFS(Tab_06.Jun[MOVIMENTO],Tab_06.Jun[CONTA],$F342)</f>
        <v>0</v>
      </c>
      <c r="N342" s="4">
        <f>SUMIFS(Tab_07.Jul[MOVIMENTO],Tab_07.Jul[CONTA],$F342)</f>
        <v>0</v>
      </c>
      <c r="O342" s="4">
        <f>SUMIFS(Tab_08.Ago[MOVIMENTO],Tab_08.Ago[CONTA],$F342)</f>
        <v>0</v>
      </c>
      <c r="P342" s="4">
        <f>SUMIFS(Tab_09.Set[MOVIMENTO],Tab_09.Set[CONTA],$F342)</f>
        <v>49901.5</v>
      </c>
      <c r="Q342" s="4">
        <f>SUMIFS(Tab_10.Out[MOVIMENTO],Tab_10.Out[CONTA],$F342)</f>
        <v>0</v>
      </c>
      <c r="R342" s="4">
        <f>SUMIFS(Tab_11.Nov[MOVIMENTO],Tab_11.Nov[CONTA],$F342)</f>
        <v>0</v>
      </c>
      <c r="S342" s="4">
        <f>SUMIFS(Tab_12.Dez[MOVIMENTO],Tab_12.Dez[CONTA],$F342)</f>
        <v>0</v>
      </c>
    </row>
    <row r="343" spans="2:19" x14ac:dyDescent="0.3">
      <c r="B343" s="3"/>
      <c r="C343" s="2" t="str">
        <f t="shared" si="63"/>
        <v>C</v>
      </c>
      <c r="D343" s="2" t="str">
        <f t="shared" si="64"/>
        <v>S</v>
      </c>
      <c r="E343" s="2">
        <f t="shared" si="65"/>
        <v>2</v>
      </c>
      <c r="F343" s="3" t="s">
        <v>630</v>
      </c>
      <c r="G343" s="3" t="s">
        <v>728</v>
      </c>
      <c r="H343" s="4">
        <f>SUMIFS(Tab_01.Jan[MOVIMENTO],Tab_01.Jan[CONTA],$F343)</f>
        <v>0</v>
      </c>
      <c r="I343" s="4">
        <f>SUMIFS(Tab_02.Fev[MOVIMENTO],Tab_02.Fev[CONTA],$F343)</f>
        <v>270</v>
      </c>
      <c r="J343" s="4">
        <f>SUMIFS(Tab_03.Mar[MOVIMENTO],Tab_03.Mar[CONTA],$F343)</f>
        <v>0</v>
      </c>
      <c r="K343" s="4">
        <f>SUMIFS(Tab_04.Abr[MOVIMENTO],Tab_04.Abr[CONTA],$F343)</f>
        <v>0</v>
      </c>
      <c r="L343" s="4">
        <f>SUMIFS(Tab_05.Mai[MOVIMENTO],Tab_05.Mai[CONTA],$F343)</f>
        <v>0</v>
      </c>
      <c r="M343" s="4">
        <f>SUMIFS(Tab_06.Jun[MOVIMENTO],Tab_06.Jun[CONTA],$F343)</f>
        <v>135</v>
      </c>
      <c r="N343" s="4">
        <f>SUMIFS(Tab_07.Jul[MOVIMENTO],Tab_07.Jul[CONTA],$F343)</f>
        <v>0</v>
      </c>
      <c r="O343" s="4">
        <f>SUMIFS(Tab_08.Ago[MOVIMENTO],Tab_08.Ago[CONTA],$F343)</f>
        <v>0</v>
      </c>
      <c r="P343" s="4">
        <f>SUMIFS(Tab_09.Set[MOVIMENTO],Tab_09.Set[CONTA],$F343)</f>
        <v>0</v>
      </c>
      <c r="Q343" s="4">
        <f>SUMIFS(Tab_10.Out[MOVIMENTO],Tab_10.Out[CONTA],$F343)</f>
        <v>0</v>
      </c>
      <c r="R343" s="4">
        <f>SUMIFS(Tab_11.Nov[MOVIMENTO],Tab_11.Nov[CONTA],$F343)</f>
        <v>0</v>
      </c>
      <c r="S343" s="4">
        <f>SUMIFS(Tab_12.Dez[MOVIMENTO],Tab_12.Dez[CONTA],$F343)</f>
        <v>0</v>
      </c>
    </row>
    <row r="344" spans="2:19" x14ac:dyDescent="0.3">
      <c r="B344" s="3"/>
      <c r="C344" s="2" t="str">
        <f t="shared" si="63"/>
        <v>C</v>
      </c>
      <c r="D344" s="2" t="str">
        <f t="shared" si="64"/>
        <v>S</v>
      </c>
      <c r="E344" s="2">
        <f t="shared" si="65"/>
        <v>5</v>
      </c>
      <c r="F344" s="3" t="s">
        <v>631</v>
      </c>
      <c r="G344" s="3" t="s">
        <v>728</v>
      </c>
      <c r="H344" s="4">
        <f>SUMIFS(Tab_01.Jan[MOVIMENTO],Tab_01.Jan[CONTA],$F344)</f>
        <v>0</v>
      </c>
      <c r="I344" s="4">
        <f>SUMIFS(Tab_02.Fev[MOVIMENTO],Tab_02.Fev[CONTA],$F344)</f>
        <v>270</v>
      </c>
      <c r="J344" s="4">
        <f>SUMIFS(Tab_03.Mar[MOVIMENTO],Tab_03.Mar[CONTA],$F344)</f>
        <v>0</v>
      </c>
      <c r="K344" s="4">
        <f>SUMIFS(Tab_04.Abr[MOVIMENTO],Tab_04.Abr[CONTA],$F344)</f>
        <v>0</v>
      </c>
      <c r="L344" s="4">
        <f>SUMIFS(Tab_05.Mai[MOVIMENTO],Tab_05.Mai[CONTA],$F344)</f>
        <v>0</v>
      </c>
      <c r="M344" s="4">
        <f>SUMIFS(Tab_06.Jun[MOVIMENTO],Tab_06.Jun[CONTA],$F344)</f>
        <v>135</v>
      </c>
      <c r="N344" s="4">
        <f>SUMIFS(Tab_07.Jul[MOVIMENTO],Tab_07.Jul[CONTA],$F344)</f>
        <v>0</v>
      </c>
      <c r="O344" s="4">
        <f>SUMIFS(Tab_08.Ago[MOVIMENTO],Tab_08.Ago[CONTA],$F344)</f>
        <v>0</v>
      </c>
      <c r="P344" s="4">
        <f>SUMIFS(Tab_09.Set[MOVIMENTO],Tab_09.Set[CONTA],$F344)</f>
        <v>0</v>
      </c>
      <c r="Q344" s="4">
        <f>SUMIFS(Tab_10.Out[MOVIMENTO],Tab_10.Out[CONTA],$F344)</f>
        <v>0</v>
      </c>
      <c r="R344" s="4">
        <f>SUMIFS(Tab_11.Nov[MOVIMENTO],Tab_11.Nov[CONTA],$F344)</f>
        <v>0</v>
      </c>
      <c r="S344" s="4">
        <f>SUMIFS(Tab_12.Dez[MOVIMENTO],Tab_12.Dez[CONTA],$F344)</f>
        <v>0</v>
      </c>
    </row>
    <row r="345" spans="2:19" x14ac:dyDescent="0.3">
      <c r="B345" s="3"/>
      <c r="C345" s="2" t="str">
        <f t="shared" si="63"/>
        <v>C</v>
      </c>
      <c r="D345" s="2" t="str">
        <f t="shared" si="64"/>
        <v>S</v>
      </c>
      <c r="E345" s="2">
        <f t="shared" si="65"/>
        <v>5</v>
      </c>
      <c r="F345" s="3" t="s">
        <v>632</v>
      </c>
      <c r="G345" s="3" t="s">
        <v>729</v>
      </c>
      <c r="H345" s="4">
        <f>SUMIFS(Tab_01.Jan[MOVIMENTO],Tab_01.Jan[CONTA],$F345)</f>
        <v>0</v>
      </c>
      <c r="I345" s="4">
        <f>SUMIFS(Tab_02.Fev[MOVIMENTO],Tab_02.Fev[CONTA],$F345)</f>
        <v>0</v>
      </c>
      <c r="J345" s="4">
        <f>SUMIFS(Tab_03.Mar[MOVIMENTO],Tab_03.Mar[CONTA],$F345)</f>
        <v>0</v>
      </c>
      <c r="K345" s="4">
        <f>SUMIFS(Tab_04.Abr[MOVIMENTO],Tab_04.Abr[CONTA],$F345)</f>
        <v>0</v>
      </c>
      <c r="L345" s="4">
        <f>SUMIFS(Tab_05.Mai[MOVIMENTO],Tab_05.Mai[CONTA],$F345)</f>
        <v>0</v>
      </c>
      <c r="M345" s="4">
        <f>SUMIFS(Tab_06.Jun[MOVIMENTO],Tab_06.Jun[CONTA],$F345)</f>
        <v>0</v>
      </c>
      <c r="N345" s="4">
        <f>SUMIFS(Tab_07.Jul[MOVIMENTO],Tab_07.Jul[CONTA],$F345)</f>
        <v>0</v>
      </c>
      <c r="O345" s="4">
        <f>SUMIFS(Tab_08.Ago[MOVIMENTO],Tab_08.Ago[CONTA],$F345)</f>
        <v>0</v>
      </c>
      <c r="P345" s="4">
        <f>SUMIFS(Tab_09.Set[MOVIMENTO],Tab_09.Set[CONTA],$F345)</f>
        <v>0</v>
      </c>
      <c r="Q345" s="4">
        <f>SUMIFS(Tab_10.Out[MOVIMENTO],Tab_10.Out[CONTA],$F345)</f>
        <v>0</v>
      </c>
      <c r="R345" s="4">
        <f>SUMIFS(Tab_11.Nov[MOVIMENTO],Tab_11.Nov[CONTA],$F345)</f>
        <v>0</v>
      </c>
      <c r="S345" s="4">
        <f>SUMIFS(Tab_12.Dez[MOVIMENTO],Tab_12.Dez[CONTA],$F345)</f>
        <v>0</v>
      </c>
    </row>
    <row r="346" spans="2:19" x14ac:dyDescent="0.3">
      <c r="B346" s="3" t="s">
        <v>67</v>
      </c>
      <c r="C346" s="2" t="str">
        <f t="shared" si="63"/>
        <v>C</v>
      </c>
      <c r="D346" s="2" t="str">
        <f t="shared" si="64"/>
        <v>A</v>
      </c>
      <c r="E346" s="2">
        <f t="shared" si="65"/>
        <v>5</v>
      </c>
      <c r="F346" s="3" t="s">
        <v>545</v>
      </c>
      <c r="G346" s="3" t="s">
        <v>546</v>
      </c>
      <c r="H346" s="4">
        <f>SUMIFS(Tab_01.Jan[MOVIMENTO],Tab_01.Jan[CONTA],$F346)</f>
        <v>0</v>
      </c>
      <c r="I346" s="4">
        <f>SUMIFS(Tab_02.Fev[MOVIMENTO],Tab_02.Fev[CONTA],$F346)</f>
        <v>0</v>
      </c>
      <c r="J346" s="4">
        <f>SUMIFS(Tab_03.Mar[MOVIMENTO],Tab_03.Mar[CONTA],$F346)</f>
        <v>0</v>
      </c>
      <c r="K346" s="4">
        <f>SUMIFS(Tab_04.Abr[MOVIMENTO],Tab_04.Abr[CONTA],$F346)</f>
        <v>0</v>
      </c>
      <c r="L346" s="4">
        <f>SUMIFS(Tab_05.Mai[MOVIMENTO],Tab_05.Mai[CONTA],$F346)</f>
        <v>0</v>
      </c>
      <c r="M346" s="4">
        <f>SUMIFS(Tab_06.Jun[MOVIMENTO],Tab_06.Jun[CONTA],$F346)</f>
        <v>0</v>
      </c>
      <c r="N346" s="4">
        <f>SUMIFS(Tab_07.Jul[MOVIMENTO],Tab_07.Jul[CONTA],$F346)</f>
        <v>0</v>
      </c>
      <c r="O346" s="4">
        <f>SUMIFS(Tab_08.Ago[MOVIMENTO],Tab_08.Ago[CONTA],$F346)</f>
        <v>0</v>
      </c>
      <c r="P346" s="4">
        <f>SUMIFS(Tab_09.Set[MOVIMENTO],Tab_09.Set[CONTA],$F346)</f>
        <v>0</v>
      </c>
      <c r="Q346" s="4">
        <f>SUMIFS(Tab_10.Out[MOVIMENTO],Tab_10.Out[CONTA],$F346)</f>
        <v>0</v>
      </c>
      <c r="R346" s="4">
        <f>SUMIFS(Tab_11.Nov[MOVIMENTO],Tab_11.Nov[CONTA],$F346)</f>
        <v>0</v>
      </c>
      <c r="S346" s="4">
        <f>SUMIFS(Tab_12.Dez[MOVIMENTO],Tab_12.Dez[CONTA],$F346)</f>
        <v>0</v>
      </c>
    </row>
    <row r="347" spans="2:19" x14ac:dyDescent="0.3">
      <c r="B347" s="3"/>
      <c r="C347" s="2" t="str">
        <f t="shared" si="63"/>
        <v>C</v>
      </c>
      <c r="D347" s="2" t="str">
        <f t="shared" si="64"/>
        <v>S</v>
      </c>
      <c r="E347" s="2">
        <f t="shared" si="65"/>
        <v>5</v>
      </c>
      <c r="F347" s="3" t="s">
        <v>633</v>
      </c>
      <c r="G347" s="3" t="s">
        <v>548</v>
      </c>
      <c r="H347" s="4">
        <f>SUMIFS(Tab_01.Jan[MOVIMENTO],Tab_01.Jan[CONTA],$F347)</f>
        <v>0</v>
      </c>
      <c r="I347" s="4">
        <f>SUMIFS(Tab_02.Fev[MOVIMENTO],Tab_02.Fev[CONTA],$F347)</f>
        <v>270</v>
      </c>
      <c r="J347" s="4">
        <f>SUMIFS(Tab_03.Mar[MOVIMENTO],Tab_03.Mar[CONTA],$F347)</f>
        <v>0</v>
      </c>
      <c r="K347" s="4">
        <f>SUMIFS(Tab_04.Abr[MOVIMENTO],Tab_04.Abr[CONTA],$F347)</f>
        <v>0</v>
      </c>
      <c r="L347" s="4">
        <f>SUMIFS(Tab_05.Mai[MOVIMENTO],Tab_05.Mai[CONTA],$F347)</f>
        <v>0</v>
      </c>
      <c r="M347" s="4">
        <f>SUMIFS(Tab_06.Jun[MOVIMENTO],Tab_06.Jun[CONTA],$F347)</f>
        <v>135</v>
      </c>
      <c r="N347" s="4">
        <f>SUMIFS(Tab_07.Jul[MOVIMENTO],Tab_07.Jul[CONTA],$F347)</f>
        <v>0</v>
      </c>
      <c r="O347" s="4">
        <f>SUMIFS(Tab_08.Ago[MOVIMENTO],Tab_08.Ago[CONTA],$F347)</f>
        <v>0</v>
      </c>
      <c r="P347" s="4">
        <f>SUMIFS(Tab_09.Set[MOVIMENTO],Tab_09.Set[CONTA],$F347)</f>
        <v>0</v>
      </c>
      <c r="Q347" s="4">
        <f>SUMIFS(Tab_10.Out[MOVIMENTO],Tab_10.Out[CONTA],$F347)</f>
        <v>0</v>
      </c>
      <c r="R347" s="4">
        <f>SUMIFS(Tab_11.Nov[MOVIMENTO],Tab_11.Nov[CONTA],$F347)</f>
        <v>0</v>
      </c>
      <c r="S347" s="4">
        <f>SUMIFS(Tab_12.Dez[MOVIMENTO],Tab_12.Dez[CONTA],$F347)</f>
        <v>0</v>
      </c>
    </row>
    <row r="348" spans="2:19" x14ac:dyDescent="0.3">
      <c r="B348" s="3" t="s">
        <v>66</v>
      </c>
      <c r="C348" s="2" t="str">
        <f t="shared" si="63"/>
        <v>C</v>
      </c>
      <c r="D348" s="2" t="str">
        <f t="shared" si="64"/>
        <v>A</v>
      </c>
      <c r="E348" s="2">
        <f t="shared" si="65"/>
        <v>5</v>
      </c>
      <c r="F348" s="3" t="s">
        <v>547</v>
      </c>
      <c r="G348" s="3" t="s">
        <v>548</v>
      </c>
      <c r="H348" s="4">
        <f>SUMIFS(Tab_01.Jan[MOVIMENTO],Tab_01.Jan[CONTA],$F348)</f>
        <v>0</v>
      </c>
      <c r="I348" s="4">
        <f>SUMIFS(Tab_02.Fev[MOVIMENTO],Tab_02.Fev[CONTA],$F348)</f>
        <v>270</v>
      </c>
      <c r="J348" s="4">
        <f>SUMIFS(Tab_03.Mar[MOVIMENTO],Tab_03.Mar[CONTA],$F348)</f>
        <v>0</v>
      </c>
      <c r="K348" s="4">
        <f>SUMIFS(Tab_04.Abr[MOVIMENTO],Tab_04.Abr[CONTA],$F348)</f>
        <v>0</v>
      </c>
      <c r="L348" s="4">
        <f>SUMIFS(Tab_05.Mai[MOVIMENTO],Tab_05.Mai[CONTA],$F348)</f>
        <v>0</v>
      </c>
      <c r="M348" s="4">
        <f>SUMIFS(Tab_06.Jun[MOVIMENTO],Tab_06.Jun[CONTA],$F348)</f>
        <v>135</v>
      </c>
      <c r="N348" s="4">
        <f>SUMIFS(Tab_07.Jul[MOVIMENTO],Tab_07.Jul[CONTA],$F348)</f>
        <v>0</v>
      </c>
      <c r="O348" s="4">
        <f>SUMIFS(Tab_08.Ago[MOVIMENTO],Tab_08.Ago[CONTA],$F348)</f>
        <v>0</v>
      </c>
      <c r="P348" s="4">
        <f>SUMIFS(Tab_09.Set[MOVIMENTO],Tab_09.Set[CONTA],$F348)</f>
        <v>0</v>
      </c>
      <c r="Q348" s="4">
        <f>SUMIFS(Tab_10.Out[MOVIMENTO],Tab_10.Out[CONTA],$F348)</f>
        <v>0</v>
      </c>
      <c r="R348" s="4">
        <f>SUMIFS(Tab_11.Nov[MOVIMENTO],Tab_11.Nov[CONTA],$F348)</f>
        <v>0</v>
      </c>
      <c r="S348" s="4">
        <f>SUMIFS(Tab_12.Dez[MOVIMENTO],Tab_12.Dez[CONTA],$F348)</f>
        <v>0</v>
      </c>
    </row>
    <row r="349" spans="2:19" x14ac:dyDescent="0.3">
      <c r="B349" s="3"/>
      <c r="C349" s="2" t="str">
        <f t="shared" si="63"/>
        <v>C</v>
      </c>
      <c r="D349" s="2" t="str">
        <f t="shared" si="64"/>
        <v>S</v>
      </c>
      <c r="E349" s="2">
        <f t="shared" si="65"/>
        <v>2</v>
      </c>
      <c r="F349" s="3" t="s">
        <v>634</v>
      </c>
      <c r="G349" s="3" t="s">
        <v>730</v>
      </c>
      <c r="H349" s="4">
        <f>SUMIFS(Tab_01.Jan[MOVIMENTO],Tab_01.Jan[CONTA],$F349)</f>
        <v>-189</v>
      </c>
      <c r="I349" s="4">
        <f>SUMIFS(Tab_02.Fev[MOVIMENTO],Tab_02.Fev[CONTA],$F349)</f>
        <v>0</v>
      </c>
      <c r="J349" s="4">
        <f>SUMIFS(Tab_03.Mar[MOVIMENTO],Tab_03.Mar[CONTA],$F349)</f>
        <v>0</v>
      </c>
      <c r="K349" s="4">
        <f>SUMIFS(Tab_04.Abr[MOVIMENTO],Tab_04.Abr[CONTA],$F349)</f>
        <v>0</v>
      </c>
      <c r="L349" s="4">
        <f>SUMIFS(Tab_05.Mai[MOVIMENTO],Tab_05.Mai[CONTA],$F349)</f>
        <v>0</v>
      </c>
      <c r="M349" s="4">
        <f>SUMIFS(Tab_06.Jun[MOVIMENTO],Tab_06.Jun[CONTA],$F349)</f>
        <v>0</v>
      </c>
      <c r="N349" s="4">
        <f>SUMIFS(Tab_07.Jul[MOVIMENTO],Tab_07.Jul[CONTA],$F349)</f>
        <v>0</v>
      </c>
      <c r="O349" s="4">
        <f>SUMIFS(Tab_08.Ago[MOVIMENTO],Tab_08.Ago[CONTA],$F349)</f>
        <v>0</v>
      </c>
      <c r="P349" s="4">
        <f>SUMIFS(Tab_09.Set[MOVIMENTO],Tab_09.Set[CONTA],$F349)</f>
        <v>0</v>
      </c>
      <c r="Q349" s="4">
        <f>SUMIFS(Tab_10.Out[MOVIMENTO],Tab_10.Out[CONTA],$F349)</f>
        <v>0</v>
      </c>
      <c r="R349" s="4">
        <f>SUMIFS(Tab_11.Nov[MOVIMENTO],Tab_11.Nov[CONTA],$F349)</f>
        <v>0</v>
      </c>
      <c r="S349" s="4">
        <f>SUMIFS(Tab_12.Dez[MOVIMENTO],Tab_12.Dez[CONTA],$F349)</f>
        <v>0</v>
      </c>
    </row>
    <row r="350" spans="2:19" x14ac:dyDescent="0.3">
      <c r="B350" s="3"/>
      <c r="C350" s="2" t="str">
        <f t="shared" si="63"/>
        <v>C</v>
      </c>
      <c r="D350" s="2" t="str">
        <f t="shared" si="64"/>
        <v>S</v>
      </c>
      <c r="E350" s="2">
        <f t="shared" si="65"/>
        <v>5</v>
      </c>
      <c r="F350" s="3" t="s">
        <v>635</v>
      </c>
      <c r="G350" s="3" t="s">
        <v>731</v>
      </c>
      <c r="H350" s="4">
        <f>SUMIFS(Tab_01.Jan[MOVIMENTO],Tab_01.Jan[CONTA],$F350)</f>
        <v>0</v>
      </c>
      <c r="I350" s="4">
        <f>SUMIFS(Tab_02.Fev[MOVIMENTO],Tab_02.Fev[CONTA],$F350)</f>
        <v>0</v>
      </c>
      <c r="J350" s="4">
        <f>SUMIFS(Tab_03.Mar[MOVIMENTO],Tab_03.Mar[CONTA],$F350)</f>
        <v>0</v>
      </c>
      <c r="K350" s="4">
        <f>SUMIFS(Tab_04.Abr[MOVIMENTO],Tab_04.Abr[CONTA],$F350)</f>
        <v>0</v>
      </c>
      <c r="L350" s="4">
        <f>SUMIFS(Tab_05.Mai[MOVIMENTO],Tab_05.Mai[CONTA],$F350)</f>
        <v>0</v>
      </c>
      <c r="M350" s="4">
        <f>SUMIFS(Tab_06.Jun[MOVIMENTO],Tab_06.Jun[CONTA],$F350)</f>
        <v>0</v>
      </c>
      <c r="N350" s="4">
        <f>SUMIFS(Tab_07.Jul[MOVIMENTO],Tab_07.Jul[CONTA],$F350)</f>
        <v>0</v>
      </c>
      <c r="O350" s="4">
        <f>SUMIFS(Tab_08.Ago[MOVIMENTO],Tab_08.Ago[CONTA],$F350)</f>
        <v>0</v>
      </c>
      <c r="P350" s="4">
        <f>SUMIFS(Tab_09.Set[MOVIMENTO],Tab_09.Set[CONTA],$F350)</f>
        <v>0</v>
      </c>
      <c r="Q350" s="4">
        <f>SUMIFS(Tab_10.Out[MOVIMENTO],Tab_10.Out[CONTA],$F350)</f>
        <v>0</v>
      </c>
      <c r="R350" s="4">
        <f>SUMIFS(Tab_11.Nov[MOVIMENTO],Tab_11.Nov[CONTA],$F350)</f>
        <v>0</v>
      </c>
      <c r="S350" s="4">
        <f>SUMIFS(Tab_12.Dez[MOVIMENTO],Tab_12.Dez[CONTA],$F350)</f>
        <v>0</v>
      </c>
    </row>
    <row r="351" spans="2:19" x14ac:dyDescent="0.3">
      <c r="B351" s="3"/>
      <c r="C351" s="2" t="str">
        <f t="shared" si="63"/>
        <v>C</v>
      </c>
      <c r="D351" s="2" t="str">
        <f t="shared" si="64"/>
        <v>S</v>
      </c>
      <c r="E351" s="2">
        <f t="shared" si="65"/>
        <v>5</v>
      </c>
      <c r="F351" s="3" t="s">
        <v>636</v>
      </c>
      <c r="G351" s="3" t="s">
        <v>732</v>
      </c>
      <c r="H351" s="4">
        <f>SUMIFS(Tab_01.Jan[MOVIMENTO],Tab_01.Jan[CONTA],$F351)</f>
        <v>0</v>
      </c>
      <c r="I351" s="4">
        <f>SUMIFS(Tab_02.Fev[MOVIMENTO],Tab_02.Fev[CONTA],$F351)</f>
        <v>0</v>
      </c>
      <c r="J351" s="4">
        <f>SUMIFS(Tab_03.Mar[MOVIMENTO],Tab_03.Mar[CONTA],$F351)</f>
        <v>0</v>
      </c>
      <c r="K351" s="4">
        <f>SUMIFS(Tab_04.Abr[MOVIMENTO],Tab_04.Abr[CONTA],$F351)</f>
        <v>0</v>
      </c>
      <c r="L351" s="4">
        <f>SUMIFS(Tab_05.Mai[MOVIMENTO],Tab_05.Mai[CONTA],$F351)</f>
        <v>0</v>
      </c>
      <c r="M351" s="4">
        <f>SUMIFS(Tab_06.Jun[MOVIMENTO],Tab_06.Jun[CONTA],$F351)</f>
        <v>0</v>
      </c>
      <c r="N351" s="4">
        <f>SUMIFS(Tab_07.Jul[MOVIMENTO],Tab_07.Jul[CONTA],$F351)</f>
        <v>0</v>
      </c>
      <c r="O351" s="4">
        <f>SUMIFS(Tab_08.Ago[MOVIMENTO],Tab_08.Ago[CONTA],$F351)</f>
        <v>0</v>
      </c>
      <c r="P351" s="4">
        <f>SUMIFS(Tab_09.Set[MOVIMENTO],Tab_09.Set[CONTA],$F351)</f>
        <v>0</v>
      </c>
      <c r="Q351" s="4">
        <f>SUMIFS(Tab_10.Out[MOVIMENTO],Tab_10.Out[CONTA],$F351)</f>
        <v>0</v>
      </c>
      <c r="R351" s="4">
        <f>SUMIFS(Tab_11.Nov[MOVIMENTO],Tab_11.Nov[CONTA],$F351)</f>
        <v>0</v>
      </c>
      <c r="S351" s="4">
        <f>SUMIFS(Tab_12.Dez[MOVIMENTO],Tab_12.Dez[CONTA],$F351)</f>
        <v>0</v>
      </c>
    </row>
    <row r="352" spans="2:19" x14ac:dyDescent="0.3">
      <c r="B352" s="3" t="s">
        <v>66</v>
      </c>
      <c r="C352" s="2" t="str">
        <f t="shared" si="63"/>
        <v>C</v>
      </c>
      <c r="D352" s="2" t="str">
        <f t="shared" si="64"/>
        <v>A</v>
      </c>
      <c r="E352" s="2">
        <f t="shared" si="65"/>
        <v>5</v>
      </c>
      <c r="F352" s="3" t="s">
        <v>549</v>
      </c>
      <c r="G352" s="3" t="s">
        <v>550</v>
      </c>
      <c r="H352" s="4">
        <f>SUMIFS(Tab_01.Jan[MOVIMENTO],Tab_01.Jan[CONTA],$F352)</f>
        <v>0</v>
      </c>
      <c r="I352" s="4">
        <f>SUMIFS(Tab_02.Fev[MOVIMENTO],Tab_02.Fev[CONTA],$F352)</f>
        <v>0</v>
      </c>
      <c r="J352" s="4">
        <f>SUMIFS(Tab_03.Mar[MOVIMENTO],Tab_03.Mar[CONTA],$F352)</f>
        <v>0</v>
      </c>
      <c r="K352" s="4">
        <f>SUMIFS(Tab_04.Abr[MOVIMENTO],Tab_04.Abr[CONTA],$F352)</f>
        <v>0</v>
      </c>
      <c r="L352" s="4">
        <f>SUMIFS(Tab_05.Mai[MOVIMENTO],Tab_05.Mai[CONTA],$F352)</f>
        <v>0</v>
      </c>
      <c r="M352" s="4">
        <f>SUMIFS(Tab_06.Jun[MOVIMENTO],Tab_06.Jun[CONTA],$F352)</f>
        <v>0</v>
      </c>
      <c r="N352" s="4">
        <f>SUMIFS(Tab_07.Jul[MOVIMENTO],Tab_07.Jul[CONTA],$F352)</f>
        <v>0</v>
      </c>
      <c r="O352" s="4">
        <f>SUMIFS(Tab_08.Ago[MOVIMENTO],Tab_08.Ago[CONTA],$F352)</f>
        <v>0</v>
      </c>
      <c r="P352" s="4">
        <f>SUMIFS(Tab_09.Set[MOVIMENTO],Tab_09.Set[CONTA],$F352)</f>
        <v>0</v>
      </c>
      <c r="Q352" s="4">
        <f>SUMIFS(Tab_10.Out[MOVIMENTO],Tab_10.Out[CONTA],$F352)</f>
        <v>0</v>
      </c>
      <c r="R352" s="4">
        <f>SUMIFS(Tab_11.Nov[MOVIMENTO],Tab_11.Nov[CONTA],$F352)</f>
        <v>0</v>
      </c>
      <c r="S352" s="4">
        <f>SUMIFS(Tab_12.Dez[MOVIMENTO],Tab_12.Dez[CONTA],$F352)</f>
        <v>0</v>
      </c>
    </row>
    <row r="353" spans="2:19" x14ac:dyDescent="0.3">
      <c r="B353" s="3"/>
      <c r="C353" s="2" t="str">
        <f t="shared" ref="C353:C357" si="66">IF($F353="","",IF(LEFT($F353,1)*1=1,"A",IF(LEFT($F353,1)*1=2,"P",IF(LEFT($F353,1)*1=3,"R",IF(LEFT($F353,1)*1=4,"C",IF(LEFT($F353,1)*1=5,"C",IF(LEFT($F353,1)*1=6,"C","")))))))</f>
        <v>C</v>
      </c>
      <c r="D353" s="2" t="str">
        <f t="shared" ref="D353:D357" si="67">IF($F353="","",IF(LEN($F353)=13,"A","S"))</f>
        <v>S</v>
      </c>
      <c r="E353" s="2">
        <f t="shared" ref="E353:E357" si="68">IF($F353="","",IF(LEN($F353)=1,1,IF(LEN($F353)=3,2,IF(LEN($F353)=5,3,IF(LEN($F353)=8,4,5)))))</f>
        <v>5</v>
      </c>
      <c r="F353" s="3" t="s">
        <v>822</v>
      </c>
      <c r="G353" s="3" t="s">
        <v>823</v>
      </c>
      <c r="H353" s="4">
        <f>SUMIFS(Tab_01.Jan[MOVIMENTO],Tab_01.Jan[CONTA],$F353)</f>
        <v>0</v>
      </c>
      <c r="I353" s="4">
        <f>SUMIFS(Tab_02.Fev[MOVIMENTO],Tab_02.Fev[CONTA],$F353)</f>
        <v>0</v>
      </c>
      <c r="J353" s="4">
        <f>SUMIFS(Tab_03.Mar[MOVIMENTO],Tab_03.Mar[CONTA],$F353)</f>
        <v>0</v>
      </c>
      <c r="K353" s="4">
        <f>SUMIFS(Tab_04.Abr[MOVIMENTO],Tab_04.Abr[CONTA],$F353)</f>
        <v>0</v>
      </c>
      <c r="L353" s="4">
        <f>SUMIFS(Tab_05.Mai[MOVIMENTO],Tab_05.Mai[CONTA],$F353)</f>
        <v>0</v>
      </c>
      <c r="M353" s="4">
        <f>SUMIFS(Tab_06.Jun[MOVIMENTO],Tab_06.Jun[CONTA],$F353)</f>
        <v>0</v>
      </c>
      <c r="N353" s="4">
        <f>SUMIFS(Tab_07.Jul[MOVIMENTO],Tab_07.Jul[CONTA],$F353)</f>
        <v>0</v>
      </c>
      <c r="O353" s="4">
        <f>SUMIFS(Tab_08.Ago[MOVIMENTO],Tab_08.Ago[CONTA],$F353)</f>
        <v>0</v>
      </c>
      <c r="P353" s="4">
        <f>SUMIFS(Tab_09.Set[MOVIMENTO],Tab_09.Set[CONTA],$F353)</f>
        <v>0</v>
      </c>
      <c r="Q353" s="4">
        <f>SUMIFS(Tab_10.Out[MOVIMENTO],Tab_10.Out[CONTA],$F353)</f>
        <v>0</v>
      </c>
      <c r="R353" s="4">
        <f>SUMIFS(Tab_11.Nov[MOVIMENTO],Tab_11.Nov[CONTA],$F353)</f>
        <v>0</v>
      </c>
      <c r="S353" s="4">
        <f>SUMIFS(Tab_12.Dez[MOVIMENTO],Tab_12.Dez[CONTA],$F353)</f>
        <v>0</v>
      </c>
    </row>
    <row r="354" spans="2:19" x14ac:dyDescent="0.3">
      <c r="B354" s="3" t="s">
        <v>66</v>
      </c>
      <c r="C354" s="2" t="str">
        <f t="shared" si="66"/>
        <v>C</v>
      </c>
      <c r="D354" s="2" t="str">
        <f t="shared" si="67"/>
        <v>A</v>
      </c>
      <c r="E354" s="2">
        <f t="shared" si="68"/>
        <v>5</v>
      </c>
      <c r="F354" s="3" t="s">
        <v>824</v>
      </c>
      <c r="G354" s="3" t="s">
        <v>823</v>
      </c>
      <c r="H354" s="4">
        <f>SUMIFS(Tab_01.Jan[MOVIMENTO],Tab_01.Jan[CONTA],$F354)</f>
        <v>0</v>
      </c>
      <c r="I354" s="4">
        <f>SUMIFS(Tab_02.Fev[MOVIMENTO],Tab_02.Fev[CONTA],$F354)</f>
        <v>0</v>
      </c>
      <c r="J354" s="4">
        <f>SUMIFS(Tab_03.Mar[MOVIMENTO],Tab_03.Mar[CONTA],$F354)</f>
        <v>0</v>
      </c>
      <c r="K354" s="4">
        <f>SUMIFS(Tab_04.Abr[MOVIMENTO],Tab_04.Abr[CONTA],$F354)</f>
        <v>0</v>
      </c>
      <c r="L354" s="4">
        <f>SUMIFS(Tab_05.Mai[MOVIMENTO],Tab_05.Mai[CONTA],$F354)</f>
        <v>0</v>
      </c>
      <c r="M354" s="4">
        <f>SUMIFS(Tab_06.Jun[MOVIMENTO],Tab_06.Jun[CONTA],$F354)</f>
        <v>0</v>
      </c>
      <c r="N354" s="4">
        <f>SUMIFS(Tab_07.Jul[MOVIMENTO],Tab_07.Jul[CONTA],$F354)</f>
        <v>0</v>
      </c>
      <c r="O354" s="4">
        <f>SUMIFS(Tab_08.Ago[MOVIMENTO],Tab_08.Ago[CONTA],$F354)</f>
        <v>0</v>
      </c>
      <c r="P354" s="4">
        <f>SUMIFS(Tab_09.Set[MOVIMENTO],Tab_09.Set[CONTA],$F354)</f>
        <v>0</v>
      </c>
      <c r="Q354" s="4">
        <f>SUMIFS(Tab_10.Out[MOVIMENTO],Tab_10.Out[CONTA],$F354)</f>
        <v>0</v>
      </c>
      <c r="R354" s="4">
        <f>SUMIFS(Tab_11.Nov[MOVIMENTO],Tab_11.Nov[CONTA],$F354)</f>
        <v>0</v>
      </c>
      <c r="S354" s="4">
        <f>SUMIFS(Tab_12.Dez[MOVIMENTO],Tab_12.Dez[CONTA],$F354)</f>
        <v>0</v>
      </c>
    </row>
    <row r="355" spans="2:19" x14ac:dyDescent="0.3">
      <c r="B355" s="3"/>
      <c r="C355" s="2" t="str">
        <f t="shared" si="66"/>
        <v>C</v>
      </c>
      <c r="D355" s="2" t="str">
        <f t="shared" si="67"/>
        <v>S</v>
      </c>
      <c r="E355" s="2">
        <f t="shared" si="68"/>
        <v>5</v>
      </c>
      <c r="F355" s="3" t="s">
        <v>825</v>
      </c>
      <c r="G355" s="3" t="s">
        <v>826</v>
      </c>
      <c r="H355" s="4">
        <f>SUMIFS(Tab_01.Jan[MOVIMENTO],Tab_01.Jan[CONTA],$F355)</f>
        <v>-189</v>
      </c>
      <c r="I355" s="4">
        <f>SUMIFS(Tab_02.Fev[MOVIMENTO],Tab_02.Fev[CONTA],$F355)</f>
        <v>0</v>
      </c>
      <c r="J355" s="4">
        <f>SUMIFS(Tab_03.Mar[MOVIMENTO],Tab_03.Mar[CONTA],$F355)</f>
        <v>0</v>
      </c>
      <c r="K355" s="4">
        <f>SUMIFS(Tab_04.Abr[MOVIMENTO],Tab_04.Abr[CONTA],$F355)</f>
        <v>0</v>
      </c>
      <c r="L355" s="4">
        <f>SUMIFS(Tab_05.Mai[MOVIMENTO],Tab_05.Mai[CONTA],$F355)</f>
        <v>0</v>
      </c>
      <c r="M355" s="4">
        <f>SUMIFS(Tab_06.Jun[MOVIMENTO],Tab_06.Jun[CONTA],$F355)</f>
        <v>0</v>
      </c>
      <c r="N355" s="4">
        <f>SUMIFS(Tab_07.Jul[MOVIMENTO],Tab_07.Jul[CONTA],$F355)</f>
        <v>0</v>
      </c>
      <c r="O355" s="4">
        <f>SUMIFS(Tab_08.Ago[MOVIMENTO],Tab_08.Ago[CONTA],$F355)</f>
        <v>0</v>
      </c>
      <c r="P355" s="4">
        <f>SUMIFS(Tab_09.Set[MOVIMENTO],Tab_09.Set[CONTA],$F355)</f>
        <v>0</v>
      </c>
      <c r="Q355" s="4">
        <f>SUMIFS(Tab_10.Out[MOVIMENTO],Tab_10.Out[CONTA],$F355)</f>
        <v>0</v>
      </c>
      <c r="R355" s="4">
        <f>SUMIFS(Tab_11.Nov[MOVIMENTO],Tab_11.Nov[CONTA],$F355)</f>
        <v>0</v>
      </c>
      <c r="S355" s="4">
        <f>SUMIFS(Tab_12.Dez[MOVIMENTO],Tab_12.Dez[CONTA],$F355)</f>
        <v>0</v>
      </c>
    </row>
    <row r="356" spans="2:19" x14ac:dyDescent="0.3">
      <c r="B356" s="3"/>
      <c r="C356" s="2" t="str">
        <f t="shared" si="66"/>
        <v>C</v>
      </c>
      <c r="D356" s="2" t="str">
        <f t="shared" si="67"/>
        <v>S</v>
      </c>
      <c r="E356" s="2">
        <f t="shared" si="68"/>
        <v>5</v>
      </c>
      <c r="F356" s="3" t="s">
        <v>827</v>
      </c>
      <c r="G356" s="3" t="s">
        <v>826</v>
      </c>
      <c r="H356" s="4">
        <f>SUMIFS(Tab_01.Jan[MOVIMENTO],Tab_01.Jan[CONTA],$F356)</f>
        <v>-189</v>
      </c>
      <c r="I356" s="4">
        <f>SUMIFS(Tab_02.Fev[MOVIMENTO],Tab_02.Fev[CONTA],$F356)</f>
        <v>0</v>
      </c>
      <c r="J356" s="4">
        <f>SUMIFS(Tab_03.Mar[MOVIMENTO],Tab_03.Mar[CONTA],$F356)</f>
        <v>0</v>
      </c>
      <c r="K356" s="4">
        <f>SUMIFS(Tab_04.Abr[MOVIMENTO],Tab_04.Abr[CONTA],$F356)</f>
        <v>0</v>
      </c>
      <c r="L356" s="4">
        <f>SUMIFS(Tab_05.Mai[MOVIMENTO],Tab_05.Mai[CONTA],$F356)</f>
        <v>0</v>
      </c>
      <c r="M356" s="4">
        <f>SUMIFS(Tab_06.Jun[MOVIMENTO],Tab_06.Jun[CONTA],$F356)</f>
        <v>0</v>
      </c>
      <c r="N356" s="4">
        <f>SUMIFS(Tab_07.Jul[MOVIMENTO],Tab_07.Jul[CONTA],$F356)</f>
        <v>0</v>
      </c>
      <c r="O356" s="4">
        <f>SUMIFS(Tab_08.Ago[MOVIMENTO],Tab_08.Ago[CONTA],$F356)</f>
        <v>0</v>
      </c>
      <c r="P356" s="4">
        <f>SUMIFS(Tab_09.Set[MOVIMENTO],Tab_09.Set[CONTA],$F356)</f>
        <v>0</v>
      </c>
      <c r="Q356" s="4">
        <f>SUMIFS(Tab_10.Out[MOVIMENTO],Tab_10.Out[CONTA],$F356)</f>
        <v>0</v>
      </c>
      <c r="R356" s="4">
        <f>SUMIFS(Tab_11.Nov[MOVIMENTO],Tab_11.Nov[CONTA],$F356)</f>
        <v>0</v>
      </c>
      <c r="S356" s="4">
        <f>SUMIFS(Tab_12.Dez[MOVIMENTO],Tab_12.Dez[CONTA],$F356)</f>
        <v>0</v>
      </c>
    </row>
    <row r="357" spans="2:19" x14ac:dyDescent="0.3">
      <c r="B357" s="3" t="s">
        <v>66</v>
      </c>
      <c r="C357" s="2" t="str">
        <f t="shared" si="66"/>
        <v>C</v>
      </c>
      <c r="D357" s="2" t="str">
        <f t="shared" si="67"/>
        <v>A</v>
      </c>
      <c r="E357" s="2">
        <f t="shared" si="68"/>
        <v>5</v>
      </c>
      <c r="F357" s="3" t="s">
        <v>828</v>
      </c>
      <c r="G357" s="3" t="s">
        <v>829</v>
      </c>
      <c r="H357" s="4">
        <f>SUMIFS(Tab_01.Jan[MOVIMENTO],Tab_01.Jan[CONTA],$F357)</f>
        <v>-189</v>
      </c>
      <c r="I357" s="4">
        <f>SUMIFS(Tab_02.Fev[MOVIMENTO],Tab_02.Fev[CONTA],$F357)</f>
        <v>0</v>
      </c>
      <c r="J357" s="4">
        <f>SUMIFS(Tab_03.Mar[MOVIMENTO],Tab_03.Mar[CONTA],$F357)</f>
        <v>0</v>
      </c>
      <c r="K357" s="4">
        <f>SUMIFS(Tab_04.Abr[MOVIMENTO],Tab_04.Abr[CONTA],$F357)</f>
        <v>0</v>
      </c>
      <c r="L357" s="4">
        <f>SUMIFS(Tab_05.Mai[MOVIMENTO],Tab_05.Mai[CONTA],$F357)</f>
        <v>0</v>
      </c>
      <c r="M357" s="4">
        <f>SUMIFS(Tab_06.Jun[MOVIMENTO],Tab_06.Jun[CONTA],$F357)</f>
        <v>0</v>
      </c>
      <c r="N357" s="4">
        <f>SUMIFS(Tab_07.Jul[MOVIMENTO],Tab_07.Jul[CONTA],$F357)</f>
        <v>0</v>
      </c>
      <c r="O357" s="4">
        <f>SUMIFS(Tab_08.Ago[MOVIMENTO],Tab_08.Ago[CONTA],$F357)</f>
        <v>0</v>
      </c>
      <c r="P357" s="4">
        <f>SUMIFS(Tab_09.Set[MOVIMENTO],Tab_09.Set[CONTA],$F357)</f>
        <v>0</v>
      </c>
      <c r="Q357" s="4">
        <f>SUMIFS(Tab_10.Out[MOVIMENTO],Tab_10.Out[CONTA],$F357)</f>
        <v>0</v>
      </c>
      <c r="R357" s="4">
        <f>SUMIFS(Tab_11.Nov[MOVIMENTO],Tab_11.Nov[CONTA],$F357)</f>
        <v>0</v>
      </c>
      <c r="S357" s="4">
        <f>SUMIFS(Tab_12.Dez[MOVIMENTO],Tab_12.Dez[CONTA],$F357)</f>
        <v>0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7561D-6915-4D95-8A56-EFD963D6EF1C}">
  <dimension ref="A3:Q22"/>
  <sheetViews>
    <sheetView showGridLines="0" topLeftCell="E1" zoomScale="130" zoomScaleNormal="130" workbookViewId="0">
      <selection activeCell="Q13" sqref="Q13"/>
    </sheetView>
  </sheetViews>
  <sheetFormatPr defaultRowHeight="13.8" x14ac:dyDescent="0.3"/>
  <cols>
    <col min="1" max="1" width="8.88671875" customWidth="1"/>
    <col min="2" max="2" width="22" customWidth="1"/>
    <col min="3" max="3" width="16" bestFit="1" customWidth="1"/>
    <col min="4" max="4" width="36.5546875" bestFit="1" customWidth="1"/>
    <col min="5" max="5" width="8.88671875" customWidth="1"/>
    <col min="6" max="6" width="11" bestFit="1" customWidth="1"/>
    <col min="7" max="7" width="11.5546875" bestFit="1" customWidth="1"/>
    <col min="8" max="10" width="10.44140625" bestFit="1" customWidth="1"/>
    <col min="11" max="11" width="12.5546875" bestFit="1" customWidth="1"/>
    <col min="16" max="16" width="9.21875" customWidth="1"/>
  </cols>
  <sheetData>
    <row r="3" spans="1:17" ht="14.4" thickBot="1" x14ac:dyDescent="0.35"/>
    <row r="4" spans="1:17" ht="14.4" thickBot="1" x14ac:dyDescent="0.35">
      <c r="C4" s="195" t="s">
        <v>262</v>
      </c>
      <c r="D4" s="196"/>
      <c r="F4" s="156" t="s">
        <v>254</v>
      </c>
      <c r="G4" s="156" t="s">
        <v>255</v>
      </c>
      <c r="H4" s="156" t="s">
        <v>256</v>
      </c>
      <c r="I4" s="156" t="s">
        <v>257</v>
      </c>
      <c r="J4" s="156" t="s">
        <v>258</v>
      </c>
      <c r="K4" s="156" t="s">
        <v>259</v>
      </c>
      <c r="L4" s="156" t="s">
        <v>265</v>
      </c>
      <c r="M4" s="156" t="s">
        <v>266</v>
      </c>
      <c r="N4" s="156" t="s">
        <v>267</v>
      </c>
      <c r="O4" s="156" t="s">
        <v>268</v>
      </c>
      <c r="P4" s="156" t="s">
        <v>271</v>
      </c>
      <c r="Q4" s="156" t="s">
        <v>272</v>
      </c>
    </row>
    <row r="5" spans="1:17" x14ac:dyDescent="0.3">
      <c r="C5" s="158"/>
      <c r="D5" s="159"/>
      <c r="F5" s="156"/>
      <c r="G5" s="156"/>
      <c r="H5" s="156"/>
      <c r="I5" s="156"/>
      <c r="J5" s="156"/>
      <c r="K5" s="156"/>
      <c r="L5" s="166"/>
      <c r="O5" s="166"/>
    </row>
    <row r="6" spans="1:17" x14ac:dyDescent="0.3">
      <c r="A6" t="s">
        <v>197</v>
      </c>
      <c r="B6" t="s">
        <v>198</v>
      </c>
      <c r="C6" s="160" t="s">
        <v>261</v>
      </c>
      <c r="D6" s="161" t="s">
        <v>247</v>
      </c>
      <c r="F6" s="157">
        <f>VLOOKUP(A6,JAN!I15:N291,6,0)/-VLOOKUP(Indices!A7,JAN!I15:N291,6,0)</f>
        <v>6.17</v>
      </c>
      <c r="G6" s="157">
        <f>VLOOKUP(A6,FEV!I15:N293,6,0)/-VLOOKUP(A7,FEV!I15:N293,6,0)</f>
        <v>6.29</v>
      </c>
      <c r="H6" s="157">
        <f>VLOOKUP(A6,MAR!I15:N388,6,0)/-VLOOKUP(Indices!A7,MAR!I15:N388,6,0)</f>
        <v>8.5299999999999994</v>
      </c>
      <c r="I6" s="157">
        <f>VLOOKUP(A6,ABR!I15:N285,6,0)/-VLOOKUP(Indices!A7,ABR!I15:N285,6,0)</f>
        <v>6.91</v>
      </c>
      <c r="J6" s="157">
        <f>VLOOKUP(A6,MAI!I15:N284,6,0)/-VLOOKUP(A7,MAI!I15:N284,6,0)</f>
        <v>7.59</v>
      </c>
      <c r="K6" s="157">
        <f>VLOOKUP(A6,Tab_06.Jun[[CONTA]:[SALDO
ATUAL]],6,0)/-VLOOKUP(Indices!A7,Tab_06.Jun[[CONTA]:[SALDO
ATUAL]],6,0)</f>
        <v>8.33</v>
      </c>
      <c r="L6" s="157">
        <f>VLOOKUP(A6,'2024'!F15:S354,9)/-(VLOOKUP(Indices!A7,'2024'!F15:S354,9,0))</f>
        <v>7.7</v>
      </c>
      <c r="M6" s="157">
        <f>VLOOKUP(A6,'2024'!F15:S354,10)/-(VLOOKUP(Indices!A7,'2024'!F15:S354,10,0))</f>
        <v>7.48</v>
      </c>
      <c r="N6" s="157">
        <f>VLOOKUP(A6,'2024'!F15:S354,11)/-(VLOOKUP(Indices!A7,'2024'!F15:S354,11,0))</f>
        <v>7.76</v>
      </c>
      <c r="O6" s="157">
        <f>VLOOKUP(A6,'2024'!F15:S354,12)/-(VLOOKUP(Indices!A7,'2024'!F15:S354,12,0))</f>
        <v>7.85</v>
      </c>
      <c r="P6" s="157">
        <f>VLOOKUP(A6,'2024'!F15:S354,13)/-(VLOOKUP(Indices!A7,'2024'!F15:S354,13,0))</f>
        <v>9.07</v>
      </c>
      <c r="Q6" s="171">
        <f>VLOOKUP(A6,'2024'!F15:S354,14)/-(VLOOKUP(Indices!A7,'2024'!F15:S354,14,0))</f>
        <v>17.57</v>
      </c>
    </row>
    <row r="7" spans="1:17" x14ac:dyDescent="0.3">
      <c r="A7" t="s">
        <v>216</v>
      </c>
      <c r="B7" t="s">
        <v>217</v>
      </c>
      <c r="C7" s="160"/>
      <c r="D7" s="162" t="s">
        <v>248</v>
      </c>
      <c r="L7" s="166"/>
      <c r="O7" s="166"/>
      <c r="Q7" s="170"/>
    </row>
    <row r="8" spans="1:17" ht="14.4" thickBot="1" x14ac:dyDescent="0.35">
      <c r="A8" t="s">
        <v>206</v>
      </c>
      <c r="B8" t="s">
        <v>207</v>
      </c>
      <c r="C8" s="163"/>
      <c r="D8" s="164"/>
      <c r="L8" s="166"/>
      <c r="O8" s="166"/>
      <c r="Q8" s="170"/>
    </row>
    <row r="9" spans="1:17" hidden="1" x14ac:dyDescent="0.3">
      <c r="A9" t="s">
        <v>199</v>
      </c>
      <c r="B9" t="s">
        <v>200</v>
      </c>
      <c r="C9" s="160"/>
      <c r="D9" s="162"/>
      <c r="L9" s="166"/>
      <c r="O9" s="166"/>
      <c r="Q9" s="170"/>
    </row>
    <row r="10" spans="1:17" x14ac:dyDescent="0.3">
      <c r="A10" t="s">
        <v>211</v>
      </c>
      <c r="B10" t="s">
        <v>212</v>
      </c>
      <c r="C10" s="160"/>
      <c r="D10" s="162"/>
      <c r="L10" s="166"/>
      <c r="O10" s="166"/>
      <c r="Q10" s="170"/>
    </row>
    <row r="11" spans="1:17" x14ac:dyDescent="0.3">
      <c r="A11" t="s">
        <v>226</v>
      </c>
      <c r="B11" t="s">
        <v>227</v>
      </c>
      <c r="C11" s="160" t="s">
        <v>249</v>
      </c>
      <c r="D11" s="161" t="s">
        <v>250</v>
      </c>
      <c r="F11" s="157">
        <f>(VLOOKUP(A6,'2024'!F15:S357,3,0)-VLOOKUP(Indices!A8,'2024'!F15:S357,3,0))/-VLOOKUP(Indices!A7,'2024'!F15:S357,3,0)</f>
        <v>6.17</v>
      </c>
      <c r="G11" s="157">
        <f>(VLOOKUP(A6,'2024'!F15:S357,4,0)-VLOOKUP(Indices!A8,'2024'!F15:S357,4,0))/-VLOOKUP(Indices!A7,'2024'!F15:S357,4,0)</f>
        <v>6.29</v>
      </c>
      <c r="H11" s="157">
        <f>(VLOOKUP(A6,'2024'!F15:S357,5,0)-VLOOKUP(Indices!A8,'2024'!F15:S357,5,0))/-VLOOKUP(Indices!A7,'2024'!F15:S357,5,0)</f>
        <v>8.5299999999999994</v>
      </c>
      <c r="I11" s="157">
        <f>(VLOOKUP(A6,'2024'!F15:S357,6,0)-VLOOKUP(Indices!A8,'2024'!F15:S357,6,0))/-VLOOKUP(Indices!A7,'2024'!F15:S357,6,0)</f>
        <v>6.9</v>
      </c>
      <c r="J11" s="157">
        <f>(VLOOKUP(A6,'2024'!F15:S357,7,0)-VLOOKUP(Indices!A8,'2024'!F15:S357,7,0))/-VLOOKUP(Indices!A7,'2024'!F15:S357,7,0)</f>
        <v>7.58</v>
      </c>
      <c r="K11" s="157">
        <f>(VLOOKUP(A6,'2024'!F15:S357,8,0)-VLOOKUP(Indices!A8,'2024'!F15:S357,8,0))/-VLOOKUP(Indices!A7,'2024'!F15:S357,8,0)</f>
        <v>8.3000000000000007</v>
      </c>
      <c r="L11" s="157">
        <f>(VLOOKUP(A6,'2024'!F15:S354,9,0)-VLOOKUP(Indices!A8,'2024'!F15:S354,9,0))/-VLOOKUP(Indices!A7,'2024'!F15:S354,9,0)</f>
        <v>7.69</v>
      </c>
      <c r="M11" s="157">
        <f>(VLOOKUP(A6,'2024'!F15:S354,10,0)-VLOOKUP(Indices!A8,'2024'!F15:S354,10,0))/-VLOOKUP(Indices!A7,'2024'!F15:S354,10,0)</f>
        <v>7.45</v>
      </c>
      <c r="N11" s="157">
        <f>(VLOOKUP(A6,'2024'!F15:S354,11,0)-VLOOKUP(Indices!A8,'2024'!F15:S354,11,0))/-VLOOKUP(Indices!A7,'2024'!F15:S354,11,0)</f>
        <v>7.76</v>
      </c>
      <c r="O11" s="157">
        <f>(VLOOKUP(A6,'2024'!F15:S354,12,0)-VLOOKUP(Indices!A8,'2024'!F15:S354,12,0))/-VLOOKUP(Indices!A7,'2024'!F15:S354,12,0)</f>
        <v>7.84</v>
      </c>
      <c r="P11" s="157">
        <f>(VLOOKUP(A6,'2024'!F15:S354,13,0)-VLOOKUP(Indices!A8,'2024'!F15:S354,13,0))/-VLOOKUP(Indices!A7,'2024'!F15:S354,13,0)</f>
        <v>9</v>
      </c>
      <c r="Q11" s="171">
        <f>(VLOOKUP(A6,'2024'!F15:S354,14,0)-VLOOKUP(Indices!A8,'2024'!F15:S354,14,0))/-VLOOKUP(Indices!A7,'2024'!F15:S354,14,0)</f>
        <v>17.559999999999999</v>
      </c>
    </row>
    <row r="12" spans="1:17" x14ac:dyDescent="0.3">
      <c r="C12" s="160"/>
      <c r="D12" s="162" t="s">
        <v>248</v>
      </c>
      <c r="L12" s="166"/>
      <c r="O12" s="166"/>
      <c r="Q12" s="170"/>
    </row>
    <row r="13" spans="1:17" x14ac:dyDescent="0.3">
      <c r="C13" s="160"/>
      <c r="D13" s="162"/>
      <c r="L13" s="166"/>
      <c r="O13" s="166"/>
      <c r="Q13" s="170"/>
    </row>
    <row r="14" spans="1:17" ht="14.4" thickBot="1" x14ac:dyDescent="0.35">
      <c r="C14" s="163"/>
      <c r="D14" s="164"/>
      <c r="L14" s="166"/>
      <c r="O14" s="166"/>
      <c r="Q14" s="170"/>
    </row>
    <row r="15" spans="1:17" x14ac:dyDescent="0.3">
      <c r="C15" s="160" t="s">
        <v>260</v>
      </c>
      <c r="D15" s="161" t="s">
        <v>251</v>
      </c>
      <c r="F15" s="157">
        <f>VLOOKUP(A9,'2024'!F15:S357,3,0)/-VLOOKUP(Indices!A7,'2024'!F15:S357,3,0)</f>
        <v>5.99</v>
      </c>
      <c r="G15" s="157">
        <f>VLOOKUP(A9,'2024'!F15:S357,4,0)/-VLOOKUP(Indices!A7,'2024'!F15:S357,4,0)</f>
        <v>6.09</v>
      </c>
      <c r="H15" s="157">
        <f>VLOOKUP(A9,'2024'!F15:S357,5,0)/-VLOOKUP(Indices!A7,'2024'!F15:S357,5,0)</f>
        <v>8.25</v>
      </c>
      <c r="I15" s="157">
        <f>VLOOKUP(A9,'2024'!F15:S357,6,0)/-VLOOKUP(Indices!A7,'2024'!F15:S357,6,0)</f>
        <v>6.64</v>
      </c>
      <c r="J15" s="157">
        <f>VLOOKUP(A9,'2024'!F15:S357,7,0)/-VLOOKUP(Indices!A7,'2024'!F15:S357,7,0)</f>
        <v>7.29</v>
      </c>
      <c r="K15" s="157">
        <f>VLOOKUP(A9,'2024'!F15:S357,8,0)/-VLOOKUP(Indices!A7,'2024'!F15:S357,8,0)</f>
        <v>7.99</v>
      </c>
      <c r="L15" s="157">
        <f>VLOOKUP(A9,'2024'!F15:S354,9,0)/-VLOOKUP(Indices!A7,'2024'!F15:S354,9,0)</f>
        <v>7.41</v>
      </c>
      <c r="M15" s="157">
        <f>VLOOKUP(A9,'2024'!F15:S354,10,0)/-VLOOKUP(Indices!A7,'2024'!F15:S354,10,0)</f>
        <v>7.18</v>
      </c>
      <c r="N15" s="157">
        <f>VLOOKUP(A9,'2024'!F15:S354,11,0)/-VLOOKUP(Indices!A7,'2024'!F15:S354,11,0)</f>
        <v>7.51</v>
      </c>
      <c r="O15" s="157">
        <f>VLOOKUP(A9,'2024'!F15:S354,12,0)/-VLOOKUP(Indices!A7,'2024'!F15:S354,12,0)</f>
        <v>7.59</v>
      </c>
      <c r="P15" s="157">
        <f>VLOOKUP(A9,'2024'!F15:S354,13,0)/-VLOOKUP(Indices!A7,'2024'!F15:S354,13,0)</f>
        <v>8.7100000000000009</v>
      </c>
      <c r="Q15" s="171">
        <f>VLOOKUP(A9,'2024'!F15:S354,14,0)/-VLOOKUP(Indices!A7,'2024'!F15:S354,14,0)</f>
        <v>17.149999999999999</v>
      </c>
    </row>
    <row r="16" spans="1:17" x14ac:dyDescent="0.3">
      <c r="C16" s="160"/>
      <c r="D16" s="162" t="s">
        <v>248</v>
      </c>
      <c r="L16" s="166"/>
      <c r="O16" s="166"/>
      <c r="Q16" s="170"/>
    </row>
    <row r="17" spans="3:17" ht="14.4" thickBot="1" x14ac:dyDescent="0.35">
      <c r="C17" s="163"/>
      <c r="D17" s="164"/>
      <c r="L17" s="166"/>
      <c r="O17" s="166"/>
      <c r="Q17" s="170"/>
    </row>
    <row r="18" spans="3:17" hidden="1" x14ac:dyDescent="0.3">
      <c r="C18" s="160"/>
      <c r="D18" s="162"/>
      <c r="L18" s="166"/>
      <c r="O18" s="166"/>
      <c r="Q18" s="170"/>
    </row>
    <row r="19" spans="3:17" x14ac:dyDescent="0.3">
      <c r="C19" s="160"/>
      <c r="D19" s="162"/>
      <c r="L19" s="166"/>
      <c r="O19" s="166"/>
      <c r="Q19" s="170"/>
    </row>
    <row r="20" spans="3:17" x14ac:dyDescent="0.3">
      <c r="C20" s="160" t="s">
        <v>252</v>
      </c>
      <c r="D20" s="161" t="s">
        <v>263</v>
      </c>
      <c r="F20" s="157">
        <f>(VLOOKUP(A6,'2024'!F15:S357,3,0)+VLOOKUP(Indices!A10,'2024'!F15:S357,3,0))/-(VLOOKUP(A7,'2024'!F15:S357,3,0)+VLOOKUP(Indices!A11,'2024'!F15:S357,3,0))</f>
        <v>45.02</v>
      </c>
      <c r="G20" s="157">
        <f>(VLOOKUP(A6,'2024'!F15:S357,4,0)+VLOOKUP(Indices!A10,'2024'!F15:S357,4,0))/-(VLOOKUP(A7,'2024'!F15:S357,4,0)+VLOOKUP(Indices!A11,'2024'!F15:S357,4,0))</f>
        <v>48.84</v>
      </c>
      <c r="H20" s="157">
        <f>(VLOOKUP(A6,'2024'!F15:S357,5,0)+VLOOKUP(Indices!A10,'2024'!F15:S357,5,0))/-(VLOOKUP(A7,'2024'!F15:S357,5,0)+VLOOKUP(Indices!A11,'2024'!F15:S357,5,0))</f>
        <v>66.55</v>
      </c>
      <c r="I20" s="157">
        <f>(VLOOKUP(A6,'2024'!F15:S357,6,0)+VLOOKUP(Indices!A10,'2024'!F15:S357,6,0))/-(VLOOKUP(A7,'2024'!F15:S357,6,0)+VLOOKUP(Indices!A11,'2024'!F15:S357,6,0))</f>
        <v>52.31</v>
      </c>
      <c r="J20" s="157">
        <f>(VLOOKUP(A6,'2024'!F15:S357,7,0)+VLOOKUP(Indices!A10,'2024'!F15:S357,7,0))/-(VLOOKUP(A7,'2024'!F15:S357,7,0)+VLOOKUP(Indices!A11,'2024'!F15:S357,7,0))</f>
        <v>57.08</v>
      </c>
      <c r="K20" s="157">
        <f>(VLOOKUP(A6,'2024'!F15:S357,8,0)+VLOOKUP(Indices!A10,'2024'!F15:S357,8,0))/-(VLOOKUP(A7,'2024'!F15:S357,8,0)+VLOOKUP(Indices!A11,'2024'!F15:S357,8,0))</f>
        <v>61.98</v>
      </c>
      <c r="L20" s="157">
        <f>(VLOOKUP(A6,'2024'!F15:S354,9,0)+VLOOKUP(Indices!A10,'2024'!F15:S354,9,0))/-(VLOOKUP(A7,'2024'!F15:S354,9,0)+VLOOKUP(Indices!A11,'2024'!F15:S354,9,0))</f>
        <v>56.77</v>
      </c>
      <c r="M20" s="157">
        <f>(VLOOKUP(A6,'2024'!F15:S354,10,0)+VLOOKUP(Indices!A10,'2024'!F15:S354,10,0))/-(VLOOKUP(A7,'2024'!F15:S354,10,0)+VLOOKUP(Indices!A11,'2024'!F15:S354,10,0))</f>
        <v>54.85</v>
      </c>
      <c r="N20" s="157">
        <f>(VLOOKUP(A6,'2024'!F15:S354,11,0)+VLOOKUP(Indices!A10,'2024'!F15:S354,11,0))/-(VLOOKUP(A7,'2024'!F15:S354,11,0)+VLOOKUP(Indices!A11,'2024'!F15:S354,11,0))</f>
        <v>57.16</v>
      </c>
      <c r="O20" s="157">
        <f>(VLOOKUP(A6,'2024'!F15:S354,12,0)+VLOOKUP(Indices!A10,'2024'!F15:S354,12,0))/-(VLOOKUP(A7,'2024'!F15:S354,12,0)+VLOOKUP(Indices!A11,'2024'!F15:S354,12,0))</f>
        <v>57.36</v>
      </c>
      <c r="P20" s="157">
        <f>(VLOOKUP(A6,'2024'!F15:S354,13,0)+VLOOKUP(Indices!A10,'2024'!F15:S354,13,0))/-(VLOOKUP(A7,'2024'!F15:S354,13,0)+VLOOKUP(Indices!A11,'2024'!F15:S354,13,0))</f>
        <v>65.77</v>
      </c>
      <c r="Q20" s="171">
        <f>(VLOOKUP(A6,'2024'!F15:S354,13,0)+VLOOKUP(Indices!A10,'2024'!F15:S354,14,0))/-(VLOOKUP(A7,'2024'!F15:S354,14,0)+VLOOKUP(Indices!A11,'2024'!F15:S354,14,0))</f>
        <v>131.6</v>
      </c>
    </row>
    <row r="21" spans="3:17" ht="14.4" thickBot="1" x14ac:dyDescent="0.35">
      <c r="C21" s="163"/>
      <c r="D21" s="164" t="s">
        <v>253</v>
      </c>
      <c r="L21" s="166"/>
      <c r="O21" s="166"/>
    </row>
    <row r="22" spans="3:17" x14ac:dyDescent="0.3">
      <c r="C22" s="156"/>
    </row>
  </sheetData>
  <mergeCells count="1">
    <mergeCell ref="C4:D4"/>
  </mergeCells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  <legacy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DD1C6-7283-470B-9FBE-AEBFDAAE36E9}">
  <sheetPr codeName="Planilha11"/>
  <dimension ref="B1:S291"/>
  <sheetViews>
    <sheetView showGridLines="0" zoomScale="85" zoomScaleNormal="85" workbookViewId="0">
      <pane xSplit="7" ySplit="14" topLeftCell="J15" activePane="bottomRight" state="frozen"/>
      <selection activeCell="H15" sqref="H15"/>
      <selection pane="topRight" activeCell="H15" sqref="H15"/>
      <selection pane="bottomLeft" activeCell="H15" sqref="H15"/>
      <selection pane="bottomRight" activeCell="N6" sqref="N6:N7"/>
    </sheetView>
  </sheetViews>
  <sheetFormatPr defaultColWidth="8.88671875" defaultRowHeight="13.8" outlineLevelRow="1" x14ac:dyDescent="0.3"/>
  <cols>
    <col min="1" max="1" width="2.6640625" style="1" customWidth="1"/>
    <col min="2" max="2" width="4.6640625" customWidth="1"/>
    <col min="3" max="5" width="4.6640625" style="2" customWidth="1"/>
    <col min="6" max="7" width="20.6640625" style="4" customWidth="1"/>
    <col min="8" max="8" width="15.6640625" customWidth="1"/>
    <col min="9" max="9" width="17.6640625" customWidth="1"/>
    <col min="10" max="10" width="75.6640625" customWidth="1"/>
    <col min="11" max="11" width="20.6640625" style="2" customWidth="1"/>
    <col min="12" max="13" width="20.6640625" style="3" customWidth="1"/>
    <col min="14" max="15" width="20.6640625" style="4" customWidth="1"/>
    <col min="16" max="16" width="8.88671875" style="1"/>
    <col min="17" max="18" width="12.6640625" style="1" bestFit="1" customWidth="1"/>
    <col min="19" max="16384" width="8.88671875" style="1"/>
  </cols>
  <sheetData>
    <row r="1" spans="2:17" x14ac:dyDescent="0.3">
      <c r="B1" s="2"/>
      <c r="H1" s="3"/>
      <c r="I1" s="3"/>
      <c r="J1" s="3"/>
      <c r="K1" s="4"/>
      <c r="L1" s="4"/>
      <c r="M1" s="4"/>
    </row>
    <row r="2" spans="2:17" outlineLevel="1" x14ac:dyDescent="0.3">
      <c r="B2" s="2" t="s">
        <v>16</v>
      </c>
      <c r="F2" s="7">
        <f ca="1">SUMIFS(INDIRECT("Tab_01.Jan["&amp;F$14&amp;"]"),Tab_01.Jan[TP],$B2,Tab_01.Jan[NV],"A")</f>
        <v>0</v>
      </c>
      <c r="G2" s="7">
        <f ca="1">SUMIFS(INDIRECT("Tab_01.Jan["&amp;G$14&amp;"]"),Tab_01.Jan[TP],$B2,Tab_01.Jan[NV],"A")</f>
        <v>0</v>
      </c>
      <c r="H2" s="3"/>
      <c r="I2" s="3"/>
      <c r="J2" s="88" t="s">
        <v>15</v>
      </c>
      <c r="K2" s="7">
        <f ca="1">SUMIFS(INDIRECT("Tab_01.Jan["&amp;K$14&amp;"]"),Tab_01.Jan[TP],$B2,Tab_01.Jan[S/A],"A")</f>
        <v>83243926.390000001</v>
      </c>
      <c r="L2" s="7">
        <f ca="1">SUMIFS(INDIRECT("Tab_01.Jan["&amp;L$14&amp;"]"),Tab_01.Jan[TP],$B2,Tab_01.Jan[S/A],"A")</f>
        <v>1787424.88</v>
      </c>
      <c r="M2" s="7">
        <f ca="1">SUMIFS(INDIRECT("Tab_01.Jan["&amp;M$14&amp;"]"),Tab_01.Jan[TP],$B2,Tab_01.Jan[S/A],"A")</f>
        <v>1192419.95</v>
      </c>
      <c r="N2" s="7">
        <f ca="1">SUMIFS(INDIRECT("Tab_01.Jan["&amp;N$14&amp;"]"),Tab_01.Jan[TP],$B2,Tab_01.Jan[S/A],"A")</f>
        <v>83838931.319999993</v>
      </c>
      <c r="O2" s="7">
        <f ca="1">SUMIFS(INDIRECT("Tab_01.Jan["&amp;O$14&amp;"]"),Tab_01.Jan[TP],$B2,Tab_01.Jan[S/A],"A")</f>
        <v>595004.93000000005</v>
      </c>
    </row>
    <row r="3" spans="2:17" outlineLevel="1" x14ac:dyDescent="0.3">
      <c r="B3" s="2" t="s">
        <v>116</v>
      </c>
      <c r="F3" s="7">
        <f ca="1">SUMIFS(INDIRECT("Tab_01.Jan["&amp;F$14&amp;"]"),Tab_01.Jan[TP],$B3,Tab_01.Jan[NV],"A")</f>
        <v>0</v>
      </c>
      <c r="G3" s="7">
        <f ca="1">SUMIFS(INDIRECT("Tab_01.Jan["&amp;G$14&amp;"]"),Tab_01.Jan[TP],$B3,Tab_01.Jan[NV],"A")</f>
        <v>0</v>
      </c>
      <c r="H3" s="3"/>
      <c r="I3" s="3"/>
      <c r="J3" s="88" t="s">
        <v>110</v>
      </c>
      <c r="K3" s="7">
        <f ca="1">SUMIFS(INDIRECT("Tab_01.Jan["&amp;K$14&amp;"]"),Tab_01.Jan[TP],$B3,Tab_01.Jan[S/A],"A")</f>
        <v>-83243926.390000001</v>
      </c>
      <c r="L3" s="7">
        <f ca="1">SUMIFS(INDIRECT("Tab_01.Jan["&amp;L$14&amp;"]"),Tab_01.Jan[TP],$B3,Tab_01.Jan[S/A],"A")</f>
        <v>1105115.8500000001</v>
      </c>
      <c r="M3" s="7">
        <f ca="1">SUMIFS(INDIRECT("Tab_01.Jan["&amp;M$14&amp;"]"),Tab_01.Jan[TP],$B3,Tab_01.Jan[S/A],"A")</f>
        <v>1811385.54</v>
      </c>
      <c r="N3" s="7">
        <f ca="1">SUMIFS(INDIRECT("Tab_01.Jan["&amp;N$14&amp;"]"),Tab_01.Jan[TP],$B3,Tab_01.Jan[S/A],"A")</f>
        <v>-83950196.079999998</v>
      </c>
      <c r="O3" s="7">
        <f ca="1">SUMIFS(INDIRECT("Tab_01.Jan["&amp;O$14&amp;"]"),Tab_01.Jan[TP],$B3,Tab_01.Jan[S/A],"A")</f>
        <v>-706269.69</v>
      </c>
    </row>
    <row r="4" spans="2:17" outlineLevel="1" x14ac:dyDescent="0.3">
      <c r="B4" s="2"/>
      <c r="F4" s="8">
        <f ca="1">SUM(F$2:F$3)</f>
        <v>0</v>
      </c>
      <c r="G4" s="8">
        <f ca="1">SUM(G$2:G$3)</f>
        <v>0</v>
      </c>
      <c r="H4" s="3"/>
      <c r="I4" s="3"/>
      <c r="J4" s="88"/>
      <c r="K4" s="8">
        <f t="shared" ref="K4:O4" ca="1" si="0">SUM(K$2:K$3)</f>
        <v>0</v>
      </c>
      <c r="L4" s="8">
        <f t="shared" ca="1" si="0"/>
        <v>2892540.73</v>
      </c>
      <c r="M4" s="8">
        <f t="shared" ca="1" si="0"/>
        <v>3003805.49</v>
      </c>
      <c r="N4" s="8">
        <f ca="1">SUM(N$2:N$3)</f>
        <v>-111264.76</v>
      </c>
      <c r="O4" s="8">
        <f t="shared" ca="1" si="0"/>
        <v>-111264.76</v>
      </c>
    </row>
    <row r="5" spans="2:17" ht="5.0999999999999996" customHeight="1" outlineLevel="1" x14ac:dyDescent="0.3">
      <c r="B5" s="2"/>
      <c r="H5" s="3"/>
      <c r="I5" s="3"/>
      <c r="J5" s="89"/>
      <c r="K5" s="4"/>
      <c r="L5" s="4"/>
      <c r="M5" s="4"/>
    </row>
    <row r="6" spans="2:17" outlineLevel="1" x14ac:dyDescent="0.3">
      <c r="B6" s="2" t="s">
        <v>19</v>
      </c>
      <c r="F6" s="7">
        <f ca="1">SUMIFS(INDIRECT("Tab_01.Jan["&amp;F$14&amp;"]"),Tab_01.Jan[TP],$B6,Tab_01.Jan[NV],"A")</f>
        <v>0</v>
      </c>
      <c r="G6" s="7">
        <f ca="1">SUMIFS(INDIRECT("Tab_01.Jan["&amp;G$14&amp;"]"),Tab_01.Jan[TP],$B6,Tab_01.Jan[NV],"A")</f>
        <v>0</v>
      </c>
      <c r="H6" s="3"/>
      <c r="I6" s="3"/>
      <c r="J6" s="88" t="s">
        <v>18</v>
      </c>
      <c r="K6" s="7">
        <f ca="1">SUMIFS(INDIRECT("Tab_01.Jan["&amp;K$14&amp;"]"),Tab_01.Jan[TP],$B6,Tab_01.Jan[S/A],"A")</f>
        <v>0</v>
      </c>
      <c r="L6" s="7">
        <f ca="1">SUMIFS(INDIRECT("Tab_01.Jan["&amp;L$14&amp;"]"),Tab_01.Jan[TP],$B6,Tab_01.Jan[S/A],"A")</f>
        <v>0</v>
      </c>
      <c r="M6" s="7">
        <f ca="1">SUMIFS(INDIRECT("Tab_01.Jan["&amp;M$14&amp;"]"),Tab_01.Jan[TP],$B6,Tab_01.Jan[S/A],"A")</f>
        <v>1152924.6399999999</v>
      </c>
      <c r="N6" s="7">
        <f ca="1">SUMIFS(INDIRECT("Tab_01.Jan["&amp;N$14&amp;"]"),Tab_01.Jan[TP],$B6,Tab_01.Jan[S/A],"A")</f>
        <v>-1152924.6399999999</v>
      </c>
      <c r="O6" s="7">
        <f ca="1">SUMIFS(INDIRECT("Tab_01.Jan["&amp;O$14&amp;"]"),Tab_01.Jan[TP],$B6,Tab_01.Jan[S/A],"A")</f>
        <v>-1152924.6399999999</v>
      </c>
    </row>
    <row r="7" spans="2:17" outlineLevel="1" x14ac:dyDescent="0.3">
      <c r="B7" s="2" t="s">
        <v>20</v>
      </c>
      <c r="F7" s="7">
        <f ca="1">SUMIFS(INDIRECT("Tab_01.Jan["&amp;F$14&amp;"]"),Tab_01.Jan[TP],$B7,Tab_01.Jan[NV],"A")</f>
        <v>0</v>
      </c>
      <c r="G7" s="7">
        <f ca="1">SUMIFS(INDIRECT("Tab_01.Jan["&amp;G$14&amp;"]"),Tab_01.Jan[TP],$B7,Tab_01.Jan[NV],"A")</f>
        <v>0</v>
      </c>
      <c r="H7" s="3"/>
      <c r="I7" s="3"/>
      <c r="J7" s="88" t="s">
        <v>111</v>
      </c>
      <c r="K7" s="7">
        <f ca="1">SUMIFS(INDIRECT("Tab_01.Jan["&amp;K$14&amp;"]"),Tab_01.Jan[TP],$B7,Tab_01.Jan[S/A],"A")</f>
        <v>0</v>
      </c>
      <c r="L7" s="7">
        <f ca="1">SUMIFS(INDIRECT("Tab_01.Jan["&amp;L$14&amp;"]"),Tab_01.Jan[TP],$B7,Tab_01.Jan[S/A],"A")</f>
        <v>1398427.35</v>
      </c>
      <c r="M7" s="7">
        <f ca="1">SUMIFS(INDIRECT("Tab_01.Jan["&amp;M$14&amp;"]"),Tab_01.Jan[TP],$B7,Tab_01.Jan[S/A],"A")</f>
        <v>134237.95000000001</v>
      </c>
      <c r="N7" s="7">
        <f ca="1">SUMIFS(INDIRECT("Tab_01.Jan["&amp;N$14&amp;"]"),Tab_01.Jan[TP],$B7,Tab_01.Jan[S/A],"A")</f>
        <v>1264189.3999999999</v>
      </c>
      <c r="O7" s="7">
        <f ca="1">SUMIFS(INDIRECT("Tab_01.Jan["&amp;O$14&amp;"]"),Tab_01.Jan[TP],$B7,Tab_01.Jan[S/A],"A")</f>
        <v>1264189.3999999999</v>
      </c>
    </row>
    <row r="8" spans="2:17" outlineLevel="1" x14ac:dyDescent="0.3">
      <c r="B8" s="2"/>
      <c r="F8" s="8">
        <f ca="1">SUM(F$6:F$7)</f>
        <v>0</v>
      </c>
      <c r="G8" s="8">
        <f ca="1">SUM(G$6:G$7)</f>
        <v>0</v>
      </c>
      <c r="H8" s="3"/>
      <c r="I8" s="3"/>
      <c r="J8" s="88"/>
      <c r="K8" s="8">
        <f ca="1">SUM(K$6:K$7)</f>
        <v>0</v>
      </c>
      <c r="L8" s="8">
        <f ca="1">SUM(L$6:L$7)</f>
        <v>1398427.35</v>
      </c>
      <c r="M8" s="8">
        <f ca="1">SUM(M$6:M$7)</f>
        <v>1287162.5900000001</v>
      </c>
      <c r="N8" s="8">
        <f ca="1">SUM(N$6:N$7)</f>
        <v>111264.76</v>
      </c>
      <c r="O8" s="8">
        <f ca="1">SUM(O$6:O$7)</f>
        <v>111264.76</v>
      </c>
    </row>
    <row r="9" spans="2:17" ht="5.0999999999999996" customHeight="1" outlineLevel="1" x14ac:dyDescent="0.3">
      <c r="B9" s="2"/>
      <c r="H9" s="3"/>
      <c r="I9" s="3"/>
      <c r="J9" s="89"/>
      <c r="K9" s="4"/>
      <c r="L9" s="4"/>
      <c r="M9" s="4"/>
    </row>
    <row r="10" spans="2:17" x14ac:dyDescent="0.3">
      <c r="B10" s="2"/>
      <c r="F10" s="11">
        <f ca="1">SUM(F$4,F$8)</f>
        <v>0</v>
      </c>
      <c r="G10" s="11">
        <f ca="1">SUM(G$4,G$8)</f>
        <v>0</v>
      </c>
      <c r="H10" s="3"/>
      <c r="I10" s="3"/>
      <c r="J10" s="88" t="s">
        <v>22</v>
      </c>
      <c r="K10" s="11">
        <f t="shared" ref="K10:M10" ca="1" si="1">SUM(K$4,K$8)</f>
        <v>0</v>
      </c>
      <c r="L10" s="11">
        <f t="shared" ca="1" si="1"/>
        <v>4290968.08</v>
      </c>
      <c r="M10" s="11">
        <f t="shared" ca="1" si="1"/>
        <v>4290968.08</v>
      </c>
      <c r="N10" s="11">
        <f ca="1">SUM(N$4,N$8)</f>
        <v>0</v>
      </c>
      <c r="O10" s="11">
        <f ca="1">SUM(O$4,O$8)</f>
        <v>0</v>
      </c>
    </row>
    <row r="11" spans="2:17" ht="5.0999999999999996" customHeight="1" x14ac:dyDescent="0.3">
      <c r="B11" s="2"/>
      <c r="H11" s="3"/>
      <c r="I11" s="3"/>
      <c r="J11" s="3"/>
      <c r="K11" s="4"/>
      <c r="L11" s="4"/>
      <c r="M11" s="4"/>
    </row>
    <row r="12" spans="2:17" x14ac:dyDescent="0.3">
      <c r="B12" s="2"/>
      <c r="F12" s="7">
        <f>SUBTOTAL(9,Tab_01.Jan[SALDO FINAL
ANTERIOR])</f>
        <v>0</v>
      </c>
      <c r="G12" s="7">
        <f>SUBTOTAL(9,Tab_01.Jan[DIFERENÇA])</f>
        <v>0</v>
      </c>
      <c r="H12" s="3"/>
      <c r="I12" s="3"/>
      <c r="J12" s="3"/>
      <c r="K12" s="7">
        <f>SUBTOTAL(9,Tab_01.Jan[SALDO
ANTERIOR])</f>
        <v>0</v>
      </c>
      <c r="L12" s="7">
        <f>SUBTOTAL(9,Tab_01.Jan[DÉBITO])</f>
        <v>21454840.399999999</v>
      </c>
      <c r="M12" s="7">
        <f>SUBTOTAL(9,Tab_01.Jan[CRÉDITO])</f>
        <v>21454840.399999999</v>
      </c>
      <c r="N12" s="7">
        <f>SUBTOTAL(9,Tab_01.Jan[SALDO
ATUAL])</f>
        <v>0</v>
      </c>
      <c r="O12" s="7">
        <f>SUBTOTAL(9,Tab_01.Jan[MOVIMENTO])</f>
        <v>0</v>
      </c>
    </row>
    <row r="13" spans="2:17" ht="5.0999999999999996" customHeight="1" x14ac:dyDescent="0.3">
      <c r="B13" s="2"/>
      <c r="H13" s="3"/>
      <c r="I13" s="3"/>
      <c r="J13" s="3"/>
      <c r="K13" s="4"/>
      <c r="L13" s="4"/>
      <c r="M13" s="4"/>
    </row>
    <row r="14" spans="2:17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7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SUMIFS(Tab_99.Trial[DEZEMBRO],Tab_99.Trial[CONTA],$I15)</f>
        <v>0</v>
      </c>
      <c r="G15" s="4">
        <f>IFERROR(IF(LEFT($I15)*1&gt;2,0,$F15-$K15),0)</f>
        <v>-83243926.390000001</v>
      </c>
      <c r="H15" s="89">
        <v>10000</v>
      </c>
      <c r="I15" s="3">
        <v>1</v>
      </c>
      <c r="J15" s="3" t="s">
        <v>637</v>
      </c>
      <c r="K15" s="173">
        <v>83243926.390000001</v>
      </c>
      <c r="L15" s="173">
        <v>1787424.88</v>
      </c>
      <c r="M15" s="173">
        <v>1192419.95</v>
      </c>
      <c r="N15" s="173">
        <v>83838931.319999993</v>
      </c>
      <c r="O15" s="4">
        <f>Tab_01.Jan[[#This Row],[DÉBITO]]-Tab_01.Jan[[#This Row],[CRÉDITO]]</f>
        <v>595004.93000000005</v>
      </c>
    </row>
    <row r="16" spans="2:17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SUMIFS(Tab_99.Trial[DEZEMBRO],Tab_99.Trial[CONTA],$I16)</f>
        <v>0</v>
      </c>
      <c r="G16" s="4">
        <f>IFERROR(IF(LEFT($I16)*1&gt;2,0,$F16-$K16),0)</f>
        <v>-10724052.699999999</v>
      </c>
      <c r="H16" s="89">
        <v>10015</v>
      </c>
      <c r="I16" s="3" t="s">
        <v>197</v>
      </c>
      <c r="J16" s="3" t="s">
        <v>247</v>
      </c>
      <c r="K16" s="173">
        <v>10724052.699999999</v>
      </c>
      <c r="L16" s="173">
        <v>1670567.01</v>
      </c>
      <c r="M16" s="173">
        <v>1185386.7</v>
      </c>
      <c r="N16" s="173">
        <v>11209233.01</v>
      </c>
      <c r="O16" s="4">
        <f>Tab_01.Jan[[#This Row],[DÉBITO]]-Tab_01.Jan[[#This Row],[CRÉDITO]]</f>
        <v>485180.31</v>
      </c>
      <c r="Q16" s="142"/>
    </row>
    <row r="17" spans="2:17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SUMIFS(Tab_99.Trial[DEZEMBRO],Tab_99.Trial[CONTA],$I17)</f>
        <v>0</v>
      </c>
      <c r="G17" s="4">
        <f>IFERROR(IF(LEFT($I17)*1&gt;2,0,$F17-$K17),0)</f>
        <v>-10610498.07</v>
      </c>
      <c r="H17" s="89">
        <v>10030</v>
      </c>
      <c r="I17" s="3" t="s">
        <v>199</v>
      </c>
      <c r="J17" s="3" t="s">
        <v>638</v>
      </c>
      <c r="K17" s="173">
        <v>10610498.07</v>
      </c>
      <c r="L17" s="173">
        <v>1390000.31</v>
      </c>
      <c r="M17" s="173">
        <v>1135005.1499999999</v>
      </c>
      <c r="N17" s="173">
        <v>10865493.23</v>
      </c>
      <c r="O17" s="4">
        <f>Tab_01.Jan[[#This Row],[DÉBITO]]-Tab_01.Jan[[#This Row],[CRÉDITO]]</f>
        <v>254995.16</v>
      </c>
      <c r="Q17" s="4"/>
    </row>
    <row r="18" spans="2:17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SUMIFS(Tab_99.Trial[DEZEMBRO],Tab_99.Trial[CONTA],$I18)</f>
        <v>0</v>
      </c>
      <c r="G18" s="4">
        <f t="shared" ref="G18:G49" si="2">IFERROR(IF(LEFT($I18)*1&gt;2,0,$F18-$K18),0)</f>
        <v>-4148.32</v>
      </c>
      <c r="H18" s="137">
        <v>10045</v>
      </c>
      <c r="I18" s="3" t="s">
        <v>201</v>
      </c>
      <c r="J18" s="3" t="s">
        <v>639</v>
      </c>
      <c r="K18" s="173">
        <v>4148.32</v>
      </c>
      <c r="L18" s="1">
        <v>1789.65</v>
      </c>
      <c r="M18" s="1">
        <v>2019.24</v>
      </c>
      <c r="N18" s="173">
        <v>3918.73</v>
      </c>
      <c r="O18" s="4">
        <f>Tab_01.Jan[[#This Row],[DÉBITO]]-Tab_01.Jan[[#This Row],[CRÉDITO]]</f>
        <v>-229.59</v>
      </c>
    </row>
    <row r="19" spans="2:17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SUMIFS(Tab_99.Trial[DEZEMBRO],Tab_99.Trial[CONTA],$I19)</f>
        <v>0</v>
      </c>
      <c r="G19" s="4">
        <f t="shared" si="2"/>
        <v>-4148.32</v>
      </c>
      <c r="H19" s="137" t="s">
        <v>852</v>
      </c>
      <c r="I19" s="3" t="s">
        <v>176</v>
      </c>
      <c r="J19" s="3" t="s">
        <v>274</v>
      </c>
      <c r="K19" s="173">
        <v>4148.32</v>
      </c>
      <c r="L19" s="1">
        <v>1789.65</v>
      </c>
      <c r="M19" s="1">
        <v>2019.24</v>
      </c>
      <c r="N19" s="173">
        <v>3918.73</v>
      </c>
      <c r="O19" s="4">
        <f>Tab_01.Jan[[#This Row],[DÉBITO]]-Tab_01.Jan[[#This Row],[CRÉDITO]]</f>
        <v>-229.59</v>
      </c>
    </row>
    <row r="20" spans="2:17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SUMIFS(Tab_99.Trial[DEZEMBRO],Tab_99.Trial[CONTA],$I20)</f>
        <v>0</v>
      </c>
      <c r="G20" s="4">
        <f t="shared" si="2"/>
        <v>-50020.45</v>
      </c>
      <c r="H20" s="137">
        <v>10090</v>
      </c>
      <c r="I20" s="3" t="s">
        <v>202</v>
      </c>
      <c r="J20" s="3" t="s">
        <v>640</v>
      </c>
      <c r="K20" s="173">
        <v>50020.45</v>
      </c>
      <c r="L20" s="173">
        <v>825093.74</v>
      </c>
      <c r="M20" s="173">
        <v>848198.29</v>
      </c>
      <c r="N20" s="173">
        <v>26915.9</v>
      </c>
      <c r="O20" s="4">
        <f>Tab_01.Jan[[#This Row],[DÉBITO]]-Tab_01.Jan[[#This Row],[CRÉDITO]]</f>
        <v>-23104.55</v>
      </c>
    </row>
    <row r="21" spans="2:17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SUMIFS(Tab_99.Trial[DEZEMBRO],Tab_99.Trial[CONTA],$I21)</f>
        <v>0</v>
      </c>
      <c r="G21" s="4">
        <f t="shared" si="2"/>
        <v>-801</v>
      </c>
      <c r="H21" s="137" t="s">
        <v>853</v>
      </c>
      <c r="I21" s="3" t="s">
        <v>277</v>
      </c>
      <c r="J21" s="3" t="s">
        <v>278</v>
      </c>
      <c r="K21" s="1">
        <v>801</v>
      </c>
      <c r="L21" s="173">
        <v>795093.07</v>
      </c>
      <c r="M21" s="173">
        <v>795893.07</v>
      </c>
      <c r="N21" s="1">
        <v>1</v>
      </c>
      <c r="O21" s="4">
        <f>Tab_01.Jan[[#This Row],[DÉBITO]]-Tab_01.Jan[[#This Row],[CRÉDITO]]</f>
        <v>-800</v>
      </c>
    </row>
    <row r="22" spans="2:17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SUMIFS(Tab_99.Trial[DEZEMBRO],Tab_99.Trial[CONTA],$I22)</f>
        <v>0</v>
      </c>
      <c r="G22" s="4">
        <f t="shared" si="2"/>
        <v>-33607.449999999997</v>
      </c>
      <c r="H22" s="137" t="s">
        <v>854</v>
      </c>
      <c r="I22" s="3" t="s">
        <v>177</v>
      </c>
      <c r="J22" s="3" t="s">
        <v>279</v>
      </c>
      <c r="K22" s="173">
        <v>33607.449999999997</v>
      </c>
      <c r="L22" s="173">
        <v>29990.11</v>
      </c>
      <c r="M22" s="173">
        <v>46408.32</v>
      </c>
      <c r="N22" s="173">
        <v>17189.240000000002</v>
      </c>
      <c r="O22" s="4">
        <f>Tab_01.Jan[[#This Row],[DÉBITO]]-Tab_01.Jan[[#This Row],[CRÉDITO]]</f>
        <v>-16418.21</v>
      </c>
    </row>
    <row r="23" spans="2:17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SUMIFS(Tab_99.Trial[DEZEMBRO],Tab_99.Trial[CONTA],$I23)</f>
        <v>0</v>
      </c>
      <c r="G23" s="4">
        <f t="shared" si="2"/>
        <v>-4475.3500000000004</v>
      </c>
      <c r="H23" s="137" t="s">
        <v>855</v>
      </c>
      <c r="I23" s="3" t="s">
        <v>280</v>
      </c>
      <c r="J23" s="3" t="s">
        <v>281</v>
      </c>
      <c r="K23" s="173">
        <v>4475.3500000000004</v>
      </c>
      <c r="L23" s="1">
        <v>0.56000000000000005</v>
      </c>
      <c r="M23" s="1">
        <v>229</v>
      </c>
      <c r="N23" s="173">
        <v>4246.91</v>
      </c>
      <c r="O23" s="4">
        <f>Tab_01.Jan[[#This Row],[DÉBITO]]-Tab_01.Jan[[#This Row],[CRÉDITO]]</f>
        <v>-228.44</v>
      </c>
    </row>
    <row r="24" spans="2:17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A</v>
      </c>
      <c r="E24" s="2">
        <f>IF($I24="","",COUNTIFS(Tab_00.Trial[CONTA],$I24))</f>
        <v>1</v>
      </c>
      <c r="F24" s="4">
        <f>SUMIFS(Tab_99.Trial[DEZEMBRO],Tab_99.Trial[CONTA],$I24)</f>
        <v>0</v>
      </c>
      <c r="G24" s="4">
        <f t="shared" si="2"/>
        <v>-11136.65</v>
      </c>
      <c r="H24" s="137" t="s">
        <v>856</v>
      </c>
      <c r="I24" s="3" t="s">
        <v>282</v>
      </c>
      <c r="J24" s="3" t="s">
        <v>283</v>
      </c>
      <c r="K24" s="173">
        <v>11136.65</v>
      </c>
      <c r="L24" s="1">
        <v>10</v>
      </c>
      <c r="M24" s="173">
        <v>5667.9</v>
      </c>
      <c r="N24" s="173">
        <v>5478.75</v>
      </c>
      <c r="O24" s="4">
        <f>Tab_01.Jan[[#This Row],[DÉBITO]]-Tab_01.Jan[[#This Row],[CRÉDITO]]</f>
        <v>-5657.9</v>
      </c>
    </row>
    <row r="25" spans="2:17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S</v>
      </c>
      <c r="E25" s="2">
        <f>IF($I25="","",COUNTIFS(Tab_00.Trial[CONTA],$I25))</f>
        <v>1</v>
      </c>
      <c r="F25" s="4">
        <f>SUMIFS(Tab_99.Trial[DEZEMBRO],Tab_99.Trial[CONTA],$I25)</f>
        <v>0</v>
      </c>
      <c r="G25" s="4">
        <f t="shared" si="2"/>
        <v>-10556329.300000001</v>
      </c>
      <c r="H25" s="137">
        <v>10180</v>
      </c>
      <c r="I25" s="3" t="s">
        <v>203</v>
      </c>
      <c r="J25" s="3" t="s">
        <v>641</v>
      </c>
      <c r="K25" s="173">
        <v>10556329.300000001</v>
      </c>
      <c r="L25" s="173">
        <v>563116.92000000004</v>
      </c>
      <c r="M25" s="173">
        <v>284787.62</v>
      </c>
      <c r="N25" s="173">
        <v>10834658.6</v>
      </c>
      <c r="O25" s="4">
        <f>Tab_01.Jan[[#This Row],[DÉBITO]]-Tab_01.Jan[[#This Row],[CRÉDITO]]</f>
        <v>278329.3</v>
      </c>
    </row>
    <row r="26" spans="2:17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SUMIFS(Tab_99.Trial[DEZEMBRO],Tab_99.Trial[CONTA],$I26)</f>
        <v>0</v>
      </c>
      <c r="G26" s="4">
        <f t="shared" si="2"/>
        <v>-5200966.07</v>
      </c>
      <c r="H26" s="137" t="s">
        <v>857</v>
      </c>
      <c r="I26" s="3" t="s">
        <v>178</v>
      </c>
      <c r="J26" s="3" t="s">
        <v>284</v>
      </c>
      <c r="K26" s="173">
        <v>5200966.07</v>
      </c>
      <c r="L26" s="173">
        <v>483688.48</v>
      </c>
      <c r="M26" s="173">
        <v>284782.75</v>
      </c>
      <c r="N26" s="173">
        <v>5399871.7999999998</v>
      </c>
      <c r="O26" s="4">
        <f>Tab_01.Jan[[#This Row],[DÉBITO]]-Tab_01.Jan[[#This Row],[CRÉDITO]]</f>
        <v>198905.73</v>
      </c>
    </row>
    <row r="27" spans="2:17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A</v>
      </c>
      <c r="E27" s="2">
        <f>IF($I27="","",COUNTIFS(Tab_00.Trial[CONTA],$I27))</f>
        <v>1</v>
      </c>
      <c r="F27" s="4">
        <f>SUMIFS(Tab_99.Trial[DEZEMBRO],Tab_99.Trial[CONTA],$I27)</f>
        <v>0</v>
      </c>
      <c r="G27" s="4">
        <f t="shared" si="2"/>
        <v>-5355363.2300000004</v>
      </c>
      <c r="H27" s="137" t="s">
        <v>858</v>
      </c>
      <c r="I27" s="3" t="s">
        <v>287</v>
      </c>
      <c r="J27" s="3" t="s">
        <v>288</v>
      </c>
      <c r="K27" s="173">
        <v>5355363.2300000004</v>
      </c>
      <c r="L27" s="173">
        <v>79428.44</v>
      </c>
      <c r="M27" s="1">
        <v>4.87</v>
      </c>
      <c r="N27" s="173">
        <v>5434786.7999999998</v>
      </c>
      <c r="O27" s="4">
        <f>Tab_01.Jan[[#This Row],[DÉBITO]]-Tab_01.Jan[[#This Row],[CRÉDITO]]</f>
        <v>79423.570000000007</v>
      </c>
    </row>
    <row r="28" spans="2:17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SUMIFS(Tab_99.Trial[DEZEMBRO],Tab_99.Trial[CONTA],$I28)</f>
        <v>0</v>
      </c>
      <c r="G28" s="4">
        <f t="shared" si="2"/>
        <v>-99274.97</v>
      </c>
      <c r="H28" s="137">
        <v>10270</v>
      </c>
      <c r="I28" s="3" t="s">
        <v>204</v>
      </c>
      <c r="J28" s="3" t="s">
        <v>642</v>
      </c>
      <c r="K28" s="173">
        <v>99274.97</v>
      </c>
      <c r="L28" s="1">
        <v>0</v>
      </c>
      <c r="M28" s="1">
        <v>0</v>
      </c>
      <c r="N28" s="173">
        <v>99274.97</v>
      </c>
      <c r="O28" s="4">
        <f>Tab_01.Jan[[#This Row],[DÉBITO]]-Tab_01.Jan[[#This Row],[CRÉDITO]]</f>
        <v>0</v>
      </c>
    </row>
    <row r="29" spans="2:17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S</v>
      </c>
      <c r="E29" s="2">
        <f>IF($I29="","",COUNTIFS(Tab_00.Trial[CONTA],$I29))</f>
        <v>1</v>
      </c>
      <c r="F29" s="4">
        <f>SUMIFS(Tab_99.Trial[DEZEMBRO],Tab_99.Trial[CONTA],$I29)</f>
        <v>0</v>
      </c>
      <c r="G29" s="4">
        <f t="shared" si="2"/>
        <v>-99274.97</v>
      </c>
      <c r="H29" s="137">
        <v>10345</v>
      </c>
      <c r="I29" s="3" t="s">
        <v>205</v>
      </c>
      <c r="J29" s="3" t="s">
        <v>643</v>
      </c>
      <c r="K29" s="173">
        <v>99274.97</v>
      </c>
      <c r="L29" s="1">
        <v>0</v>
      </c>
      <c r="M29" s="1">
        <v>0</v>
      </c>
      <c r="N29" s="173">
        <v>99274.97</v>
      </c>
      <c r="O29" s="4">
        <f>Tab_01.Jan[[#This Row],[DÉBITO]]-Tab_01.Jan[[#This Row],[CRÉDITO]]</f>
        <v>0</v>
      </c>
    </row>
    <row r="30" spans="2:17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A</v>
      </c>
      <c r="E30" s="2">
        <f>IF($I30="","",COUNTIFS(Tab_00.Trial[CONTA],$I30))</f>
        <v>1</v>
      </c>
      <c r="F30" s="4">
        <f>SUMIFS(Tab_99.Trial[DEZEMBRO],Tab_99.Trial[CONTA],$I30)</f>
        <v>0</v>
      </c>
      <c r="G30" s="4">
        <f t="shared" si="2"/>
        <v>-99274.97</v>
      </c>
      <c r="H30" s="137" t="s">
        <v>859</v>
      </c>
      <c r="I30" s="3" t="s">
        <v>291</v>
      </c>
      <c r="J30" s="3" t="s">
        <v>292</v>
      </c>
      <c r="K30" s="173">
        <v>99274.97</v>
      </c>
      <c r="L30" s="1">
        <v>0</v>
      </c>
      <c r="M30" s="1">
        <v>0</v>
      </c>
      <c r="N30" s="173">
        <v>99274.97</v>
      </c>
      <c r="O30" s="4">
        <f>Tab_01.Jan[[#This Row],[DÉBITO]]-Tab_01.Jan[[#This Row],[CRÉDITO]]</f>
        <v>0</v>
      </c>
      <c r="Q30" s="172"/>
    </row>
    <row r="31" spans="2:17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S</v>
      </c>
      <c r="E31" s="2">
        <f>IF($I31="","",COUNTIFS(Tab_00.Trial[CONTA],$I31))</f>
        <v>1</v>
      </c>
      <c r="F31" s="4">
        <f>SUMIFS(Tab_99.Trial[DEZEMBRO],Tab_99.Trial[CONTA],$I31)</f>
        <v>0</v>
      </c>
      <c r="G31" s="4">
        <f t="shared" si="2"/>
        <v>-11702.59</v>
      </c>
      <c r="H31" s="137">
        <v>10630</v>
      </c>
      <c r="I31" s="3" t="s">
        <v>206</v>
      </c>
      <c r="J31" s="3" t="s">
        <v>644</v>
      </c>
      <c r="K31" s="173">
        <v>11702.59</v>
      </c>
      <c r="L31" s="173">
        <v>31484.55</v>
      </c>
      <c r="M31" s="173">
        <v>33448.9</v>
      </c>
      <c r="N31" s="173">
        <v>9738.24</v>
      </c>
      <c r="O31" s="4">
        <f>Tab_01.Jan[[#This Row],[DÉBITO]]-Tab_01.Jan[[#This Row],[CRÉDITO]]</f>
        <v>-1964.35</v>
      </c>
    </row>
    <row r="32" spans="2:17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S</v>
      </c>
      <c r="E32" s="2">
        <f>IF($I32="","",COUNTIFS(Tab_00.Trial[CONTA],$I32))</f>
        <v>1</v>
      </c>
      <c r="F32" s="4">
        <f>SUMIFS(Tab_99.Trial[DEZEMBRO],Tab_99.Trial[CONTA],$I32)</f>
        <v>0</v>
      </c>
      <c r="G32" s="4">
        <f t="shared" si="2"/>
        <v>-11702.59</v>
      </c>
      <c r="H32" s="137">
        <v>10645</v>
      </c>
      <c r="I32" s="3" t="s">
        <v>208</v>
      </c>
      <c r="J32" s="3" t="s">
        <v>139</v>
      </c>
      <c r="K32" s="173">
        <v>11702.59</v>
      </c>
      <c r="L32" s="173">
        <v>27002.81</v>
      </c>
      <c r="M32" s="173">
        <v>33448.9</v>
      </c>
      <c r="N32" s="173">
        <v>5256.5</v>
      </c>
      <c r="O32" s="4">
        <f>Tab_01.Jan[[#This Row],[DÉBITO]]-Tab_01.Jan[[#This Row],[CRÉDITO]]</f>
        <v>-6446.09</v>
      </c>
    </row>
    <row r="33" spans="2:19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A</v>
      </c>
      <c r="E33" s="2">
        <f>IF($I33="","",COUNTIFS(Tab_00.Trial[CONTA],$I33))</f>
        <v>1</v>
      </c>
      <c r="F33" s="4">
        <f>SUMIFS(Tab_99.Trial[DEZEMBRO],Tab_99.Trial[CONTA],$I33)</f>
        <v>0</v>
      </c>
      <c r="G33" s="4">
        <f t="shared" si="2"/>
        <v>-44.58</v>
      </c>
      <c r="H33" s="137" t="s">
        <v>860</v>
      </c>
      <c r="I33" s="3" t="s">
        <v>179</v>
      </c>
      <c r="J33" s="3" t="s">
        <v>293</v>
      </c>
      <c r="K33" s="1">
        <v>44.58</v>
      </c>
      <c r="L33" s="1">
        <v>0</v>
      </c>
      <c r="M33" s="1">
        <v>0</v>
      </c>
      <c r="N33" s="1">
        <v>44.58</v>
      </c>
      <c r="O33" s="4">
        <f>Tab_01.Jan[[#This Row],[DÉBITO]]-Tab_01.Jan[[#This Row],[CRÉDITO]]</f>
        <v>0</v>
      </c>
    </row>
    <row r="34" spans="2:19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A</v>
      </c>
      <c r="E34" s="2">
        <f>IF($I34="","",COUNTIFS(Tab_00.Trial[CONTA],$I34))</f>
        <v>1</v>
      </c>
      <c r="F34" s="4">
        <f>SUMIFS(Tab_99.Trial[DEZEMBRO],Tab_99.Trial[CONTA],$I34)</f>
        <v>0</v>
      </c>
      <c r="G34" s="4">
        <f t="shared" si="2"/>
        <v>-11658.01</v>
      </c>
      <c r="H34" s="137" t="s">
        <v>861</v>
      </c>
      <c r="I34" s="3" t="s">
        <v>294</v>
      </c>
      <c r="J34" s="3" t="s">
        <v>295</v>
      </c>
      <c r="K34" s="173">
        <v>11658.01</v>
      </c>
      <c r="L34" s="173">
        <v>27002.81</v>
      </c>
      <c r="M34" s="173">
        <v>33448.9</v>
      </c>
      <c r="N34" s="173">
        <v>5211.92</v>
      </c>
      <c r="O34" s="4">
        <f>Tab_01.Jan[[#This Row],[DÉBITO]]-Tab_01.Jan[[#This Row],[CRÉDITO]]</f>
        <v>-6446.09</v>
      </c>
    </row>
    <row r="35" spans="2:19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S</v>
      </c>
      <c r="E35" s="2">
        <f>IF($I35="","",COUNTIFS(Tab_00.Trial[CONTA],$I35))</f>
        <v>1</v>
      </c>
      <c r="F35" s="4">
        <f>SUMIFS(Tab_99.Trial[DEZEMBRO],Tab_99.Trial[CONTA],$I35)</f>
        <v>0</v>
      </c>
      <c r="G35" s="4">
        <f t="shared" si="2"/>
        <v>0</v>
      </c>
      <c r="H35" s="137">
        <v>10765</v>
      </c>
      <c r="I35" s="3" t="s">
        <v>551</v>
      </c>
      <c r="J35" s="3" t="s">
        <v>645</v>
      </c>
      <c r="K35" s="173">
        <v>0</v>
      </c>
      <c r="L35" s="1">
        <v>4481.74</v>
      </c>
      <c r="M35" s="1">
        <v>0</v>
      </c>
      <c r="N35" s="173">
        <v>4481.74</v>
      </c>
      <c r="O35" s="4">
        <f>Tab_01.Jan[[#This Row],[DÉBITO]]-Tab_01.Jan[[#This Row],[CRÉDITO]]</f>
        <v>4481.74</v>
      </c>
    </row>
    <row r="36" spans="2:19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A</v>
      </c>
      <c r="E36" s="2">
        <f>IF($I36="","",COUNTIFS(Tab_00.Trial[CONTA],$I36))</f>
        <v>1</v>
      </c>
      <c r="F36" s="4">
        <f>SUMIFS(Tab_99.Trial[DEZEMBRO],Tab_99.Trial[CONTA],$I36)</f>
        <v>0</v>
      </c>
      <c r="G36" s="4">
        <f t="shared" si="2"/>
        <v>0</v>
      </c>
      <c r="H36" s="137" t="s">
        <v>862</v>
      </c>
      <c r="I36" s="3" t="s">
        <v>831</v>
      </c>
      <c r="J36" s="3" t="s">
        <v>832</v>
      </c>
      <c r="K36" s="173">
        <v>0</v>
      </c>
      <c r="L36" s="1">
        <v>4481.74</v>
      </c>
      <c r="M36" s="1">
        <v>0</v>
      </c>
      <c r="N36" s="173">
        <v>4481.74</v>
      </c>
      <c r="O36" s="4">
        <f>Tab_01.Jan[[#This Row],[DÉBITO]]-Tab_01.Jan[[#This Row],[CRÉDITO]]</f>
        <v>4481.74</v>
      </c>
    </row>
    <row r="37" spans="2:19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S</v>
      </c>
      <c r="E37" s="2">
        <f>IF($I37="","",COUNTIFS(Tab_00.Trial[CONTA],$I37))</f>
        <v>1</v>
      </c>
      <c r="F37" s="4">
        <f>SUMIFS(Tab_99.Trial[DEZEMBRO],Tab_99.Trial[CONTA],$I37)</f>
        <v>0</v>
      </c>
      <c r="G37" s="4">
        <f t="shared" si="2"/>
        <v>0</v>
      </c>
      <c r="H37" s="137">
        <v>10840</v>
      </c>
      <c r="I37" s="3" t="s">
        <v>840</v>
      </c>
      <c r="J37" s="3" t="s">
        <v>841</v>
      </c>
      <c r="K37" s="173">
        <v>0</v>
      </c>
      <c r="L37" s="1">
        <v>249082.15</v>
      </c>
      <c r="M37" s="1">
        <v>16644.91</v>
      </c>
      <c r="N37" s="173">
        <v>232437.24</v>
      </c>
      <c r="O37" s="4">
        <f>Tab_01.Jan[[#This Row],[DÉBITO]]-Tab_01.Jan[[#This Row],[CRÉDITO]]</f>
        <v>232437.24</v>
      </c>
    </row>
    <row r="38" spans="2:19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S</v>
      </c>
      <c r="E38" s="2">
        <f>IF($I38="","",COUNTIFS(Tab_00.Trial[CONTA],$I38))</f>
        <v>1</v>
      </c>
      <c r="F38" s="4">
        <f>SUMIFS(Tab_99.Trial[DEZEMBRO],Tab_99.Trial[CONTA],$I38)</f>
        <v>0</v>
      </c>
      <c r="G38" s="4">
        <f t="shared" si="2"/>
        <v>0</v>
      </c>
      <c r="H38" s="137">
        <v>10965</v>
      </c>
      <c r="I38" s="3" t="s">
        <v>842</v>
      </c>
      <c r="J38" s="3" t="s">
        <v>843</v>
      </c>
      <c r="K38" s="173">
        <v>0</v>
      </c>
      <c r="L38" s="173">
        <v>232437.24</v>
      </c>
      <c r="M38" s="173">
        <v>0</v>
      </c>
      <c r="N38" s="173">
        <v>232437.24</v>
      </c>
      <c r="O38" s="4">
        <f>Tab_01.Jan[[#This Row],[DÉBITO]]-Tab_01.Jan[[#This Row],[CRÉDITO]]</f>
        <v>232437.24</v>
      </c>
      <c r="S38" s="4"/>
    </row>
    <row r="39" spans="2:19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A</v>
      </c>
      <c r="E39" s="2">
        <f>IF($I39="","",COUNTIFS(Tab_00.Trial[CONTA],$I39))</f>
        <v>1</v>
      </c>
      <c r="F39" s="4">
        <f>SUMIFS(Tab_99.Trial[DEZEMBRO],Tab_99.Trial[CONTA],$I39)</f>
        <v>0</v>
      </c>
      <c r="G39" s="4">
        <f t="shared" si="2"/>
        <v>0</v>
      </c>
      <c r="H39" s="137" t="s">
        <v>863</v>
      </c>
      <c r="I39" s="3" t="s">
        <v>844</v>
      </c>
      <c r="J39" s="3" t="s">
        <v>843</v>
      </c>
      <c r="K39" s="173">
        <v>0</v>
      </c>
      <c r="L39" s="1">
        <v>232437.24</v>
      </c>
      <c r="M39" s="1">
        <v>0</v>
      </c>
      <c r="N39" s="173">
        <v>232437.24</v>
      </c>
      <c r="O39" s="4">
        <f>Tab_01.Jan[[#This Row],[DÉBITO]]-Tab_01.Jan[[#This Row],[CRÉDITO]]</f>
        <v>232437.24</v>
      </c>
    </row>
    <row r="40" spans="2:19" x14ac:dyDescent="0.3">
      <c r="B40" s="2" t="str">
        <f>_xlfn.XLOOKUP($I40,Tab_00.Trial[CONTA],Tab_00.Trial[TP],"",0,1)</f>
        <v>A</v>
      </c>
      <c r="C40" s="2">
        <f>_xlfn.XLOOKUP($I40,Tab_00.Trial[CONTA],Tab_00.Trial[NV],"",0,1)</f>
        <v>5</v>
      </c>
      <c r="D40" s="2" t="str">
        <f>_xlfn.XLOOKUP($I40,Tab_00.Trial[CONTA],Tab_00.Trial[S/A],"",0,1)</f>
        <v>S</v>
      </c>
      <c r="E40" s="2">
        <f>IF($I40="","",COUNTIFS(Tab_00.Trial[CONTA],$I40))</f>
        <v>1</v>
      </c>
      <c r="F40" s="4">
        <f>SUMIFS(Tab_99.Trial[DEZEMBRO],Tab_99.Trial[CONTA],$I40)</f>
        <v>0</v>
      </c>
      <c r="G40" s="4">
        <f t="shared" si="2"/>
        <v>0</v>
      </c>
      <c r="H40" s="137">
        <v>10881</v>
      </c>
      <c r="I40" s="3" t="s">
        <v>864</v>
      </c>
      <c r="J40" s="3" t="s">
        <v>865</v>
      </c>
      <c r="K40" s="173">
        <v>0</v>
      </c>
      <c r="L40" s="1">
        <v>16644.91</v>
      </c>
      <c r="M40" s="1">
        <v>16644.91</v>
      </c>
      <c r="N40" s="173">
        <v>0</v>
      </c>
      <c r="O40" s="4">
        <f>Tab_01.Jan[[#This Row],[DÉBITO]]-Tab_01.Jan[[#This Row],[CRÉDITO]]</f>
        <v>0</v>
      </c>
    </row>
    <row r="41" spans="2:19" x14ac:dyDescent="0.3">
      <c r="B41" s="2" t="str">
        <f>_xlfn.XLOOKUP($I41,Tab_00.Trial[CONTA],Tab_00.Trial[TP],"",0,1)</f>
        <v>A</v>
      </c>
      <c r="C41" s="2">
        <f>_xlfn.XLOOKUP($I41,Tab_00.Trial[CONTA],Tab_00.Trial[NV],"",0,1)</f>
        <v>5</v>
      </c>
      <c r="D41" s="2" t="str">
        <f>_xlfn.XLOOKUP($I41,Tab_00.Trial[CONTA],Tab_00.Trial[S/A],"",0,1)</f>
        <v>A</v>
      </c>
      <c r="E41" s="2">
        <f>IF($I41="","",COUNTIFS(Tab_00.Trial[CONTA],$I41))</f>
        <v>1</v>
      </c>
      <c r="F41" s="4">
        <f>SUMIFS(Tab_99.Trial[DEZEMBRO],Tab_99.Trial[CONTA],$I41)</f>
        <v>0</v>
      </c>
      <c r="G41" s="4">
        <f t="shared" si="2"/>
        <v>0</v>
      </c>
      <c r="H41" s="137" t="s">
        <v>866</v>
      </c>
      <c r="I41" s="3" t="s">
        <v>867</v>
      </c>
      <c r="J41" s="3" t="s">
        <v>868</v>
      </c>
      <c r="K41" s="173">
        <v>0</v>
      </c>
      <c r="L41" s="1">
        <v>16644.91</v>
      </c>
      <c r="M41" s="1">
        <v>16644.91</v>
      </c>
      <c r="N41" s="173">
        <v>0</v>
      </c>
      <c r="O41" s="4">
        <f>Tab_01.Jan[[#This Row],[DÉBITO]]-Tab_01.Jan[[#This Row],[CRÉDITO]]</f>
        <v>0</v>
      </c>
    </row>
    <row r="42" spans="2:19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S</v>
      </c>
      <c r="E42" s="2">
        <f>IF($I42="","",COUNTIFS(Tab_00.Trial[CONTA],$I42))</f>
        <v>1</v>
      </c>
      <c r="F42" s="4">
        <f>SUMIFS(Tab_99.Trial[DEZEMBRO],Tab_99.Trial[CONTA],$I42)</f>
        <v>0</v>
      </c>
      <c r="G42" s="4">
        <f t="shared" si="2"/>
        <v>-2577.0700000000002</v>
      </c>
      <c r="H42" s="137">
        <v>10975</v>
      </c>
      <c r="I42" s="3" t="s">
        <v>209</v>
      </c>
      <c r="J42" s="3" t="s">
        <v>646</v>
      </c>
      <c r="K42" s="173">
        <v>2577.0700000000002</v>
      </c>
      <c r="L42" s="173">
        <v>0</v>
      </c>
      <c r="M42" s="1">
        <v>287.74</v>
      </c>
      <c r="N42" s="173">
        <v>2289.33</v>
      </c>
      <c r="O42" s="4">
        <f>Tab_01.Jan[[#This Row],[DÉBITO]]-Tab_01.Jan[[#This Row],[CRÉDITO]]</f>
        <v>-287.74</v>
      </c>
    </row>
    <row r="43" spans="2:19" x14ac:dyDescent="0.3">
      <c r="B43" s="2" t="str">
        <f>_xlfn.XLOOKUP($I43,Tab_00.Trial[CONTA],Tab_00.Trial[TP],"",0,1)</f>
        <v>A</v>
      </c>
      <c r="C43" s="2">
        <f>_xlfn.XLOOKUP($I43,Tab_00.Trial[CONTA],Tab_00.Trial[NV],"",0,1)</f>
        <v>5</v>
      </c>
      <c r="D43" s="2" t="str">
        <f>_xlfn.XLOOKUP($I43,Tab_00.Trial[CONTA],Tab_00.Trial[S/A],"",0,1)</f>
        <v>S</v>
      </c>
      <c r="E43" s="2">
        <f>IF($I43="","",COUNTIFS(Tab_00.Trial[CONTA],$I43))</f>
        <v>1</v>
      </c>
      <c r="F43" s="4">
        <f>SUMIFS(Tab_99.Trial[DEZEMBRO],Tab_99.Trial[CONTA],$I43)</f>
        <v>0</v>
      </c>
      <c r="G43" s="4">
        <f t="shared" si="2"/>
        <v>-2577.0700000000002</v>
      </c>
      <c r="H43" s="137">
        <v>10990</v>
      </c>
      <c r="I43" s="3" t="s">
        <v>210</v>
      </c>
      <c r="J43" s="3" t="s">
        <v>646</v>
      </c>
      <c r="K43" s="173">
        <v>2577.0700000000002</v>
      </c>
      <c r="L43" s="1">
        <v>0</v>
      </c>
      <c r="M43" s="1">
        <v>287.74</v>
      </c>
      <c r="N43" s="173">
        <v>2289.33</v>
      </c>
      <c r="O43" s="4">
        <f>Tab_01.Jan[[#This Row],[DÉBITO]]-Tab_01.Jan[[#This Row],[CRÉDITO]]</f>
        <v>-287.74</v>
      </c>
    </row>
    <row r="44" spans="2:19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A</v>
      </c>
      <c r="E44" s="2">
        <f>IF($I44="","",COUNTIFS(Tab_00.Trial[CONTA],$I44))</f>
        <v>1</v>
      </c>
      <c r="F44" s="4">
        <f>SUMIFS(Tab_99.Trial[DEZEMBRO],Tab_99.Trial[CONTA],$I44)</f>
        <v>0</v>
      </c>
      <c r="G44" s="4">
        <f t="shared" si="2"/>
        <v>-2577.0700000000002</v>
      </c>
      <c r="H44" s="137" t="s">
        <v>869</v>
      </c>
      <c r="I44" s="3" t="s">
        <v>298</v>
      </c>
      <c r="J44" s="3" t="s">
        <v>299</v>
      </c>
      <c r="K44" s="173">
        <v>2577.0700000000002</v>
      </c>
      <c r="L44" s="1">
        <v>0</v>
      </c>
      <c r="M44" s="1">
        <v>287.74</v>
      </c>
      <c r="N44" s="173">
        <v>2289.33</v>
      </c>
      <c r="O44" s="4">
        <f>Tab_01.Jan[[#This Row],[DÉBITO]]-Tab_01.Jan[[#This Row],[CRÉDITO]]</f>
        <v>-287.74</v>
      </c>
    </row>
    <row r="45" spans="2:19" x14ac:dyDescent="0.3">
      <c r="B45" s="2" t="str">
        <f>_xlfn.XLOOKUP($I45,Tab_00.Trial[CONTA],Tab_00.Trial[TP],"",0,1)</f>
        <v>A</v>
      </c>
      <c r="C45" s="2">
        <f>_xlfn.XLOOKUP($I45,Tab_00.Trial[CONTA],Tab_00.Trial[NV],"",0,1)</f>
        <v>2</v>
      </c>
      <c r="D45" s="2" t="str">
        <f>_xlfn.XLOOKUP($I45,Tab_00.Trial[CONTA],Tab_00.Trial[S/A],"",0,1)</f>
        <v>S</v>
      </c>
      <c r="E45" s="2">
        <f>IF($I45="","",COUNTIFS(Tab_00.Trial[CONTA],$I45))</f>
        <v>1</v>
      </c>
      <c r="F45" s="4">
        <f>SUMIFS(Tab_99.Trial[DEZEMBRO],Tab_99.Trial[CONTA],$I45)</f>
        <v>0</v>
      </c>
      <c r="G45" s="4">
        <f t="shared" si="2"/>
        <v>-72519873.689999998</v>
      </c>
      <c r="H45" s="137">
        <v>11065</v>
      </c>
      <c r="I45" s="3" t="s">
        <v>211</v>
      </c>
      <c r="J45" s="3" t="s">
        <v>76</v>
      </c>
      <c r="K45" s="173">
        <v>72519873.689999998</v>
      </c>
      <c r="L45" s="1">
        <v>116857.87</v>
      </c>
      <c r="M45" s="1">
        <v>7033.25</v>
      </c>
      <c r="N45" s="173">
        <v>72629698.310000002</v>
      </c>
      <c r="O45" s="4">
        <f>Tab_01.Jan[[#This Row],[DÉBITO]]-Tab_01.Jan[[#This Row],[CRÉDITO]]</f>
        <v>109824.62</v>
      </c>
    </row>
    <row r="46" spans="2:19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S</v>
      </c>
      <c r="E46" s="2">
        <f>IF($I46="","",COUNTIFS(Tab_00.Trial[CONTA],$I46))</f>
        <v>1</v>
      </c>
      <c r="F46" s="4">
        <f>SUMIFS(Tab_99.Trial[DEZEMBRO],Tab_99.Trial[CONTA],$I46)</f>
        <v>0</v>
      </c>
      <c r="G46" s="4">
        <f t="shared" si="2"/>
        <v>-251672.86</v>
      </c>
      <c r="H46" s="137">
        <v>11080</v>
      </c>
      <c r="I46" s="3" t="s">
        <v>552</v>
      </c>
      <c r="J46" s="3" t="s">
        <v>647</v>
      </c>
      <c r="K46" s="173">
        <v>251672.86</v>
      </c>
      <c r="L46" s="1">
        <v>417.93</v>
      </c>
      <c r="M46" s="1">
        <v>0</v>
      </c>
      <c r="N46" s="173">
        <v>252090.79</v>
      </c>
      <c r="O46" s="4">
        <f>Tab_01.Jan[[#This Row],[DÉBITO]]-Tab_01.Jan[[#This Row],[CRÉDITO]]</f>
        <v>417.93</v>
      </c>
    </row>
    <row r="47" spans="2:19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S</v>
      </c>
      <c r="E47" s="2">
        <f>IF($I47="","",COUNTIFS(Tab_00.Trial[CONTA],$I47))</f>
        <v>1</v>
      </c>
      <c r="F47" s="4">
        <f>SUMIFS(Tab_99.Trial[DEZEMBRO],Tab_99.Trial[CONTA],$I47)</f>
        <v>0</v>
      </c>
      <c r="G47" s="4">
        <f t="shared" si="2"/>
        <v>-251672.86</v>
      </c>
      <c r="H47" s="137">
        <v>11125</v>
      </c>
      <c r="I47" s="3" t="s">
        <v>553</v>
      </c>
      <c r="J47" s="3" t="s">
        <v>301</v>
      </c>
      <c r="K47" s="173">
        <v>251672.86</v>
      </c>
      <c r="L47" s="1">
        <v>417.93</v>
      </c>
      <c r="M47" s="1">
        <v>0</v>
      </c>
      <c r="N47" s="173">
        <v>252090.79</v>
      </c>
      <c r="O47" s="4">
        <f>Tab_01.Jan[[#This Row],[DÉBITO]]-Tab_01.Jan[[#This Row],[CRÉDITO]]</f>
        <v>417.93</v>
      </c>
    </row>
    <row r="48" spans="2:19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A</v>
      </c>
      <c r="E48" s="2">
        <f>IF($I48="","",COUNTIFS(Tab_00.Trial[CONTA],$I48))</f>
        <v>1</v>
      </c>
      <c r="F48" s="4">
        <f>SUMIFS(Tab_99.Trial[DEZEMBRO],Tab_99.Trial[CONTA],$I48)</f>
        <v>0</v>
      </c>
      <c r="G48" s="4">
        <f t="shared" si="2"/>
        <v>-251672.86</v>
      </c>
      <c r="H48" s="137" t="s">
        <v>870</v>
      </c>
      <c r="I48" s="3" t="s">
        <v>300</v>
      </c>
      <c r="J48" s="3" t="s">
        <v>301</v>
      </c>
      <c r="K48" s="173">
        <v>251672.86</v>
      </c>
      <c r="L48" s="173">
        <v>417.93</v>
      </c>
      <c r="M48" s="1">
        <v>0</v>
      </c>
      <c r="N48" s="173">
        <v>252090.79</v>
      </c>
      <c r="O48" s="4">
        <f>Tab_01.Jan[[#This Row],[DÉBITO]]-Tab_01.Jan[[#This Row],[CRÉDITO]]</f>
        <v>417.93</v>
      </c>
    </row>
    <row r="49" spans="2:18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S</v>
      </c>
      <c r="E49" s="2">
        <f>IF($I49="","",COUNTIFS(Tab_00.Trial[CONTA],$I49))</f>
        <v>1</v>
      </c>
      <c r="F49" s="4">
        <f>SUMIFS(Tab_99.Trial[DEZEMBRO],Tab_99.Trial[CONTA],$I49)</f>
        <v>0</v>
      </c>
      <c r="G49" s="4">
        <f t="shared" si="2"/>
        <v>-69951378.069999993</v>
      </c>
      <c r="H49" s="137">
        <v>11170</v>
      </c>
      <c r="I49" s="3" t="s">
        <v>554</v>
      </c>
      <c r="J49" s="3" t="s">
        <v>648</v>
      </c>
      <c r="K49" s="173">
        <v>69951378.069999993</v>
      </c>
      <c r="L49" s="173">
        <v>95912</v>
      </c>
      <c r="M49" s="1">
        <v>0</v>
      </c>
      <c r="N49" s="173">
        <v>70047290.069999993</v>
      </c>
      <c r="O49" s="4">
        <f>Tab_01.Jan[[#This Row],[DÉBITO]]-Tab_01.Jan[[#This Row],[CRÉDITO]]</f>
        <v>95912</v>
      </c>
    </row>
    <row r="50" spans="2:18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S</v>
      </c>
      <c r="E50" s="2">
        <f>IF($I50="","",COUNTIFS(Tab_00.Trial[CONTA],$I50))</f>
        <v>1</v>
      </c>
      <c r="F50" s="4">
        <f>SUMIFS(Tab_99.Trial[DEZEMBRO],Tab_99.Trial[CONTA],$I50)</f>
        <v>0</v>
      </c>
      <c r="G50" s="4">
        <f t="shared" ref="G50:G81" si="3">IFERROR(IF(LEFT($I50)*1&gt;2,0,$F50-$K50),0)</f>
        <v>-45344232.229999997</v>
      </c>
      <c r="H50" s="137">
        <v>11185</v>
      </c>
      <c r="I50" s="3" t="s">
        <v>555</v>
      </c>
      <c r="J50" s="3" t="s">
        <v>649</v>
      </c>
      <c r="K50" s="173">
        <v>45344232.229999997</v>
      </c>
      <c r="L50" s="173">
        <v>0</v>
      </c>
      <c r="M50" s="173">
        <v>0</v>
      </c>
      <c r="N50" s="173">
        <v>45344232.229999997</v>
      </c>
      <c r="O50" s="4">
        <f>Tab_01.Jan[[#This Row],[DÉBITO]]-Tab_01.Jan[[#This Row],[CRÉDITO]]</f>
        <v>0</v>
      </c>
    </row>
    <row r="51" spans="2:18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A</v>
      </c>
      <c r="E51" s="2">
        <f>IF($I51="","",COUNTIFS(Tab_00.Trial[CONTA],$I51))</f>
        <v>1</v>
      </c>
      <c r="F51" s="4">
        <f>SUMIFS(Tab_99.Trial[DEZEMBRO],Tab_99.Trial[CONTA],$I51)</f>
        <v>0</v>
      </c>
      <c r="G51" s="4">
        <f t="shared" si="3"/>
        <v>-42477392.43</v>
      </c>
      <c r="H51" s="137" t="s">
        <v>871</v>
      </c>
      <c r="I51" s="3" t="s">
        <v>302</v>
      </c>
      <c r="J51" s="3" t="s">
        <v>303</v>
      </c>
      <c r="K51" s="173">
        <v>42477392.43</v>
      </c>
      <c r="L51" s="173">
        <v>0</v>
      </c>
      <c r="M51" s="1">
        <v>0</v>
      </c>
      <c r="N51" s="173">
        <v>42477392.43</v>
      </c>
      <c r="O51" s="4">
        <f>Tab_01.Jan[[#This Row],[DÉBITO]]-Tab_01.Jan[[#This Row],[CRÉDITO]]</f>
        <v>0</v>
      </c>
    </row>
    <row r="52" spans="2:18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A</v>
      </c>
      <c r="E52" s="2">
        <f>IF($I52="","",COUNTIFS(Tab_00.Trial[CONTA],$I52))</f>
        <v>1</v>
      </c>
      <c r="F52" s="4">
        <f>SUMIFS(Tab_99.Trial[DEZEMBRO],Tab_99.Trial[CONTA],$I52)</f>
        <v>0</v>
      </c>
      <c r="G52" s="4">
        <f t="shared" si="3"/>
        <v>-2866839.8</v>
      </c>
      <c r="H52" s="137" t="s">
        <v>872</v>
      </c>
      <c r="I52" s="3" t="s">
        <v>304</v>
      </c>
      <c r="J52" s="3" t="s">
        <v>305</v>
      </c>
      <c r="K52" s="173">
        <v>2866839.8</v>
      </c>
      <c r="L52" s="1">
        <v>0</v>
      </c>
      <c r="M52" s="1">
        <v>0</v>
      </c>
      <c r="N52" s="173">
        <v>2866839.8</v>
      </c>
      <c r="O52" s="4">
        <f>Tab_01.Jan[[#This Row],[DÉBITO]]-Tab_01.Jan[[#This Row],[CRÉDITO]]</f>
        <v>0</v>
      </c>
      <c r="Q52" s="141"/>
      <c r="R52" s="142"/>
    </row>
    <row r="53" spans="2:18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S</v>
      </c>
      <c r="E53" s="2">
        <f>IF($I53="","",COUNTIFS(Tab_00.Trial[CONTA],$I53))</f>
        <v>1</v>
      </c>
      <c r="F53" s="4">
        <f>SUMIFS(Tab_99.Trial[DEZEMBRO],Tab_99.Trial[CONTA],$I53)</f>
        <v>0</v>
      </c>
      <c r="G53" s="4">
        <f t="shared" si="3"/>
        <v>-4760.84</v>
      </c>
      <c r="H53" s="137">
        <v>11215</v>
      </c>
      <c r="I53" s="3" t="s">
        <v>556</v>
      </c>
      <c r="J53" s="3" t="s">
        <v>650</v>
      </c>
      <c r="K53" s="173">
        <v>4760.84</v>
      </c>
      <c r="L53" s="173">
        <v>0</v>
      </c>
      <c r="M53" s="1">
        <v>0</v>
      </c>
      <c r="N53" s="173">
        <v>4760.84</v>
      </c>
      <c r="O53" s="4">
        <f>Tab_01.Jan[[#This Row],[DÉBITO]]-Tab_01.Jan[[#This Row],[CRÉDITO]]</f>
        <v>0</v>
      </c>
    </row>
    <row r="54" spans="2:18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A</v>
      </c>
      <c r="E54" s="2">
        <f>IF($I54="","",COUNTIFS(Tab_00.Trial[CONTA],$I54))</f>
        <v>1</v>
      </c>
      <c r="F54" s="4">
        <f>SUMIFS(Tab_99.Trial[DEZEMBRO],Tab_99.Trial[CONTA],$I54)</f>
        <v>0</v>
      </c>
      <c r="G54" s="4">
        <f t="shared" si="3"/>
        <v>-4760.84</v>
      </c>
      <c r="H54" s="137" t="s">
        <v>873</v>
      </c>
      <c r="I54" s="3" t="s">
        <v>306</v>
      </c>
      <c r="J54" s="3" t="s">
        <v>307</v>
      </c>
      <c r="K54" s="173">
        <v>4760.84</v>
      </c>
      <c r="L54" s="1">
        <v>0</v>
      </c>
      <c r="M54" s="1">
        <v>0</v>
      </c>
      <c r="N54" s="173">
        <v>4760.84</v>
      </c>
      <c r="O54" s="4">
        <f>Tab_01.Jan[[#This Row],[DÉBITO]]-Tab_01.Jan[[#This Row],[CRÉDITO]]</f>
        <v>0</v>
      </c>
    </row>
    <row r="55" spans="2:18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S</v>
      </c>
      <c r="E55" s="2">
        <f>IF($I55="","",COUNTIFS(Tab_00.Trial[CONTA],$I55))</f>
        <v>1</v>
      </c>
      <c r="F55" s="4">
        <f>SUMIFS(Tab_99.Trial[DEZEMBRO],Tab_99.Trial[CONTA],$I55)</f>
        <v>0</v>
      </c>
      <c r="G55" s="4">
        <f t="shared" si="3"/>
        <v>-24602385</v>
      </c>
      <c r="H55" s="137">
        <v>11235</v>
      </c>
      <c r="I55" s="3" t="s">
        <v>557</v>
      </c>
      <c r="J55" s="3" t="s">
        <v>309</v>
      </c>
      <c r="K55" s="173">
        <v>24602385</v>
      </c>
      <c r="L55" s="1">
        <v>95912</v>
      </c>
      <c r="M55" s="1">
        <v>0</v>
      </c>
      <c r="N55" s="173">
        <v>24698297</v>
      </c>
      <c r="O55" s="4">
        <f>Tab_01.Jan[[#This Row],[DÉBITO]]-Tab_01.Jan[[#This Row],[CRÉDITO]]</f>
        <v>95912</v>
      </c>
    </row>
    <row r="56" spans="2:18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A</v>
      </c>
      <c r="E56" s="2">
        <f>IF($I56="","",COUNTIFS(Tab_00.Trial[CONTA],$I56))</f>
        <v>1</v>
      </c>
      <c r="F56" s="4">
        <f>SUMIFS(Tab_99.Trial[DEZEMBRO],Tab_99.Trial[CONTA],$I56)</f>
        <v>0</v>
      </c>
      <c r="G56" s="4">
        <f t="shared" si="3"/>
        <v>-24602385</v>
      </c>
      <c r="H56" s="137" t="s">
        <v>874</v>
      </c>
      <c r="I56" s="3" t="s">
        <v>308</v>
      </c>
      <c r="J56" s="3" t="s">
        <v>309</v>
      </c>
      <c r="K56" s="173">
        <v>24602385</v>
      </c>
      <c r="L56" s="1">
        <v>95912</v>
      </c>
      <c r="M56" s="1">
        <v>0</v>
      </c>
      <c r="N56" s="173">
        <v>24698297</v>
      </c>
      <c r="O56" s="4">
        <f>Tab_01.Jan[[#This Row],[DÉBITO]]-Tab_01.Jan[[#This Row],[CRÉDITO]]</f>
        <v>95912</v>
      </c>
    </row>
    <row r="57" spans="2:18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S</v>
      </c>
      <c r="E57" s="2">
        <f>IF($I57="","",COUNTIFS(Tab_00.Trial[CONTA],$I57))</f>
        <v>1</v>
      </c>
      <c r="F57" s="4">
        <f>SUMIFS(Tab_99.Trial[DEZEMBRO],Tab_99.Trial[CONTA],$I57)</f>
        <v>0</v>
      </c>
      <c r="G57" s="4">
        <f t="shared" si="3"/>
        <v>-2316822.7599999998</v>
      </c>
      <c r="H57" s="137">
        <v>11245</v>
      </c>
      <c r="I57" s="3" t="s">
        <v>213</v>
      </c>
      <c r="J57" s="3" t="s">
        <v>35</v>
      </c>
      <c r="K57" s="173">
        <v>2316822.7599999998</v>
      </c>
      <c r="L57" s="1">
        <v>20527.939999999999</v>
      </c>
      <c r="M57" s="1">
        <v>7033.25</v>
      </c>
      <c r="N57" s="173">
        <v>2330317.4500000002</v>
      </c>
      <c r="O57" s="4">
        <f>Tab_01.Jan[[#This Row],[DÉBITO]]-Tab_01.Jan[[#This Row],[CRÉDITO]]</f>
        <v>13494.69</v>
      </c>
    </row>
    <row r="58" spans="2:18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S</v>
      </c>
      <c r="E58" s="2">
        <f>IF($I58="","",COUNTIFS(Tab_00.Trial[CONTA],$I58))</f>
        <v>1</v>
      </c>
      <c r="F58" s="4">
        <f>SUMIFS(Tab_99.Trial[DEZEMBRO],Tab_99.Trial[CONTA],$I58)</f>
        <v>0</v>
      </c>
      <c r="G58" s="4">
        <f t="shared" si="3"/>
        <v>-3468596.77</v>
      </c>
      <c r="H58" s="137">
        <v>11260</v>
      </c>
      <c r="I58" s="3" t="s">
        <v>214</v>
      </c>
      <c r="J58" s="3" t="s">
        <v>651</v>
      </c>
      <c r="K58" s="173">
        <v>3468596.77</v>
      </c>
      <c r="L58" s="1">
        <v>18858.79</v>
      </c>
      <c r="M58" s="1">
        <v>0</v>
      </c>
      <c r="N58" s="173">
        <v>3487455.56</v>
      </c>
      <c r="O58" s="4">
        <f>Tab_01.Jan[[#This Row],[DÉBITO]]-Tab_01.Jan[[#This Row],[CRÉDITO]]</f>
        <v>18858.79</v>
      </c>
    </row>
    <row r="59" spans="2:18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A</v>
      </c>
      <c r="E59" s="2">
        <f>IF($I59="","",COUNTIFS(Tab_00.Trial[CONTA],$I59))</f>
        <v>1</v>
      </c>
      <c r="F59" s="4">
        <f>SUMIFS(Tab_99.Trial[DEZEMBRO],Tab_99.Trial[CONTA],$I59)</f>
        <v>0</v>
      </c>
      <c r="G59" s="4">
        <f t="shared" si="3"/>
        <v>-1379260.84</v>
      </c>
      <c r="H59" s="137" t="s">
        <v>875</v>
      </c>
      <c r="I59" s="3" t="s">
        <v>310</v>
      </c>
      <c r="J59" s="3" t="s">
        <v>311</v>
      </c>
      <c r="K59" s="173">
        <v>1379260.84</v>
      </c>
      <c r="L59" s="1">
        <v>0</v>
      </c>
      <c r="M59" s="1">
        <v>0</v>
      </c>
      <c r="N59" s="173">
        <v>1379260.84</v>
      </c>
      <c r="O59" s="4">
        <f>Tab_01.Jan[[#This Row],[DÉBITO]]-Tab_01.Jan[[#This Row],[CRÉDITO]]</f>
        <v>0</v>
      </c>
    </row>
    <row r="60" spans="2:18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A</v>
      </c>
      <c r="E60" s="2">
        <f>IF($I60="","",COUNTIFS(Tab_00.Trial[CONTA],$I60))</f>
        <v>1</v>
      </c>
      <c r="F60" s="4">
        <f>SUMIFS(Tab_99.Trial[DEZEMBRO],Tab_99.Trial[CONTA],$I60)</f>
        <v>0</v>
      </c>
      <c r="G60" s="4">
        <f t="shared" si="3"/>
        <v>-1215138.19</v>
      </c>
      <c r="H60" s="137" t="s">
        <v>876</v>
      </c>
      <c r="I60" s="3" t="s">
        <v>312</v>
      </c>
      <c r="J60" s="3" t="s">
        <v>313</v>
      </c>
      <c r="K60" s="173">
        <v>1215138.19</v>
      </c>
      <c r="L60" s="1">
        <v>18858.79</v>
      </c>
      <c r="M60" s="1">
        <v>0</v>
      </c>
      <c r="N60" s="173">
        <v>1233996.98</v>
      </c>
      <c r="O60" s="4">
        <f>Tab_01.Jan[[#This Row],[DÉBITO]]-Tab_01.Jan[[#This Row],[CRÉDITO]]</f>
        <v>18858.79</v>
      </c>
    </row>
    <row r="61" spans="2:18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SUMIFS(Tab_99.Trial[DEZEMBRO],Tab_99.Trial[CONTA],$I61)</f>
        <v>0</v>
      </c>
      <c r="G61" s="4">
        <f t="shared" si="3"/>
        <v>-23000</v>
      </c>
      <c r="H61" s="137" t="s">
        <v>877</v>
      </c>
      <c r="I61" s="3" t="s">
        <v>181</v>
      </c>
      <c r="J61" s="3" t="s">
        <v>314</v>
      </c>
      <c r="K61" s="173">
        <v>23000</v>
      </c>
      <c r="L61" s="173">
        <v>0</v>
      </c>
      <c r="M61" s="173">
        <v>0</v>
      </c>
      <c r="N61" s="173">
        <v>23000</v>
      </c>
      <c r="O61" s="4">
        <f>Tab_01.Jan[[#This Row],[DÉBITO]]-Tab_01.Jan[[#This Row],[CRÉDITO]]</f>
        <v>0</v>
      </c>
    </row>
    <row r="62" spans="2:18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SUMIFS(Tab_99.Trial[DEZEMBRO],Tab_99.Trial[CONTA],$I62)</f>
        <v>0</v>
      </c>
      <c r="G62" s="4">
        <f t="shared" si="3"/>
        <v>-12594</v>
      </c>
      <c r="H62" s="137" t="s">
        <v>878</v>
      </c>
      <c r="I62" s="3" t="s">
        <v>182</v>
      </c>
      <c r="J62" s="3" t="s">
        <v>315</v>
      </c>
      <c r="K62" s="173">
        <v>12594</v>
      </c>
      <c r="L62" s="1">
        <v>0</v>
      </c>
      <c r="M62" s="173">
        <v>0</v>
      </c>
      <c r="N62" s="173">
        <v>12594</v>
      </c>
      <c r="O62" s="4">
        <f>Tab_01.Jan[[#This Row],[DÉBITO]]-Tab_01.Jan[[#This Row],[CRÉDITO]]</f>
        <v>0</v>
      </c>
    </row>
    <row r="63" spans="2:18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A</v>
      </c>
      <c r="E63" s="2">
        <f>IF($I63="","",COUNTIFS(Tab_00.Trial[CONTA],$I63))</f>
        <v>1</v>
      </c>
      <c r="F63" s="4">
        <f>SUMIFS(Tab_99.Trial[DEZEMBRO],Tab_99.Trial[CONTA],$I63)</f>
        <v>0</v>
      </c>
      <c r="G63" s="4">
        <f t="shared" si="3"/>
        <v>-223690.57</v>
      </c>
      <c r="H63" s="137" t="s">
        <v>879</v>
      </c>
      <c r="I63" s="3" t="s">
        <v>183</v>
      </c>
      <c r="J63" s="3" t="s">
        <v>316</v>
      </c>
      <c r="K63" s="173">
        <v>223690.57</v>
      </c>
      <c r="L63" s="1">
        <v>0</v>
      </c>
      <c r="M63" s="1">
        <v>0</v>
      </c>
      <c r="N63" s="173">
        <v>223690.57</v>
      </c>
      <c r="O63" s="4">
        <f>Tab_01.Jan[[#This Row],[DÉBITO]]-Tab_01.Jan[[#This Row],[CRÉDITO]]</f>
        <v>0</v>
      </c>
    </row>
    <row r="64" spans="2:18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A</v>
      </c>
      <c r="E64" s="2">
        <f>IF($I64="","",COUNTIFS(Tab_00.Trial[CONTA],$I64))</f>
        <v>1</v>
      </c>
      <c r="F64" s="4">
        <f>SUMIFS(Tab_99.Trial[DEZEMBRO],Tab_99.Trial[CONTA],$I64)</f>
        <v>0</v>
      </c>
      <c r="G64" s="4">
        <f t="shared" si="3"/>
        <v>-7349.9</v>
      </c>
      <c r="H64" s="137" t="s">
        <v>880</v>
      </c>
      <c r="I64" s="3" t="s">
        <v>317</v>
      </c>
      <c r="J64" s="3" t="s">
        <v>318</v>
      </c>
      <c r="K64" s="173">
        <v>7349.9</v>
      </c>
      <c r="L64" s="1">
        <v>0</v>
      </c>
      <c r="M64" s="1">
        <v>0</v>
      </c>
      <c r="N64" s="173">
        <v>7349.9</v>
      </c>
      <c r="O64" s="4">
        <f>Tab_01.Jan[[#This Row],[DÉBITO]]-Tab_01.Jan[[#This Row],[CRÉDITO]]</f>
        <v>0</v>
      </c>
    </row>
    <row r="65" spans="2:17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SUMIFS(Tab_99.Trial[DEZEMBRO],Tab_99.Trial[CONTA],$I65)</f>
        <v>0</v>
      </c>
      <c r="G65" s="4">
        <f t="shared" si="3"/>
        <v>-128697.03</v>
      </c>
      <c r="H65" s="137" t="s">
        <v>881</v>
      </c>
      <c r="I65" s="3" t="s">
        <v>184</v>
      </c>
      <c r="J65" s="3" t="s">
        <v>319</v>
      </c>
      <c r="K65" s="173">
        <v>128697.03</v>
      </c>
      <c r="L65" s="1">
        <v>0</v>
      </c>
      <c r="M65" s="173">
        <v>0</v>
      </c>
      <c r="N65" s="173">
        <v>128697.03</v>
      </c>
      <c r="O65" s="4">
        <f>Tab_01.Jan[[#This Row],[DÉBITO]]-Tab_01.Jan[[#This Row],[CRÉDITO]]</f>
        <v>0</v>
      </c>
    </row>
    <row r="66" spans="2:17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A</v>
      </c>
      <c r="E66" s="2">
        <f>IF($I66="","",COUNTIFS(Tab_00.Trial[CONTA],$I66))</f>
        <v>1</v>
      </c>
      <c r="F66" s="4">
        <f>SUMIFS(Tab_99.Trial[DEZEMBRO],Tab_99.Trial[CONTA],$I66)</f>
        <v>0</v>
      </c>
      <c r="G66" s="4">
        <f t="shared" si="3"/>
        <v>-15029.74</v>
      </c>
      <c r="H66" s="137" t="s">
        <v>882</v>
      </c>
      <c r="I66" s="3" t="s">
        <v>185</v>
      </c>
      <c r="J66" s="3" t="s">
        <v>320</v>
      </c>
      <c r="K66" s="173">
        <v>15029.74</v>
      </c>
      <c r="L66" s="1">
        <v>0</v>
      </c>
      <c r="M66" s="1">
        <v>0</v>
      </c>
      <c r="N66" s="173">
        <v>15029.74</v>
      </c>
      <c r="O66" s="4">
        <f>Tab_01.Jan[[#This Row],[DÉBITO]]-Tab_01.Jan[[#This Row],[CRÉDITO]]</f>
        <v>0</v>
      </c>
    </row>
    <row r="67" spans="2:17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SUMIFS(Tab_99.Trial[DEZEMBRO],Tab_99.Trial[CONTA],$I67)</f>
        <v>0</v>
      </c>
      <c r="G67" s="4">
        <f t="shared" si="3"/>
        <v>-463836.5</v>
      </c>
      <c r="H67" s="137" t="s">
        <v>883</v>
      </c>
      <c r="I67" s="3" t="s">
        <v>321</v>
      </c>
      <c r="J67" s="3" t="s">
        <v>322</v>
      </c>
      <c r="K67" s="173">
        <v>463836.5</v>
      </c>
      <c r="L67" s="173">
        <v>0</v>
      </c>
      <c r="M67" s="1">
        <v>0</v>
      </c>
      <c r="N67" s="173">
        <v>463836.5</v>
      </c>
      <c r="O67" s="4">
        <f>Tab_01.Jan[[#This Row],[DÉBITO]]-Tab_01.Jan[[#This Row],[CRÉDITO]]</f>
        <v>0</v>
      </c>
    </row>
    <row r="68" spans="2:17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S</v>
      </c>
      <c r="E68" s="2">
        <f>IF($I68="","",COUNTIFS(Tab_00.Trial[CONTA],$I68))</f>
        <v>1</v>
      </c>
      <c r="F68" s="4">
        <f>SUMIFS(Tab_99.Trial[DEZEMBRO],Tab_99.Trial[CONTA],$I68)</f>
        <v>0</v>
      </c>
      <c r="G68" s="4">
        <f t="shared" si="3"/>
        <v>1151774.01</v>
      </c>
      <c r="H68" s="137">
        <v>11425</v>
      </c>
      <c r="I68" s="3" t="s">
        <v>215</v>
      </c>
      <c r="J68" s="3" t="s">
        <v>652</v>
      </c>
      <c r="K68" s="173">
        <v>-1151774.01</v>
      </c>
      <c r="L68" s="1">
        <v>1669.15</v>
      </c>
      <c r="M68" s="1">
        <v>7033.25</v>
      </c>
      <c r="N68" s="173">
        <v>-1157138.1100000001</v>
      </c>
      <c r="O68" s="4">
        <f>Tab_01.Jan[[#This Row],[DÉBITO]]-Tab_01.Jan[[#This Row],[CRÉDITO]]</f>
        <v>-5364.1</v>
      </c>
    </row>
    <row r="69" spans="2:17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SUMIFS(Tab_99.Trial[DEZEMBRO],Tab_99.Trial[CONTA],$I69)</f>
        <v>0</v>
      </c>
      <c r="G69" s="4">
        <f t="shared" si="3"/>
        <v>646879.04</v>
      </c>
      <c r="H69" s="137" t="s">
        <v>884</v>
      </c>
      <c r="I69" s="3" t="s">
        <v>186</v>
      </c>
      <c r="J69" s="3" t="s">
        <v>313</v>
      </c>
      <c r="K69" s="173">
        <v>-646879.04</v>
      </c>
      <c r="L69" s="1">
        <v>0</v>
      </c>
      <c r="M69" s="1">
        <v>2997.93</v>
      </c>
      <c r="N69" s="173">
        <v>-649876.97</v>
      </c>
      <c r="O69" s="4">
        <f>Tab_01.Jan[[#This Row],[DÉBITO]]-Tab_01.Jan[[#This Row],[CRÉDITO]]</f>
        <v>-2997.93</v>
      </c>
    </row>
    <row r="70" spans="2:17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SUMIFS(Tab_99.Trial[DEZEMBRO],Tab_99.Trial[CONTA],$I70)</f>
        <v>0</v>
      </c>
      <c r="G70" s="4">
        <f t="shared" si="3"/>
        <v>16866.93</v>
      </c>
      <c r="H70" s="137" t="s">
        <v>885</v>
      </c>
      <c r="I70" s="3" t="s">
        <v>187</v>
      </c>
      <c r="J70" s="3" t="s">
        <v>314</v>
      </c>
      <c r="K70" s="173">
        <v>-16866.93</v>
      </c>
      <c r="L70" s="173">
        <v>0</v>
      </c>
      <c r="M70" s="173">
        <v>191.67</v>
      </c>
      <c r="N70" s="173">
        <v>-17058.599999999999</v>
      </c>
      <c r="O70" s="4">
        <f>Tab_01.Jan[[#This Row],[DÉBITO]]-Tab_01.Jan[[#This Row],[CRÉDITO]]</f>
        <v>-191.67</v>
      </c>
    </row>
    <row r="71" spans="2:17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SUMIFS(Tab_99.Trial[DEZEMBRO],Tab_99.Trial[CONTA],$I71)</f>
        <v>0</v>
      </c>
      <c r="G71" s="4">
        <f t="shared" si="3"/>
        <v>6054.11</v>
      </c>
      <c r="H71" s="137" t="s">
        <v>886</v>
      </c>
      <c r="I71" s="3" t="s">
        <v>188</v>
      </c>
      <c r="J71" s="3" t="s">
        <v>315</v>
      </c>
      <c r="K71" s="173">
        <v>-6054.11</v>
      </c>
      <c r="L71" s="173">
        <v>0</v>
      </c>
      <c r="M71" s="173">
        <v>104.95</v>
      </c>
      <c r="N71" s="173">
        <v>-6159.06</v>
      </c>
      <c r="O71" s="4">
        <f>Tab_01.Jan[[#This Row],[DÉBITO]]-Tab_01.Jan[[#This Row],[CRÉDITO]]</f>
        <v>-104.95</v>
      </c>
    </row>
    <row r="72" spans="2:17" x14ac:dyDescent="0.3">
      <c r="B72" s="2" t="str">
        <f>_xlfn.XLOOKUP($I72,Tab_00.Trial[CONTA],Tab_00.Trial[TP],"",0,1)</f>
        <v>A</v>
      </c>
      <c r="C72" s="2">
        <f>_xlfn.XLOOKUP($I72,Tab_00.Trial[CONTA],Tab_00.Trial[NV],"",0,1)</f>
        <v>5</v>
      </c>
      <c r="D72" s="2" t="str">
        <f>_xlfn.XLOOKUP($I72,Tab_00.Trial[CONTA],Tab_00.Trial[S/A],"",0,1)</f>
        <v>A</v>
      </c>
      <c r="E72" s="2">
        <f>IF($I72="","",COUNTIFS(Tab_00.Trial[CONTA],$I72))</f>
        <v>1</v>
      </c>
      <c r="F72" s="4">
        <f>SUMIFS(Tab_99.Trial[DEZEMBRO],Tab_99.Trial[CONTA],$I72)</f>
        <v>0</v>
      </c>
      <c r="G72" s="4">
        <f t="shared" si="3"/>
        <v>219693.96</v>
      </c>
      <c r="H72" s="137" t="s">
        <v>887</v>
      </c>
      <c r="I72" s="3" t="s">
        <v>189</v>
      </c>
      <c r="J72" s="3" t="s">
        <v>316</v>
      </c>
      <c r="K72" s="173">
        <v>-219693.96</v>
      </c>
      <c r="L72" s="173">
        <v>0</v>
      </c>
      <c r="M72" s="173">
        <v>3366.2</v>
      </c>
      <c r="N72" s="173">
        <v>-223060.16</v>
      </c>
      <c r="O72" s="4">
        <f>Tab_01.Jan[[#This Row],[DÉBITO]]-Tab_01.Jan[[#This Row],[CRÉDITO]]</f>
        <v>-3366.2</v>
      </c>
    </row>
    <row r="73" spans="2:17" x14ac:dyDescent="0.3">
      <c r="B73" s="2" t="str">
        <f>_xlfn.XLOOKUP($I73,Tab_00.Trial[CONTA],Tab_00.Trial[TP],"",0,1)</f>
        <v>A</v>
      </c>
      <c r="C73" s="2">
        <f>_xlfn.XLOOKUP($I73,Tab_00.Trial[CONTA],Tab_00.Trial[NV],"",0,1)</f>
        <v>5</v>
      </c>
      <c r="D73" s="2" t="str">
        <f>_xlfn.XLOOKUP($I73,Tab_00.Trial[CONTA],Tab_00.Trial[S/A],"",0,1)</f>
        <v>A</v>
      </c>
      <c r="E73" s="2">
        <f>IF($I73="","",COUNTIFS(Tab_00.Trial[CONTA],$I73))</f>
        <v>1</v>
      </c>
      <c r="F73" s="4">
        <f>SUMIFS(Tab_99.Trial[DEZEMBRO],Tab_99.Trial[CONTA],$I73)</f>
        <v>0</v>
      </c>
      <c r="G73" s="4">
        <f t="shared" si="3"/>
        <v>3452.34</v>
      </c>
      <c r="H73" s="137" t="s">
        <v>888</v>
      </c>
      <c r="I73" s="3" t="s">
        <v>190</v>
      </c>
      <c r="J73" s="3" t="s">
        <v>318</v>
      </c>
      <c r="K73" s="1">
        <v>-3452.34</v>
      </c>
      <c r="L73" s="173">
        <v>0</v>
      </c>
      <c r="M73" s="173">
        <v>122.5</v>
      </c>
      <c r="N73" s="1">
        <v>-3574.84</v>
      </c>
      <c r="O73" s="4">
        <f>Tab_01.Jan[[#This Row],[DÉBITO]]-Tab_01.Jan[[#This Row],[CRÉDITO]]</f>
        <v>-122.5</v>
      </c>
      <c r="Q73" s="4"/>
    </row>
    <row r="74" spans="2:17" x14ac:dyDescent="0.3">
      <c r="B74" s="2" t="str">
        <f>_xlfn.XLOOKUP($I74,Tab_00.Trial[CONTA],Tab_00.Trial[TP],"",0,1)</f>
        <v>A</v>
      </c>
      <c r="C74" s="2">
        <f>_xlfn.XLOOKUP($I74,Tab_00.Trial[CONTA],Tab_00.Trial[NV],"",0,1)</f>
        <v>5</v>
      </c>
      <c r="D74" s="2" t="str">
        <f>_xlfn.XLOOKUP($I74,Tab_00.Trial[CONTA],Tab_00.Trial[S/A],"",0,1)</f>
        <v>A</v>
      </c>
      <c r="E74" s="2">
        <f>IF($I74="","",COUNTIFS(Tab_00.Trial[CONTA],$I74))</f>
        <v>1</v>
      </c>
      <c r="F74" s="4">
        <f>SUMIFS(Tab_99.Trial[DEZEMBRO],Tab_99.Trial[CONTA],$I74)</f>
        <v>0</v>
      </c>
      <c r="G74" s="4">
        <f t="shared" si="3"/>
        <v>130366.18</v>
      </c>
      <c r="H74" s="137" t="s">
        <v>889</v>
      </c>
      <c r="I74" s="3" t="s">
        <v>323</v>
      </c>
      <c r="J74" s="3" t="s">
        <v>319</v>
      </c>
      <c r="K74" s="1">
        <v>-130366.18</v>
      </c>
      <c r="L74" s="173">
        <v>1669.15</v>
      </c>
      <c r="M74" s="173">
        <v>0</v>
      </c>
      <c r="N74" s="1">
        <v>-128697.03</v>
      </c>
      <c r="O74" s="4">
        <f>Tab_01.Jan[[#This Row],[DÉBITO]]-Tab_01.Jan[[#This Row],[CRÉDITO]]</f>
        <v>1669.15</v>
      </c>
    </row>
    <row r="75" spans="2:17" x14ac:dyDescent="0.3">
      <c r="B75" s="2" t="str">
        <f>_xlfn.XLOOKUP($I75,Tab_00.Trial[CONTA],Tab_00.Trial[TP],"",0,1)</f>
        <v>A</v>
      </c>
      <c r="C75" s="2">
        <f>_xlfn.XLOOKUP($I75,Tab_00.Trial[CONTA],Tab_00.Trial[NV],"",0,1)</f>
        <v>5</v>
      </c>
      <c r="D75" s="2" t="str">
        <f>_xlfn.XLOOKUP($I75,Tab_00.Trial[CONTA],Tab_00.Trial[S/A],"",0,1)</f>
        <v>A</v>
      </c>
      <c r="E75" s="2">
        <f>IF($I75="","",COUNTIFS(Tab_00.Trial[CONTA],$I75))</f>
        <v>1</v>
      </c>
      <c r="F75" s="4">
        <f>SUMIFS(Tab_99.Trial[DEZEMBRO],Tab_99.Trial[CONTA],$I75)</f>
        <v>0</v>
      </c>
      <c r="G75" s="4">
        <f t="shared" si="3"/>
        <v>15029.74</v>
      </c>
      <c r="H75" s="137" t="s">
        <v>890</v>
      </c>
      <c r="I75" s="3" t="s">
        <v>324</v>
      </c>
      <c r="J75" s="3" t="s">
        <v>320</v>
      </c>
      <c r="K75" s="1">
        <v>-15029.74</v>
      </c>
      <c r="L75" s="173">
        <v>0</v>
      </c>
      <c r="M75" s="173">
        <v>0</v>
      </c>
      <c r="N75" s="1">
        <v>-15029.74</v>
      </c>
      <c r="O75" s="4">
        <f>Tab_01.Jan[[#This Row],[DÉBITO]]-Tab_01.Jan[[#This Row],[CRÉDITO]]</f>
        <v>0</v>
      </c>
    </row>
    <row r="76" spans="2:17" x14ac:dyDescent="0.3">
      <c r="B76" s="2" t="str">
        <f>_xlfn.XLOOKUP($I76,Tab_00.Trial[CONTA],Tab_00.Trial[TP],"",0,1)</f>
        <v>A</v>
      </c>
      <c r="C76" s="2">
        <f>_xlfn.XLOOKUP($I76,Tab_00.Trial[CONTA],Tab_00.Trial[NV],"",0,1)</f>
        <v>5</v>
      </c>
      <c r="D76" s="2" t="str">
        <f>_xlfn.XLOOKUP($I76,Tab_00.Trial[CONTA],Tab_00.Trial[S/A],"",0,1)</f>
        <v>A</v>
      </c>
      <c r="E76" s="2">
        <f>IF($I76="","",COUNTIFS(Tab_00.Trial[CONTA],$I76))</f>
        <v>1</v>
      </c>
      <c r="F76" s="4">
        <f>SUMIFS(Tab_99.Trial[DEZEMBRO],Tab_99.Trial[CONTA],$I76)</f>
        <v>0</v>
      </c>
      <c r="G76" s="4">
        <f t="shared" si="3"/>
        <v>113431.71</v>
      </c>
      <c r="H76" s="137" t="s">
        <v>891</v>
      </c>
      <c r="I76" s="3" t="s">
        <v>325</v>
      </c>
      <c r="J76" s="3" t="s">
        <v>322</v>
      </c>
      <c r="K76" s="1">
        <v>-113431.71</v>
      </c>
      <c r="L76" s="1">
        <v>0</v>
      </c>
      <c r="M76" s="173">
        <v>250</v>
      </c>
      <c r="N76" s="173">
        <v>-113681.71</v>
      </c>
      <c r="O76" s="4">
        <f>Tab_01.Jan[[#This Row],[DÉBITO]]-Tab_01.Jan[[#This Row],[CRÉDITO]]</f>
        <v>-250</v>
      </c>
    </row>
    <row r="77" spans="2:17" x14ac:dyDescent="0.3">
      <c r="B77" s="2" t="str">
        <f>_xlfn.XLOOKUP($I77,Tab_00.Trial[CONTA],Tab_00.Trial[TP],"",0,1)</f>
        <v>P</v>
      </c>
      <c r="C77" s="2">
        <f>_xlfn.XLOOKUP($I77,Tab_00.Trial[CONTA],Tab_00.Trial[NV],"",0,1)</f>
        <v>1</v>
      </c>
      <c r="D77" s="2" t="str">
        <f>_xlfn.XLOOKUP($I77,Tab_00.Trial[CONTA],Tab_00.Trial[S/A],"",0,1)</f>
        <v>S</v>
      </c>
      <c r="E77" s="2">
        <f>IF($I77="","",COUNTIFS(Tab_00.Trial[CONTA],$I77))</f>
        <v>1</v>
      </c>
      <c r="F77" s="4">
        <f>SUMIFS(Tab_99.Trial[DEZEMBRO],Tab_99.Trial[CONTA],$I77)</f>
        <v>0</v>
      </c>
      <c r="G77" s="4">
        <f t="shared" si="3"/>
        <v>83243926.390000001</v>
      </c>
      <c r="H77" s="137">
        <v>20000</v>
      </c>
      <c r="I77" s="3">
        <v>2</v>
      </c>
      <c r="J77" s="3" t="s">
        <v>653</v>
      </c>
      <c r="K77" s="1">
        <v>-83243926.390000001</v>
      </c>
      <c r="L77" s="1">
        <v>1105115.8500000001</v>
      </c>
      <c r="M77" s="173">
        <v>1811385.54</v>
      </c>
      <c r="N77" s="173">
        <v>-83950196.079999998</v>
      </c>
      <c r="O77" s="4">
        <f>Tab_01.Jan[[#This Row],[DÉBITO]]-Tab_01.Jan[[#This Row],[CRÉDITO]]</f>
        <v>-706269.69</v>
      </c>
    </row>
    <row r="78" spans="2:17" x14ac:dyDescent="0.3">
      <c r="B78" s="2" t="str">
        <f>_xlfn.XLOOKUP($I78,Tab_00.Trial[CONTA],Tab_00.Trial[TP],"",0,1)</f>
        <v>P</v>
      </c>
      <c r="C78" s="2">
        <f>_xlfn.XLOOKUP($I78,Tab_00.Trial[CONTA],Tab_00.Trial[NV],"",0,1)</f>
        <v>2</v>
      </c>
      <c r="D78" s="2" t="str">
        <f>_xlfn.XLOOKUP($I78,Tab_00.Trial[CONTA],Tab_00.Trial[S/A],"",0,1)</f>
        <v>S</v>
      </c>
      <c r="E78" s="2">
        <f>IF($I78="","",COUNTIFS(Tab_00.Trial[CONTA],$I78))</f>
        <v>1</v>
      </c>
      <c r="F78" s="4">
        <f>SUMIFS(Tab_99.Trial[DEZEMBRO],Tab_99.Trial[CONTA],$I78)</f>
        <v>0</v>
      </c>
      <c r="G78" s="4">
        <f t="shared" si="3"/>
        <v>1345943.6</v>
      </c>
      <c r="H78" s="137">
        <v>20015</v>
      </c>
      <c r="I78" s="3" t="s">
        <v>216</v>
      </c>
      <c r="J78" s="3" t="s">
        <v>31</v>
      </c>
      <c r="K78" s="1">
        <v>-1345943.6</v>
      </c>
      <c r="L78" s="1">
        <v>1100037</v>
      </c>
      <c r="M78" s="1">
        <v>1569387.71</v>
      </c>
      <c r="N78" s="1">
        <v>-1815294.31</v>
      </c>
      <c r="O78" s="4">
        <f>Tab_01.Jan[[#This Row],[DÉBITO]]-Tab_01.Jan[[#This Row],[CRÉDITO]]</f>
        <v>-469350.71</v>
      </c>
    </row>
    <row r="79" spans="2:17" x14ac:dyDescent="0.3">
      <c r="B79" s="2" t="str">
        <f>_xlfn.XLOOKUP($I79,Tab_00.Trial[CONTA],Tab_00.Trial[TP],"",0,1)</f>
        <v>P</v>
      </c>
      <c r="C79" s="2">
        <f>_xlfn.XLOOKUP($I79,Tab_00.Trial[CONTA],Tab_00.Trial[NV],"",0,1)</f>
        <v>5</v>
      </c>
      <c r="D79" s="2" t="str">
        <f>_xlfn.XLOOKUP($I79,Tab_00.Trial[CONTA],Tab_00.Trial[S/A],"",0,1)</f>
        <v>S</v>
      </c>
      <c r="E79" s="2">
        <f>IF($I79="","",COUNTIFS(Tab_00.Trial[CONTA],$I79))</f>
        <v>1</v>
      </c>
      <c r="F79" s="4">
        <f>SUMIFS(Tab_99.Trial[DEZEMBRO],Tab_99.Trial[CONTA],$I79)</f>
        <v>0</v>
      </c>
      <c r="G79" s="4">
        <f t="shared" si="3"/>
        <v>395930.02</v>
      </c>
      <c r="H79" s="137">
        <v>20030</v>
      </c>
      <c r="I79" s="3" t="s">
        <v>558</v>
      </c>
      <c r="J79" s="3" t="s">
        <v>654</v>
      </c>
      <c r="K79" s="1">
        <v>-395930.02</v>
      </c>
      <c r="L79" s="1">
        <v>359708.39</v>
      </c>
      <c r="M79" s="1">
        <v>332415.75</v>
      </c>
      <c r="N79" s="1">
        <v>-368637.38</v>
      </c>
      <c r="O79" s="4">
        <f>Tab_01.Jan[[#This Row],[DÉBITO]]-Tab_01.Jan[[#This Row],[CRÉDITO]]</f>
        <v>27292.639999999999</v>
      </c>
    </row>
    <row r="80" spans="2:17" x14ac:dyDescent="0.3">
      <c r="B80" s="2" t="str">
        <f>_xlfn.XLOOKUP($I80,Tab_00.Trial[CONTA],Tab_00.Trial[TP],"",0,1)</f>
        <v>P</v>
      </c>
      <c r="C80" s="2">
        <f>_xlfn.XLOOKUP($I80,Tab_00.Trial[CONTA],Tab_00.Trial[NV],"",0,1)</f>
        <v>5</v>
      </c>
      <c r="D80" s="2" t="str">
        <f>_xlfn.XLOOKUP($I80,Tab_00.Trial[CONTA],Tab_00.Trial[S/A],"",0,1)</f>
        <v>S</v>
      </c>
      <c r="E80" s="2">
        <f>IF($I80="","",COUNTIFS(Tab_00.Trial[CONTA],$I80))</f>
        <v>1</v>
      </c>
      <c r="F80" s="4">
        <f>SUMIFS(Tab_99.Trial[DEZEMBRO],Tab_99.Trial[CONTA],$I80)</f>
        <v>0</v>
      </c>
      <c r="G80" s="4">
        <f t="shared" si="3"/>
        <v>0</v>
      </c>
      <c r="H80" s="137">
        <v>20045</v>
      </c>
      <c r="I80" s="3" t="s">
        <v>559</v>
      </c>
      <c r="J80" s="3" t="s">
        <v>655</v>
      </c>
      <c r="K80" s="1">
        <v>0</v>
      </c>
      <c r="L80" s="1">
        <v>94459.02</v>
      </c>
      <c r="M80" s="173">
        <v>94459.02</v>
      </c>
      <c r="N80" s="173">
        <v>0</v>
      </c>
      <c r="O80" s="4">
        <f>Tab_01.Jan[[#This Row],[DÉBITO]]-Tab_01.Jan[[#This Row],[CRÉDITO]]</f>
        <v>0</v>
      </c>
    </row>
    <row r="81" spans="2:17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A</v>
      </c>
      <c r="E81" s="2">
        <f>IF($I81="","",COUNTIFS(Tab_00.Trial[CONTA],$I81))</f>
        <v>1</v>
      </c>
      <c r="F81" s="4">
        <f>SUMIFS(Tab_99.Trial[DEZEMBRO],Tab_99.Trial[CONTA],$I81)</f>
        <v>0</v>
      </c>
      <c r="G81" s="4">
        <f t="shared" si="3"/>
        <v>0</v>
      </c>
      <c r="H81" s="137" t="s">
        <v>892</v>
      </c>
      <c r="I81" s="3" t="s">
        <v>326</v>
      </c>
      <c r="J81" s="3" t="s">
        <v>327</v>
      </c>
      <c r="K81" s="173">
        <v>0</v>
      </c>
      <c r="L81" s="173">
        <v>93273.24</v>
      </c>
      <c r="M81" s="173">
        <v>93273.24</v>
      </c>
      <c r="N81" s="173">
        <v>0</v>
      </c>
      <c r="O81" s="4">
        <f>Tab_01.Jan[[#This Row],[DÉBITO]]-Tab_01.Jan[[#This Row],[CRÉDITO]]</f>
        <v>0</v>
      </c>
    </row>
    <row r="82" spans="2:17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A</v>
      </c>
      <c r="E82" s="2">
        <f>IF($I82="","",COUNTIFS(Tab_00.Trial[CONTA],$I82))</f>
        <v>1</v>
      </c>
      <c r="F82" s="4">
        <f>SUMIFS(Tab_99.Trial[DEZEMBRO],Tab_99.Trial[CONTA],$I82)</f>
        <v>0</v>
      </c>
      <c r="G82" s="4">
        <f t="shared" ref="G82:G113" si="4">IFERROR(IF(LEFT($I82)*1&gt;2,0,$F82-$K82),0)</f>
        <v>0</v>
      </c>
      <c r="H82" s="137" t="s">
        <v>893</v>
      </c>
      <c r="I82" s="3" t="s">
        <v>330</v>
      </c>
      <c r="J82" s="3" t="s">
        <v>331</v>
      </c>
      <c r="K82" s="173">
        <v>0</v>
      </c>
      <c r="L82" s="173">
        <v>1185.78</v>
      </c>
      <c r="M82" s="173">
        <v>1185.78</v>
      </c>
      <c r="N82" s="173">
        <v>0</v>
      </c>
      <c r="O82" s="4">
        <f>Tab_01.Jan[[#This Row],[DÉBITO]]-Tab_01.Jan[[#This Row],[CRÉDITO]]</f>
        <v>0</v>
      </c>
    </row>
    <row r="83" spans="2:17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S</v>
      </c>
      <c r="E83" s="2">
        <f>IF($I83="","",COUNTIFS(Tab_00.Trial[CONTA],$I83))</f>
        <v>1</v>
      </c>
      <c r="F83" s="4">
        <f>SUMIFS(Tab_99.Trial[DEZEMBRO],Tab_99.Trial[CONTA],$I83)</f>
        <v>0</v>
      </c>
      <c r="G83" s="4">
        <f t="shared" si="4"/>
        <v>0</v>
      </c>
      <c r="H83" s="137">
        <v>20120</v>
      </c>
      <c r="I83" s="3" t="s">
        <v>560</v>
      </c>
      <c r="J83" s="3" t="s">
        <v>656</v>
      </c>
      <c r="K83" s="1">
        <v>0</v>
      </c>
      <c r="L83" s="173">
        <v>0</v>
      </c>
      <c r="M83" s="173">
        <v>15301.97</v>
      </c>
      <c r="N83" s="173">
        <v>-15301.97</v>
      </c>
      <c r="O83" s="4">
        <f>Tab_01.Jan[[#This Row],[DÉBITO]]-Tab_01.Jan[[#This Row],[CRÉDITO]]</f>
        <v>-15301.97</v>
      </c>
    </row>
    <row r="84" spans="2:17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A</v>
      </c>
      <c r="E84" s="2">
        <f>IF($I84="","",COUNTIFS(Tab_00.Trial[CONTA],$I84))</f>
        <v>1</v>
      </c>
      <c r="F84" s="4">
        <f>SUMIFS(Tab_99.Trial[DEZEMBRO],Tab_99.Trial[CONTA],$I84)</f>
        <v>0</v>
      </c>
      <c r="G84" s="4">
        <f t="shared" si="4"/>
        <v>0</v>
      </c>
      <c r="H84" s="137" t="s">
        <v>894</v>
      </c>
      <c r="I84" s="3" t="s">
        <v>332</v>
      </c>
      <c r="J84" s="3" t="s">
        <v>333</v>
      </c>
      <c r="K84" s="1">
        <v>0</v>
      </c>
      <c r="L84" s="1">
        <v>0</v>
      </c>
      <c r="M84" s="173">
        <v>11268.08</v>
      </c>
      <c r="N84" s="173">
        <v>-11268.08</v>
      </c>
      <c r="O84" s="4">
        <f>Tab_01.Jan[[#This Row],[DÉBITO]]-Tab_01.Jan[[#This Row],[CRÉDITO]]</f>
        <v>-11268.08</v>
      </c>
    </row>
    <row r="85" spans="2:17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A</v>
      </c>
      <c r="E85" s="2">
        <f>IF($I85="","",COUNTIFS(Tab_00.Trial[CONTA],$I85))</f>
        <v>1</v>
      </c>
      <c r="F85" s="4">
        <f>SUMIFS(Tab_99.Trial[DEZEMBRO],Tab_99.Trial[CONTA],$I85)</f>
        <v>0</v>
      </c>
      <c r="G85" s="4">
        <f t="shared" si="4"/>
        <v>0</v>
      </c>
      <c r="H85" s="137" t="s">
        <v>895</v>
      </c>
      <c r="I85" s="3" t="s">
        <v>778</v>
      </c>
      <c r="J85" s="3" t="s">
        <v>779</v>
      </c>
      <c r="K85" s="1">
        <v>0</v>
      </c>
      <c r="L85" s="173">
        <v>0</v>
      </c>
      <c r="M85" s="173">
        <v>901.38</v>
      </c>
      <c r="N85" s="173">
        <v>-901.38</v>
      </c>
      <c r="O85" s="4">
        <f>Tab_01.Jan[[#This Row],[DÉBITO]]-Tab_01.Jan[[#This Row],[CRÉDITO]]</f>
        <v>-901.38</v>
      </c>
    </row>
    <row r="86" spans="2:17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A</v>
      </c>
      <c r="E86" s="2">
        <f>IF($I86="","",COUNTIFS(Tab_00.Trial[CONTA],$I86))</f>
        <v>1</v>
      </c>
      <c r="F86" s="4">
        <f>SUMIFS(Tab_99.Trial[DEZEMBRO],Tab_99.Trial[CONTA],$I86)</f>
        <v>0</v>
      </c>
      <c r="G86" s="4">
        <f t="shared" si="4"/>
        <v>0</v>
      </c>
      <c r="H86" s="137" t="s">
        <v>896</v>
      </c>
      <c r="I86" s="3" t="s">
        <v>780</v>
      </c>
      <c r="J86" s="3" t="s">
        <v>781</v>
      </c>
      <c r="K86" s="173">
        <v>0</v>
      </c>
      <c r="L86" s="173">
        <v>0</v>
      </c>
      <c r="M86" s="173">
        <v>112.67</v>
      </c>
      <c r="N86" s="173">
        <v>-112.67</v>
      </c>
      <c r="O86" s="4">
        <f>Tab_01.Jan[[#This Row],[DÉBITO]]-Tab_01.Jan[[#This Row],[CRÉDITO]]</f>
        <v>-112.67</v>
      </c>
    </row>
    <row r="87" spans="2:17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A</v>
      </c>
      <c r="E87" s="2">
        <f>IF($I87="","",COUNTIFS(Tab_00.Trial[CONTA],$I87))</f>
        <v>1</v>
      </c>
      <c r="F87" s="4">
        <f>SUMIFS(Tab_99.Trial[DEZEMBRO],Tab_99.Trial[CONTA],$I87)</f>
        <v>0</v>
      </c>
      <c r="G87" s="4">
        <f t="shared" si="4"/>
        <v>0</v>
      </c>
      <c r="H87" s="137" t="s">
        <v>897</v>
      </c>
      <c r="I87" s="3" t="s">
        <v>782</v>
      </c>
      <c r="J87" s="3" t="s">
        <v>783</v>
      </c>
      <c r="K87" s="173">
        <v>0</v>
      </c>
      <c r="L87" s="173">
        <v>0</v>
      </c>
      <c r="M87" s="173">
        <v>3019.84</v>
      </c>
      <c r="N87" s="173">
        <v>-3019.84</v>
      </c>
      <c r="O87" s="4">
        <f>Tab_01.Jan[[#This Row],[DÉBITO]]-Tab_01.Jan[[#This Row],[CRÉDITO]]</f>
        <v>-3019.84</v>
      </c>
    </row>
    <row r="88" spans="2:17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S</v>
      </c>
      <c r="E88" s="2">
        <f>IF($I88="","",COUNTIFS(Tab_00.Trial[CONTA],$I88))</f>
        <v>1</v>
      </c>
      <c r="F88" s="4">
        <f>SUMIFS(Tab_99.Trial[DEZEMBRO],Tab_99.Trial[CONTA],$I88)</f>
        <v>0</v>
      </c>
      <c r="G88" s="4">
        <f t="shared" si="4"/>
        <v>311723.46000000002</v>
      </c>
      <c r="H88" s="137">
        <v>20180</v>
      </c>
      <c r="I88" s="3" t="s">
        <v>561</v>
      </c>
      <c r="J88" s="3" t="s">
        <v>657</v>
      </c>
      <c r="K88" s="173">
        <v>-311723.46000000002</v>
      </c>
      <c r="L88" s="173">
        <v>132393.81</v>
      </c>
      <c r="M88" s="173">
        <v>102469.31</v>
      </c>
      <c r="N88" s="173">
        <v>-281798.96000000002</v>
      </c>
      <c r="O88" s="4">
        <f>Tab_01.Jan[[#This Row],[DÉBITO]]-Tab_01.Jan[[#This Row],[CRÉDITO]]</f>
        <v>29924.5</v>
      </c>
      <c r="Q88" s="4"/>
    </row>
    <row r="89" spans="2:17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A</v>
      </c>
      <c r="E89" s="2">
        <f>IF($I89="","",COUNTIFS(Tab_00.Trial[CONTA],$I89))</f>
        <v>1</v>
      </c>
      <c r="F89" s="4">
        <f>SUMIFS(Tab_99.Trial[DEZEMBRO],Tab_99.Trial[CONTA],$I89)</f>
        <v>0</v>
      </c>
      <c r="G89" s="4">
        <f t="shared" si="4"/>
        <v>311723.46000000002</v>
      </c>
      <c r="H89" s="137" t="s">
        <v>898</v>
      </c>
      <c r="I89" s="3" t="s">
        <v>334</v>
      </c>
      <c r="J89" s="3" t="s">
        <v>335</v>
      </c>
      <c r="K89" s="173">
        <v>-311723.46000000002</v>
      </c>
      <c r="L89" s="173">
        <v>119238.29</v>
      </c>
      <c r="M89" s="173">
        <v>14866.67</v>
      </c>
      <c r="N89" s="173">
        <v>-207351.84</v>
      </c>
      <c r="O89" s="4">
        <f>Tab_01.Jan[[#This Row],[DÉBITO]]-Tab_01.Jan[[#This Row],[CRÉDITO]]</f>
        <v>104371.62</v>
      </c>
    </row>
    <row r="90" spans="2:17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A</v>
      </c>
      <c r="E90" s="2">
        <f>IF($I90="","",COUNTIFS(Tab_00.Trial[CONTA],$I90))</f>
        <v>1</v>
      </c>
      <c r="F90" s="4">
        <f>SUMIFS(Tab_99.Trial[DEZEMBRO],Tab_99.Trial[CONTA],$I90)</f>
        <v>0</v>
      </c>
      <c r="G90" s="4">
        <f t="shared" si="4"/>
        <v>0</v>
      </c>
      <c r="H90" s="137" t="s">
        <v>899</v>
      </c>
      <c r="I90" s="3" t="s">
        <v>784</v>
      </c>
      <c r="J90" s="3" t="s">
        <v>785</v>
      </c>
      <c r="K90" s="173">
        <v>0</v>
      </c>
      <c r="L90" s="173">
        <v>2961.12</v>
      </c>
      <c r="M90" s="173">
        <v>19512.48</v>
      </c>
      <c r="N90" s="173">
        <v>-16551.36</v>
      </c>
      <c r="O90" s="4">
        <f>Tab_01.Jan[[#This Row],[DÉBITO]]-Tab_01.Jan[[#This Row],[CRÉDITO]]</f>
        <v>-16551.36</v>
      </c>
    </row>
    <row r="91" spans="2:17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A</v>
      </c>
      <c r="E91" s="2">
        <f>IF($I91="","",COUNTIFS(Tab_00.Trial[CONTA],$I91))</f>
        <v>1</v>
      </c>
      <c r="F91" s="4">
        <f>SUMIFS(Tab_99.Trial[DEZEMBRO],Tab_99.Trial[CONTA],$I91)</f>
        <v>0</v>
      </c>
      <c r="G91" s="4">
        <f t="shared" si="4"/>
        <v>0</v>
      </c>
      <c r="H91" s="137" t="s">
        <v>900</v>
      </c>
      <c r="I91" s="3" t="s">
        <v>786</v>
      </c>
      <c r="J91" s="3" t="s">
        <v>787</v>
      </c>
      <c r="K91" s="173">
        <v>0</v>
      </c>
      <c r="L91" s="173">
        <v>274.61</v>
      </c>
      <c r="M91" s="173">
        <v>2722.95</v>
      </c>
      <c r="N91" s="173">
        <v>-2448.34</v>
      </c>
      <c r="O91" s="4">
        <f>Tab_01.Jan[[#This Row],[DÉBITO]]-Tab_01.Jan[[#This Row],[CRÉDITO]]</f>
        <v>-2448.34</v>
      </c>
    </row>
    <row r="92" spans="2:17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A</v>
      </c>
      <c r="E92" s="2">
        <f>IF($I92="","",COUNTIFS(Tab_00.Trial[CONTA],$I92))</f>
        <v>1</v>
      </c>
      <c r="F92" s="4">
        <f>SUMIFS(Tab_99.Trial[DEZEMBRO],Tab_99.Trial[CONTA],$I92)</f>
        <v>0</v>
      </c>
      <c r="G92" s="4">
        <f t="shared" si="4"/>
        <v>0</v>
      </c>
      <c r="H92" s="137" t="s">
        <v>901</v>
      </c>
      <c r="I92" s="3" t="s">
        <v>788</v>
      </c>
      <c r="J92" s="3" t="s">
        <v>789</v>
      </c>
      <c r="K92" s="173">
        <v>0</v>
      </c>
      <c r="L92" s="173">
        <v>9919.7900000000009</v>
      </c>
      <c r="M92" s="173">
        <v>65367.21</v>
      </c>
      <c r="N92" s="173">
        <v>-55447.42</v>
      </c>
      <c r="O92" s="4">
        <f>Tab_01.Jan[[#This Row],[DÉBITO]]-Tab_01.Jan[[#This Row],[CRÉDITO]]</f>
        <v>-55447.42</v>
      </c>
    </row>
    <row r="93" spans="2:17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S</v>
      </c>
      <c r="E93" s="2">
        <f>IF($I93="","",COUNTIFS(Tab_00.Trial[CONTA],$I93))</f>
        <v>1</v>
      </c>
      <c r="F93" s="4">
        <f>SUMIFS(Tab_99.Trial[DEZEMBRO],Tab_99.Trial[CONTA],$I93)</f>
        <v>0</v>
      </c>
      <c r="G93" s="4">
        <f t="shared" si="4"/>
        <v>47666.65</v>
      </c>
      <c r="H93" s="137">
        <v>20240</v>
      </c>
      <c r="I93" s="3" t="s">
        <v>562</v>
      </c>
      <c r="J93" s="3" t="s">
        <v>658</v>
      </c>
      <c r="K93" s="173">
        <v>-47666.65</v>
      </c>
      <c r="L93" s="173">
        <v>103289.3</v>
      </c>
      <c r="M93" s="173">
        <v>103910.23</v>
      </c>
      <c r="N93" s="173">
        <v>-48287.58</v>
      </c>
      <c r="O93" s="4">
        <f>Tab_01.Jan[[#This Row],[DÉBITO]]-Tab_01.Jan[[#This Row],[CRÉDITO]]</f>
        <v>-620.92999999999995</v>
      </c>
      <c r="Q93" s="4"/>
    </row>
    <row r="94" spans="2:17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A</v>
      </c>
      <c r="E94" s="2">
        <f>IF($I94="","",COUNTIFS(Tab_00.Trial[CONTA],$I94))</f>
        <v>1</v>
      </c>
      <c r="F94" s="4">
        <f>SUMIFS(Tab_99.Trial[DEZEMBRO],Tab_99.Trial[CONTA],$I94)</f>
        <v>0</v>
      </c>
      <c r="G94" s="4">
        <f t="shared" si="4"/>
        <v>50266.64</v>
      </c>
      <c r="H94" s="137" t="s">
        <v>902</v>
      </c>
      <c r="I94" s="3" t="s">
        <v>336</v>
      </c>
      <c r="J94" s="3" t="s">
        <v>337</v>
      </c>
      <c r="K94" s="173">
        <v>-50266.64</v>
      </c>
      <c r="L94" s="173">
        <v>102034.56</v>
      </c>
      <c r="M94" s="173">
        <v>99029.56</v>
      </c>
      <c r="N94" s="173">
        <v>-47261.64</v>
      </c>
      <c r="O94" s="4">
        <f>Tab_01.Jan[[#This Row],[DÉBITO]]-Tab_01.Jan[[#This Row],[CRÉDITO]]</f>
        <v>3005</v>
      </c>
    </row>
    <row r="95" spans="2:17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A</v>
      </c>
      <c r="E95" s="2">
        <f>IF($I95="","",COUNTIFS(Tab_00.Trial[CONTA],$I95))</f>
        <v>1</v>
      </c>
      <c r="F95" s="4">
        <f>SUMIFS(Tab_99.Trial[DEZEMBRO],Tab_99.Trial[CONTA],$I95)</f>
        <v>0</v>
      </c>
      <c r="G95" s="4">
        <f t="shared" si="4"/>
        <v>-2599.9899999999998</v>
      </c>
      <c r="H95" s="137" t="s">
        <v>903</v>
      </c>
      <c r="I95" s="3" t="s">
        <v>338</v>
      </c>
      <c r="J95" s="3" t="s">
        <v>339</v>
      </c>
      <c r="K95" s="173">
        <v>2599.9899999999998</v>
      </c>
      <c r="L95" s="173">
        <v>1254.74</v>
      </c>
      <c r="M95" s="173">
        <v>4880.67</v>
      </c>
      <c r="N95" s="173">
        <v>-1025.94</v>
      </c>
      <c r="O95" s="4">
        <f>Tab_01.Jan[[#This Row],[DÉBITO]]-Tab_01.Jan[[#This Row],[CRÉDITO]]</f>
        <v>-3625.93</v>
      </c>
    </row>
    <row r="96" spans="2:17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S</v>
      </c>
      <c r="E96" s="2">
        <f>IF($I96="","",COUNTIFS(Tab_00.Trial[CONTA],$I96))</f>
        <v>1</v>
      </c>
      <c r="F96" s="4">
        <f>SUMIFS(Tab_99.Trial[DEZEMBRO],Tab_99.Trial[CONTA],$I96)</f>
        <v>0</v>
      </c>
      <c r="G96" s="4">
        <f t="shared" si="4"/>
        <v>36539.910000000003</v>
      </c>
      <c r="H96" s="137">
        <v>20345</v>
      </c>
      <c r="I96" s="3" t="s">
        <v>563</v>
      </c>
      <c r="J96" s="3" t="s">
        <v>659</v>
      </c>
      <c r="K96" s="173">
        <v>-36539.910000000003</v>
      </c>
      <c r="L96" s="173">
        <v>29566.26</v>
      </c>
      <c r="M96" s="173">
        <v>16275.22</v>
      </c>
      <c r="N96" s="173">
        <v>-23248.87</v>
      </c>
      <c r="O96" s="4">
        <f>Tab_01.Jan[[#This Row],[DÉBITO]]-Tab_01.Jan[[#This Row],[CRÉDITO]]</f>
        <v>13291.04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A</v>
      </c>
      <c r="E97" s="2">
        <f>IF($I97="","",COUNTIFS(Tab_00.Trial[CONTA],$I97))</f>
        <v>1</v>
      </c>
      <c r="F97" s="4">
        <f>SUMIFS(Tab_99.Trial[DEZEMBRO],Tab_99.Trial[CONTA],$I97)</f>
        <v>0</v>
      </c>
      <c r="G97" s="4">
        <f t="shared" si="4"/>
        <v>33014.58</v>
      </c>
      <c r="H97" s="137" t="s">
        <v>904</v>
      </c>
      <c r="I97" s="3" t="s">
        <v>340</v>
      </c>
      <c r="J97" s="3" t="s">
        <v>341</v>
      </c>
      <c r="K97" s="173">
        <v>-33014.58</v>
      </c>
      <c r="L97" s="173">
        <v>22807.87</v>
      </c>
      <c r="M97" s="173">
        <v>11593.03</v>
      </c>
      <c r="N97" s="173">
        <v>-21799.74</v>
      </c>
      <c r="O97" s="4">
        <f>Tab_01.Jan[[#This Row],[DÉBITO]]-Tab_01.Jan[[#This Row],[CRÉDITO]]</f>
        <v>11214.84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A</v>
      </c>
      <c r="E98" s="2">
        <f>IF($I98="","",COUNTIFS(Tab_00.Trial[CONTA],$I98))</f>
        <v>1</v>
      </c>
      <c r="F98" s="4">
        <f>SUMIFS(Tab_99.Trial[DEZEMBRO],Tab_99.Trial[CONTA],$I98)</f>
        <v>0</v>
      </c>
      <c r="G98" s="4">
        <f t="shared" si="4"/>
        <v>3525.33</v>
      </c>
      <c r="H98" s="137" t="s">
        <v>905</v>
      </c>
      <c r="I98" s="3" t="s">
        <v>342</v>
      </c>
      <c r="J98" s="3" t="s">
        <v>343</v>
      </c>
      <c r="K98" s="173">
        <v>-3525.33</v>
      </c>
      <c r="L98" s="173">
        <v>6758.39</v>
      </c>
      <c r="M98" s="173">
        <v>4682.1899999999996</v>
      </c>
      <c r="N98" s="173">
        <v>-1449.13</v>
      </c>
      <c r="O98" s="4">
        <f>Tab_01.Jan[[#This Row],[DÉBITO]]-Tab_01.Jan[[#This Row],[CRÉDITO]]</f>
        <v>2076.1999999999998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S</v>
      </c>
      <c r="E99" s="2">
        <f>IF($I99="","",COUNTIFS(Tab_00.Trial[CONTA],$I99))</f>
        <v>1</v>
      </c>
      <c r="F99" s="4">
        <f>SUMIFS(Tab_99.Trial[DEZEMBRO],Tab_99.Trial[CONTA],$I99)</f>
        <v>0</v>
      </c>
      <c r="G99" s="4">
        <f t="shared" si="4"/>
        <v>865016.94</v>
      </c>
      <c r="H99" s="137">
        <v>20390</v>
      </c>
      <c r="I99" s="3" t="s">
        <v>218</v>
      </c>
      <c r="J99" s="3" t="s">
        <v>660</v>
      </c>
      <c r="K99" s="1">
        <v>-865016.94</v>
      </c>
      <c r="L99" s="1">
        <v>672130.83</v>
      </c>
      <c r="M99" s="1">
        <v>1203148.8700000001</v>
      </c>
      <c r="N99" s="1">
        <v>-1396034.98</v>
      </c>
      <c r="O99" s="4">
        <f>Tab_01.Jan[[#This Row],[DÉBITO]]-Tab_01.Jan[[#This Row],[CRÉDITO]]</f>
        <v>-531018.04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S</v>
      </c>
      <c r="E100" s="2">
        <f>IF($I100="","",COUNTIFS(Tab_00.Trial[CONTA],$I100))</f>
        <v>1</v>
      </c>
      <c r="F100" s="4">
        <f>SUMIFS(Tab_99.Trial[DEZEMBRO],Tab_99.Trial[CONTA],$I100)</f>
        <v>0</v>
      </c>
      <c r="G100" s="4">
        <f t="shared" si="4"/>
        <v>115668.35</v>
      </c>
      <c r="H100" s="137">
        <v>20405</v>
      </c>
      <c r="I100" s="3" t="s">
        <v>219</v>
      </c>
      <c r="J100" s="3" t="s">
        <v>56</v>
      </c>
      <c r="K100" s="173">
        <v>-115668.35</v>
      </c>
      <c r="L100" s="173">
        <v>129680.25</v>
      </c>
      <c r="M100" s="173">
        <v>660698.29</v>
      </c>
      <c r="N100" s="173">
        <v>-646686.39</v>
      </c>
      <c r="O100" s="4">
        <f>Tab_01.Jan[[#This Row],[DÉBITO]]-Tab_01.Jan[[#This Row],[CRÉDITO]]</f>
        <v>-531018.04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A</v>
      </c>
      <c r="E101" s="2">
        <f>IF($I101="","",COUNTIFS(Tab_00.Trial[CONTA],$I101))</f>
        <v>1</v>
      </c>
      <c r="F101" s="4">
        <f>SUMIFS(Tab_99.Trial[DEZEMBRO],Tab_99.Trial[CONTA],$I101)</f>
        <v>0</v>
      </c>
      <c r="G101" s="4">
        <f t="shared" si="4"/>
        <v>115668.35</v>
      </c>
      <c r="H101" s="137" t="s">
        <v>906</v>
      </c>
      <c r="I101" s="3" t="s">
        <v>344</v>
      </c>
      <c r="J101" s="3" t="s">
        <v>56</v>
      </c>
      <c r="K101" s="1">
        <v>-115668.35</v>
      </c>
      <c r="L101" s="1">
        <v>129680.25</v>
      </c>
      <c r="M101" s="1">
        <v>660698.29</v>
      </c>
      <c r="N101" s="1">
        <v>-646686.39</v>
      </c>
      <c r="O101" s="4">
        <f>Tab_01.Jan[[#This Row],[DÉBITO]]-Tab_01.Jan[[#This Row],[CRÉDITO]]</f>
        <v>-531018.04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S</v>
      </c>
      <c r="E102" s="2">
        <f>IF($I102="","",COUNTIFS(Tab_00.Trial[CONTA],$I102))</f>
        <v>1</v>
      </c>
      <c r="F102" s="4">
        <f>SUMIFS(Tab_99.Trial[DEZEMBRO],Tab_99.Trial[CONTA],$I102)</f>
        <v>0</v>
      </c>
      <c r="G102" s="4">
        <f t="shared" si="4"/>
        <v>749348.59</v>
      </c>
      <c r="H102" s="137">
        <v>20455</v>
      </c>
      <c r="I102" s="3" t="s">
        <v>220</v>
      </c>
      <c r="J102" s="3" t="s">
        <v>346</v>
      </c>
      <c r="K102" s="173">
        <v>-749348.59</v>
      </c>
      <c r="L102" s="173">
        <v>542450.57999999996</v>
      </c>
      <c r="M102" s="173">
        <v>542450.57999999996</v>
      </c>
      <c r="N102" s="173">
        <v>-749348.59</v>
      </c>
      <c r="O102" s="4">
        <f>Tab_01.Jan[[#This Row],[DÉBITO]]-Tab_01.Jan[[#This Row],[CRÉDITO]]</f>
        <v>0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A</v>
      </c>
      <c r="E103" s="2">
        <f>IF($I103="","",COUNTIFS(Tab_00.Trial[CONTA],$I103))</f>
        <v>1</v>
      </c>
      <c r="F103" s="4">
        <f>SUMIFS(Tab_99.Trial[DEZEMBRO],Tab_99.Trial[CONTA],$I103)</f>
        <v>0</v>
      </c>
      <c r="G103" s="4">
        <f t="shared" si="4"/>
        <v>749348.59</v>
      </c>
      <c r="H103" s="137" t="s">
        <v>907</v>
      </c>
      <c r="I103" s="3" t="s">
        <v>345</v>
      </c>
      <c r="J103" s="3" t="s">
        <v>346</v>
      </c>
      <c r="K103" s="1">
        <v>-749348.59</v>
      </c>
      <c r="L103" s="1">
        <v>542450.57999999996</v>
      </c>
      <c r="M103" s="1">
        <v>542450.57999999996</v>
      </c>
      <c r="N103" s="1">
        <v>-749348.59</v>
      </c>
      <c r="O103" s="4">
        <f>Tab_01.Jan[[#This Row],[DÉBITO]]-Tab_01.Jan[[#This Row],[CRÉDITO]]</f>
        <v>0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S</v>
      </c>
      <c r="E104" s="2">
        <f>IF($I104="","",COUNTIFS(Tab_00.Trial[CONTA],$I104))</f>
        <v>1</v>
      </c>
      <c r="F104" s="4">
        <f>SUMIFS(Tab_99.Trial[DEZEMBRO],Tab_99.Trial[CONTA],$I104)</f>
        <v>0</v>
      </c>
      <c r="G104" s="4">
        <f t="shared" si="4"/>
        <v>61141.46</v>
      </c>
      <c r="H104" s="137">
        <v>20465</v>
      </c>
      <c r="I104" s="3" t="s">
        <v>221</v>
      </c>
      <c r="J104" s="3" t="s">
        <v>661</v>
      </c>
      <c r="K104" s="1">
        <v>-61141.46</v>
      </c>
      <c r="L104" s="1">
        <v>67607.149999999994</v>
      </c>
      <c r="M104" s="1">
        <v>30769.53</v>
      </c>
      <c r="N104" s="1">
        <v>-24303.84</v>
      </c>
      <c r="O104" s="4">
        <f>Tab_01.Jan[[#This Row],[DÉBITO]]-Tab_01.Jan[[#This Row],[CRÉDITO]]</f>
        <v>36837.620000000003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S</v>
      </c>
      <c r="E105" s="2">
        <f>IF($I105="","",COUNTIFS(Tab_00.Trial[CONTA],$I105))</f>
        <v>1</v>
      </c>
      <c r="F105" s="4">
        <f>SUMIFS(Tab_99.Trial[DEZEMBRO],Tab_99.Trial[CONTA],$I105)</f>
        <v>0</v>
      </c>
      <c r="G105" s="4">
        <f t="shared" si="4"/>
        <v>60592.77</v>
      </c>
      <c r="H105" s="137">
        <v>20480</v>
      </c>
      <c r="I105" s="3" t="s">
        <v>222</v>
      </c>
      <c r="J105" s="3" t="s">
        <v>662</v>
      </c>
      <c r="K105" s="1">
        <v>-60592.77</v>
      </c>
      <c r="L105" s="1">
        <v>62473.79</v>
      </c>
      <c r="M105" s="1">
        <v>25700.68</v>
      </c>
      <c r="N105" s="1">
        <v>-23819.66</v>
      </c>
      <c r="O105" s="4">
        <f>Tab_01.Jan[[#This Row],[DÉBITO]]-Tab_01.Jan[[#This Row],[CRÉDITO]]</f>
        <v>36773.11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A</v>
      </c>
      <c r="E106" s="2">
        <f>IF($I106="","",COUNTIFS(Tab_00.Trial[CONTA],$I106))</f>
        <v>1</v>
      </c>
      <c r="F106" s="4">
        <f>SUMIFS(Tab_99.Trial[DEZEMBRO],Tab_99.Trial[CONTA],$I106)</f>
        <v>0</v>
      </c>
      <c r="G106" s="4">
        <f t="shared" si="4"/>
        <v>576.79</v>
      </c>
      <c r="H106" s="137" t="s">
        <v>908</v>
      </c>
      <c r="I106" s="3" t="s">
        <v>191</v>
      </c>
      <c r="J106" s="3" t="s">
        <v>347</v>
      </c>
      <c r="K106" s="173">
        <v>-576.79</v>
      </c>
      <c r="L106" s="1">
        <v>743.06</v>
      </c>
      <c r="M106" s="1">
        <v>575.27</v>
      </c>
      <c r="N106" s="173">
        <v>-409</v>
      </c>
      <c r="O106" s="4">
        <f>Tab_01.Jan[[#This Row],[DÉBITO]]-Tab_01.Jan[[#This Row],[CRÉDITO]]</f>
        <v>167.79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A</v>
      </c>
      <c r="E107" s="2">
        <f>IF($I107="","",COUNTIFS(Tab_00.Trial[CONTA],$I107))</f>
        <v>1</v>
      </c>
      <c r="F107" s="4">
        <f>SUMIFS(Tab_99.Trial[DEZEMBRO],Tab_99.Trial[CONTA],$I107)</f>
        <v>0</v>
      </c>
      <c r="G107" s="4">
        <f t="shared" si="4"/>
        <v>58058.76</v>
      </c>
      <c r="H107" s="137" t="s">
        <v>909</v>
      </c>
      <c r="I107" s="3" t="s">
        <v>192</v>
      </c>
      <c r="J107" s="3" t="s">
        <v>348</v>
      </c>
      <c r="K107" s="173">
        <v>-58058.76</v>
      </c>
      <c r="L107" s="1">
        <v>59434.27</v>
      </c>
      <c r="M107" s="1">
        <v>23061.87</v>
      </c>
      <c r="N107" s="173">
        <v>-21686.36</v>
      </c>
      <c r="O107" s="4">
        <f>Tab_01.Jan[[#This Row],[DÉBITO]]-Tab_01.Jan[[#This Row],[CRÉDITO]]</f>
        <v>36372.400000000001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A</v>
      </c>
      <c r="E108" s="2">
        <f>IF($I108="","",COUNTIFS(Tab_00.Trial[CONTA],$I108))</f>
        <v>1</v>
      </c>
      <c r="F108" s="4">
        <f>SUMIFS(Tab_99.Trial[DEZEMBRO],Tab_99.Trial[CONTA],$I108)</f>
        <v>0</v>
      </c>
      <c r="G108" s="4">
        <f t="shared" si="4"/>
        <v>470.46</v>
      </c>
      <c r="H108" s="137" t="s">
        <v>910</v>
      </c>
      <c r="I108" s="3" t="s">
        <v>264</v>
      </c>
      <c r="J108" s="3" t="s">
        <v>349</v>
      </c>
      <c r="K108" s="173">
        <v>-470.46</v>
      </c>
      <c r="L108" s="1">
        <v>349.52</v>
      </c>
      <c r="M108" s="1">
        <v>0</v>
      </c>
      <c r="N108" s="173">
        <v>-120.94</v>
      </c>
      <c r="O108" s="4">
        <f>Tab_01.Jan[[#This Row],[DÉBITO]]-Tab_01.Jan[[#This Row],[CRÉDITO]]</f>
        <v>349.52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A</v>
      </c>
      <c r="E109" s="2">
        <f>IF($I109="","",COUNTIFS(Tab_00.Trial[CONTA],$I109))</f>
        <v>1</v>
      </c>
      <c r="F109" s="4">
        <f>SUMIFS(Tab_99.Trial[DEZEMBRO],Tab_99.Trial[CONTA],$I109)</f>
        <v>0</v>
      </c>
      <c r="G109" s="4">
        <f t="shared" si="4"/>
        <v>1464.31</v>
      </c>
      <c r="H109" s="137" t="s">
        <v>911</v>
      </c>
      <c r="I109" s="3" t="s">
        <v>350</v>
      </c>
      <c r="J109" s="3" t="s">
        <v>351</v>
      </c>
      <c r="K109" s="173">
        <v>-1464.31</v>
      </c>
      <c r="L109" s="1">
        <v>1935.77</v>
      </c>
      <c r="M109" s="1">
        <v>2052.37</v>
      </c>
      <c r="N109" s="173">
        <v>-1580.91</v>
      </c>
      <c r="O109" s="4">
        <f>Tab_01.Jan[[#This Row],[DÉBITO]]-Tab_01.Jan[[#This Row],[CRÉDITO]]</f>
        <v>-116.6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A</v>
      </c>
      <c r="E110" s="2">
        <f>IF($I110="","",COUNTIFS(Tab_00.Trial[CONTA],$I110))</f>
        <v>1</v>
      </c>
      <c r="F110" s="4">
        <f>SUMIFS(Tab_99.Trial[DEZEMBRO],Tab_99.Trial[CONTA],$I110)</f>
        <v>0</v>
      </c>
      <c r="G110" s="4">
        <f t="shared" si="4"/>
        <v>22.45</v>
      </c>
      <c r="H110" s="137" t="s">
        <v>912</v>
      </c>
      <c r="I110" s="3" t="s">
        <v>352</v>
      </c>
      <c r="J110" s="3" t="s">
        <v>353</v>
      </c>
      <c r="K110" s="173">
        <v>-22.45</v>
      </c>
      <c r="L110" s="1">
        <v>11.17</v>
      </c>
      <c r="M110" s="1">
        <v>11.17</v>
      </c>
      <c r="N110" s="173">
        <v>-22.45</v>
      </c>
      <c r="O110" s="4">
        <f>Tab_01.Jan[[#This Row],[DÉBITO]]-Tab_01.Jan[[#This Row],[CRÉDITO]]</f>
        <v>0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S</v>
      </c>
      <c r="E111" s="2">
        <f>IF($I111="","",COUNTIFS(Tab_00.Trial[CONTA],$I111))</f>
        <v>1</v>
      </c>
      <c r="F111" s="4">
        <f>SUMIFS(Tab_99.Trial[DEZEMBRO],Tab_99.Trial[CONTA],$I111)</f>
        <v>0</v>
      </c>
      <c r="G111" s="4">
        <f t="shared" si="4"/>
        <v>548.69000000000005</v>
      </c>
      <c r="H111" s="137">
        <v>20565</v>
      </c>
      <c r="I111" s="3" t="s">
        <v>223</v>
      </c>
      <c r="J111" s="3" t="s">
        <v>663</v>
      </c>
      <c r="K111" s="173">
        <v>-548.69000000000005</v>
      </c>
      <c r="L111" s="1">
        <v>5133.3599999999997</v>
      </c>
      <c r="M111" s="1">
        <v>5068.8500000000004</v>
      </c>
      <c r="N111" s="173">
        <v>-484.18</v>
      </c>
      <c r="O111" s="4">
        <f>Tab_01.Jan[[#This Row],[DÉBITO]]-Tab_01.Jan[[#This Row],[CRÉDITO]]</f>
        <v>64.510000000000005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A</v>
      </c>
      <c r="E112" s="2">
        <f>IF($I112="","",COUNTIFS(Tab_00.Trial[CONTA],$I112))</f>
        <v>1</v>
      </c>
      <c r="F112" s="4">
        <f>SUMIFS(Tab_99.Trial[DEZEMBRO],Tab_99.Trial[CONTA],$I112)</f>
        <v>0</v>
      </c>
      <c r="G112" s="4">
        <f t="shared" si="4"/>
        <v>548.69000000000005</v>
      </c>
      <c r="H112" s="137" t="s">
        <v>913</v>
      </c>
      <c r="I112" s="3" t="s">
        <v>354</v>
      </c>
      <c r="J112" s="3" t="s">
        <v>355</v>
      </c>
      <c r="K112" s="173">
        <v>-548.69000000000005</v>
      </c>
      <c r="L112" s="1">
        <v>5133.3599999999997</v>
      </c>
      <c r="M112" s="1">
        <v>5068.8500000000004</v>
      </c>
      <c r="N112" s="173">
        <v>-484.18</v>
      </c>
      <c r="O112" s="4">
        <f>Tab_01.Jan[[#This Row],[DÉBITO]]-Tab_01.Jan[[#This Row],[CRÉDITO]]</f>
        <v>64.510000000000005</v>
      </c>
    </row>
    <row r="113" spans="2:17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S</v>
      </c>
      <c r="E113" s="2">
        <f>IF($I113="","",COUNTIFS(Tab_00.Trial[CONTA],$I113))</f>
        <v>1</v>
      </c>
      <c r="F113" s="4">
        <f>SUMIFS(Tab_99.Trial[DEZEMBRO],Tab_99.Trial[CONTA],$I113)</f>
        <v>0</v>
      </c>
      <c r="G113" s="4">
        <f t="shared" si="4"/>
        <v>20005.98</v>
      </c>
      <c r="H113" s="137">
        <v>20690</v>
      </c>
      <c r="I113" s="3" t="s">
        <v>224</v>
      </c>
      <c r="J113" s="3" t="s">
        <v>664</v>
      </c>
      <c r="K113" s="173">
        <v>-20005.98</v>
      </c>
      <c r="L113" s="1">
        <v>590.63</v>
      </c>
      <c r="M113" s="1">
        <v>3053.56</v>
      </c>
      <c r="N113" s="173">
        <v>-22468.91</v>
      </c>
      <c r="O113" s="4">
        <f>Tab_01.Jan[[#This Row],[DÉBITO]]-Tab_01.Jan[[#This Row],[CRÉDITO]]</f>
        <v>-2462.9299999999998</v>
      </c>
    </row>
    <row r="114" spans="2:17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5</v>
      </c>
      <c r="D114" s="2" t="str">
        <f>_xlfn.XLOOKUP($I114,Tab_00.Trial[CONTA],Tab_00.Trial[S/A],"",0,1)</f>
        <v>S</v>
      </c>
      <c r="E114" s="2">
        <f>IF($I114="","",COUNTIFS(Tab_00.Trial[CONTA],$I114))</f>
        <v>1</v>
      </c>
      <c r="F114" s="4">
        <f>SUMIFS(Tab_99.Trial[DEZEMBRO],Tab_99.Trial[CONTA],$I114)</f>
        <v>0</v>
      </c>
      <c r="G114" s="4">
        <f t="shared" ref="G114:G145" si="5">IFERROR(IF(LEFT($I114)*1&gt;2,0,$F114-$K114),0)</f>
        <v>20005.98</v>
      </c>
      <c r="H114" s="137">
        <v>20705</v>
      </c>
      <c r="I114" s="3" t="s">
        <v>225</v>
      </c>
      <c r="J114" s="3" t="s">
        <v>665</v>
      </c>
      <c r="K114" s="173">
        <v>-20005.98</v>
      </c>
      <c r="L114" s="1">
        <v>590.63</v>
      </c>
      <c r="M114" s="1">
        <v>3053.56</v>
      </c>
      <c r="N114" s="173">
        <v>-22468.91</v>
      </c>
      <c r="O114" s="4">
        <f>Tab_01.Jan[[#This Row],[DÉBITO]]-Tab_01.Jan[[#This Row],[CRÉDITO]]</f>
        <v>-2462.9299999999998</v>
      </c>
    </row>
    <row r="115" spans="2:17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5</v>
      </c>
      <c r="D115" s="2" t="str">
        <f>_xlfn.XLOOKUP($I115,Tab_00.Trial[CONTA],Tab_00.Trial[S/A],"",0,1)</f>
        <v>A</v>
      </c>
      <c r="E115" s="2">
        <f>IF($I115="","",COUNTIFS(Tab_00.Trial[CONTA],$I115))</f>
        <v>1</v>
      </c>
      <c r="F115" s="4">
        <f>SUMIFS(Tab_99.Trial[DEZEMBRO],Tab_99.Trial[CONTA],$I115)</f>
        <v>0</v>
      </c>
      <c r="G115" s="4">
        <f t="shared" si="5"/>
        <v>20005.98</v>
      </c>
      <c r="H115" s="137" t="s">
        <v>914</v>
      </c>
      <c r="I115" s="3" t="s">
        <v>356</v>
      </c>
      <c r="J115" s="3" t="s">
        <v>357</v>
      </c>
      <c r="K115" s="173">
        <v>-20005.98</v>
      </c>
      <c r="L115" s="1">
        <v>590.63</v>
      </c>
      <c r="M115" s="1">
        <v>3053.56</v>
      </c>
      <c r="N115" s="173">
        <v>-22468.91</v>
      </c>
      <c r="O115" s="4">
        <f>Tab_01.Jan[[#This Row],[DÉBITO]]-Tab_01.Jan[[#This Row],[CRÉDITO]]</f>
        <v>-2462.9299999999998</v>
      </c>
    </row>
    <row r="116" spans="2:17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5</v>
      </c>
      <c r="D116" s="2" t="str">
        <f>_xlfn.XLOOKUP($I116,Tab_00.Trial[CONTA],Tab_00.Trial[S/A],"",0,1)</f>
        <v>S</v>
      </c>
      <c r="E116" s="2">
        <f>IF($I116="","",COUNTIFS(Tab_00.Trial[CONTA],$I116))</f>
        <v>1</v>
      </c>
      <c r="F116" s="4">
        <f>SUMIFS(Tab_99.Trial[DEZEMBRO],Tab_99.Trial[CONTA],$I116)</f>
        <v>0</v>
      </c>
      <c r="G116" s="4">
        <f t="shared" si="5"/>
        <v>3849.2</v>
      </c>
      <c r="H116" s="137">
        <v>20765</v>
      </c>
      <c r="I116" s="3" t="s">
        <v>564</v>
      </c>
      <c r="J116" s="3" t="s">
        <v>666</v>
      </c>
      <c r="K116" s="173">
        <v>-3849.2</v>
      </c>
      <c r="L116" s="1">
        <v>0</v>
      </c>
      <c r="M116" s="1">
        <v>0</v>
      </c>
      <c r="N116" s="173">
        <v>-3849.2</v>
      </c>
      <c r="O116" s="4">
        <f>Tab_01.Jan[[#This Row],[DÉBITO]]-Tab_01.Jan[[#This Row],[CRÉDITO]]</f>
        <v>0</v>
      </c>
    </row>
    <row r="117" spans="2:17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5</v>
      </c>
      <c r="D117" s="2" t="str">
        <f>_xlfn.XLOOKUP($I117,Tab_00.Trial[CONTA],Tab_00.Trial[S/A],"",0,1)</f>
        <v>S</v>
      </c>
      <c r="E117" s="2">
        <f>IF($I117="","",COUNTIFS(Tab_00.Trial[CONTA],$I117))</f>
        <v>1</v>
      </c>
      <c r="F117" s="4">
        <f>SUMIFS(Tab_99.Trial[DEZEMBRO],Tab_99.Trial[CONTA],$I117)</f>
        <v>0</v>
      </c>
      <c r="G117" s="4">
        <f t="shared" si="5"/>
        <v>3849.2</v>
      </c>
      <c r="H117" s="137">
        <v>20780</v>
      </c>
      <c r="I117" s="3" t="s">
        <v>565</v>
      </c>
      <c r="J117" s="3" t="s">
        <v>667</v>
      </c>
      <c r="K117" s="173">
        <v>-3849.2</v>
      </c>
      <c r="L117" s="1">
        <v>0</v>
      </c>
      <c r="M117" s="1">
        <v>0</v>
      </c>
      <c r="N117" s="173">
        <v>-3849.2</v>
      </c>
      <c r="O117" s="4">
        <f>Tab_01.Jan[[#This Row],[DÉBITO]]-Tab_01.Jan[[#This Row],[CRÉDITO]]</f>
        <v>0</v>
      </c>
    </row>
    <row r="118" spans="2:17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5</v>
      </c>
      <c r="D118" s="2" t="str">
        <f>_xlfn.XLOOKUP($I118,Tab_00.Trial[CONTA],Tab_00.Trial[S/A],"",0,1)</f>
        <v>A</v>
      </c>
      <c r="E118" s="2">
        <f>IF($I118="","",COUNTIFS(Tab_00.Trial[CONTA],$I118))</f>
        <v>1</v>
      </c>
      <c r="F118" s="4">
        <f>SUMIFS(Tab_99.Trial[DEZEMBRO],Tab_99.Trial[CONTA],$I118)</f>
        <v>0</v>
      </c>
      <c r="G118" s="4">
        <f t="shared" si="5"/>
        <v>3849.2</v>
      </c>
      <c r="H118" s="137" t="s">
        <v>915</v>
      </c>
      <c r="I118" s="3" t="s">
        <v>358</v>
      </c>
      <c r="J118" s="3" t="s">
        <v>359</v>
      </c>
      <c r="K118" s="173">
        <v>-3849.2</v>
      </c>
      <c r="L118" s="1">
        <v>0</v>
      </c>
      <c r="M118" s="1">
        <v>0</v>
      </c>
      <c r="N118" s="173">
        <v>-3849.2</v>
      </c>
      <c r="O118" s="4">
        <f>Tab_01.Jan[[#This Row],[DÉBITO]]-Tab_01.Jan[[#This Row],[CRÉDITO]]</f>
        <v>0</v>
      </c>
      <c r="Q118" s="4"/>
    </row>
    <row r="119" spans="2:17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2</v>
      </c>
      <c r="D119" s="2" t="str">
        <f>_xlfn.XLOOKUP($I119,Tab_00.Trial[CONTA],Tab_00.Trial[S/A],"",0,1)</f>
        <v>S</v>
      </c>
      <c r="E119" s="2">
        <f>IF($I119="","",COUNTIFS(Tab_00.Trial[CONTA],$I119))</f>
        <v>1</v>
      </c>
      <c r="F119" s="4">
        <f>SUMIFS(Tab_99.Trial[DEZEMBRO],Tab_99.Trial[CONTA],$I119)</f>
        <v>0</v>
      </c>
      <c r="G119" s="4">
        <f t="shared" si="5"/>
        <v>46934.04</v>
      </c>
      <c r="H119" s="137">
        <v>20885</v>
      </c>
      <c r="I119" s="3" t="s">
        <v>226</v>
      </c>
      <c r="J119" s="3" t="s">
        <v>76</v>
      </c>
      <c r="K119" s="173">
        <v>-46934.04</v>
      </c>
      <c r="L119" s="1">
        <v>0</v>
      </c>
      <c r="M119" s="1">
        <v>0</v>
      </c>
      <c r="N119" s="173">
        <v>-46934.04</v>
      </c>
      <c r="O119" s="4">
        <f>Tab_01.Jan[[#This Row],[DÉBITO]]-Tab_01.Jan[[#This Row],[CRÉDITO]]</f>
        <v>0</v>
      </c>
    </row>
    <row r="120" spans="2:17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5</v>
      </c>
      <c r="D120" s="2" t="str">
        <f>_xlfn.XLOOKUP($I120,Tab_00.Trial[CONTA],Tab_00.Trial[S/A],"",0,1)</f>
        <v>S</v>
      </c>
      <c r="E120" s="2">
        <f>IF($I120="","",COUNTIFS(Tab_00.Trial[CONTA],$I120))</f>
        <v>1</v>
      </c>
      <c r="F120" s="4">
        <f>SUMIFS(Tab_99.Trial[DEZEMBRO],Tab_99.Trial[CONTA],$I120)</f>
        <v>0</v>
      </c>
      <c r="G120" s="4">
        <f t="shared" si="5"/>
        <v>46934.04</v>
      </c>
      <c r="H120" s="137">
        <v>21110</v>
      </c>
      <c r="I120" s="3" t="s">
        <v>566</v>
      </c>
      <c r="J120" s="3" t="s">
        <v>668</v>
      </c>
      <c r="K120" s="173">
        <v>-46934.04</v>
      </c>
      <c r="L120" s="1">
        <v>0</v>
      </c>
      <c r="M120" s="1">
        <v>0</v>
      </c>
      <c r="N120" s="173">
        <v>-46934.04</v>
      </c>
      <c r="O120" s="4">
        <f>Tab_01.Jan[[#This Row],[DÉBITO]]-Tab_01.Jan[[#This Row],[CRÉDITO]]</f>
        <v>0</v>
      </c>
    </row>
    <row r="121" spans="2:17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5</v>
      </c>
      <c r="D121" s="2" t="str">
        <f>_xlfn.XLOOKUP($I121,Tab_00.Trial[CONTA],Tab_00.Trial[S/A],"",0,1)</f>
        <v>S</v>
      </c>
      <c r="E121" s="2">
        <f>IF($I121="","",COUNTIFS(Tab_00.Trial[CONTA],$I121))</f>
        <v>1</v>
      </c>
      <c r="F121" s="4">
        <f>SUMIFS(Tab_99.Trial[DEZEMBRO],Tab_99.Trial[CONTA],$I121)</f>
        <v>0</v>
      </c>
      <c r="G121" s="4">
        <f t="shared" si="5"/>
        <v>46934.04</v>
      </c>
      <c r="H121" s="137">
        <v>21125</v>
      </c>
      <c r="I121" s="3" t="s">
        <v>567</v>
      </c>
      <c r="J121" s="3" t="s">
        <v>669</v>
      </c>
      <c r="K121" s="173">
        <v>-46934.04</v>
      </c>
      <c r="L121" s="1">
        <v>0</v>
      </c>
      <c r="M121" s="1">
        <v>0</v>
      </c>
      <c r="N121" s="173">
        <v>-46934.04</v>
      </c>
      <c r="O121" s="4">
        <f>Tab_01.Jan[[#This Row],[DÉBITO]]-Tab_01.Jan[[#This Row],[CRÉDITO]]</f>
        <v>0</v>
      </c>
    </row>
    <row r="122" spans="2:17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5</v>
      </c>
      <c r="D122" s="2" t="str">
        <f>_xlfn.XLOOKUP($I122,Tab_00.Trial[CONTA],Tab_00.Trial[S/A],"",0,1)</f>
        <v>A</v>
      </c>
      <c r="E122" s="2">
        <f>IF($I122="","",COUNTIFS(Tab_00.Trial[CONTA],$I122))</f>
        <v>1</v>
      </c>
      <c r="F122" s="4">
        <f>SUMIFS(Tab_99.Trial[DEZEMBRO],Tab_99.Trial[CONTA],$I122)</f>
        <v>0</v>
      </c>
      <c r="G122" s="4">
        <f t="shared" si="5"/>
        <v>31934.04</v>
      </c>
      <c r="H122" s="137" t="s">
        <v>916</v>
      </c>
      <c r="I122" s="3" t="s">
        <v>360</v>
      </c>
      <c r="J122" s="3" t="s">
        <v>361</v>
      </c>
      <c r="K122" s="173">
        <v>-31934.04</v>
      </c>
      <c r="L122" s="1">
        <v>0</v>
      </c>
      <c r="M122" s="1">
        <v>0</v>
      </c>
      <c r="N122" s="173">
        <v>-31934.04</v>
      </c>
      <c r="O122" s="4">
        <f>Tab_01.Jan[[#This Row],[DÉBITO]]-Tab_01.Jan[[#This Row],[CRÉDITO]]</f>
        <v>0</v>
      </c>
    </row>
    <row r="123" spans="2:17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A</v>
      </c>
      <c r="E123" s="2">
        <f>IF($I123="","",COUNTIFS(Tab_00.Trial[CONTA],$I123))</f>
        <v>1</v>
      </c>
      <c r="F123" s="4">
        <f>SUMIFS(Tab_99.Trial[DEZEMBRO],Tab_99.Trial[CONTA],$I123)</f>
        <v>0</v>
      </c>
      <c r="G123" s="4">
        <f t="shared" si="5"/>
        <v>15000</v>
      </c>
      <c r="H123" s="137" t="s">
        <v>917</v>
      </c>
      <c r="I123" s="3" t="s">
        <v>362</v>
      </c>
      <c r="J123" s="3" t="s">
        <v>363</v>
      </c>
      <c r="K123" s="173">
        <v>-15000</v>
      </c>
      <c r="L123" s="1">
        <v>0</v>
      </c>
      <c r="M123" s="1">
        <v>0</v>
      </c>
      <c r="N123" s="173">
        <v>-15000</v>
      </c>
      <c r="O123" s="4">
        <f>Tab_01.Jan[[#This Row],[DÉBITO]]-Tab_01.Jan[[#This Row],[CRÉDITO]]</f>
        <v>0</v>
      </c>
    </row>
    <row r="124" spans="2:17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2</v>
      </c>
      <c r="D124" s="2" t="str">
        <f>_xlfn.XLOOKUP($I124,Tab_00.Trial[CONTA],Tab_00.Trial[S/A],"",0,1)</f>
        <v>S</v>
      </c>
      <c r="E124" s="2">
        <f>IF($I124="","",COUNTIFS(Tab_00.Trial[CONTA],$I124))</f>
        <v>1</v>
      </c>
      <c r="F124" s="4">
        <f>SUMIFS(Tab_99.Trial[DEZEMBRO],Tab_99.Trial[CONTA],$I124)</f>
        <v>0</v>
      </c>
      <c r="G124" s="4">
        <f t="shared" si="5"/>
        <v>81851048.75</v>
      </c>
      <c r="H124" s="137">
        <v>21200</v>
      </c>
      <c r="I124" s="3" t="s">
        <v>228</v>
      </c>
      <c r="J124" s="3" t="s">
        <v>670</v>
      </c>
      <c r="K124" s="173">
        <v>-81851048.75</v>
      </c>
      <c r="L124" s="1">
        <v>5078.8500000000004</v>
      </c>
      <c r="M124" s="1">
        <v>241997.83</v>
      </c>
      <c r="N124" s="173">
        <v>-82087967.730000004</v>
      </c>
      <c r="O124" s="4">
        <f>Tab_01.Jan[[#This Row],[DÉBITO]]-Tab_01.Jan[[#This Row],[CRÉDITO]]</f>
        <v>-236918.98</v>
      </c>
    </row>
    <row r="125" spans="2:17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5</v>
      </c>
      <c r="D125" s="2" t="str">
        <f>_xlfn.XLOOKUP($I125,Tab_00.Trial[CONTA],Tab_00.Trial[S/A],"",0,1)</f>
        <v>S</v>
      </c>
      <c r="E125" s="2">
        <f>IF($I125="","",COUNTIFS(Tab_00.Trial[CONTA],$I125))</f>
        <v>1</v>
      </c>
      <c r="F125" s="4">
        <f>SUMIFS(Tab_99.Trial[DEZEMBRO],Tab_99.Trial[CONTA],$I125)</f>
        <v>0</v>
      </c>
      <c r="G125" s="4">
        <f t="shared" si="5"/>
        <v>81851048.75</v>
      </c>
      <c r="H125" s="137">
        <v>21215</v>
      </c>
      <c r="I125" s="3" t="s">
        <v>229</v>
      </c>
      <c r="J125" s="3" t="s">
        <v>670</v>
      </c>
      <c r="K125" s="173">
        <v>-81851048.75</v>
      </c>
      <c r="L125" s="1">
        <v>5078.8500000000004</v>
      </c>
      <c r="M125" s="1">
        <v>241997.83</v>
      </c>
      <c r="N125" s="173">
        <v>-82087967.730000004</v>
      </c>
      <c r="O125" s="4">
        <f>Tab_01.Jan[[#This Row],[DÉBITO]]-Tab_01.Jan[[#This Row],[CRÉDITO]]</f>
        <v>-236918.98</v>
      </c>
    </row>
    <row r="126" spans="2:17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S</v>
      </c>
      <c r="E126" s="2">
        <f>IF($I126="","",COUNTIFS(Tab_00.Trial[CONTA],$I126))</f>
        <v>1</v>
      </c>
      <c r="F126" s="4">
        <f>SUMIFS(Tab_99.Trial[DEZEMBRO],Tab_99.Trial[CONTA],$I126)</f>
        <v>0</v>
      </c>
      <c r="G126" s="4">
        <f t="shared" si="5"/>
        <v>104784619.59999999</v>
      </c>
      <c r="H126" s="137">
        <v>21230</v>
      </c>
      <c r="I126" s="3" t="s">
        <v>230</v>
      </c>
      <c r="J126" s="3" t="s">
        <v>364</v>
      </c>
      <c r="K126" s="1">
        <v>-104784619.59999999</v>
      </c>
      <c r="L126" s="1">
        <v>0</v>
      </c>
      <c r="M126" s="173">
        <v>0</v>
      </c>
      <c r="N126" s="173">
        <v>-104784619.59999999</v>
      </c>
      <c r="O126" s="4">
        <f>Tab_01.Jan[[#This Row],[DÉBITO]]-Tab_01.Jan[[#This Row],[CRÉDITO]]</f>
        <v>0</v>
      </c>
    </row>
    <row r="127" spans="2:17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A</v>
      </c>
      <c r="E127" s="2">
        <f>IF($I127="","",COUNTIFS(Tab_00.Trial[CONTA],$I127))</f>
        <v>1</v>
      </c>
      <c r="F127" s="4">
        <f>SUMIFS(Tab_99.Trial[DEZEMBRO],Tab_99.Trial[CONTA],$I127)</f>
        <v>0</v>
      </c>
      <c r="G127" s="4">
        <f t="shared" si="5"/>
        <v>104784619.59999999</v>
      </c>
      <c r="H127" s="137" t="s">
        <v>918</v>
      </c>
      <c r="I127" s="3" t="s">
        <v>193</v>
      </c>
      <c r="J127" s="3" t="s">
        <v>364</v>
      </c>
      <c r="K127" s="1">
        <v>-104784619.59999999</v>
      </c>
      <c r="L127" s="1">
        <v>0</v>
      </c>
      <c r="M127" s="173">
        <v>0</v>
      </c>
      <c r="N127" s="173">
        <v>-104784619.59999999</v>
      </c>
      <c r="O127" s="4">
        <f>Tab_01.Jan[[#This Row],[DÉBITO]]-Tab_01.Jan[[#This Row],[CRÉDITO]]</f>
        <v>0</v>
      </c>
    </row>
    <row r="128" spans="2:17" x14ac:dyDescent="0.3">
      <c r="B128" s="2" t="str">
        <f>_xlfn.XLOOKUP($I128,Tab_00.Trial[CONTA],Tab_00.Trial[TP],"",0,1)</f>
        <v>P</v>
      </c>
      <c r="C128" s="2">
        <f>_xlfn.XLOOKUP($I128,Tab_00.Trial[CONTA],Tab_00.Trial[NV],"",0,1)</f>
        <v>5</v>
      </c>
      <c r="D128" s="2" t="str">
        <f>_xlfn.XLOOKUP($I128,Tab_00.Trial[CONTA],Tab_00.Trial[S/A],"",0,1)</f>
        <v>S</v>
      </c>
      <c r="E128" s="2">
        <f>IF($I128="","",COUNTIFS(Tab_00.Trial[CONTA],$I128))</f>
        <v>1</v>
      </c>
      <c r="F128" s="4">
        <f>SUMIFS(Tab_99.Trial[DEZEMBRO],Tab_99.Trial[CONTA],$I128)</f>
        <v>0</v>
      </c>
      <c r="G128" s="4">
        <f t="shared" si="5"/>
        <v>-32587250.850000001</v>
      </c>
      <c r="H128" s="137">
        <v>21305</v>
      </c>
      <c r="I128" s="3" t="s">
        <v>568</v>
      </c>
      <c r="J128" s="3" t="s">
        <v>671</v>
      </c>
      <c r="K128" s="1">
        <v>32587250.850000001</v>
      </c>
      <c r="L128" s="1">
        <v>0</v>
      </c>
      <c r="M128" s="173">
        <v>0</v>
      </c>
      <c r="N128" s="173">
        <v>32587250.850000001</v>
      </c>
      <c r="O128" s="4">
        <f>Tab_01.Jan[[#This Row],[DÉBITO]]-Tab_01.Jan[[#This Row],[CRÉDITO]]</f>
        <v>0</v>
      </c>
    </row>
    <row r="129" spans="2:15" x14ac:dyDescent="0.3">
      <c r="B129" s="2" t="str">
        <f>_xlfn.XLOOKUP($I129,Tab_00.Trial[CONTA],Tab_00.Trial[TP],"",0,1)</f>
        <v>P</v>
      </c>
      <c r="C129" s="2">
        <f>_xlfn.XLOOKUP($I129,Tab_00.Trial[CONTA],Tab_00.Trial[NV],"",0,1)</f>
        <v>5</v>
      </c>
      <c r="D129" s="2" t="str">
        <f>_xlfn.XLOOKUP($I129,Tab_00.Trial[CONTA],Tab_00.Trial[S/A],"",0,1)</f>
        <v>A</v>
      </c>
      <c r="E129" s="2">
        <f>IF($I129="","",COUNTIFS(Tab_00.Trial[CONTA],$I129))</f>
        <v>1</v>
      </c>
      <c r="F129" s="4">
        <f>SUMIFS(Tab_99.Trial[DEZEMBRO],Tab_99.Trial[CONTA],$I129)</f>
        <v>0</v>
      </c>
      <c r="G129" s="4">
        <f t="shared" si="5"/>
        <v>827719.82</v>
      </c>
      <c r="H129" s="137" t="s">
        <v>919</v>
      </c>
      <c r="I129" s="3" t="s">
        <v>743</v>
      </c>
      <c r="J129" s="3" t="s">
        <v>744</v>
      </c>
      <c r="K129" s="1">
        <v>-827719.82</v>
      </c>
      <c r="L129" s="1">
        <v>0</v>
      </c>
      <c r="M129" s="173">
        <v>0</v>
      </c>
      <c r="N129" s="173">
        <v>-827719.82</v>
      </c>
      <c r="O129" s="4">
        <f>Tab_01.Jan[[#This Row],[DÉBITO]]-Tab_01.Jan[[#This Row],[CRÉDITO]]</f>
        <v>0</v>
      </c>
    </row>
    <row r="130" spans="2:15" x14ac:dyDescent="0.3">
      <c r="B130" s="2" t="str">
        <f>_xlfn.XLOOKUP($I130,Tab_00.Trial[CONTA],Tab_00.Trial[TP],"",0,1)</f>
        <v>P</v>
      </c>
      <c r="C130" s="2">
        <f>_xlfn.XLOOKUP($I130,Tab_00.Trial[CONTA],Tab_00.Trial[NV],"",0,1)</f>
        <v>5</v>
      </c>
      <c r="D130" s="2" t="str">
        <f>_xlfn.XLOOKUP($I130,Tab_00.Trial[CONTA],Tab_00.Trial[S/A],"",0,1)</f>
        <v>A</v>
      </c>
      <c r="E130" s="2">
        <f>IF($I130="","",COUNTIFS(Tab_00.Trial[CONTA],$I130))</f>
        <v>1</v>
      </c>
      <c r="F130" s="4">
        <f>SUMIFS(Tab_99.Trial[DEZEMBRO],Tab_99.Trial[CONTA],$I130)</f>
        <v>0</v>
      </c>
      <c r="G130" s="4">
        <f t="shared" si="5"/>
        <v>-33414970.670000002</v>
      </c>
      <c r="H130" s="137" t="s">
        <v>920</v>
      </c>
      <c r="I130" s="3" t="s">
        <v>365</v>
      </c>
      <c r="J130" s="3" t="s">
        <v>366</v>
      </c>
      <c r="K130" s="1">
        <v>33414970.670000002</v>
      </c>
      <c r="L130" s="1">
        <v>0</v>
      </c>
      <c r="M130" s="173">
        <v>0</v>
      </c>
      <c r="N130" s="173">
        <v>33414970.670000002</v>
      </c>
      <c r="O130" s="4">
        <f>Tab_01.Jan[[#This Row],[DÉBITO]]-Tab_01.Jan[[#This Row],[CRÉDITO]]</f>
        <v>0</v>
      </c>
    </row>
    <row r="131" spans="2:15" x14ac:dyDescent="0.3">
      <c r="B131" s="2" t="str">
        <f>_xlfn.XLOOKUP($I131,Tab_00.Trial[CONTA],Tab_00.Trial[TP],"",0,1)</f>
        <v>P</v>
      </c>
      <c r="C131" s="2">
        <f>_xlfn.XLOOKUP($I131,Tab_00.Trial[CONTA],Tab_00.Trial[NV],"",0,1)</f>
        <v>5</v>
      </c>
      <c r="D131" s="2" t="str">
        <f>_xlfn.XLOOKUP($I131,Tab_00.Trial[CONTA],Tab_00.Trial[S/A],"",0,1)</f>
        <v>S</v>
      </c>
      <c r="E131" s="2">
        <f>IF($I131="","",COUNTIFS(Tab_00.Trial[CONTA],$I131))</f>
        <v>1</v>
      </c>
      <c r="F131" s="4">
        <f>SUMIFS(Tab_99.Trial[DEZEMBRO],Tab_99.Trial[CONTA],$I131)</f>
        <v>0</v>
      </c>
      <c r="G131" s="4">
        <f t="shared" si="5"/>
        <v>9653680</v>
      </c>
      <c r="H131" s="137">
        <v>21350</v>
      </c>
      <c r="I131" s="3" t="s">
        <v>745</v>
      </c>
      <c r="J131" s="3" t="s">
        <v>746</v>
      </c>
      <c r="K131" s="1">
        <v>-9653680</v>
      </c>
      <c r="L131" s="1">
        <v>5078.8500000000004</v>
      </c>
      <c r="M131" s="173">
        <v>241997.83</v>
      </c>
      <c r="N131" s="173">
        <v>-9890598.9800000004</v>
      </c>
      <c r="O131" s="4">
        <f>Tab_01.Jan[[#This Row],[DÉBITO]]-Tab_01.Jan[[#This Row],[CRÉDITO]]</f>
        <v>-236918.98</v>
      </c>
    </row>
    <row r="132" spans="2:15" x14ac:dyDescent="0.3">
      <c r="B132" s="2" t="str">
        <f>_xlfn.XLOOKUP($I132,Tab_00.Trial[CONTA],Tab_00.Trial[TP],"",0,1)</f>
        <v>P</v>
      </c>
      <c r="C132" s="2">
        <f>_xlfn.XLOOKUP($I132,Tab_00.Trial[CONTA],Tab_00.Trial[NV],"",0,1)</f>
        <v>5</v>
      </c>
      <c r="D132" s="2" t="str">
        <f>_xlfn.XLOOKUP($I132,Tab_00.Trial[CONTA],Tab_00.Trial[S/A],"",0,1)</f>
        <v>A</v>
      </c>
      <c r="E132" s="2">
        <f>IF($I132="","",COUNTIFS(Tab_00.Trial[CONTA],$I132))</f>
        <v>1</v>
      </c>
      <c r="F132" s="4">
        <f>SUMIFS(Tab_99.Trial[DEZEMBRO],Tab_99.Trial[CONTA],$I132)</f>
        <v>0</v>
      </c>
      <c r="G132" s="4">
        <f t="shared" si="5"/>
        <v>9653680</v>
      </c>
      <c r="H132" s="137" t="s">
        <v>921</v>
      </c>
      <c r="I132" s="3" t="s">
        <v>747</v>
      </c>
      <c r="J132" s="3" t="s">
        <v>746</v>
      </c>
      <c r="K132" s="1">
        <v>-9653680</v>
      </c>
      <c r="L132" s="1">
        <v>5078.8500000000004</v>
      </c>
      <c r="M132" s="173">
        <v>241997.83</v>
      </c>
      <c r="N132" s="173">
        <v>-9890598.9800000004</v>
      </c>
      <c r="O132" s="4">
        <f>Tab_01.Jan[[#This Row],[DÉBITO]]-Tab_01.Jan[[#This Row],[CRÉDITO]]</f>
        <v>-236918.98</v>
      </c>
    </row>
    <row r="133" spans="2:15" x14ac:dyDescent="0.3">
      <c r="B133" s="2" t="str">
        <f>_xlfn.XLOOKUP($I133,Tab_00.Trial[CONTA],Tab_00.Trial[TP],"",0,1)</f>
        <v>R</v>
      </c>
      <c r="C133" s="2">
        <f>_xlfn.XLOOKUP($I133,Tab_00.Trial[CONTA],Tab_00.Trial[NV],"",0,1)</f>
        <v>1</v>
      </c>
      <c r="D133" s="2" t="str">
        <f>_xlfn.XLOOKUP($I133,Tab_00.Trial[CONTA],Tab_00.Trial[S/A],"",0,1)</f>
        <v>S</v>
      </c>
      <c r="E133" s="2">
        <f>IF($I133="","",COUNTIFS(Tab_00.Trial[CONTA],$I133))</f>
        <v>1</v>
      </c>
      <c r="F133" s="4">
        <f>SUMIFS(Tab_99.Trial[DEZEMBRO],Tab_99.Trial[CONTA],$I133)</f>
        <v>0</v>
      </c>
      <c r="G133" s="4">
        <f t="shared" si="5"/>
        <v>0</v>
      </c>
      <c r="H133" s="137">
        <v>30000</v>
      </c>
      <c r="I133" s="3">
        <v>3</v>
      </c>
      <c r="J133" s="3" t="s">
        <v>672</v>
      </c>
      <c r="K133" s="1">
        <v>0</v>
      </c>
      <c r="L133" s="1">
        <v>0</v>
      </c>
      <c r="M133" s="173">
        <v>1152924.6399999999</v>
      </c>
      <c r="N133" s="173">
        <v>-1152924.6399999999</v>
      </c>
      <c r="O133" s="4">
        <f>Tab_01.Jan[[#This Row],[DÉBITO]]-Tab_01.Jan[[#This Row],[CRÉDITO]]</f>
        <v>-1152924.6399999999</v>
      </c>
    </row>
    <row r="134" spans="2:15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2</v>
      </c>
      <c r="D134" s="2" t="str">
        <f>_xlfn.XLOOKUP($I134,Tab_00.Trial[CONTA],Tab_00.Trial[S/A],"",0,1)</f>
        <v>S</v>
      </c>
      <c r="E134" s="2">
        <f>IF($I134="","",COUNTIFS(Tab_00.Trial[CONTA],$I134))</f>
        <v>1</v>
      </c>
      <c r="F134" s="4">
        <f>SUMIFS(Tab_99.Trial[DEZEMBRO],Tab_99.Trial[CONTA],$I134)</f>
        <v>0</v>
      </c>
      <c r="G134" s="4">
        <f t="shared" si="5"/>
        <v>0</v>
      </c>
      <c r="H134" s="137">
        <v>30030</v>
      </c>
      <c r="I134" s="3" t="s">
        <v>231</v>
      </c>
      <c r="J134" s="3" t="s">
        <v>673</v>
      </c>
      <c r="K134" s="1">
        <v>0</v>
      </c>
      <c r="L134" s="1">
        <v>0</v>
      </c>
      <c r="M134" s="173">
        <v>528374.13</v>
      </c>
      <c r="N134" s="173">
        <v>-528374.13</v>
      </c>
      <c r="O134" s="4">
        <f>Tab_01.Jan[[#This Row],[DÉBITO]]-Tab_01.Jan[[#This Row],[CRÉDITO]]</f>
        <v>-528374.13</v>
      </c>
    </row>
    <row r="135" spans="2:15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5</v>
      </c>
      <c r="D135" s="2" t="str">
        <f>_xlfn.XLOOKUP($I135,Tab_00.Trial[CONTA],Tab_00.Trial[S/A],"",0,1)</f>
        <v>S</v>
      </c>
      <c r="E135" s="2">
        <f>IF($I135="","",COUNTIFS(Tab_00.Trial[CONTA],$I135))</f>
        <v>1</v>
      </c>
      <c r="F135" s="4">
        <f>SUMIFS(Tab_99.Trial[DEZEMBRO],Tab_99.Trial[CONTA],$I135)</f>
        <v>0</v>
      </c>
      <c r="G135" s="4">
        <f t="shared" si="5"/>
        <v>0</v>
      </c>
      <c r="H135" s="137">
        <v>30045</v>
      </c>
      <c r="I135" s="3" t="s">
        <v>232</v>
      </c>
      <c r="J135" s="3" t="s">
        <v>674</v>
      </c>
      <c r="K135" s="1">
        <v>0</v>
      </c>
      <c r="L135" s="1">
        <v>0</v>
      </c>
      <c r="M135" s="173">
        <v>309988.61</v>
      </c>
      <c r="N135" s="173">
        <v>-309988.61</v>
      </c>
      <c r="O135" s="4">
        <f>Tab_01.Jan[[#This Row],[DÉBITO]]-Tab_01.Jan[[#This Row],[CRÉDITO]]</f>
        <v>-309988.61</v>
      </c>
    </row>
    <row r="136" spans="2:15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S</v>
      </c>
      <c r="E136" s="2">
        <f>IF($I136="","",COUNTIFS(Tab_00.Trial[CONTA],$I136))</f>
        <v>1</v>
      </c>
      <c r="F136" s="4">
        <f>SUMIFS(Tab_99.Trial[DEZEMBRO],Tab_99.Trial[CONTA],$I136)</f>
        <v>0</v>
      </c>
      <c r="G136" s="4">
        <f t="shared" si="5"/>
        <v>0</v>
      </c>
      <c r="H136" s="137">
        <v>30470</v>
      </c>
      <c r="I136" s="3" t="s">
        <v>233</v>
      </c>
      <c r="J136" s="3" t="s">
        <v>675</v>
      </c>
      <c r="K136" s="1">
        <v>0</v>
      </c>
      <c r="L136" s="1">
        <v>0</v>
      </c>
      <c r="M136" s="173">
        <v>122569.24</v>
      </c>
      <c r="N136" s="173">
        <v>-122569.24</v>
      </c>
      <c r="O136" s="4">
        <f>Tab_01.Jan[[#This Row],[DÉBITO]]-Tab_01.Jan[[#This Row],[CRÉDITO]]</f>
        <v>-122569.24</v>
      </c>
    </row>
    <row r="137" spans="2:15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A</v>
      </c>
      <c r="E137" s="2">
        <f>IF($I137="","",COUNTIFS(Tab_00.Trial[CONTA],$I137))</f>
        <v>1</v>
      </c>
      <c r="F137" s="4">
        <f>SUMIFS(Tab_99.Trial[DEZEMBRO],Tab_99.Trial[CONTA],$I137)</f>
        <v>0</v>
      </c>
      <c r="G137" s="4">
        <f t="shared" si="5"/>
        <v>0</v>
      </c>
      <c r="H137" s="137" t="s">
        <v>922</v>
      </c>
      <c r="I137" s="3" t="s">
        <v>194</v>
      </c>
      <c r="J137" s="3" t="s">
        <v>367</v>
      </c>
      <c r="K137" s="1">
        <v>0</v>
      </c>
      <c r="L137" s="1">
        <v>0</v>
      </c>
      <c r="M137" s="173">
        <v>122569.24</v>
      </c>
      <c r="N137" s="173">
        <v>-122569.24</v>
      </c>
      <c r="O137" s="4">
        <f>Tab_01.Jan[[#This Row],[DÉBITO]]-Tab_01.Jan[[#This Row],[CRÉDITO]]</f>
        <v>-122569.24</v>
      </c>
    </row>
    <row r="138" spans="2:15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S</v>
      </c>
      <c r="E138" s="2">
        <f>IF($I138="","",COUNTIFS(Tab_00.Trial[CONTA],$I138))</f>
        <v>1</v>
      </c>
      <c r="F138" s="4">
        <f>SUMIFS(Tab_99.Trial[DEZEMBRO],Tab_99.Trial[CONTA],$I138)</f>
        <v>0</v>
      </c>
      <c r="G138" s="4">
        <f t="shared" si="5"/>
        <v>0</v>
      </c>
      <c r="H138" s="137">
        <v>30475</v>
      </c>
      <c r="I138" s="3" t="s">
        <v>735</v>
      </c>
      <c r="J138" s="3" t="s">
        <v>736</v>
      </c>
      <c r="K138" s="1">
        <v>0</v>
      </c>
      <c r="L138" s="1">
        <v>0</v>
      </c>
      <c r="M138" s="173">
        <v>187419.37</v>
      </c>
      <c r="N138" s="173">
        <v>-187419.37</v>
      </c>
      <c r="O138" s="4">
        <f>Tab_01.Jan[[#This Row],[DÉBITO]]-Tab_01.Jan[[#This Row],[CRÉDITO]]</f>
        <v>-187419.37</v>
      </c>
    </row>
    <row r="139" spans="2:15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A</v>
      </c>
      <c r="E139" s="2">
        <f>IF($I139="","",COUNTIFS(Tab_00.Trial[CONTA],$I139))</f>
        <v>1</v>
      </c>
      <c r="F139" s="4">
        <f>SUMIFS(Tab_99.Trial[DEZEMBRO],Tab_99.Trial[CONTA],$I139)</f>
        <v>0</v>
      </c>
      <c r="G139" s="4">
        <f t="shared" si="5"/>
        <v>0</v>
      </c>
      <c r="H139" s="137" t="s">
        <v>923</v>
      </c>
      <c r="I139" s="3" t="s">
        <v>737</v>
      </c>
      <c r="J139" s="3" t="s">
        <v>814</v>
      </c>
      <c r="K139" s="1">
        <v>0</v>
      </c>
      <c r="L139" s="1">
        <v>0</v>
      </c>
      <c r="M139" s="173">
        <v>187419.37</v>
      </c>
      <c r="N139" s="173">
        <v>-187419.37</v>
      </c>
      <c r="O139" s="4">
        <f>Tab_01.Jan[[#This Row],[DÉBITO]]-Tab_01.Jan[[#This Row],[CRÉDITO]]</f>
        <v>-187419.37</v>
      </c>
    </row>
    <row r="140" spans="2:15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S</v>
      </c>
      <c r="E140" s="2">
        <f>IF($I140="","",COUNTIFS(Tab_00.Trial[CONTA],$I140))</f>
        <v>1</v>
      </c>
      <c r="F140" s="4">
        <f>SUMIFS(Tab_99.Trial[DEZEMBRO],Tab_99.Trial[CONTA],$I140)</f>
        <v>0</v>
      </c>
      <c r="G140" s="4">
        <f t="shared" si="5"/>
        <v>0</v>
      </c>
      <c r="H140" s="137">
        <v>30645</v>
      </c>
      <c r="I140" s="3" t="s">
        <v>569</v>
      </c>
      <c r="J140" s="3" t="s">
        <v>676</v>
      </c>
      <c r="K140" s="1">
        <v>0</v>
      </c>
      <c r="L140" s="1">
        <v>0</v>
      </c>
      <c r="M140" s="173">
        <v>218385.52</v>
      </c>
      <c r="N140" s="173">
        <v>-218385.52</v>
      </c>
      <c r="O140" s="4">
        <f>Tab_01.Jan[[#This Row],[DÉBITO]]-Tab_01.Jan[[#This Row],[CRÉDITO]]</f>
        <v>-218385.52</v>
      </c>
    </row>
    <row r="141" spans="2:15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5</v>
      </c>
      <c r="D141" s="2" t="str">
        <f>_xlfn.XLOOKUP($I141,Tab_00.Trial[CONTA],Tab_00.Trial[S/A],"",0,1)</f>
        <v>S</v>
      </c>
      <c r="E141" s="2">
        <f>IF($I141="","",COUNTIFS(Tab_00.Trial[CONTA],$I141))</f>
        <v>1</v>
      </c>
      <c r="F141" s="4">
        <f>SUMIFS(Tab_99.Trial[DEZEMBRO],Tab_99.Trial[CONTA],$I141)</f>
        <v>0</v>
      </c>
      <c r="G141" s="4">
        <f t="shared" si="5"/>
        <v>0</v>
      </c>
      <c r="H141" s="137">
        <v>30660</v>
      </c>
      <c r="I141" s="3" t="s">
        <v>570</v>
      </c>
      <c r="J141" s="3" t="s">
        <v>677</v>
      </c>
      <c r="K141" s="1">
        <v>0</v>
      </c>
      <c r="L141" s="1">
        <v>0</v>
      </c>
      <c r="M141" s="173">
        <v>135419.44</v>
      </c>
      <c r="N141" s="173">
        <v>-135419.44</v>
      </c>
      <c r="O141" s="4">
        <f>Tab_01.Jan[[#This Row],[DÉBITO]]-Tab_01.Jan[[#This Row],[CRÉDITO]]</f>
        <v>-135419.44</v>
      </c>
    </row>
    <row r="142" spans="2:15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A</v>
      </c>
      <c r="E142" s="2">
        <f>IF($I142="","",COUNTIFS(Tab_00.Trial[CONTA],$I142))</f>
        <v>1</v>
      </c>
      <c r="F142" s="4">
        <f>SUMIFS(Tab_99.Trial[DEZEMBRO],Tab_99.Trial[CONTA],$I142)</f>
        <v>0</v>
      </c>
      <c r="G142" s="4">
        <f t="shared" si="5"/>
        <v>0</v>
      </c>
      <c r="H142" s="137" t="s">
        <v>924</v>
      </c>
      <c r="I142" s="3" t="s">
        <v>368</v>
      </c>
      <c r="J142" s="3" t="s">
        <v>369</v>
      </c>
      <c r="K142" s="1">
        <v>0</v>
      </c>
      <c r="L142" s="1">
        <v>0</v>
      </c>
      <c r="M142" s="173">
        <v>52200</v>
      </c>
      <c r="N142" s="173">
        <v>-52200</v>
      </c>
      <c r="O142" s="4">
        <f>Tab_01.Jan[[#This Row],[DÉBITO]]-Tab_01.Jan[[#This Row],[CRÉDITO]]</f>
        <v>-52200</v>
      </c>
    </row>
    <row r="143" spans="2:15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A</v>
      </c>
      <c r="E143" s="2">
        <f>IF($I143="","",COUNTIFS(Tab_00.Trial[CONTA],$I143))</f>
        <v>1</v>
      </c>
      <c r="F143" s="4">
        <f>SUMIFS(Tab_99.Trial[DEZEMBRO],Tab_99.Trial[CONTA],$I143)</f>
        <v>0</v>
      </c>
      <c r="G143" s="4">
        <f t="shared" si="5"/>
        <v>0</v>
      </c>
      <c r="H143" s="137" t="s">
        <v>925</v>
      </c>
      <c r="I143" s="3" t="s">
        <v>370</v>
      </c>
      <c r="J143" s="3" t="s">
        <v>371</v>
      </c>
      <c r="K143" s="1">
        <v>0</v>
      </c>
      <c r="L143" s="1">
        <v>0</v>
      </c>
      <c r="M143" s="173">
        <v>66574.53</v>
      </c>
      <c r="N143" s="173">
        <v>-66574.53</v>
      </c>
      <c r="O143" s="4">
        <f>Tab_01.Jan[[#This Row],[DÉBITO]]-Tab_01.Jan[[#This Row],[CRÉDITO]]</f>
        <v>-66574.53</v>
      </c>
    </row>
    <row r="144" spans="2:15" x14ac:dyDescent="0.3">
      <c r="B144" s="187" t="str">
        <f>_xlfn.XLOOKUP($I144,Tab_00.Trial[CONTA],Tab_00.Trial[TP],"",0,1)</f>
        <v>R</v>
      </c>
      <c r="C144" s="187">
        <f>_xlfn.XLOOKUP($I144,Tab_00.Trial[CONTA],Tab_00.Trial[NV],"",0,1)</f>
        <v>5</v>
      </c>
      <c r="D144" s="187" t="str">
        <f>_xlfn.XLOOKUP($I144,Tab_00.Trial[CONTA],Tab_00.Trial[S/A],"",0,1)</f>
        <v>A</v>
      </c>
      <c r="E144" s="187">
        <f>IF($I144="","",COUNTIFS(Tab_00.Trial[CONTA],$I144))</f>
        <v>1</v>
      </c>
      <c r="F144" s="165">
        <f>SUMIFS(Tab_99.Trial[DEZEMBRO],Tab_99.Trial[CONTA],$I144)</f>
        <v>0</v>
      </c>
      <c r="G144" s="165">
        <f t="shared" si="5"/>
        <v>0</v>
      </c>
      <c r="H144" s="188" t="s">
        <v>926</v>
      </c>
      <c r="I144" s="184" t="s">
        <v>927</v>
      </c>
      <c r="J144" s="184" t="s">
        <v>928</v>
      </c>
      <c r="K144" s="177">
        <v>0</v>
      </c>
      <c r="L144" s="177">
        <v>0</v>
      </c>
      <c r="M144" s="177">
        <v>16644.91</v>
      </c>
      <c r="N144" s="177">
        <v>-16644.91</v>
      </c>
      <c r="O144" s="4">
        <f>Tab_01.Jan[[#This Row],[DÉBITO]]-Tab_01.Jan[[#This Row],[CRÉDITO]]</f>
        <v>-16644.91</v>
      </c>
    </row>
    <row r="145" spans="2:15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5</v>
      </c>
      <c r="D145" s="2" t="str">
        <f>_xlfn.XLOOKUP($I145,Tab_00.Trial[CONTA],Tab_00.Trial[S/A],"",0,1)</f>
        <v>S</v>
      </c>
      <c r="E145" s="2">
        <f>IF($I145="","",COUNTIFS(Tab_00.Trial[CONTA],$I145))</f>
        <v>1</v>
      </c>
      <c r="F145" s="4">
        <f>SUMIFS(Tab_99.Trial[DEZEMBRO],Tab_99.Trial[CONTA],$I145)</f>
        <v>0</v>
      </c>
      <c r="G145" s="4">
        <f t="shared" si="5"/>
        <v>0</v>
      </c>
      <c r="H145" s="137">
        <v>30720</v>
      </c>
      <c r="I145" s="3" t="s">
        <v>571</v>
      </c>
      <c r="J145" s="3" t="s">
        <v>377</v>
      </c>
      <c r="K145" s="1">
        <v>0</v>
      </c>
      <c r="L145" s="1">
        <v>0</v>
      </c>
      <c r="M145" s="1">
        <v>82966.080000000002</v>
      </c>
      <c r="N145" s="1">
        <v>-82966.080000000002</v>
      </c>
      <c r="O145" s="4">
        <f>Tab_01.Jan[[#This Row],[DÉBITO]]-Tab_01.Jan[[#This Row],[CRÉDITO]]</f>
        <v>-82966.080000000002</v>
      </c>
    </row>
    <row r="146" spans="2:15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5</v>
      </c>
      <c r="D146" s="2" t="str">
        <f>_xlfn.XLOOKUP($I146,Tab_00.Trial[CONTA],Tab_00.Trial[S/A],"",0,1)</f>
        <v>A</v>
      </c>
      <c r="E146" s="2">
        <f>IF($I146="","",COUNTIFS(Tab_00.Trial[CONTA],$I146))</f>
        <v>1</v>
      </c>
      <c r="F146" s="4">
        <f>SUMIFS(Tab_99.Trial[DEZEMBRO],Tab_99.Trial[CONTA],$I146)</f>
        <v>0</v>
      </c>
      <c r="G146" s="4">
        <f t="shared" ref="G146:G153" si="6">IFERROR(IF(LEFT($I146)*1&gt;2,0,$F146-$K146),0)</f>
        <v>0</v>
      </c>
      <c r="H146" s="137" t="s">
        <v>929</v>
      </c>
      <c r="I146" s="3" t="s">
        <v>376</v>
      </c>
      <c r="J146" s="3" t="s">
        <v>377</v>
      </c>
      <c r="K146" s="1">
        <v>0</v>
      </c>
      <c r="L146" s="1">
        <v>0</v>
      </c>
      <c r="M146" s="1">
        <v>82966.080000000002</v>
      </c>
      <c r="N146" s="1">
        <v>-82966.080000000002</v>
      </c>
      <c r="O146" s="4">
        <f>Tab_01.Jan[[#This Row],[DÉBITO]]-Tab_01.Jan[[#This Row],[CRÉDITO]]</f>
        <v>-82966.080000000002</v>
      </c>
    </row>
    <row r="147" spans="2:15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2</v>
      </c>
      <c r="D147" s="2" t="str">
        <f>_xlfn.XLOOKUP($I147,Tab_00.Trial[CONTA],Tab_00.Trial[S/A],"",0,1)</f>
        <v>S</v>
      </c>
      <c r="E147" s="2">
        <f>IF($I147="","",COUNTIFS(Tab_00.Trial[CONTA],$I147))</f>
        <v>1</v>
      </c>
      <c r="F147" s="4">
        <f>SUMIFS(Tab_99.Trial[DEZEMBRO],Tab_99.Trial[CONTA],$I147)</f>
        <v>0</v>
      </c>
      <c r="G147" s="4">
        <f t="shared" si="6"/>
        <v>0</v>
      </c>
      <c r="H147" s="137">
        <v>31065</v>
      </c>
      <c r="I147" s="3" t="s">
        <v>574</v>
      </c>
      <c r="J147" s="3" t="s">
        <v>680</v>
      </c>
      <c r="K147" s="1">
        <v>0</v>
      </c>
      <c r="L147" s="1">
        <v>0</v>
      </c>
      <c r="M147" s="173">
        <v>421470.98</v>
      </c>
      <c r="N147" s="173">
        <v>-421470.98</v>
      </c>
      <c r="O147" s="4">
        <f>Tab_01.Jan[[#This Row],[DÉBITO]]-Tab_01.Jan[[#This Row],[CRÉDITO]]</f>
        <v>-421470.98</v>
      </c>
    </row>
    <row r="148" spans="2:15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S</v>
      </c>
      <c r="E148" s="2">
        <f>IF($I148="","",COUNTIFS(Tab_00.Trial[CONTA],$I148))</f>
        <v>1</v>
      </c>
      <c r="F148" s="4">
        <f>SUMIFS(Tab_99.Trial[DEZEMBRO],Tab_99.Trial[CONTA],$I148)</f>
        <v>0</v>
      </c>
      <c r="G148" s="4">
        <f t="shared" si="6"/>
        <v>0</v>
      </c>
      <c r="H148" s="137">
        <v>31260</v>
      </c>
      <c r="I148" s="3" t="s">
        <v>580</v>
      </c>
      <c r="J148" s="3" t="s">
        <v>816</v>
      </c>
      <c r="K148" s="1">
        <v>0</v>
      </c>
      <c r="L148" s="1">
        <v>0</v>
      </c>
      <c r="M148" s="173">
        <v>421470.98</v>
      </c>
      <c r="N148" s="173">
        <v>-421470.98</v>
      </c>
      <c r="O148" s="4">
        <f>Tab_01.Jan[[#This Row],[DÉBITO]]-Tab_01.Jan[[#This Row],[CRÉDITO]]</f>
        <v>-421470.98</v>
      </c>
    </row>
    <row r="149" spans="2:15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5</v>
      </c>
      <c r="D149" s="2" t="str">
        <f>_xlfn.XLOOKUP($I149,Tab_00.Trial[CONTA],Tab_00.Trial[S/A],"",0,1)</f>
        <v>S</v>
      </c>
      <c r="E149" s="2">
        <f>IF($I149="","",COUNTIFS(Tab_00.Trial[CONTA],$I149))</f>
        <v>1</v>
      </c>
      <c r="F149" s="4">
        <f>SUMIFS(Tab_99.Trial[DEZEMBRO],Tab_99.Trial[CONTA],$I149)</f>
        <v>0</v>
      </c>
      <c r="G149" s="4">
        <f t="shared" si="6"/>
        <v>0</v>
      </c>
      <c r="H149" s="137">
        <v>31275</v>
      </c>
      <c r="I149" s="3" t="s">
        <v>581</v>
      </c>
      <c r="J149" s="3" t="s">
        <v>687</v>
      </c>
      <c r="K149" s="1">
        <v>0</v>
      </c>
      <c r="L149" s="1">
        <v>0</v>
      </c>
      <c r="M149" s="173">
        <v>421470.98</v>
      </c>
      <c r="N149" s="173">
        <v>-421470.98</v>
      </c>
      <c r="O149" s="4">
        <f>Tab_01.Jan[[#This Row],[DÉBITO]]-Tab_01.Jan[[#This Row],[CRÉDITO]]</f>
        <v>-421470.98</v>
      </c>
    </row>
    <row r="150" spans="2:15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5</v>
      </c>
      <c r="D150" s="2" t="str">
        <f>_xlfn.XLOOKUP($I150,Tab_00.Trial[CONTA],Tab_00.Trial[S/A],"",0,1)</f>
        <v>A</v>
      </c>
      <c r="E150" s="2">
        <f>IF($I150="","",COUNTIFS(Tab_00.Trial[CONTA],$I150))</f>
        <v>1</v>
      </c>
      <c r="F150" s="4">
        <f>SUMIFS(Tab_99.Trial[DEZEMBRO],Tab_99.Trial[CONTA],$I150)</f>
        <v>0</v>
      </c>
      <c r="G150" s="4">
        <f t="shared" si="6"/>
        <v>0</v>
      </c>
      <c r="H150" s="137" t="s">
        <v>930</v>
      </c>
      <c r="I150" s="3" t="s">
        <v>387</v>
      </c>
      <c r="J150" s="3" t="s">
        <v>388</v>
      </c>
      <c r="K150" s="1">
        <v>0</v>
      </c>
      <c r="L150" s="1">
        <v>0</v>
      </c>
      <c r="M150" s="1">
        <v>421470.98</v>
      </c>
      <c r="N150" s="1">
        <v>-421470.98</v>
      </c>
      <c r="O150" s="4">
        <f>Tab_01.Jan[[#This Row],[DÉBITO]]-Tab_01.Jan[[#This Row],[CRÉDITO]]</f>
        <v>-421470.98</v>
      </c>
    </row>
    <row r="151" spans="2:15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2</v>
      </c>
      <c r="D151" s="2" t="str">
        <f>_xlfn.XLOOKUP($I151,Tab_00.Trial[CONTA],Tab_00.Trial[S/A],"",0,1)</f>
        <v>S</v>
      </c>
      <c r="E151" s="2">
        <f>IF($I151="","",COUNTIFS(Tab_00.Trial[CONTA],$I151))</f>
        <v>1</v>
      </c>
      <c r="F151" s="4">
        <f>SUMIFS(Tab_99.Trial[DEZEMBRO],Tab_99.Trial[CONTA],$I151)</f>
        <v>0</v>
      </c>
      <c r="G151" s="4">
        <f t="shared" si="6"/>
        <v>0</v>
      </c>
      <c r="H151" s="137">
        <v>31470</v>
      </c>
      <c r="I151" s="3" t="s">
        <v>582</v>
      </c>
      <c r="J151" s="3" t="s">
        <v>688</v>
      </c>
      <c r="K151" s="1">
        <v>0</v>
      </c>
      <c r="L151" s="1">
        <v>0</v>
      </c>
      <c r="M151" s="1">
        <v>203029.53</v>
      </c>
      <c r="N151" s="1">
        <v>-203029.53</v>
      </c>
      <c r="O151" s="4">
        <f>Tab_01.Jan[[#This Row],[DÉBITO]]-Tab_01.Jan[[#This Row],[CRÉDITO]]</f>
        <v>-203029.53</v>
      </c>
    </row>
    <row r="152" spans="2:15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5</v>
      </c>
      <c r="D152" s="2" t="str">
        <f>_xlfn.XLOOKUP($I152,Tab_00.Trial[CONTA],Tab_00.Trial[S/A],"",0,1)</f>
        <v>S</v>
      </c>
      <c r="E152" s="2">
        <f>IF($I152="","",COUNTIFS(Tab_00.Trial[CONTA],$I152))</f>
        <v>1</v>
      </c>
      <c r="F152" s="4">
        <f>SUMIFS(Tab_99.Trial[DEZEMBRO],Tab_99.Trial[CONTA],$I152)</f>
        <v>0</v>
      </c>
      <c r="G152" s="4">
        <f t="shared" si="6"/>
        <v>0</v>
      </c>
      <c r="H152" s="137">
        <v>31590</v>
      </c>
      <c r="I152" s="3" t="s">
        <v>583</v>
      </c>
      <c r="J152" s="3" t="s">
        <v>689</v>
      </c>
      <c r="K152" s="1">
        <v>0</v>
      </c>
      <c r="L152" s="1">
        <v>0</v>
      </c>
      <c r="M152" s="1">
        <v>0.05</v>
      </c>
      <c r="N152" s="1">
        <v>-0.05</v>
      </c>
      <c r="O152" s="4">
        <f>Tab_01.Jan[[#This Row],[DÉBITO]]-Tab_01.Jan[[#This Row],[CRÉDITO]]</f>
        <v>-0.05</v>
      </c>
    </row>
    <row r="153" spans="2:15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5</v>
      </c>
      <c r="D153" s="2" t="str">
        <f>_xlfn.XLOOKUP($I153,Tab_00.Trial[CONTA],Tab_00.Trial[S/A],"",0,1)</f>
        <v>S</v>
      </c>
      <c r="E153" s="2">
        <f>IF($I153="","",COUNTIFS(Tab_00.Trial[CONTA],$I153))</f>
        <v>1</v>
      </c>
      <c r="F153" s="4">
        <f>SUMIFS(Tab_99.Trial[DEZEMBRO],Tab_99.Trial[CONTA],$I153)</f>
        <v>0</v>
      </c>
      <c r="G153" s="4">
        <f t="shared" si="6"/>
        <v>0</v>
      </c>
      <c r="H153" s="137">
        <v>31605</v>
      </c>
      <c r="I153" s="3" t="s">
        <v>584</v>
      </c>
      <c r="J153" s="3" t="s">
        <v>689</v>
      </c>
      <c r="K153" s="1">
        <v>0</v>
      </c>
      <c r="L153" s="1">
        <v>0</v>
      </c>
      <c r="M153" s="1">
        <v>0.05</v>
      </c>
      <c r="N153" s="1">
        <v>-0.05</v>
      </c>
      <c r="O153" s="4">
        <f>Tab_01.Jan[[#This Row],[DÉBITO]]-Tab_01.Jan[[#This Row],[CRÉDITO]]</f>
        <v>-0.05</v>
      </c>
    </row>
    <row r="154" spans="2:15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5</v>
      </c>
      <c r="D154" s="2" t="str">
        <f>_xlfn.XLOOKUP($I154,Tab_00.Trial[CONTA],Tab_00.Trial[S/A],"",0,1)</f>
        <v>A</v>
      </c>
      <c r="E154" s="2">
        <f>IF($I154="","",COUNTIFS(Tab_00.Trial[CONTA],$I154))</f>
        <v>1</v>
      </c>
      <c r="F154" s="4">
        <f>SUMIFS(Tab_99.Trial[DEZEMBRO],Tab_99.Trial[CONTA],$I154)</f>
        <v>0</v>
      </c>
      <c r="G154" s="4">
        <f t="shared" ref="G154:G187" si="7">IFERROR(IF(LEFT($I154)*1&gt;2,0,$F154-$K154),0)</f>
        <v>0</v>
      </c>
      <c r="H154" s="137" t="s">
        <v>931</v>
      </c>
      <c r="I154" s="3" t="s">
        <v>391</v>
      </c>
      <c r="J154" s="3" t="s">
        <v>392</v>
      </c>
      <c r="K154" s="1">
        <v>0</v>
      </c>
      <c r="L154" s="173">
        <v>0</v>
      </c>
      <c r="M154" s="173">
        <v>0.05</v>
      </c>
      <c r="N154" s="173">
        <v>-0.05</v>
      </c>
      <c r="O154" s="4">
        <f>Tab_01.Jan[[#This Row],[DÉBITO]]-Tab_01.Jan[[#This Row],[CRÉDITO]]</f>
        <v>-0.05</v>
      </c>
    </row>
    <row r="155" spans="2:15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5</v>
      </c>
      <c r="D155" s="2" t="str">
        <f>_xlfn.XLOOKUP($I155,Tab_00.Trial[CONTA],Tab_00.Trial[S/A],"",0,1)</f>
        <v>S</v>
      </c>
      <c r="E155" s="2">
        <f>IF($I155="","",COUNTIFS(Tab_00.Trial[CONTA],$I155))</f>
        <v>1</v>
      </c>
      <c r="F155" s="4">
        <f>SUMIFS(Tab_99.Trial[DEZEMBRO],Tab_99.Trial[CONTA],$I155)</f>
        <v>0</v>
      </c>
      <c r="G155" s="4">
        <f t="shared" si="7"/>
        <v>0</v>
      </c>
      <c r="H155" s="137">
        <v>31650</v>
      </c>
      <c r="I155" s="3" t="s">
        <v>585</v>
      </c>
      <c r="J155" s="3" t="s">
        <v>690</v>
      </c>
      <c r="K155" s="1">
        <v>0</v>
      </c>
      <c r="L155" s="173">
        <v>0</v>
      </c>
      <c r="M155" s="173">
        <v>203029.48</v>
      </c>
      <c r="N155" s="173">
        <v>-203029.48</v>
      </c>
      <c r="O155" s="4">
        <f>Tab_01.Jan[[#This Row],[DÉBITO]]-Tab_01.Jan[[#This Row],[CRÉDITO]]</f>
        <v>-203029.48</v>
      </c>
    </row>
    <row r="156" spans="2:15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5</v>
      </c>
      <c r="D156" s="2" t="str">
        <f>_xlfn.XLOOKUP($I156,Tab_00.Trial[CONTA],Tab_00.Trial[S/A],"",0,1)</f>
        <v>S</v>
      </c>
      <c r="E156" s="2">
        <f>IF($I156="","",COUNTIFS(Tab_00.Trial[CONTA],$I156))</f>
        <v>1</v>
      </c>
      <c r="F156" s="4">
        <f>SUMIFS(Tab_99.Trial[DEZEMBRO],Tab_99.Trial[CONTA],$I156)</f>
        <v>0</v>
      </c>
      <c r="G156" s="4">
        <f t="shared" si="7"/>
        <v>0</v>
      </c>
      <c r="H156" s="137">
        <v>31665</v>
      </c>
      <c r="I156" s="3" t="s">
        <v>586</v>
      </c>
      <c r="J156" s="3" t="s">
        <v>394</v>
      </c>
      <c r="K156" s="1">
        <v>0</v>
      </c>
      <c r="L156" s="173">
        <v>0</v>
      </c>
      <c r="M156" s="173">
        <v>203029.48</v>
      </c>
      <c r="N156" s="173">
        <v>-203029.48</v>
      </c>
      <c r="O156" s="4">
        <f>Tab_01.Jan[[#This Row],[DÉBITO]]-Tab_01.Jan[[#This Row],[CRÉDITO]]</f>
        <v>-203029.48</v>
      </c>
    </row>
    <row r="157" spans="2:15" x14ac:dyDescent="0.3">
      <c r="B157" s="2" t="str">
        <f>_xlfn.XLOOKUP($I157,Tab_00.Trial[CONTA],Tab_00.Trial[TP],"",0,1)</f>
        <v>R</v>
      </c>
      <c r="C157" s="2">
        <f>_xlfn.XLOOKUP($I157,Tab_00.Trial[CONTA],Tab_00.Trial[NV],"",0,1)</f>
        <v>5</v>
      </c>
      <c r="D157" s="2" t="str">
        <f>_xlfn.XLOOKUP($I157,Tab_00.Trial[CONTA],Tab_00.Trial[S/A],"",0,1)</f>
        <v>A</v>
      </c>
      <c r="E157" s="2">
        <f>IF($I157="","",COUNTIFS(Tab_00.Trial[CONTA],$I157))</f>
        <v>1</v>
      </c>
      <c r="F157" s="4">
        <f>SUMIFS(Tab_99.Trial[DEZEMBRO],Tab_99.Trial[CONTA],$I157)</f>
        <v>0</v>
      </c>
      <c r="G157" s="4">
        <f t="shared" si="7"/>
        <v>0</v>
      </c>
      <c r="H157" s="137" t="s">
        <v>932</v>
      </c>
      <c r="I157" s="3" t="s">
        <v>393</v>
      </c>
      <c r="J157" s="3" t="s">
        <v>394</v>
      </c>
      <c r="K157" s="1">
        <v>0</v>
      </c>
      <c r="L157" s="173">
        <v>0</v>
      </c>
      <c r="M157" s="173">
        <v>203029.48</v>
      </c>
      <c r="N157" s="173">
        <v>-203029.48</v>
      </c>
      <c r="O157" s="4">
        <f>Tab_01.Jan[[#This Row],[DÉBITO]]-Tab_01.Jan[[#This Row],[CRÉDITO]]</f>
        <v>-203029.48</v>
      </c>
    </row>
    <row r="158" spans="2:15" x14ac:dyDescent="0.3">
      <c r="B158" s="2" t="str">
        <f>_xlfn.XLOOKUP($I158,Tab_00.Trial[CONTA],Tab_00.Trial[TP],"",0,1)</f>
        <v>R</v>
      </c>
      <c r="C158" s="2">
        <f>_xlfn.XLOOKUP($I158,Tab_00.Trial[CONTA],Tab_00.Trial[NV],"",0,1)</f>
        <v>2</v>
      </c>
      <c r="D158" s="2" t="str">
        <f>_xlfn.XLOOKUP($I158,Tab_00.Trial[CONTA],Tab_00.Trial[S/A],"",0,1)</f>
        <v>S</v>
      </c>
      <c r="E158" s="2">
        <f>IF($I158="","",COUNTIFS(Tab_00.Trial[CONTA],$I158))</f>
        <v>1</v>
      </c>
      <c r="F158" s="4">
        <f>SUMIFS(Tab_99.Trial[DEZEMBRO],Tab_99.Trial[CONTA],$I158)</f>
        <v>0</v>
      </c>
      <c r="G158" s="4">
        <f t="shared" si="7"/>
        <v>0</v>
      </c>
      <c r="H158" s="137">
        <v>31725</v>
      </c>
      <c r="I158" s="3" t="s">
        <v>587</v>
      </c>
      <c r="J158" s="3" t="s">
        <v>691</v>
      </c>
      <c r="K158" s="1">
        <v>0</v>
      </c>
      <c r="L158" s="173">
        <v>0</v>
      </c>
      <c r="M158" s="173">
        <v>50</v>
      </c>
      <c r="N158" s="173">
        <v>-50</v>
      </c>
      <c r="O158" s="4">
        <f>Tab_01.Jan[[#This Row],[DÉBITO]]-Tab_01.Jan[[#This Row],[CRÉDITO]]</f>
        <v>-50</v>
      </c>
    </row>
    <row r="159" spans="2:15" x14ac:dyDescent="0.3">
      <c r="B159" s="2" t="str">
        <f>_xlfn.XLOOKUP($I159,Tab_00.Trial[CONTA],Tab_00.Trial[TP],"",0,1)</f>
        <v>R</v>
      </c>
      <c r="C159" s="2">
        <f>_xlfn.XLOOKUP($I159,Tab_00.Trial[CONTA],Tab_00.Trial[NV],"",0,1)</f>
        <v>5</v>
      </c>
      <c r="D159" s="2" t="str">
        <f>_xlfn.XLOOKUP($I159,Tab_00.Trial[CONTA],Tab_00.Trial[S/A],"",0,1)</f>
        <v>S</v>
      </c>
      <c r="E159" s="2">
        <f>IF($I159="","",COUNTIFS(Tab_00.Trial[CONTA],$I159))</f>
        <v>1</v>
      </c>
      <c r="F159" s="4">
        <f>SUMIFS(Tab_99.Trial[DEZEMBRO],Tab_99.Trial[CONTA],$I159)</f>
        <v>0</v>
      </c>
      <c r="G159" s="4">
        <f t="shared" si="7"/>
        <v>0</v>
      </c>
      <c r="H159" s="137">
        <v>30722</v>
      </c>
      <c r="I159" s="3" t="s">
        <v>588</v>
      </c>
      <c r="J159" s="3" t="s">
        <v>692</v>
      </c>
      <c r="K159" s="1">
        <v>0</v>
      </c>
      <c r="L159" s="173">
        <v>0</v>
      </c>
      <c r="M159" s="1">
        <v>50</v>
      </c>
      <c r="N159" s="173">
        <v>-50</v>
      </c>
      <c r="O159" s="4">
        <f>Tab_01.Jan[[#This Row],[DÉBITO]]-Tab_01.Jan[[#This Row],[CRÉDITO]]</f>
        <v>-50</v>
      </c>
    </row>
    <row r="160" spans="2:15" x14ac:dyDescent="0.3">
      <c r="B160" s="2" t="str">
        <f>_xlfn.XLOOKUP($I160,Tab_00.Trial[CONTA],Tab_00.Trial[TP],"",0,1)</f>
        <v>R</v>
      </c>
      <c r="C160" s="2">
        <f>_xlfn.XLOOKUP($I160,Tab_00.Trial[CONTA],Tab_00.Trial[NV],"",0,1)</f>
        <v>5</v>
      </c>
      <c r="D160" s="2" t="str">
        <f>_xlfn.XLOOKUP($I160,Tab_00.Trial[CONTA],Tab_00.Trial[S/A],"",0,1)</f>
        <v>S</v>
      </c>
      <c r="E160" s="2">
        <f>IF($I160="","",COUNTIFS(Tab_00.Trial[CONTA],$I160))</f>
        <v>1</v>
      </c>
      <c r="F160" s="4">
        <f>SUMIFS(Tab_99.Trial[DEZEMBRO],Tab_99.Trial[CONTA],$I160)</f>
        <v>0</v>
      </c>
      <c r="G160" s="4">
        <f t="shared" si="7"/>
        <v>0</v>
      </c>
      <c r="H160" s="137">
        <v>30729</v>
      </c>
      <c r="I160" s="3" t="s">
        <v>589</v>
      </c>
      <c r="J160" s="3" t="s">
        <v>692</v>
      </c>
      <c r="K160" s="1">
        <v>0</v>
      </c>
      <c r="L160" s="173">
        <v>0</v>
      </c>
      <c r="M160" s="1">
        <v>50</v>
      </c>
      <c r="N160" s="173">
        <v>-50</v>
      </c>
      <c r="O160" s="4">
        <f>Tab_01.Jan[[#This Row],[DÉBITO]]-Tab_01.Jan[[#This Row],[CRÉDITO]]</f>
        <v>-50</v>
      </c>
    </row>
    <row r="161" spans="2:15" x14ac:dyDescent="0.3">
      <c r="B161" s="2" t="str">
        <f>_xlfn.XLOOKUP($I161,Tab_00.Trial[CONTA],Tab_00.Trial[TP],"",0,1)</f>
        <v>R</v>
      </c>
      <c r="C161" s="2">
        <f>_xlfn.XLOOKUP($I161,Tab_00.Trial[CONTA],Tab_00.Trial[NV],"",0,1)</f>
        <v>5</v>
      </c>
      <c r="D161" s="2" t="str">
        <f>_xlfn.XLOOKUP($I161,Tab_00.Trial[CONTA],Tab_00.Trial[S/A],"",0,1)</f>
        <v>A</v>
      </c>
      <c r="E161" s="2">
        <f>IF($I161="","",COUNTIFS(Tab_00.Trial[CONTA],$I161))</f>
        <v>1</v>
      </c>
      <c r="F161" s="4">
        <f>SUMIFS(Tab_99.Trial[DEZEMBRO],Tab_99.Trial[CONTA],$I161)</f>
        <v>0</v>
      </c>
      <c r="G161" s="4">
        <f t="shared" si="7"/>
        <v>0</v>
      </c>
      <c r="H161" s="137" t="s">
        <v>933</v>
      </c>
      <c r="I161" s="3" t="s">
        <v>395</v>
      </c>
      <c r="J161" s="3" t="s">
        <v>396</v>
      </c>
      <c r="K161" s="1">
        <v>0</v>
      </c>
      <c r="L161" s="173">
        <v>0</v>
      </c>
      <c r="M161" s="173">
        <v>50</v>
      </c>
      <c r="N161" s="1">
        <v>-50</v>
      </c>
      <c r="O161" s="4">
        <f>Tab_01.Jan[[#This Row],[DÉBITO]]-Tab_01.Jan[[#This Row],[CRÉDITO]]</f>
        <v>-50</v>
      </c>
    </row>
    <row r="162" spans="2:15" x14ac:dyDescent="0.3">
      <c r="B162" s="2" t="str">
        <f>_xlfn.XLOOKUP($I162,Tab_00.Trial[CONTA],Tab_00.Trial[TP],"",0,1)</f>
        <v>C</v>
      </c>
      <c r="C162" s="2">
        <f>_xlfn.XLOOKUP($I162,Tab_00.Trial[CONTA],Tab_00.Trial[NV],"",0,1)</f>
        <v>1</v>
      </c>
      <c r="D162" s="2" t="str">
        <f>_xlfn.XLOOKUP($I162,Tab_00.Trial[CONTA],Tab_00.Trial[S/A],"",0,1)</f>
        <v>S</v>
      </c>
      <c r="E162" s="2">
        <f>IF($I162="","",COUNTIFS(Tab_00.Trial[CONTA],$I162))</f>
        <v>1</v>
      </c>
      <c r="F162" s="4">
        <f>SUMIFS(Tab_99.Trial[DEZEMBRO],Tab_99.Trial[CONTA],$I162)</f>
        <v>0</v>
      </c>
      <c r="G162" s="4">
        <f t="shared" si="7"/>
        <v>0</v>
      </c>
      <c r="H162" s="137">
        <v>40000</v>
      </c>
      <c r="I162" s="3">
        <v>4</v>
      </c>
      <c r="J162" s="3" t="s">
        <v>693</v>
      </c>
      <c r="K162" s="1">
        <v>0</v>
      </c>
      <c r="L162" s="1">
        <v>1107457.8400000001</v>
      </c>
      <c r="M162" s="1">
        <v>112593.03</v>
      </c>
      <c r="N162" s="1">
        <v>994864.81</v>
      </c>
      <c r="O162" s="4">
        <f>Tab_01.Jan[[#This Row],[DÉBITO]]-Tab_01.Jan[[#This Row],[CRÉDITO]]</f>
        <v>994864.81</v>
      </c>
    </row>
    <row r="163" spans="2:15" x14ac:dyDescent="0.3">
      <c r="B163" s="2" t="str">
        <f>_xlfn.XLOOKUP($I163,Tab_00.Trial[CONTA],Tab_00.Trial[TP],"",0,1)</f>
        <v>C</v>
      </c>
      <c r="C163" s="2">
        <f>_xlfn.XLOOKUP($I163,Tab_00.Trial[CONTA],Tab_00.Trial[NV],"",0,1)</f>
        <v>2</v>
      </c>
      <c r="D163" s="2" t="str">
        <f>_xlfn.XLOOKUP($I163,Tab_00.Trial[CONTA],Tab_00.Trial[S/A],"",0,1)</f>
        <v>S</v>
      </c>
      <c r="E163" s="2">
        <f>IF($I163="","",COUNTIFS(Tab_00.Trial[CONTA],$I163))</f>
        <v>1</v>
      </c>
      <c r="F163" s="4">
        <f>SUMIFS(Tab_99.Trial[DEZEMBRO],Tab_99.Trial[CONTA],$I163)</f>
        <v>0</v>
      </c>
      <c r="G163" s="4">
        <f t="shared" si="7"/>
        <v>0</v>
      </c>
      <c r="H163" s="137">
        <v>40015</v>
      </c>
      <c r="I163" s="3" t="s">
        <v>234</v>
      </c>
      <c r="J163" s="3" t="s">
        <v>817</v>
      </c>
      <c r="K163" s="1">
        <v>0</v>
      </c>
      <c r="L163" s="1">
        <v>1107457.8400000001</v>
      </c>
      <c r="M163" s="1">
        <v>112593.03</v>
      </c>
      <c r="N163" s="1">
        <v>994864.81</v>
      </c>
      <c r="O163" s="4">
        <f>Tab_01.Jan[[#This Row],[DÉBITO]]-Tab_01.Jan[[#This Row],[CRÉDITO]]</f>
        <v>994864.81</v>
      </c>
    </row>
    <row r="164" spans="2:15" x14ac:dyDescent="0.3">
      <c r="B164" s="2" t="str">
        <f>_xlfn.XLOOKUP($I164,Tab_00.Trial[CONTA],Tab_00.Trial[TP],"",0,1)</f>
        <v>C</v>
      </c>
      <c r="C164" s="2">
        <f>_xlfn.XLOOKUP($I164,Tab_00.Trial[CONTA],Tab_00.Trial[NV],"",0,1)</f>
        <v>5</v>
      </c>
      <c r="D164" s="2" t="str">
        <f>_xlfn.XLOOKUP($I164,Tab_00.Trial[CONTA],Tab_00.Trial[S/A],"",0,1)</f>
        <v>S</v>
      </c>
      <c r="E164" s="2">
        <f>IF($I164="","",COUNTIFS(Tab_00.Trial[CONTA],$I164))</f>
        <v>1</v>
      </c>
      <c r="F164" s="4">
        <f>SUMIFS(Tab_99.Trial[DEZEMBRO],Tab_99.Trial[CONTA],$I164)</f>
        <v>0</v>
      </c>
      <c r="G164" s="4">
        <f t="shared" si="7"/>
        <v>0</v>
      </c>
      <c r="H164" s="137">
        <v>40030</v>
      </c>
      <c r="I164" s="3" t="s">
        <v>235</v>
      </c>
      <c r="J164" s="3" t="s">
        <v>818</v>
      </c>
      <c r="K164" s="1">
        <v>0</v>
      </c>
      <c r="L164" s="173">
        <v>255018.65</v>
      </c>
      <c r="M164" s="1">
        <v>112593.03</v>
      </c>
      <c r="N164" s="173">
        <v>142425.62</v>
      </c>
      <c r="O164" s="4">
        <f>Tab_01.Jan[[#This Row],[DÉBITO]]-Tab_01.Jan[[#This Row],[CRÉDITO]]</f>
        <v>142425.62</v>
      </c>
    </row>
    <row r="165" spans="2:15" x14ac:dyDescent="0.3">
      <c r="B165" s="2" t="str">
        <f>_xlfn.XLOOKUP($I165,Tab_00.Trial[CONTA],Tab_00.Trial[TP],"",0,1)</f>
        <v>C</v>
      </c>
      <c r="C165" s="2">
        <f>_xlfn.XLOOKUP($I165,Tab_00.Trial[CONTA],Tab_00.Trial[NV],"",0,1)</f>
        <v>5</v>
      </c>
      <c r="D165" s="2" t="str">
        <f>_xlfn.XLOOKUP($I165,Tab_00.Trial[CONTA],Tab_00.Trial[S/A],"",0,1)</f>
        <v>S</v>
      </c>
      <c r="E165" s="2">
        <f>IF($I165="","",COUNTIFS(Tab_00.Trial[CONTA],$I165))</f>
        <v>1</v>
      </c>
      <c r="F165" s="4">
        <f>SUMIFS(Tab_99.Trial[DEZEMBRO],Tab_99.Trial[CONTA],$I165)</f>
        <v>0</v>
      </c>
      <c r="G165" s="4">
        <f t="shared" si="7"/>
        <v>0</v>
      </c>
      <c r="H165" s="137">
        <v>40045</v>
      </c>
      <c r="I165" s="3" t="s">
        <v>236</v>
      </c>
      <c r="J165" s="3" t="s">
        <v>696</v>
      </c>
      <c r="K165" s="1">
        <v>0</v>
      </c>
      <c r="L165" s="1">
        <v>139103.45000000001</v>
      </c>
      <c r="M165" s="1">
        <v>84569.44</v>
      </c>
      <c r="N165" s="1">
        <v>54534.01</v>
      </c>
      <c r="O165" s="4">
        <f>Tab_01.Jan[[#This Row],[DÉBITO]]-Tab_01.Jan[[#This Row],[CRÉDITO]]</f>
        <v>54534.01</v>
      </c>
    </row>
    <row r="166" spans="2:15" x14ac:dyDescent="0.3">
      <c r="B166" s="2" t="str">
        <f>_xlfn.XLOOKUP($I166,Tab_00.Trial[CONTA],Tab_00.Trial[TP],"",0,1)</f>
        <v>C</v>
      </c>
      <c r="C166" s="2">
        <f>_xlfn.XLOOKUP($I166,Tab_00.Trial[CONTA],Tab_00.Trial[NV],"",0,1)</f>
        <v>5</v>
      </c>
      <c r="D166" s="2" t="str">
        <f>_xlfn.XLOOKUP($I166,Tab_00.Trial[CONTA],Tab_00.Trial[S/A],"",0,1)</f>
        <v>A</v>
      </c>
      <c r="E166" s="2">
        <f>IF($I166="","",COUNTIFS(Tab_00.Trial[CONTA],$I166))</f>
        <v>1</v>
      </c>
      <c r="F166" s="4">
        <f>SUMIFS(Tab_99.Trial[DEZEMBRO],Tab_99.Trial[CONTA],$I166)</f>
        <v>0</v>
      </c>
      <c r="G166" s="4">
        <f t="shared" si="7"/>
        <v>0</v>
      </c>
      <c r="H166" s="137" t="s">
        <v>934</v>
      </c>
      <c r="I166" s="3" t="s">
        <v>195</v>
      </c>
      <c r="J166" s="3" t="s">
        <v>427</v>
      </c>
      <c r="K166" s="1">
        <v>0</v>
      </c>
      <c r="L166" s="1">
        <v>73729.08</v>
      </c>
      <c r="M166" s="1">
        <v>83012.429999999993</v>
      </c>
      <c r="N166" s="1">
        <v>-9283.35</v>
      </c>
      <c r="O166" s="4">
        <f>Tab_01.Jan[[#This Row],[DÉBITO]]-Tab_01.Jan[[#This Row],[CRÉDITO]]</f>
        <v>-9283.35</v>
      </c>
    </row>
    <row r="167" spans="2:15" x14ac:dyDescent="0.3">
      <c r="B167" s="2" t="str">
        <f>_xlfn.XLOOKUP($I167,Tab_00.Trial[CONTA],Tab_00.Trial[TP],"",0,1)</f>
        <v>C</v>
      </c>
      <c r="C167" s="2">
        <f>_xlfn.XLOOKUP($I167,Tab_00.Trial[CONTA],Tab_00.Trial[NV],"",0,1)</f>
        <v>5</v>
      </c>
      <c r="D167" s="2" t="str">
        <f>_xlfn.XLOOKUP($I167,Tab_00.Trial[CONTA],Tab_00.Trial[S/A],"",0,1)</f>
        <v>A</v>
      </c>
      <c r="E167" s="2">
        <f>IF($I167="","",COUNTIFS(Tab_00.Trial[CONTA],$I167))</f>
        <v>1</v>
      </c>
      <c r="F167" s="4">
        <f>SUMIFS(Tab_99.Trial[DEZEMBRO],Tab_99.Trial[CONTA],$I167)</f>
        <v>0</v>
      </c>
      <c r="G167" s="4">
        <f t="shared" si="7"/>
        <v>0</v>
      </c>
      <c r="H167" s="137" t="s">
        <v>935</v>
      </c>
      <c r="I167" s="3" t="s">
        <v>430</v>
      </c>
      <c r="J167" s="3" t="s">
        <v>431</v>
      </c>
      <c r="K167" s="1">
        <v>0</v>
      </c>
      <c r="L167" s="173">
        <v>7059.76</v>
      </c>
      <c r="M167" s="173">
        <v>0</v>
      </c>
      <c r="N167" s="173">
        <v>7059.76</v>
      </c>
      <c r="O167" s="4">
        <f>Tab_01.Jan[[#This Row],[DÉBITO]]-Tab_01.Jan[[#This Row],[CRÉDITO]]</f>
        <v>7059.76</v>
      </c>
    </row>
    <row r="168" spans="2:15" x14ac:dyDescent="0.3">
      <c r="B168" s="2" t="str">
        <f>_xlfn.XLOOKUP($I168,Tab_00.Trial[CONTA],Tab_00.Trial[TP],"",0,1)</f>
        <v>C</v>
      </c>
      <c r="C168" s="2">
        <f>_xlfn.XLOOKUP($I168,Tab_00.Trial[CONTA],Tab_00.Trial[NV],"",0,1)</f>
        <v>5</v>
      </c>
      <c r="D168" s="2" t="str">
        <f>_xlfn.XLOOKUP($I168,Tab_00.Trial[CONTA],Tab_00.Trial[S/A],"",0,1)</f>
        <v>A</v>
      </c>
      <c r="E168" s="2">
        <f>IF($I168="","",COUNTIFS(Tab_00.Trial[CONTA],$I168))</f>
        <v>1</v>
      </c>
      <c r="F168" s="4">
        <f>SUMIFS(Tab_99.Trial[DEZEMBRO],Tab_99.Trial[CONTA],$I168)</f>
        <v>0</v>
      </c>
      <c r="G168" s="4">
        <f t="shared" si="7"/>
        <v>0</v>
      </c>
      <c r="H168" s="137" t="s">
        <v>936</v>
      </c>
      <c r="I168" s="3" t="s">
        <v>432</v>
      </c>
      <c r="J168" s="3" t="s">
        <v>433</v>
      </c>
      <c r="K168" s="1">
        <v>0</v>
      </c>
      <c r="L168" s="173">
        <v>5045.03</v>
      </c>
      <c r="M168" s="1">
        <v>0</v>
      </c>
      <c r="N168" s="173">
        <v>5045.03</v>
      </c>
      <c r="O168" s="4">
        <f>Tab_01.Jan[[#This Row],[DÉBITO]]-Tab_01.Jan[[#This Row],[CRÉDITO]]</f>
        <v>5045.03</v>
      </c>
    </row>
    <row r="169" spans="2:15" x14ac:dyDescent="0.3">
      <c r="B169" s="2" t="str">
        <f>_xlfn.XLOOKUP($I169,Tab_00.Trial[CONTA],Tab_00.Trial[TP],"",0,1)</f>
        <v>C</v>
      </c>
      <c r="C169" s="2">
        <f>_xlfn.XLOOKUP($I169,Tab_00.Trial[CONTA],Tab_00.Trial[NV],"",0,1)</f>
        <v>5</v>
      </c>
      <c r="D169" s="2" t="str">
        <f>_xlfn.XLOOKUP($I169,Tab_00.Trial[CONTA],Tab_00.Trial[S/A],"",0,1)</f>
        <v>A</v>
      </c>
      <c r="E169" s="2">
        <f>IF($I169="","",COUNTIFS(Tab_00.Trial[CONTA],$I169))</f>
        <v>1</v>
      </c>
      <c r="F169" s="4">
        <f>SUMIFS(Tab_99.Trial[DEZEMBRO],Tab_99.Trial[CONTA],$I169)</f>
        <v>0</v>
      </c>
      <c r="G169" s="4">
        <f t="shared" si="7"/>
        <v>0</v>
      </c>
      <c r="H169" s="137" t="s">
        <v>937</v>
      </c>
      <c r="I169" s="3" t="s">
        <v>790</v>
      </c>
      <c r="J169" s="3" t="s">
        <v>791</v>
      </c>
      <c r="K169" s="1">
        <v>0</v>
      </c>
      <c r="L169" s="173">
        <v>50857.66</v>
      </c>
      <c r="M169" s="1">
        <v>1199.07</v>
      </c>
      <c r="N169" s="173">
        <v>49658.59</v>
      </c>
      <c r="O169" s="4">
        <f>Tab_01.Jan[[#This Row],[DÉBITO]]-Tab_01.Jan[[#This Row],[CRÉDITO]]</f>
        <v>49658.59</v>
      </c>
    </row>
    <row r="170" spans="2:15" x14ac:dyDescent="0.3">
      <c r="B170" s="2" t="str">
        <f>_xlfn.XLOOKUP($I170,Tab_00.Trial[CONTA],Tab_00.Trial[TP],"",0,1)</f>
        <v>C</v>
      </c>
      <c r="C170" s="2">
        <f>_xlfn.XLOOKUP($I170,Tab_00.Trial[CONTA],Tab_00.Trial[NV],"",0,1)</f>
        <v>5</v>
      </c>
      <c r="D170" s="2" t="str">
        <f>_xlfn.XLOOKUP($I170,Tab_00.Trial[CONTA],Tab_00.Trial[S/A],"",0,1)</f>
        <v>A</v>
      </c>
      <c r="E170" s="2">
        <f>IF($I170="","",COUNTIFS(Tab_00.Trial[CONTA],$I170))</f>
        <v>1</v>
      </c>
      <c r="F170" s="4">
        <f>SUMIFS(Tab_99.Trial[DEZEMBRO],Tab_99.Trial[CONTA],$I170)</f>
        <v>0</v>
      </c>
      <c r="G170" s="4">
        <f t="shared" si="7"/>
        <v>0</v>
      </c>
      <c r="H170" s="137" t="s">
        <v>938</v>
      </c>
      <c r="I170" s="3" t="s">
        <v>792</v>
      </c>
      <c r="J170" s="3" t="s">
        <v>793</v>
      </c>
      <c r="K170" s="1">
        <v>0</v>
      </c>
      <c r="L170" s="173">
        <v>537.87</v>
      </c>
      <c r="M170" s="173">
        <v>357.94</v>
      </c>
      <c r="N170" s="173">
        <v>179.93</v>
      </c>
      <c r="O170" s="4">
        <f>Tab_01.Jan[[#This Row],[DÉBITO]]-Tab_01.Jan[[#This Row],[CRÉDITO]]</f>
        <v>179.93</v>
      </c>
    </row>
    <row r="171" spans="2:15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5</v>
      </c>
      <c r="D171" s="2" t="str">
        <f>_xlfn.XLOOKUP($I171,Tab_00.Trial[CONTA],Tab_00.Trial[S/A],"",0,1)</f>
        <v>A</v>
      </c>
      <c r="E171" s="2">
        <f>IF($I171="","",COUNTIFS(Tab_00.Trial[CONTA],$I171))</f>
        <v>1</v>
      </c>
      <c r="F171" s="4">
        <f>SUMIFS(Tab_99.Trial[DEZEMBRO],Tab_99.Trial[CONTA],$I171)</f>
        <v>0</v>
      </c>
      <c r="G171" s="4">
        <f t="shared" si="7"/>
        <v>0</v>
      </c>
      <c r="H171" s="137" t="s">
        <v>939</v>
      </c>
      <c r="I171" s="3" t="s">
        <v>794</v>
      </c>
      <c r="J171" s="3" t="s">
        <v>795</v>
      </c>
      <c r="K171" s="1">
        <v>0</v>
      </c>
      <c r="L171" s="173">
        <v>67.97</v>
      </c>
      <c r="M171" s="173">
        <v>0</v>
      </c>
      <c r="N171" s="173">
        <v>67.97</v>
      </c>
      <c r="O171" s="4">
        <f>Tab_01.Jan[[#This Row],[DÉBITO]]-Tab_01.Jan[[#This Row],[CRÉDITO]]</f>
        <v>67.97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5</v>
      </c>
      <c r="D172" s="2" t="str">
        <f>_xlfn.XLOOKUP($I172,Tab_00.Trial[CONTA],Tab_00.Trial[S/A],"",0,1)</f>
        <v>A</v>
      </c>
      <c r="E172" s="2">
        <f>IF($I172="","",COUNTIFS(Tab_00.Trial[CONTA],$I172))</f>
        <v>1</v>
      </c>
      <c r="F172" s="4">
        <f>SUMIFS(Tab_99.Trial[DEZEMBRO],Tab_99.Trial[CONTA],$I172)</f>
        <v>0</v>
      </c>
      <c r="G172" s="4">
        <f t="shared" si="7"/>
        <v>0</v>
      </c>
      <c r="H172" s="137" t="s">
        <v>940</v>
      </c>
      <c r="I172" s="3" t="s">
        <v>796</v>
      </c>
      <c r="J172" s="3" t="s">
        <v>797</v>
      </c>
      <c r="K172" s="1">
        <v>0</v>
      </c>
      <c r="L172" s="173">
        <v>1352.06</v>
      </c>
      <c r="M172" s="173">
        <v>0</v>
      </c>
      <c r="N172" s="173">
        <v>1352.06</v>
      </c>
      <c r="O172" s="4">
        <f>Tab_01.Jan[[#This Row],[DÉBITO]]-Tab_01.Jan[[#This Row],[CRÉDITO]]</f>
        <v>1352.06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A</v>
      </c>
      <c r="E173" s="2">
        <f>IF($I173="","",COUNTIFS(Tab_00.Trial[CONTA],$I173))</f>
        <v>1</v>
      </c>
      <c r="F173" s="4">
        <f>SUMIFS(Tab_99.Trial[DEZEMBRO],Tab_99.Trial[CONTA],$I173)</f>
        <v>0</v>
      </c>
      <c r="G173" s="4">
        <f t="shared" si="7"/>
        <v>0</v>
      </c>
      <c r="H173" s="137" t="s">
        <v>941</v>
      </c>
      <c r="I173" s="3" t="s">
        <v>798</v>
      </c>
      <c r="J173" s="3" t="s">
        <v>799</v>
      </c>
      <c r="K173" s="1">
        <v>0</v>
      </c>
      <c r="L173" s="173">
        <v>403.57</v>
      </c>
      <c r="M173" s="1">
        <v>0</v>
      </c>
      <c r="N173" s="1">
        <v>403.57</v>
      </c>
      <c r="O173" s="4">
        <f>Tab_01.Jan[[#This Row],[DÉBITO]]-Tab_01.Jan[[#This Row],[CRÉDITO]]</f>
        <v>403.57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A</v>
      </c>
      <c r="E174" s="2">
        <f>IF($I174="","",COUNTIFS(Tab_00.Trial[CONTA],$I174))</f>
        <v>1</v>
      </c>
      <c r="F174" s="4">
        <f>SUMIFS(Tab_99.Trial[DEZEMBRO],Tab_99.Trial[CONTA],$I174)</f>
        <v>0</v>
      </c>
      <c r="G174" s="4">
        <f t="shared" si="7"/>
        <v>0</v>
      </c>
      <c r="H174" s="137" t="s">
        <v>942</v>
      </c>
      <c r="I174" s="3" t="s">
        <v>800</v>
      </c>
      <c r="J174" s="3" t="s">
        <v>801</v>
      </c>
      <c r="K174" s="1">
        <v>0</v>
      </c>
      <c r="L174" s="173">
        <v>50.45</v>
      </c>
      <c r="M174" s="1">
        <v>0</v>
      </c>
      <c r="N174" s="173">
        <v>50.45</v>
      </c>
      <c r="O174" s="4">
        <f>Tab_01.Jan[[#This Row],[DÉBITO]]-Tab_01.Jan[[#This Row],[CRÉDITO]]</f>
        <v>50.45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S</v>
      </c>
      <c r="E175" s="2">
        <f>IF($I175="","",COUNTIFS(Tab_00.Trial[CONTA],$I175))</f>
        <v>1</v>
      </c>
      <c r="F175" s="4">
        <f>SUMIFS(Tab_99.Trial[DEZEMBRO],Tab_99.Trial[CONTA],$I175)</f>
        <v>0</v>
      </c>
      <c r="G175" s="4">
        <f t="shared" si="7"/>
        <v>0</v>
      </c>
      <c r="H175" s="137">
        <v>40150</v>
      </c>
      <c r="I175" s="3" t="s">
        <v>590</v>
      </c>
      <c r="J175" s="3" t="s">
        <v>697</v>
      </c>
      <c r="K175" s="1">
        <v>0</v>
      </c>
      <c r="L175" s="173">
        <v>18178.11</v>
      </c>
      <c r="M175" s="1">
        <v>1799.98</v>
      </c>
      <c r="N175" s="173">
        <v>16378.13</v>
      </c>
      <c r="O175" s="4">
        <f>Tab_01.Jan[[#This Row],[DÉBITO]]-Tab_01.Jan[[#This Row],[CRÉDITO]]</f>
        <v>16378.13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A</v>
      </c>
      <c r="E176" s="2">
        <f>IF($I176="","",COUNTIFS(Tab_00.Trial[CONTA],$I176))</f>
        <v>1</v>
      </c>
      <c r="F176" s="4">
        <f>SUMIFS(Tab_99.Trial[DEZEMBRO],Tab_99.Trial[CONTA],$I176)</f>
        <v>0</v>
      </c>
      <c r="G176" s="4">
        <f t="shared" si="7"/>
        <v>0</v>
      </c>
      <c r="H176" s="137" t="s">
        <v>943</v>
      </c>
      <c r="I176" s="3" t="s">
        <v>434</v>
      </c>
      <c r="J176" s="3" t="s">
        <v>435</v>
      </c>
      <c r="K176" s="1">
        <v>0</v>
      </c>
      <c r="L176" s="173">
        <v>15938.21</v>
      </c>
      <c r="M176" s="1">
        <v>731.6</v>
      </c>
      <c r="N176" s="173">
        <v>15206.61</v>
      </c>
      <c r="O176" s="4">
        <f>Tab_01.Jan[[#This Row],[DÉBITO]]-Tab_01.Jan[[#This Row],[CRÉDITO]]</f>
        <v>15206.61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A</v>
      </c>
      <c r="E177" s="2">
        <f>IF($I177="","",COUNTIFS(Tab_00.Trial[CONTA],$I177))</f>
        <v>1</v>
      </c>
      <c r="F177" s="4">
        <f>SUMIFS(Tab_99.Trial[DEZEMBRO],Tab_99.Trial[CONTA],$I177)</f>
        <v>0</v>
      </c>
      <c r="G177" s="4">
        <f t="shared" si="7"/>
        <v>0</v>
      </c>
      <c r="H177" s="137" t="s">
        <v>944</v>
      </c>
      <c r="I177" s="3" t="s">
        <v>750</v>
      </c>
      <c r="J177" s="3" t="s">
        <v>751</v>
      </c>
      <c r="K177" s="1">
        <v>0</v>
      </c>
      <c r="L177" s="173">
        <v>2239.9</v>
      </c>
      <c r="M177" s="1">
        <v>1068.3800000000001</v>
      </c>
      <c r="N177" s="173">
        <v>1171.52</v>
      </c>
      <c r="O177" s="4">
        <f>Tab_01.Jan[[#This Row],[DÉBITO]]-Tab_01.Jan[[#This Row],[CRÉDITO]]</f>
        <v>1171.52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S</v>
      </c>
      <c r="E178" s="2">
        <f>IF($I178="","",COUNTIFS(Tab_00.Trial[CONTA],$I178))</f>
        <v>1</v>
      </c>
      <c r="F178" s="4">
        <f>SUMIFS(Tab_99.Trial[DEZEMBRO],Tab_99.Trial[CONTA],$I178)</f>
        <v>0</v>
      </c>
      <c r="G178" s="4">
        <f t="shared" si="7"/>
        <v>0</v>
      </c>
      <c r="H178" s="137">
        <v>40210</v>
      </c>
      <c r="I178" s="3" t="s">
        <v>591</v>
      </c>
      <c r="J178" s="3" t="s">
        <v>698</v>
      </c>
      <c r="K178" s="1">
        <v>0</v>
      </c>
      <c r="L178" s="173">
        <v>42658.46</v>
      </c>
      <c r="M178" s="1">
        <v>26223.61</v>
      </c>
      <c r="N178" s="173">
        <v>16434.849999999999</v>
      </c>
      <c r="O178" s="4">
        <f>Tab_01.Jan[[#This Row],[DÉBITO]]-Tab_01.Jan[[#This Row],[CRÉDITO]]</f>
        <v>16434.849999999999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A</v>
      </c>
      <c r="E179" s="2">
        <f>IF($I179="","",COUNTIFS(Tab_00.Trial[CONTA],$I179))</f>
        <v>1</v>
      </c>
      <c r="F179" s="4">
        <f>SUMIFS(Tab_99.Trial[DEZEMBRO],Tab_99.Trial[CONTA],$I179)</f>
        <v>0</v>
      </c>
      <c r="G179" s="4">
        <f t="shared" si="7"/>
        <v>0</v>
      </c>
      <c r="H179" s="137" t="s">
        <v>945</v>
      </c>
      <c r="I179" s="3" t="s">
        <v>436</v>
      </c>
      <c r="J179" s="3" t="s">
        <v>437</v>
      </c>
      <c r="K179" s="1">
        <v>0</v>
      </c>
      <c r="L179" s="173">
        <v>31926.5</v>
      </c>
      <c r="M179" s="1">
        <v>18491.599999999999</v>
      </c>
      <c r="N179" s="173">
        <v>13434.9</v>
      </c>
      <c r="O179" s="4">
        <f>Tab_01.Jan[[#This Row],[DÉBITO]]-Tab_01.Jan[[#This Row],[CRÉDITO]]</f>
        <v>13434.9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A</v>
      </c>
      <c r="E180" s="2">
        <f>IF($I180="","",COUNTIFS(Tab_00.Trial[CONTA],$I180))</f>
        <v>1</v>
      </c>
      <c r="F180" s="4">
        <f>SUMIFS(Tab_99.Trial[DEZEMBRO],Tab_99.Trial[CONTA],$I180)</f>
        <v>0</v>
      </c>
      <c r="G180" s="4">
        <f t="shared" si="7"/>
        <v>0</v>
      </c>
      <c r="H180" s="137" t="s">
        <v>946</v>
      </c>
      <c r="I180" s="3" t="s">
        <v>438</v>
      </c>
      <c r="J180" s="3" t="s">
        <v>196</v>
      </c>
      <c r="K180" s="1">
        <v>0</v>
      </c>
      <c r="L180" s="173">
        <v>9396.1</v>
      </c>
      <c r="M180" s="1">
        <v>7042.03</v>
      </c>
      <c r="N180" s="173">
        <v>2354.0700000000002</v>
      </c>
      <c r="O180" s="4">
        <f>Tab_01.Jan[[#This Row],[DÉBITO]]-Tab_01.Jan[[#This Row],[CRÉDITO]]</f>
        <v>2354.0700000000002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A</v>
      </c>
      <c r="E181" s="2">
        <f>IF($I181="","",COUNTIFS(Tab_00.Trial[CONTA],$I181))</f>
        <v>1</v>
      </c>
      <c r="F181" s="4">
        <f>SUMIFS(Tab_99.Trial[DEZEMBRO],Tab_99.Trial[CONTA],$I181)</f>
        <v>0</v>
      </c>
      <c r="G181" s="4">
        <f t="shared" si="7"/>
        <v>0</v>
      </c>
      <c r="H181" s="137" t="s">
        <v>947</v>
      </c>
      <c r="I181" s="3" t="s">
        <v>439</v>
      </c>
      <c r="J181" s="3" t="s">
        <v>440</v>
      </c>
      <c r="K181" s="1">
        <v>0</v>
      </c>
      <c r="L181" s="1">
        <v>1335.86</v>
      </c>
      <c r="M181" s="1">
        <v>689.98</v>
      </c>
      <c r="N181" s="1">
        <v>645.88</v>
      </c>
      <c r="O181" s="4">
        <f>Tab_01.Jan[[#This Row],[DÉBITO]]-Tab_01.Jan[[#This Row],[CRÉDITO]]</f>
        <v>645.88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S</v>
      </c>
      <c r="E182" s="2">
        <f>IF($I182="","",COUNTIFS(Tab_00.Trial[CONTA],$I182))</f>
        <v>1</v>
      </c>
      <c r="F182" s="4">
        <f>SUMIFS(Tab_99.Trial[DEZEMBRO],Tab_99.Trial[CONTA],$I182)</f>
        <v>0</v>
      </c>
      <c r="G182" s="4">
        <f t="shared" si="7"/>
        <v>0</v>
      </c>
      <c r="H182" s="137">
        <v>40285</v>
      </c>
      <c r="I182" s="3" t="s">
        <v>592</v>
      </c>
      <c r="J182" s="3" t="s">
        <v>699</v>
      </c>
      <c r="K182" s="1">
        <v>0</v>
      </c>
      <c r="L182" s="173">
        <v>2235.4699999999998</v>
      </c>
      <c r="M182" s="1">
        <v>0</v>
      </c>
      <c r="N182" s="173">
        <v>2235.4699999999998</v>
      </c>
      <c r="O182" s="4">
        <f>Tab_01.Jan[[#This Row],[DÉBITO]]-Tab_01.Jan[[#This Row],[CRÉDITO]]</f>
        <v>2235.4699999999998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A</v>
      </c>
      <c r="E183" s="2">
        <f>IF($I183="","",COUNTIFS(Tab_00.Trial[CONTA],$I183))</f>
        <v>1</v>
      </c>
      <c r="F183" s="4">
        <f>SUMIFS(Tab_99.Trial[DEZEMBRO],Tab_99.Trial[CONTA],$I183)</f>
        <v>0</v>
      </c>
      <c r="G183" s="4">
        <f t="shared" si="7"/>
        <v>0</v>
      </c>
      <c r="H183" s="137" t="s">
        <v>948</v>
      </c>
      <c r="I183" s="3" t="s">
        <v>397</v>
      </c>
      <c r="J183" s="3" t="s">
        <v>398</v>
      </c>
      <c r="K183" s="1">
        <v>0</v>
      </c>
      <c r="L183" s="1">
        <v>2235.4699999999998</v>
      </c>
      <c r="M183" s="1">
        <v>0</v>
      </c>
      <c r="N183" s="1">
        <v>2235.4699999999998</v>
      </c>
      <c r="O183" s="4">
        <f>Tab_01.Jan[[#This Row],[DÉBITO]]-Tab_01.Jan[[#This Row],[CRÉDITO]]</f>
        <v>2235.4699999999998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S</v>
      </c>
      <c r="E184" s="2">
        <f>IF($I184="","",COUNTIFS(Tab_00.Trial[CONTA],$I184))</f>
        <v>1</v>
      </c>
      <c r="F184" s="4">
        <f>SUMIFS(Tab_99.Trial[DEZEMBRO],Tab_99.Trial[CONTA],$I184)</f>
        <v>0</v>
      </c>
      <c r="G184" s="4">
        <f t="shared" si="7"/>
        <v>0</v>
      </c>
      <c r="H184" s="137">
        <v>40295</v>
      </c>
      <c r="I184" s="3" t="s">
        <v>593</v>
      </c>
      <c r="J184" s="3" t="s">
        <v>711</v>
      </c>
      <c r="K184" s="1">
        <v>0</v>
      </c>
      <c r="L184" s="1">
        <v>34180.15</v>
      </c>
      <c r="M184" s="1">
        <v>0</v>
      </c>
      <c r="N184" s="1">
        <v>34180.15</v>
      </c>
      <c r="O184" s="4">
        <f>Tab_01.Jan[[#This Row],[DÉBITO]]-Tab_01.Jan[[#This Row],[CRÉDITO]]</f>
        <v>34180.15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A</v>
      </c>
      <c r="E185" s="2">
        <f>IF($I185="","",COUNTIFS(Tab_00.Trial[CONTA],$I185))</f>
        <v>1</v>
      </c>
      <c r="F185" s="4">
        <f>SUMIFS(Tab_99.Trial[DEZEMBRO],Tab_99.Trial[CONTA],$I185)</f>
        <v>0</v>
      </c>
      <c r="G185" s="4">
        <f t="shared" si="7"/>
        <v>0</v>
      </c>
      <c r="H185" s="137" t="s">
        <v>949</v>
      </c>
      <c r="I185" s="3" t="s">
        <v>403</v>
      </c>
      <c r="J185" s="3" t="s">
        <v>404</v>
      </c>
      <c r="K185" s="1">
        <v>0</v>
      </c>
      <c r="L185" s="173">
        <v>4135.96</v>
      </c>
      <c r="M185" s="1">
        <v>0</v>
      </c>
      <c r="N185" s="173">
        <v>4135.96</v>
      </c>
      <c r="O185" s="4">
        <f>Tab_01.Jan[[#This Row],[DÉBITO]]-Tab_01.Jan[[#This Row],[CRÉDITO]]</f>
        <v>4135.96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A</v>
      </c>
      <c r="E186" s="2">
        <f>IF($I186="","",COUNTIFS(Tab_00.Trial[CONTA],$I186))</f>
        <v>1</v>
      </c>
      <c r="F186" s="4">
        <f>SUMIFS(Tab_99.Trial[DEZEMBRO],Tab_99.Trial[CONTA],$I186)</f>
        <v>0</v>
      </c>
      <c r="G186" s="4">
        <f t="shared" si="7"/>
        <v>0</v>
      </c>
      <c r="H186" s="137" t="s">
        <v>950</v>
      </c>
      <c r="I186" s="3" t="s">
        <v>405</v>
      </c>
      <c r="J186" s="3" t="s">
        <v>406</v>
      </c>
      <c r="K186" s="1">
        <v>0</v>
      </c>
      <c r="L186" s="173">
        <v>27797</v>
      </c>
      <c r="M186" s="1">
        <v>0</v>
      </c>
      <c r="N186" s="173">
        <v>27797</v>
      </c>
      <c r="O186" s="4">
        <f>Tab_01.Jan[[#This Row],[DÉBITO]]-Tab_01.Jan[[#This Row],[CRÉDITO]]</f>
        <v>27797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A</v>
      </c>
      <c r="E187" s="2">
        <f>IF($I187="","",COUNTIFS(Tab_00.Trial[CONTA],$I187))</f>
        <v>1</v>
      </c>
      <c r="F187" s="4">
        <f>SUMIFS(Tab_99.Trial[DEZEMBRO],Tab_99.Trial[CONTA],$I187)</f>
        <v>0</v>
      </c>
      <c r="G187" s="4">
        <f t="shared" si="7"/>
        <v>0</v>
      </c>
      <c r="H187" s="137" t="s">
        <v>951</v>
      </c>
      <c r="I187" s="3" t="s">
        <v>407</v>
      </c>
      <c r="J187" s="3" t="s">
        <v>408</v>
      </c>
      <c r="K187" s="1">
        <v>0</v>
      </c>
      <c r="L187" s="173">
        <v>2247.19</v>
      </c>
      <c r="M187" s="1">
        <v>0</v>
      </c>
      <c r="N187" s="173">
        <v>2247.19</v>
      </c>
      <c r="O187" s="4">
        <f>Tab_01.Jan[[#This Row],[DÉBITO]]-Tab_01.Jan[[#This Row],[CRÉDITO]]</f>
        <v>2247.19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S</v>
      </c>
      <c r="E188" s="2">
        <f>IF($I188="","",COUNTIFS(Tab_00.Trial[CONTA],$I188))</f>
        <v>1</v>
      </c>
      <c r="F188" s="4">
        <f>SUMIFS(Tab_99.Trial[DEZEMBRO],Tab_99.Trial[CONTA],$I188)</f>
        <v>0</v>
      </c>
      <c r="G188" s="4">
        <f t="shared" ref="G188" si="8">IFERROR(IF(LEFT($I188)*1&gt;2,0,$F188-$K188),0)</f>
        <v>0</v>
      </c>
      <c r="H188" s="137">
        <v>40353</v>
      </c>
      <c r="I188" s="3" t="s">
        <v>594</v>
      </c>
      <c r="J188" s="3" t="s">
        <v>819</v>
      </c>
      <c r="K188" s="1">
        <v>0</v>
      </c>
      <c r="L188" s="173">
        <v>18235.75</v>
      </c>
      <c r="M188" s="1">
        <v>0</v>
      </c>
      <c r="N188" s="173">
        <v>18235.75</v>
      </c>
      <c r="O188" s="4">
        <f>Tab_01.Jan[[#This Row],[DÉBITO]]-Tab_01.Jan[[#This Row],[CRÉDITO]]</f>
        <v>18235.75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A</v>
      </c>
      <c r="E189" s="2">
        <f>IF($I189="","",COUNTIFS(Tab_00.Trial[CONTA],$I189))</f>
        <v>1</v>
      </c>
      <c r="F189" s="4">
        <f>SUMIFS(Tab_99.Trial[DEZEMBRO],Tab_99.Trial[CONTA],$I189)</f>
        <v>0</v>
      </c>
      <c r="G189" s="4">
        <f>IFERROR(IF(LEFT($I189)*1&gt;2,0,$F189-$K189),0)</f>
        <v>0</v>
      </c>
      <c r="H189" s="137" t="s">
        <v>952</v>
      </c>
      <c r="I189" s="3" t="s">
        <v>411</v>
      </c>
      <c r="J189" s="3" t="s">
        <v>412</v>
      </c>
      <c r="K189" s="1">
        <v>0</v>
      </c>
      <c r="L189" s="173">
        <v>300</v>
      </c>
      <c r="M189" s="1">
        <v>0</v>
      </c>
      <c r="N189" s="173">
        <v>300</v>
      </c>
      <c r="O189" s="4">
        <f>Tab_01.Jan[[#This Row],[DÉBITO]]-Tab_01.Jan[[#This Row],[CRÉDITO]]</f>
        <v>300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A</v>
      </c>
      <c r="E190" s="2">
        <f>IF($I190="","",COUNTIFS(Tab_00.Trial[CONTA],$I190))</f>
        <v>1</v>
      </c>
      <c r="F190" s="4">
        <f>SUMIFS(Tab_99.Trial[DEZEMBRO],Tab_99.Trial[CONTA],$I190)</f>
        <v>0</v>
      </c>
      <c r="G190" s="4">
        <f>IFERROR(IF(LEFT($I190)*1&gt;2,0,$F190-$K190),0)</f>
        <v>0</v>
      </c>
      <c r="H190" s="137" t="s">
        <v>953</v>
      </c>
      <c r="I190" s="3" t="s">
        <v>413</v>
      </c>
      <c r="J190" s="3" t="s">
        <v>414</v>
      </c>
      <c r="K190" s="1">
        <v>0</v>
      </c>
      <c r="L190" s="173">
        <v>17935.75</v>
      </c>
      <c r="M190" s="173">
        <v>0</v>
      </c>
      <c r="N190" s="173">
        <v>17935.75</v>
      </c>
      <c r="O190" s="4">
        <f>Tab_01.Jan[[#This Row],[DÉBITO]]-Tab_01.Jan[[#This Row],[CRÉDITO]]</f>
        <v>17935.75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S</v>
      </c>
      <c r="E191" s="2">
        <f>IF($I191="","",COUNTIFS(Tab_00.Trial[CONTA],$I191))</f>
        <v>1</v>
      </c>
      <c r="F191" s="4">
        <f>SUMIFS(Tab_99.Trial[DEZEMBRO],Tab_99.Trial[CONTA],$I191)</f>
        <v>0</v>
      </c>
      <c r="G191" s="4">
        <f t="shared" ref="G191:G216" si="9">IFERROR(IF(LEFT($I191)*1&gt;2,0,$F191-$K191),0)</f>
        <v>0</v>
      </c>
      <c r="H191" s="137">
        <v>40365</v>
      </c>
      <c r="I191" s="3" t="s">
        <v>595</v>
      </c>
      <c r="J191" s="3" t="s">
        <v>420</v>
      </c>
      <c r="K191" s="1">
        <v>0</v>
      </c>
      <c r="L191" s="173">
        <v>427.26</v>
      </c>
      <c r="M191" s="173">
        <v>0</v>
      </c>
      <c r="N191" s="173">
        <v>427.26</v>
      </c>
      <c r="O191" s="4">
        <f>Tab_01.Jan[[#This Row],[DÉBITO]]-Tab_01.Jan[[#This Row],[CRÉDITO]]</f>
        <v>427.26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A</v>
      </c>
      <c r="E192" s="2">
        <f>IF($I192="","",COUNTIFS(Tab_00.Trial[CONTA],$I192))</f>
        <v>1</v>
      </c>
      <c r="F192" s="4">
        <f>SUMIFS(Tab_99.Trial[DEZEMBRO],Tab_99.Trial[CONTA],$I192)</f>
        <v>0</v>
      </c>
      <c r="G192" s="4">
        <f t="shared" si="9"/>
        <v>0</v>
      </c>
      <c r="H192" s="137" t="s">
        <v>954</v>
      </c>
      <c r="I192" s="3" t="s">
        <v>419</v>
      </c>
      <c r="J192" s="3" t="s">
        <v>420</v>
      </c>
      <c r="K192" s="1">
        <v>0</v>
      </c>
      <c r="L192" s="173">
        <v>427.26</v>
      </c>
      <c r="M192" s="173">
        <v>0</v>
      </c>
      <c r="N192" s="173">
        <v>427.26</v>
      </c>
      <c r="O192" s="4">
        <f>Tab_01.Jan[[#This Row],[DÉBITO]]-Tab_01.Jan[[#This Row],[CRÉDITO]]</f>
        <v>427.26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5</v>
      </c>
      <c r="D193" s="2" t="str">
        <f>_xlfn.XLOOKUP($I193,Tab_00.Trial[CONTA],Tab_00.Trial[S/A],"",0,1)</f>
        <v>S</v>
      </c>
      <c r="E193" s="2">
        <f>IF($I193="","",COUNTIFS(Tab_00.Trial[CONTA],$I193))</f>
        <v>1</v>
      </c>
      <c r="F193" s="4">
        <f>SUMIFS(Tab_99.Trial[DEZEMBRO],Tab_99.Trial[CONTA],$I193)</f>
        <v>0</v>
      </c>
      <c r="G193" s="4">
        <f t="shared" si="9"/>
        <v>0</v>
      </c>
      <c r="H193" s="137">
        <v>40345</v>
      </c>
      <c r="I193" s="3" t="s">
        <v>237</v>
      </c>
      <c r="J193" s="3" t="s">
        <v>702</v>
      </c>
      <c r="K193" s="1">
        <v>0</v>
      </c>
      <c r="L193" s="173">
        <v>852439.19</v>
      </c>
      <c r="M193" s="173">
        <v>0</v>
      </c>
      <c r="N193" s="173">
        <v>852439.19</v>
      </c>
      <c r="O193" s="4">
        <f>Tab_01.Jan[[#This Row],[DÉBITO]]-Tab_01.Jan[[#This Row],[CRÉDITO]]</f>
        <v>852439.19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5</v>
      </c>
      <c r="D194" s="2" t="str">
        <f>_xlfn.XLOOKUP($I194,Tab_00.Trial[CONTA],Tab_00.Trial[S/A],"",0,1)</f>
        <v>S</v>
      </c>
      <c r="E194" s="2">
        <f>IF($I194="","",COUNTIFS(Tab_00.Trial[CONTA],$I194))</f>
        <v>1</v>
      </c>
      <c r="F194" s="4">
        <f>SUMIFS(Tab_99.Trial[DEZEMBRO],Tab_99.Trial[CONTA],$I194)</f>
        <v>0</v>
      </c>
      <c r="G194" s="4">
        <f t="shared" si="9"/>
        <v>0</v>
      </c>
      <c r="H194" s="137">
        <v>40360</v>
      </c>
      <c r="I194" s="3" t="s">
        <v>238</v>
      </c>
      <c r="J194" s="3" t="s">
        <v>820</v>
      </c>
      <c r="K194" s="1">
        <v>0</v>
      </c>
      <c r="L194" s="173">
        <v>852439.19</v>
      </c>
      <c r="M194" s="173">
        <v>0</v>
      </c>
      <c r="N194" s="173">
        <v>852439.19</v>
      </c>
      <c r="O194" s="4">
        <f>Tab_01.Jan[[#This Row],[DÉBITO]]-Tab_01.Jan[[#This Row],[CRÉDITO]]</f>
        <v>852439.19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A</v>
      </c>
      <c r="E195" s="2">
        <f>IF($I195="","",COUNTIFS(Tab_00.Trial[CONTA],$I195))</f>
        <v>1</v>
      </c>
      <c r="F195" s="4">
        <f>SUMIFS(Tab_99.Trial[DEZEMBRO],Tab_99.Trial[CONTA],$I195)</f>
        <v>0</v>
      </c>
      <c r="G195" s="4">
        <f t="shared" si="9"/>
        <v>0</v>
      </c>
      <c r="H195" s="137" t="s">
        <v>955</v>
      </c>
      <c r="I195" s="3" t="s">
        <v>421</v>
      </c>
      <c r="J195" s="3" t="s">
        <v>422</v>
      </c>
      <c r="K195" s="1">
        <v>0</v>
      </c>
      <c r="L195" s="173">
        <v>187419.37</v>
      </c>
      <c r="M195" s="1">
        <v>0</v>
      </c>
      <c r="N195" s="173">
        <v>187419.37</v>
      </c>
      <c r="O195" s="4">
        <f>Tab_01.Jan[[#This Row],[DÉBITO]]-Tab_01.Jan[[#This Row],[CRÉDITO]]</f>
        <v>187419.37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A</v>
      </c>
      <c r="E196" s="2">
        <f>IF($I196="","",COUNTIFS(Tab_00.Trial[CONTA],$I196))</f>
        <v>1</v>
      </c>
      <c r="F196" s="4">
        <f>SUMIFS(Tab_99.Trial[DEZEMBRO],Tab_99.Trial[CONTA],$I196)</f>
        <v>0</v>
      </c>
      <c r="G196" s="4">
        <f t="shared" si="9"/>
        <v>0</v>
      </c>
      <c r="H196" s="137" t="s">
        <v>956</v>
      </c>
      <c r="I196" s="3" t="s">
        <v>738</v>
      </c>
      <c r="J196" s="3" t="s">
        <v>367</v>
      </c>
      <c r="K196" s="1">
        <v>0</v>
      </c>
      <c r="L196" s="173">
        <v>122569.24</v>
      </c>
      <c r="M196" s="1">
        <v>0</v>
      </c>
      <c r="N196" s="173">
        <v>122569.24</v>
      </c>
      <c r="O196" s="4">
        <f>Tab_01.Jan[[#This Row],[DÉBITO]]-Tab_01.Jan[[#This Row],[CRÉDITO]]</f>
        <v>122569.24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5</v>
      </c>
      <c r="D197" s="2" t="str">
        <f>_xlfn.XLOOKUP($I197,Tab_00.Trial[CONTA],Tab_00.Trial[S/A],"",0,1)</f>
        <v>A</v>
      </c>
      <c r="E197" s="2">
        <f>IF($I197="","",COUNTIFS(Tab_00.Trial[CONTA],$I197))</f>
        <v>1</v>
      </c>
      <c r="F197" s="4">
        <f>SUMIFS(Tab_99.Trial[DEZEMBRO],Tab_99.Trial[CONTA],$I197)</f>
        <v>0</v>
      </c>
      <c r="G197" s="4">
        <f t="shared" si="9"/>
        <v>0</v>
      </c>
      <c r="H197" s="137" t="s">
        <v>957</v>
      </c>
      <c r="I197" s="3" t="s">
        <v>423</v>
      </c>
      <c r="J197" s="3" t="s">
        <v>424</v>
      </c>
      <c r="K197" s="1">
        <v>0</v>
      </c>
      <c r="L197" s="173">
        <v>542450.57999999996</v>
      </c>
      <c r="M197" s="173">
        <v>0</v>
      </c>
      <c r="N197" s="1">
        <v>542450.57999999996</v>
      </c>
      <c r="O197" s="4">
        <f>Tab_01.Jan[[#This Row],[DÉBITO]]-Tab_01.Jan[[#This Row],[CRÉDITO]]</f>
        <v>542450.57999999996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1</v>
      </c>
      <c r="D198" s="2" t="str">
        <f>_xlfn.XLOOKUP($I198,Tab_00.Trial[CONTA],Tab_00.Trial[S/A],"",0,1)</f>
        <v>S</v>
      </c>
      <c r="E198" s="2">
        <f>IF($I198="","",COUNTIFS(Tab_00.Trial[CONTA],$I198))</f>
        <v>1</v>
      </c>
      <c r="F198" s="4">
        <f>SUMIFS(Tab_99.Trial[DEZEMBRO],Tab_99.Trial[CONTA],$I198)</f>
        <v>0</v>
      </c>
      <c r="G198" s="4">
        <f t="shared" si="9"/>
        <v>0</v>
      </c>
      <c r="H198" s="137">
        <v>50000</v>
      </c>
      <c r="I198" s="3">
        <v>5</v>
      </c>
      <c r="J198" s="3" t="s">
        <v>705</v>
      </c>
      <c r="K198" s="1">
        <v>0</v>
      </c>
      <c r="L198" s="1">
        <v>290969.51</v>
      </c>
      <c r="M198" s="1">
        <v>21644.92</v>
      </c>
      <c r="N198" s="1">
        <v>269324.59000000003</v>
      </c>
      <c r="O198" s="4">
        <f>Tab_01.Jan[[#This Row],[DÉBITO]]-Tab_01.Jan[[#This Row],[CRÉDITO]]</f>
        <v>269324.59000000003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2</v>
      </c>
      <c r="D199" s="2" t="str">
        <f>_xlfn.XLOOKUP($I199,Tab_00.Trial[CONTA],Tab_00.Trial[S/A],"",0,1)</f>
        <v>S</v>
      </c>
      <c r="E199" s="2">
        <f>IF($I199="","",COUNTIFS(Tab_00.Trial[CONTA],$I199))</f>
        <v>1</v>
      </c>
      <c r="F199" s="4">
        <f>SUMIFS(Tab_99.Trial[DEZEMBRO],Tab_99.Trial[CONTA],$I199)</f>
        <v>0</v>
      </c>
      <c r="G199" s="4">
        <f t="shared" si="9"/>
        <v>0</v>
      </c>
      <c r="H199" s="137">
        <v>50015</v>
      </c>
      <c r="I199" s="3" t="s">
        <v>599</v>
      </c>
      <c r="J199" s="3" t="s">
        <v>821</v>
      </c>
      <c r="K199" s="1">
        <v>0</v>
      </c>
      <c r="L199" s="1">
        <v>289179.86</v>
      </c>
      <c r="M199" s="1">
        <v>19666.27</v>
      </c>
      <c r="N199" s="1">
        <v>269513.59000000003</v>
      </c>
      <c r="O199" s="4">
        <f>Tab_01.Jan[[#This Row],[DÉBITO]]-Tab_01.Jan[[#This Row],[CRÉDITO]]</f>
        <v>269513.59000000003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5</v>
      </c>
      <c r="D200" s="2" t="str">
        <f>_xlfn.XLOOKUP($I200,Tab_00.Trial[CONTA],Tab_00.Trial[S/A],"",0,1)</f>
        <v>S</v>
      </c>
      <c r="E200" s="2">
        <f>IF($I200="","",COUNTIFS(Tab_00.Trial[CONTA],$I200))</f>
        <v>1</v>
      </c>
      <c r="F200" s="4">
        <f>SUMIFS(Tab_99.Trial[DEZEMBRO],Tab_99.Trial[CONTA],$I200)</f>
        <v>0</v>
      </c>
      <c r="G200" s="4">
        <f t="shared" si="9"/>
        <v>0</v>
      </c>
      <c r="H200" s="137">
        <v>50030</v>
      </c>
      <c r="I200" s="3" t="s">
        <v>600</v>
      </c>
      <c r="J200" s="3" t="s">
        <v>706</v>
      </c>
      <c r="K200" s="1">
        <v>0</v>
      </c>
      <c r="L200" s="173">
        <v>132353.96</v>
      </c>
      <c r="M200" s="1">
        <v>17932.61</v>
      </c>
      <c r="N200" s="173">
        <v>114421.35</v>
      </c>
      <c r="O200" s="4">
        <f>Tab_01.Jan[[#This Row],[DÉBITO]]-Tab_01.Jan[[#This Row],[CRÉDITO]]</f>
        <v>114421.35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5</v>
      </c>
      <c r="D201" s="2" t="str">
        <f>_xlfn.XLOOKUP($I201,Tab_00.Trial[CONTA],Tab_00.Trial[S/A],"",0,1)</f>
        <v>S</v>
      </c>
      <c r="E201" s="2">
        <f>IF($I201="","",COUNTIFS(Tab_00.Trial[CONTA],$I201))</f>
        <v>1</v>
      </c>
      <c r="F201" s="4">
        <f>SUMIFS(Tab_99.Trial[DEZEMBRO],Tab_99.Trial[CONTA],$I201)</f>
        <v>0</v>
      </c>
      <c r="G201" s="4">
        <f t="shared" si="9"/>
        <v>0</v>
      </c>
      <c r="H201" s="137">
        <v>50045</v>
      </c>
      <c r="I201" s="3" t="s">
        <v>601</v>
      </c>
      <c r="J201" s="3" t="s">
        <v>707</v>
      </c>
      <c r="K201" s="1">
        <v>0</v>
      </c>
      <c r="L201" s="1">
        <v>105652.39</v>
      </c>
      <c r="M201" s="1">
        <v>17136.48</v>
      </c>
      <c r="N201" s="1">
        <v>88515.91</v>
      </c>
      <c r="O201" s="4">
        <f>Tab_01.Jan[[#This Row],[DÉBITO]]-Tab_01.Jan[[#This Row],[CRÉDITO]]</f>
        <v>88515.91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5</v>
      </c>
      <c r="D202" s="2" t="str">
        <f>_xlfn.XLOOKUP($I202,Tab_00.Trial[CONTA],Tab_00.Trial[S/A],"",0,1)</f>
        <v>A</v>
      </c>
      <c r="E202" s="2">
        <f>IF($I202="","",COUNTIFS(Tab_00.Trial[CONTA],$I202))</f>
        <v>1</v>
      </c>
      <c r="F202" s="4">
        <f>SUMIFS(Tab_99.Trial[DEZEMBRO],Tab_99.Trial[CONTA],$I202)</f>
        <v>0</v>
      </c>
      <c r="G202" s="4">
        <f t="shared" si="9"/>
        <v>0</v>
      </c>
      <c r="H202" s="137" t="s">
        <v>958</v>
      </c>
      <c r="I202" s="3" t="s">
        <v>441</v>
      </c>
      <c r="J202" s="3" t="s">
        <v>427</v>
      </c>
      <c r="K202" s="1">
        <v>0</v>
      </c>
      <c r="L202" s="1">
        <v>69887.759999999995</v>
      </c>
      <c r="M202" s="1">
        <v>15369.28</v>
      </c>
      <c r="N202" s="1">
        <v>54518.48</v>
      </c>
      <c r="O202" s="4">
        <f>Tab_01.Jan[[#This Row],[DÉBITO]]-Tab_01.Jan[[#This Row],[CRÉDITO]]</f>
        <v>54518.48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5</v>
      </c>
      <c r="D203" s="2" t="str">
        <f>_xlfn.XLOOKUP($I203,Tab_00.Trial[CONTA],Tab_00.Trial[S/A],"",0,1)</f>
        <v>A</v>
      </c>
      <c r="E203" s="2">
        <f>IF($I203="","",COUNTIFS(Tab_00.Trial[CONTA],$I203))</f>
        <v>1</v>
      </c>
      <c r="F203" s="4">
        <f>SUMIFS(Tab_99.Trial[DEZEMBRO],Tab_99.Trial[CONTA],$I203)</f>
        <v>0</v>
      </c>
      <c r="G203" s="4">
        <f t="shared" si="9"/>
        <v>0</v>
      </c>
      <c r="H203" s="137" t="s">
        <v>959</v>
      </c>
      <c r="I203" s="3" t="s">
        <v>443</v>
      </c>
      <c r="J203" s="3" t="s">
        <v>431</v>
      </c>
      <c r="K203" s="1">
        <v>0</v>
      </c>
      <c r="L203" s="173">
        <v>10254.450000000001</v>
      </c>
      <c r="M203" s="1">
        <v>0</v>
      </c>
      <c r="N203" s="1">
        <v>10254.450000000001</v>
      </c>
      <c r="O203" s="4">
        <f>Tab_01.Jan[[#This Row],[DÉBITO]]-Tab_01.Jan[[#This Row],[CRÉDITO]]</f>
        <v>10254.450000000001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5</v>
      </c>
      <c r="D204" s="2" t="str">
        <f>_xlfn.XLOOKUP($I204,Tab_00.Trial[CONTA],Tab_00.Trial[S/A],"",0,1)</f>
        <v>A</v>
      </c>
      <c r="E204" s="2">
        <f>IF($I204="","",COUNTIFS(Tab_00.Trial[CONTA],$I204))</f>
        <v>1</v>
      </c>
      <c r="F204" s="4">
        <f>SUMIFS(Tab_99.Trial[DEZEMBRO],Tab_99.Trial[CONTA],$I204)</f>
        <v>0</v>
      </c>
      <c r="G204" s="4">
        <f t="shared" si="9"/>
        <v>0</v>
      </c>
      <c r="H204" s="137" t="s">
        <v>960</v>
      </c>
      <c r="I204" s="3" t="s">
        <v>444</v>
      </c>
      <c r="J204" s="3" t="s">
        <v>433</v>
      </c>
      <c r="K204" s="1">
        <v>0</v>
      </c>
      <c r="L204" s="1">
        <v>6223.05</v>
      </c>
      <c r="M204" s="1">
        <v>0</v>
      </c>
      <c r="N204" s="1">
        <v>6223.05</v>
      </c>
      <c r="O204" s="4">
        <f>Tab_01.Jan[[#This Row],[DÉBITO]]-Tab_01.Jan[[#This Row],[CRÉDITO]]</f>
        <v>6223.05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5</v>
      </c>
      <c r="D205" s="2" t="str">
        <f>_xlfn.XLOOKUP($I205,Tab_00.Trial[CONTA],Tab_00.Trial[S/A],"",0,1)</f>
        <v>A</v>
      </c>
      <c r="E205" s="2">
        <f>IF($I205="","",COUNTIFS(Tab_00.Trial[CONTA],$I205))</f>
        <v>1</v>
      </c>
      <c r="F205" s="4">
        <f>SUMIFS(Tab_99.Trial[DEZEMBRO],Tab_99.Trial[CONTA],$I205)</f>
        <v>0</v>
      </c>
      <c r="G205" s="4">
        <f t="shared" si="9"/>
        <v>0</v>
      </c>
      <c r="H205" s="137" t="s">
        <v>961</v>
      </c>
      <c r="I205" s="3" t="s">
        <v>802</v>
      </c>
      <c r="J205" s="3" t="s">
        <v>791</v>
      </c>
      <c r="K205" s="1">
        <v>0</v>
      </c>
      <c r="L205" s="1">
        <v>2223.69</v>
      </c>
      <c r="M205" s="1">
        <v>1360.95</v>
      </c>
      <c r="N205" s="1">
        <v>862.74</v>
      </c>
      <c r="O205" s="4">
        <f>Tab_01.Jan[[#This Row],[DÉBITO]]-Tab_01.Jan[[#This Row],[CRÉDITO]]</f>
        <v>862.74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5</v>
      </c>
      <c r="D206" s="2" t="str">
        <f>_xlfn.XLOOKUP($I206,Tab_00.Trial[CONTA],Tab_00.Trial[S/A],"",0,1)</f>
        <v>A</v>
      </c>
      <c r="E206" s="2">
        <f>IF($I206="","",COUNTIFS(Tab_00.Trial[CONTA],$I206))</f>
        <v>1</v>
      </c>
      <c r="F206" s="4">
        <f>SUMIFS(Tab_99.Trial[DEZEMBRO],Tab_99.Trial[CONTA],$I206)</f>
        <v>0</v>
      </c>
      <c r="G206" s="4">
        <f t="shared" si="9"/>
        <v>0</v>
      </c>
      <c r="H206" s="137" t="s">
        <v>962</v>
      </c>
      <c r="I206" s="3" t="s">
        <v>803</v>
      </c>
      <c r="J206" s="3" t="s">
        <v>793</v>
      </c>
      <c r="K206" s="1">
        <v>0</v>
      </c>
      <c r="L206" s="173">
        <v>14752.66</v>
      </c>
      <c r="M206" s="1">
        <v>406.25</v>
      </c>
      <c r="N206" s="173">
        <v>14346.41</v>
      </c>
      <c r="O206" s="4">
        <f>Tab_01.Jan[[#This Row],[DÉBITO]]-Tab_01.Jan[[#This Row],[CRÉDITO]]</f>
        <v>14346.41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5</v>
      </c>
      <c r="D207" s="2" t="str">
        <f>_xlfn.XLOOKUP($I207,Tab_00.Trial[CONTA],Tab_00.Trial[S/A],"",0,1)</f>
        <v>A</v>
      </c>
      <c r="E207" s="2">
        <f>IF($I207="","",COUNTIFS(Tab_00.Trial[CONTA],$I207))</f>
        <v>1</v>
      </c>
      <c r="F207" s="4">
        <f>SUMIFS(Tab_99.Trial[DEZEMBRO],Tab_99.Trial[CONTA],$I207)</f>
        <v>0</v>
      </c>
      <c r="G207" s="4">
        <f t="shared" si="9"/>
        <v>0</v>
      </c>
      <c r="H207" s="137" t="s">
        <v>963</v>
      </c>
      <c r="I207" s="3" t="s">
        <v>804</v>
      </c>
      <c r="J207" s="3" t="s">
        <v>795</v>
      </c>
      <c r="K207" s="1">
        <v>0</v>
      </c>
      <c r="L207" s="173">
        <v>82.97</v>
      </c>
      <c r="M207" s="1">
        <v>0</v>
      </c>
      <c r="N207" s="173">
        <v>82.97</v>
      </c>
      <c r="O207" s="4">
        <f>Tab_01.Jan[[#This Row],[DÉBITO]]-Tab_01.Jan[[#This Row],[CRÉDITO]]</f>
        <v>82.97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5</v>
      </c>
      <c r="D208" s="2" t="str">
        <f>_xlfn.XLOOKUP($I208,Tab_00.Trial[CONTA],Tab_00.Trial[S/A],"",0,1)</f>
        <v>A</v>
      </c>
      <c r="E208" s="2">
        <f>IF($I208="","",COUNTIFS(Tab_00.Trial[CONTA],$I208))</f>
        <v>1</v>
      </c>
      <c r="F208" s="4">
        <f>SUMIFS(Tab_99.Trial[DEZEMBRO],Tab_99.Trial[CONTA],$I208)</f>
        <v>0</v>
      </c>
      <c r="G208" s="4">
        <f t="shared" si="9"/>
        <v>0</v>
      </c>
      <c r="H208" s="137" t="s">
        <v>964</v>
      </c>
      <c r="I208" s="3" t="s">
        <v>805</v>
      </c>
      <c r="J208" s="3" t="s">
        <v>797</v>
      </c>
      <c r="K208" s="1">
        <v>0</v>
      </c>
      <c r="L208" s="173">
        <v>1667.78</v>
      </c>
      <c r="M208" s="1">
        <v>0</v>
      </c>
      <c r="N208" s="173">
        <v>1667.78</v>
      </c>
      <c r="O208" s="4">
        <f>Tab_01.Jan[[#This Row],[DÉBITO]]-Tab_01.Jan[[#This Row],[CRÉDITO]]</f>
        <v>1667.78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5</v>
      </c>
      <c r="D209" s="2" t="str">
        <f>_xlfn.XLOOKUP($I209,Tab_00.Trial[CONTA],Tab_00.Trial[S/A],"",0,1)</f>
        <v>A</v>
      </c>
      <c r="E209" s="2">
        <f>IF($I209="","",COUNTIFS(Tab_00.Trial[CONTA],$I209))</f>
        <v>1</v>
      </c>
      <c r="F209" s="4">
        <f>SUMIFS(Tab_99.Trial[DEZEMBRO],Tab_99.Trial[CONTA],$I209)</f>
        <v>0</v>
      </c>
      <c r="G209" s="4">
        <f t="shared" si="9"/>
        <v>0</v>
      </c>
      <c r="H209" s="137" t="s">
        <v>965</v>
      </c>
      <c r="I209" s="3" t="s">
        <v>806</v>
      </c>
      <c r="J209" s="3" t="s">
        <v>799</v>
      </c>
      <c r="K209" s="1">
        <v>0</v>
      </c>
      <c r="L209" s="173">
        <v>497.81</v>
      </c>
      <c r="M209" s="1">
        <v>0</v>
      </c>
      <c r="N209" s="173">
        <v>497.81</v>
      </c>
      <c r="O209" s="4">
        <f>Tab_01.Jan[[#This Row],[DÉBITO]]-Tab_01.Jan[[#This Row],[CRÉDITO]]</f>
        <v>497.81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5</v>
      </c>
      <c r="D210" s="2" t="str">
        <f>_xlfn.XLOOKUP($I210,Tab_00.Trial[CONTA],Tab_00.Trial[S/A],"",0,1)</f>
        <v>A</v>
      </c>
      <c r="E210" s="2">
        <f>IF($I210="","",COUNTIFS(Tab_00.Trial[CONTA],$I210))</f>
        <v>1</v>
      </c>
      <c r="F210" s="4">
        <f>SUMIFS(Tab_99.Trial[DEZEMBRO],Tab_99.Trial[CONTA],$I210)</f>
        <v>0</v>
      </c>
      <c r="G210" s="4">
        <f t="shared" si="9"/>
        <v>0</v>
      </c>
      <c r="H210" s="137" t="s">
        <v>966</v>
      </c>
      <c r="I210" s="3" t="s">
        <v>807</v>
      </c>
      <c r="J210" s="3" t="s">
        <v>801</v>
      </c>
      <c r="K210" s="1">
        <v>0</v>
      </c>
      <c r="L210" s="1">
        <v>62.22</v>
      </c>
      <c r="M210" s="1">
        <v>0</v>
      </c>
      <c r="N210" s="1">
        <v>62.22</v>
      </c>
      <c r="O210" s="4">
        <f>Tab_01.Jan[[#This Row],[DÉBITO]]-Tab_01.Jan[[#This Row],[CRÉDITO]]</f>
        <v>62.22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5</v>
      </c>
      <c r="D211" s="2" t="str">
        <f>_xlfn.XLOOKUP($I211,Tab_00.Trial[CONTA],Tab_00.Trial[S/A],"",0,1)</f>
        <v>S</v>
      </c>
      <c r="E211" s="2">
        <f>IF($I211="","",COUNTIFS(Tab_00.Trial[CONTA],$I211))</f>
        <v>1</v>
      </c>
      <c r="F211" s="4">
        <f>SUMIFS(Tab_99.Trial[DEZEMBRO],Tab_99.Trial[CONTA],$I211)</f>
        <v>0</v>
      </c>
      <c r="G211" s="4">
        <f t="shared" si="9"/>
        <v>0</v>
      </c>
      <c r="H211" s="137">
        <v>50150</v>
      </c>
      <c r="I211" s="3" t="s">
        <v>602</v>
      </c>
      <c r="J211" s="3" t="s">
        <v>708</v>
      </c>
      <c r="K211" s="1">
        <v>0</v>
      </c>
      <c r="L211" s="1">
        <v>1810.13</v>
      </c>
      <c r="M211" s="1">
        <v>796.13</v>
      </c>
      <c r="N211" s="1">
        <v>1014</v>
      </c>
      <c r="O211" s="4">
        <f>Tab_01.Jan[[#This Row],[DÉBITO]]-Tab_01.Jan[[#This Row],[CRÉDITO]]</f>
        <v>1014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A</v>
      </c>
      <c r="E212" s="2">
        <f>IF($I212="","",COUNTIFS(Tab_00.Trial[CONTA],$I212))</f>
        <v>1</v>
      </c>
      <c r="F212" s="4">
        <f>SUMIFS(Tab_99.Trial[DEZEMBRO],Tab_99.Trial[CONTA],$I212)</f>
        <v>0</v>
      </c>
      <c r="G212" s="4">
        <f t="shared" si="9"/>
        <v>0</v>
      </c>
      <c r="H212" s="137" t="s">
        <v>967</v>
      </c>
      <c r="I212" s="3" t="s">
        <v>772</v>
      </c>
      <c r="J212" s="3" t="s">
        <v>435</v>
      </c>
      <c r="K212" s="1">
        <v>0</v>
      </c>
      <c r="L212" s="1">
        <v>435.63</v>
      </c>
      <c r="M212" s="1">
        <v>435.63</v>
      </c>
      <c r="N212" s="1">
        <v>0</v>
      </c>
      <c r="O212" s="4">
        <f>Tab_01.Jan[[#This Row],[DÉBITO]]-Tab_01.Jan[[#This Row],[CRÉDITO]]</f>
        <v>0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A</v>
      </c>
      <c r="E213" s="2">
        <f>IF($I213="","",COUNTIFS(Tab_00.Trial[CONTA],$I213))</f>
        <v>1</v>
      </c>
      <c r="F213" s="4">
        <f>SUMIFS(Tab_99.Trial[DEZEMBRO],Tab_99.Trial[CONTA],$I213)</f>
        <v>0</v>
      </c>
      <c r="G213" s="4">
        <f t="shared" si="9"/>
        <v>0</v>
      </c>
      <c r="H213" s="137" t="s">
        <v>968</v>
      </c>
      <c r="I213" s="3" t="s">
        <v>773</v>
      </c>
      <c r="J213" s="3" t="s">
        <v>751</v>
      </c>
      <c r="K213" s="1">
        <v>0</v>
      </c>
      <c r="L213" s="173">
        <v>360.5</v>
      </c>
      <c r="M213" s="1">
        <v>360.5</v>
      </c>
      <c r="N213" s="173">
        <v>0</v>
      </c>
      <c r="O213" s="4">
        <f>Tab_01.Jan[[#This Row],[DÉBITO]]-Tab_01.Jan[[#This Row],[CRÉDITO]]</f>
        <v>0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5</v>
      </c>
      <c r="D214" s="2" t="str">
        <f>_xlfn.XLOOKUP($I214,Tab_00.Trial[CONTA],Tab_00.Trial[S/A],"",0,1)</f>
        <v>A</v>
      </c>
      <c r="E214" s="2">
        <f>IF($I214="","",COUNTIFS(Tab_00.Trial[CONTA],$I214))</f>
        <v>1</v>
      </c>
      <c r="F214" s="4">
        <f>SUMIFS(Tab_99.Trial[DEZEMBRO],Tab_99.Trial[CONTA],$I214)</f>
        <v>0</v>
      </c>
      <c r="G214" s="4">
        <f t="shared" si="9"/>
        <v>0</v>
      </c>
      <c r="H214" s="137" t="s">
        <v>969</v>
      </c>
      <c r="I214" s="3" t="s">
        <v>455</v>
      </c>
      <c r="J214" s="3" t="s">
        <v>456</v>
      </c>
      <c r="K214" s="1">
        <v>0</v>
      </c>
      <c r="L214" s="173">
        <v>1014</v>
      </c>
      <c r="M214" s="1">
        <v>0</v>
      </c>
      <c r="N214" s="173">
        <v>1014</v>
      </c>
      <c r="O214" s="4">
        <f>Tab_01.Jan[[#This Row],[DÉBITO]]-Tab_01.Jan[[#This Row],[CRÉDITO]]</f>
        <v>1014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S</v>
      </c>
      <c r="E215" s="2">
        <f>IF($I215="","",COUNTIFS(Tab_00.Trial[CONTA],$I215))</f>
        <v>1</v>
      </c>
      <c r="F215" s="4">
        <f>SUMIFS(Tab_99.Trial[DEZEMBRO],Tab_99.Trial[CONTA],$I215)</f>
        <v>0</v>
      </c>
      <c r="G215" s="4">
        <f t="shared" si="9"/>
        <v>0</v>
      </c>
      <c r="H215" s="137">
        <v>50215</v>
      </c>
      <c r="I215" s="3" t="s">
        <v>603</v>
      </c>
      <c r="J215" s="3" t="s">
        <v>709</v>
      </c>
      <c r="K215" s="1">
        <v>0</v>
      </c>
      <c r="L215" s="173">
        <v>24701.439999999999</v>
      </c>
      <c r="M215" s="1">
        <v>0</v>
      </c>
      <c r="N215" s="173">
        <v>24701.439999999999</v>
      </c>
      <c r="O215" s="4">
        <f>Tab_01.Jan[[#This Row],[DÉBITO]]-Tab_01.Jan[[#This Row],[CRÉDITO]]</f>
        <v>24701.439999999999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A</v>
      </c>
      <c r="E216" s="2">
        <f>IF($I216="","",COUNTIFS(Tab_00.Trial[CONTA],$I216))</f>
        <v>1</v>
      </c>
      <c r="F216" s="4">
        <f>SUMIFS(Tab_99.Trial[DEZEMBRO],Tab_99.Trial[CONTA],$I216)</f>
        <v>0</v>
      </c>
      <c r="G216" s="4">
        <f t="shared" si="9"/>
        <v>0</v>
      </c>
      <c r="H216" s="137" t="s">
        <v>970</v>
      </c>
      <c r="I216" s="3" t="s">
        <v>451</v>
      </c>
      <c r="J216" s="3" t="s">
        <v>437</v>
      </c>
      <c r="K216" s="1">
        <v>0</v>
      </c>
      <c r="L216" s="173">
        <v>18491.599999999999</v>
      </c>
      <c r="M216" s="1">
        <v>0</v>
      </c>
      <c r="N216" s="173">
        <v>18491.599999999999</v>
      </c>
      <c r="O216" s="4">
        <f>Tab_01.Jan[[#This Row],[DÉBITO]]-Tab_01.Jan[[#This Row],[CRÉDITO]]</f>
        <v>18491.599999999999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A</v>
      </c>
      <c r="E217" s="2">
        <f>IF($I217="","",COUNTIFS(Tab_00.Trial[CONTA],$I217))</f>
        <v>1</v>
      </c>
      <c r="F217" s="4">
        <f>SUMIFS(Tab_99.Trial[DEZEMBRO],Tab_99.Trial[CONTA],$I217)</f>
        <v>0</v>
      </c>
      <c r="G217" s="4">
        <f t="shared" ref="G217:G218" si="10">IFERROR(IF(LEFT($I217)*1&gt;2,0,$F217-$K217),0)</f>
        <v>0</v>
      </c>
      <c r="H217" s="137" t="s">
        <v>971</v>
      </c>
      <c r="I217" s="3" t="s">
        <v>452</v>
      </c>
      <c r="J217" s="3" t="s">
        <v>196</v>
      </c>
      <c r="K217" s="1">
        <v>0</v>
      </c>
      <c r="L217" s="173">
        <v>5519.86</v>
      </c>
      <c r="M217" s="1">
        <v>0</v>
      </c>
      <c r="N217" s="173">
        <v>5519.86</v>
      </c>
      <c r="O217" s="4">
        <f>Tab_01.Jan[[#This Row],[DÉBITO]]-Tab_01.Jan[[#This Row],[CRÉDITO]]</f>
        <v>5519.86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A</v>
      </c>
      <c r="E218" s="2">
        <f>IF($I218="","",COUNTIFS(Tab_00.Trial[CONTA],$I218))</f>
        <v>1</v>
      </c>
      <c r="F218" s="4">
        <f>SUMIFS(Tab_99.Trial[DEZEMBRO],Tab_99.Trial[CONTA],$I218)</f>
        <v>0</v>
      </c>
      <c r="G218" s="4">
        <f t="shared" si="10"/>
        <v>0</v>
      </c>
      <c r="H218" s="137" t="s">
        <v>972</v>
      </c>
      <c r="I218" s="3" t="s">
        <v>453</v>
      </c>
      <c r="J218" s="3" t="s">
        <v>454</v>
      </c>
      <c r="K218" s="1">
        <v>0</v>
      </c>
      <c r="L218" s="173">
        <v>689.98</v>
      </c>
      <c r="M218" s="1">
        <v>0</v>
      </c>
      <c r="N218" s="173">
        <v>689.98</v>
      </c>
      <c r="O218" s="4">
        <f>Tab_01.Jan[[#This Row],[DÉBITO]]-Tab_01.Jan[[#This Row],[CRÉDITO]]</f>
        <v>689.98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S</v>
      </c>
      <c r="E219" s="2">
        <f>IF($I219="","",COUNTIFS(Tab_00.Trial[CONTA],$I219))</f>
        <v>1</v>
      </c>
      <c r="F219" s="4">
        <f>SUMIFS(Tab_99.Trial[DEZEMBRO],Tab_99.Trial[CONTA],$I219)</f>
        <v>0</v>
      </c>
      <c r="G219" s="4">
        <f t="shared" ref="G219" si="11">IFERROR(IF(LEFT($I219)*1&gt;2,0,$F219-$K219),0)</f>
        <v>0</v>
      </c>
      <c r="H219" s="137">
        <v>50290</v>
      </c>
      <c r="I219" s="3" t="s">
        <v>604</v>
      </c>
      <c r="J219" s="3" t="s">
        <v>710</v>
      </c>
      <c r="K219" s="1">
        <v>0</v>
      </c>
      <c r="L219" s="1">
        <v>190</v>
      </c>
      <c r="M219" s="1">
        <v>0</v>
      </c>
      <c r="N219" s="1">
        <v>190</v>
      </c>
      <c r="O219" s="4">
        <f>Tab_01.Jan[[#This Row],[DÉBITO]]-Tab_01.Jan[[#This Row],[CRÉDITO]]</f>
        <v>190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A</v>
      </c>
      <c r="E220" s="2">
        <f>IF($I220="","",COUNTIFS(Tab_00.Trial[CONTA],$I220))</f>
        <v>1</v>
      </c>
      <c r="F220" s="4">
        <f>SUMIFS(Tab_99.Trial[DEZEMBRO],Tab_99.Trial[CONTA],$I220)</f>
        <v>0</v>
      </c>
      <c r="G220" s="4">
        <f t="shared" ref="G220:G231" si="12">IFERROR(IF(LEFT($I220)*1&gt;2,0,$F220-$K220),0)</f>
        <v>0</v>
      </c>
      <c r="H220" s="137" t="s">
        <v>973</v>
      </c>
      <c r="I220" s="3" t="s">
        <v>457</v>
      </c>
      <c r="J220" s="3" t="s">
        <v>458</v>
      </c>
      <c r="K220" s="1">
        <v>0</v>
      </c>
      <c r="L220" s="173">
        <v>190</v>
      </c>
      <c r="M220" s="1">
        <v>0</v>
      </c>
      <c r="N220" s="173">
        <v>190</v>
      </c>
      <c r="O220" s="4">
        <f>Tab_01.Jan[[#This Row],[DÉBITO]]-Tab_01.Jan[[#This Row],[CRÉDITO]]</f>
        <v>190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S</v>
      </c>
      <c r="E221" s="2">
        <f>IF($I221="","",COUNTIFS(Tab_00.Trial[CONTA],$I221))</f>
        <v>1</v>
      </c>
      <c r="F221" s="4">
        <f>SUMIFS(Tab_99.Trial[DEZEMBRO],Tab_99.Trial[CONTA],$I221)</f>
        <v>0</v>
      </c>
      <c r="G221" s="4">
        <f t="shared" si="12"/>
        <v>0</v>
      </c>
      <c r="H221" s="137">
        <v>50285</v>
      </c>
      <c r="I221" s="3" t="s">
        <v>605</v>
      </c>
      <c r="J221" s="3" t="s">
        <v>711</v>
      </c>
      <c r="K221" s="1">
        <v>0</v>
      </c>
      <c r="L221" s="173">
        <v>128411.32</v>
      </c>
      <c r="M221" s="1">
        <v>0</v>
      </c>
      <c r="N221" s="173">
        <v>128411.32</v>
      </c>
      <c r="O221" s="4">
        <f>Tab_01.Jan[[#This Row],[DÉBITO]]-Tab_01.Jan[[#This Row],[CRÉDITO]]</f>
        <v>128411.32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S</v>
      </c>
      <c r="E222" s="2">
        <f>IF($I222="","",COUNTIFS(Tab_00.Trial[CONTA],$I222))</f>
        <v>1</v>
      </c>
      <c r="F222" s="4">
        <f>SUMIFS(Tab_99.Trial[DEZEMBRO],Tab_99.Trial[CONTA],$I222)</f>
        <v>0</v>
      </c>
      <c r="G222" s="4">
        <f t="shared" si="12"/>
        <v>0</v>
      </c>
      <c r="H222" s="137">
        <v>50300</v>
      </c>
      <c r="I222" s="3" t="s">
        <v>606</v>
      </c>
      <c r="J222" s="3" t="s">
        <v>712</v>
      </c>
      <c r="K222" s="1">
        <v>0</v>
      </c>
      <c r="L222" s="173">
        <v>45445.24</v>
      </c>
      <c r="M222" s="1">
        <v>0</v>
      </c>
      <c r="N222" s="173">
        <v>45445.24</v>
      </c>
      <c r="O222" s="4">
        <f>Tab_01.Jan[[#This Row],[DÉBITO]]-Tab_01.Jan[[#This Row],[CRÉDITO]]</f>
        <v>45445.24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A</v>
      </c>
      <c r="E223" s="2">
        <f>IF($I223="","",COUNTIFS(Tab_00.Trial[CONTA],$I223))</f>
        <v>1</v>
      </c>
      <c r="F223" s="4">
        <f>SUMIFS(Tab_99.Trial[DEZEMBRO],Tab_99.Trial[CONTA],$I223)</f>
        <v>0</v>
      </c>
      <c r="G223" s="4">
        <f t="shared" si="12"/>
        <v>0</v>
      </c>
      <c r="H223" s="137" t="s">
        <v>974</v>
      </c>
      <c r="I223" s="3" t="s">
        <v>459</v>
      </c>
      <c r="J223" s="3" t="s">
        <v>460</v>
      </c>
      <c r="K223" s="1">
        <v>0</v>
      </c>
      <c r="L223" s="173">
        <v>7634.62</v>
      </c>
      <c r="M223" s="1">
        <v>0</v>
      </c>
      <c r="N223" s="173">
        <v>7634.62</v>
      </c>
      <c r="O223" s="4">
        <f>Tab_01.Jan[[#This Row],[DÉBITO]]-Tab_01.Jan[[#This Row],[CRÉDITO]]</f>
        <v>7634.62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A</v>
      </c>
      <c r="E224" s="2">
        <f>IF($I224="","",COUNTIFS(Tab_00.Trial[CONTA],$I224))</f>
        <v>1</v>
      </c>
      <c r="F224" s="4">
        <f>SUMIFS(Tab_99.Trial[DEZEMBRO],Tab_99.Trial[CONTA],$I224)</f>
        <v>0</v>
      </c>
      <c r="G224" s="4">
        <f t="shared" si="12"/>
        <v>0</v>
      </c>
      <c r="H224" s="137" t="s">
        <v>975</v>
      </c>
      <c r="I224" s="3" t="s">
        <v>461</v>
      </c>
      <c r="J224" s="3" t="s">
        <v>462</v>
      </c>
      <c r="K224" s="1">
        <v>0</v>
      </c>
      <c r="L224" s="173">
        <v>17299.38</v>
      </c>
      <c r="M224" s="1">
        <v>0</v>
      </c>
      <c r="N224" s="173">
        <v>17299.38</v>
      </c>
      <c r="O224" s="4">
        <f>Tab_01.Jan[[#This Row],[DÉBITO]]-Tab_01.Jan[[#This Row],[CRÉDITO]]</f>
        <v>17299.38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A</v>
      </c>
      <c r="E225" s="2">
        <f>IF($I225="","",COUNTIFS(Tab_00.Trial[CONTA],$I225))</f>
        <v>1</v>
      </c>
      <c r="F225" s="4">
        <f>SUMIFS(Tab_99.Trial[DEZEMBRO],Tab_99.Trial[CONTA],$I225)</f>
        <v>0</v>
      </c>
      <c r="G225" s="4">
        <f t="shared" si="12"/>
        <v>0</v>
      </c>
      <c r="H225" s="137" t="s">
        <v>976</v>
      </c>
      <c r="I225" s="3" t="s">
        <v>465</v>
      </c>
      <c r="J225" s="3" t="s">
        <v>466</v>
      </c>
      <c r="K225" s="1">
        <v>0</v>
      </c>
      <c r="L225" s="173">
        <v>4524.45</v>
      </c>
      <c r="M225" s="1">
        <v>0</v>
      </c>
      <c r="N225" s="173">
        <v>4524.45</v>
      </c>
      <c r="O225" s="4">
        <f>Tab_01.Jan[[#This Row],[DÉBITO]]-Tab_01.Jan[[#This Row],[CRÉDITO]]</f>
        <v>4524.45</v>
      </c>
    </row>
    <row r="226" spans="2:15" x14ac:dyDescent="0.3">
      <c r="B226" s="187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A</v>
      </c>
      <c r="E226" s="2">
        <f>IF($I226="","",COUNTIFS(Tab_00.Trial[CONTA],$I226))</f>
        <v>1</v>
      </c>
      <c r="F226" s="4">
        <f>SUMIFS(Tab_99.Trial[DEZEMBRO],Tab_99.Trial[CONTA],$I226)</f>
        <v>0</v>
      </c>
      <c r="G226" s="4">
        <f t="shared" si="12"/>
        <v>0</v>
      </c>
      <c r="H226" s="137" t="s">
        <v>977</v>
      </c>
      <c r="I226" s="3" t="s">
        <v>473</v>
      </c>
      <c r="J226" s="3" t="s">
        <v>474</v>
      </c>
      <c r="K226" s="1">
        <v>0</v>
      </c>
      <c r="L226" s="1">
        <v>4500</v>
      </c>
      <c r="M226" s="1">
        <v>0</v>
      </c>
      <c r="N226" s="1">
        <v>4500</v>
      </c>
      <c r="O226" s="4">
        <f>Tab_01.Jan[[#This Row],[DÉBITO]]-Tab_01.Jan[[#This Row],[CRÉDITO]]</f>
        <v>4500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A</v>
      </c>
      <c r="E227" s="2">
        <f>IF($I227="","",COUNTIFS(Tab_00.Trial[CONTA],$I227))</f>
        <v>1</v>
      </c>
      <c r="F227" s="4">
        <f>SUMIFS(Tab_99.Trial[DEZEMBRO],Tab_99.Trial[CONTA],$I227)</f>
        <v>0</v>
      </c>
      <c r="G227" s="4">
        <f t="shared" si="12"/>
        <v>0</v>
      </c>
      <c r="H227" s="137" t="s">
        <v>978</v>
      </c>
      <c r="I227" s="3" t="s">
        <v>467</v>
      </c>
      <c r="J227" s="3" t="s">
        <v>468</v>
      </c>
      <c r="K227" s="1">
        <v>0</v>
      </c>
      <c r="L227" s="173">
        <v>223.56</v>
      </c>
      <c r="M227" s="1">
        <v>0</v>
      </c>
      <c r="N227" s="173">
        <v>223.56</v>
      </c>
      <c r="O227" s="4">
        <f>Tab_01.Jan[[#This Row],[DÉBITO]]-Tab_01.Jan[[#This Row],[CRÉDITO]]</f>
        <v>223.56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A</v>
      </c>
      <c r="E228" s="2">
        <f>IF($I228="","",COUNTIFS(Tab_00.Trial[CONTA],$I228))</f>
        <v>1</v>
      </c>
      <c r="F228" s="4">
        <f>SUMIFS(Tab_99.Trial[DEZEMBRO],Tab_99.Trial[CONTA],$I228)</f>
        <v>0</v>
      </c>
      <c r="G228" s="4">
        <f t="shared" si="12"/>
        <v>0</v>
      </c>
      <c r="H228" s="137" t="s">
        <v>979</v>
      </c>
      <c r="I228" s="3" t="s">
        <v>469</v>
      </c>
      <c r="J228" s="3" t="s">
        <v>470</v>
      </c>
      <c r="K228" s="1">
        <v>0</v>
      </c>
      <c r="L228" s="173">
        <v>6599.82</v>
      </c>
      <c r="M228" s="1">
        <v>0</v>
      </c>
      <c r="N228" s="173">
        <v>6599.82</v>
      </c>
      <c r="O228" s="4">
        <f>Tab_01.Jan[[#This Row],[DÉBITO]]-Tab_01.Jan[[#This Row],[CRÉDITO]]</f>
        <v>6599.82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A</v>
      </c>
      <c r="E229" s="2">
        <f>IF($I229="","",COUNTIFS(Tab_00.Trial[CONTA],$I229))</f>
        <v>1</v>
      </c>
      <c r="F229" s="4">
        <f>SUMIFS(Tab_99.Trial[DEZEMBRO],Tab_99.Trial[CONTA],$I229)</f>
        <v>0</v>
      </c>
      <c r="G229" s="4">
        <f t="shared" si="12"/>
        <v>0</v>
      </c>
      <c r="H229" s="137" t="s">
        <v>980</v>
      </c>
      <c r="I229" s="3" t="s">
        <v>471</v>
      </c>
      <c r="J229" s="3" t="s">
        <v>472</v>
      </c>
      <c r="K229" s="1">
        <v>0</v>
      </c>
      <c r="L229" s="173">
        <v>4663.41</v>
      </c>
      <c r="M229" s="1">
        <v>0</v>
      </c>
      <c r="N229" s="173">
        <v>4663.41</v>
      </c>
      <c r="O229" s="4">
        <f>Tab_01.Jan[[#This Row],[DÉBITO]]-Tab_01.Jan[[#This Row],[CRÉDITO]]</f>
        <v>4663.41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S</v>
      </c>
      <c r="E230" s="2">
        <f>IF($I230="","",COUNTIFS(Tab_00.Trial[CONTA],$I230))</f>
        <v>1</v>
      </c>
      <c r="F230" s="4">
        <f>SUMIFS(Tab_99.Trial[DEZEMBRO],Tab_99.Trial[CONTA],$I230)</f>
        <v>0</v>
      </c>
      <c r="G230" s="4">
        <f t="shared" si="12"/>
        <v>0</v>
      </c>
      <c r="H230" s="137">
        <v>50465</v>
      </c>
      <c r="I230" s="3" t="s">
        <v>608</v>
      </c>
      <c r="J230" s="3" t="s">
        <v>713</v>
      </c>
      <c r="K230" s="1">
        <v>0</v>
      </c>
      <c r="L230" s="173">
        <v>82966.080000000002</v>
      </c>
      <c r="M230" s="1">
        <v>0</v>
      </c>
      <c r="N230" s="173">
        <v>82966.080000000002</v>
      </c>
      <c r="O230" s="4">
        <f>Tab_01.Jan[[#This Row],[DÉBITO]]-Tab_01.Jan[[#This Row],[CRÉDITO]]</f>
        <v>82966.080000000002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A</v>
      </c>
      <c r="E231" s="2">
        <f>IF($I231="","",COUNTIFS(Tab_00.Trial[CONTA],$I231))</f>
        <v>1</v>
      </c>
      <c r="F231" s="4">
        <f>SUMIFS(Tab_99.Trial[DEZEMBRO],Tab_99.Trial[CONTA],$I231)</f>
        <v>0</v>
      </c>
      <c r="G231" s="4">
        <f t="shared" si="12"/>
        <v>0</v>
      </c>
      <c r="H231" s="137" t="s">
        <v>981</v>
      </c>
      <c r="I231" s="3" t="s">
        <v>741</v>
      </c>
      <c r="J231" s="3" t="s">
        <v>742</v>
      </c>
      <c r="K231" s="1">
        <v>0</v>
      </c>
      <c r="L231" s="173">
        <v>17980.080000000002</v>
      </c>
      <c r="M231" s="1">
        <v>0</v>
      </c>
      <c r="N231" s="173">
        <v>17980.080000000002</v>
      </c>
      <c r="O231" s="4">
        <f>Tab_01.Jan[[#This Row],[DÉBITO]]-Tab_01.Jan[[#This Row],[CRÉDITO]]</f>
        <v>17980.080000000002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A</v>
      </c>
      <c r="E232" s="2">
        <f>IF($I232="","",COUNTIFS(Tab_00.Trial[CONTA],$I232))</f>
        <v>1</v>
      </c>
      <c r="F232" s="4">
        <f>SUMIFS(Tab_99.Trial[DEZEMBRO],Tab_99.Trial[CONTA],$I232)</f>
        <v>0</v>
      </c>
      <c r="G232" s="4">
        <f t="shared" ref="G232:G255" si="13">IFERROR(IF(LEFT($I232)*1&gt;2,0,$F232-$K232),0)</f>
        <v>0</v>
      </c>
      <c r="H232" s="137" t="s">
        <v>982</v>
      </c>
      <c r="I232" s="3" t="s">
        <v>833</v>
      </c>
      <c r="J232" s="3" t="s">
        <v>834</v>
      </c>
      <c r="K232" s="1">
        <v>0</v>
      </c>
      <c r="L232" s="173">
        <v>7500</v>
      </c>
      <c r="M232" s="1">
        <v>0</v>
      </c>
      <c r="N232" s="173">
        <v>7500</v>
      </c>
      <c r="O232" s="4">
        <f>Tab_01.Jan[[#This Row],[DÉBITO]]-Tab_01.Jan[[#This Row],[CRÉDITO]]</f>
        <v>7500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A</v>
      </c>
      <c r="E233" s="2">
        <f>IF($I233="","",COUNTIFS(Tab_00.Trial[CONTA],$I233))</f>
        <v>1</v>
      </c>
      <c r="F233" s="4">
        <f>SUMIFS(Tab_99.Trial[DEZEMBRO],Tab_99.Trial[CONTA],$I233)</f>
        <v>0</v>
      </c>
      <c r="G233" s="4">
        <f t="shared" si="13"/>
        <v>0</v>
      </c>
      <c r="H233" s="137" t="s">
        <v>983</v>
      </c>
      <c r="I233" s="3" t="s">
        <v>480</v>
      </c>
      <c r="J233" s="3" t="s">
        <v>481</v>
      </c>
      <c r="K233" s="1">
        <v>0</v>
      </c>
      <c r="L233" s="173">
        <v>57486</v>
      </c>
      <c r="M233" s="1">
        <v>0</v>
      </c>
      <c r="N233" s="173">
        <v>57486</v>
      </c>
      <c r="O233" s="4">
        <f>Tab_01.Jan[[#This Row],[DÉBITO]]-Tab_01.Jan[[#This Row],[CRÉDITO]]</f>
        <v>57486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S</v>
      </c>
      <c r="E234" s="2">
        <f>IF($I234="","",COUNTIFS(Tab_00.Trial[CONTA],$I234))</f>
        <v>1</v>
      </c>
      <c r="F234" s="4">
        <f>SUMIFS(Tab_99.Trial[DEZEMBRO],Tab_99.Trial[CONTA],$I234)</f>
        <v>0</v>
      </c>
      <c r="G234" s="4">
        <f t="shared" si="13"/>
        <v>0</v>
      </c>
      <c r="H234" s="137">
        <v>50510</v>
      </c>
      <c r="I234" s="3" t="s">
        <v>609</v>
      </c>
      <c r="J234" s="3" t="s">
        <v>714</v>
      </c>
      <c r="K234" s="1">
        <v>0</v>
      </c>
      <c r="L234" s="1">
        <v>1438.95</v>
      </c>
      <c r="M234" s="1">
        <v>0</v>
      </c>
      <c r="N234" s="1">
        <v>1438.95</v>
      </c>
      <c r="O234" s="4">
        <f>Tab_01.Jan[[#This Row],[DÉBITO]]-Tab_01.Jan[[#This Row],[CRÉDITO]]</f>
        <v>1438.95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S</v>
      </c>
      <c r="E235" s="2">
        <f>IF($I235="","",COUNTIFS(Tab_00.Trial[CONTA],$I235))</f>
        <v>1</v>
      </c>
      <c r="F235" s="4">
        <f>SUMIFS(Tab_99.Trial[DEZEMBRO],Tab_99.Trial[CONTA],$I235)</f>
        <v>0</v>
      </c>
      <c r="G235" s="4">
        <f t="shared" si="13"/>
        <v>0</v>
      </c>
      <c r="H235" s="137">
        <v>50525</v>
      </c>
      <c r="I235" s="3" t="s">
        <v>610</v>
      </c>
      <c r="J235" s="3" t="s">
        <v>714</v>
      </c>
      <c r="K235" s="1">
        <v>0</v>
      </c>
      <c r="L235" s="173">
        <v>1438.95</v>
      </c>
      <c r="M235" s="1">
        <v>0</v>
      </c>
      <c r="N235" s="173">
        <v>1438.95</v>
      </c>
      <c r="O235" s="4">
        <f>Tab_01.Jan[[#This Row],[DÉBITO]]-Tab_01.Jan[[#This Row],[CRÉDITO]]</f>
        <v>1438.95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A</v>
      </c>
      <c r="E236" s="2">
        <f>IF($I236="","",COUNTIFS(Tab_00.Trial[CONTA],$I236))</f>
        <v>1</v>
      </c>
      <c r="F236" s="4">
        <f>SUMIFS(Tab_99.Trial[DEZEMBRO],Tab_99.Trial[CONTA],$I236)</f>
        <v>0</v>
      </c>
      <c r="G236" s="4">
        <f t="shared" si="13"/>
        <v>0</v>
      </c>
      <c r="H236" s="137" t="s">
        <v>984</v>
      </c>
      <c r="I236" s="3" t="s">
        <v>482</v>
      </c>
      <c r="J236" s="3" t="s">
        <v>483</v>
      </c>
      <c r="K236" s="1">
        <v>0</v>
      </c>
      <c r="L236" s="1">
        <v>236.9</v>
      </c>
      <c r="M236" s="1">
        <v>0</v>
      </c>
      <c r="N236" s="1">
        <v>236.9</v>
      </c>
      <c r="O236" s="4">
        <f>Tab_01.Jan[[#This Row],[DÉBITO]]-Tab_01.Jan[[#This Row],[CRÉDITO]]</f>
        <v>236.9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A</v>
      </c>
      <c r="E237" s="2">
        <f>IF($I237="","",COUNTIFS(Tab_00.Trial[CONTA],$I237))</f>
        <v>1</v>
      </c>
      <c r="F237" s="4">
        <f>SUMIFS(Tab_99.Trial[DEZEMBRO],Tab_99.Trial[CONTA],$I237)</f>
        <v>0</v>
      </c>
      <c r="G237" s="4">
        <f t="shared" si="13"/>
        <v>0</v>
      </c>
      <c r="H237" s="137" t="s">
        <v>985</v>
      </c>
      <c r="I237" s="3" t="s">
        <v>484</v>
      </c>
      <c r="J237" s="3" t="s">
        <v>485</v>
      </c>
      <c r="K237" s="1">
        <v>0</v>
      </c>
      <c r="L237" s="173">
        <v>1202.05</v>
      </c>
      <c r="M237" s="1">
        <v>0</v>
      </c>
      <c r="N237" s="173">
        <v>1202.05</v>
      </c>
      <c r="O237" s="4">
        <f>Tab_01.Jan[[#This Row],[DÉBITO]]-Tab_01.Jan[[#This Row],[CRÉDITO]]</f>
        <v>1202.05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S</v>
      </c>
      <c r="E238" s="2">
        <f>IF($I238="","",COUNTIFS(Tab_00.Trial[CONTA],$I238))</f>
        <v>1</v>
      </c>
      <c r="F238" s="4">
        <f>SUMIFS(Tab_99.Trial[DEZEMBRO],Tab_99.Trial[CONTA],$I238)</f>
        <v>0</v>
      </c>
      <c r="G238" s="4">
        <f t="shared" si="13"/>
        <v>0</v>
      </c>
      <c r="H238" s="137">
        <v>50660</v>
      </c>
      <c r="I238" s="3" t="s">
        <v>612</v>
      </c>
      <c r="J238" s="3" t="s">
        <v>716</v>
      </c>
      <c r="K238" s="1">
        <v>0</v>
      </c>
      <c r="L238" s="1">
        <v>11083.2</v>
      </c>
      <c r="M238" s="1">
        <v>0</v>
      </c>
      <c r="N238" s="1">
        <v>11083.2</v>
      </c>
      <c r="O238" s="4">
        <f>Tab_01.Jan[[#This Row],[DÉBITO]]-Tab_01.Jan[[#This Row],[CRÉDITO]]</f>
        <v>11083.2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S</v>
      </c>
      <c r="E239" s="2">
        <f>IF($I239="","",COUNTIFS(Tab_00.Trial[CONTA],$I239))</f>
        <v>1</v>
      </c>
      <c r="F239" s="4">
        <f>SUMIFS(Tab_99.Trial[DEZEMBRO],Tab_99.Trial[CONTA],$I239)</f>
        <v>0</v>
      </c>
      <c r="G239" s="4">
        <f t="shared" si="13"/>
        <v>0</v>
      </c>
      <c r="H239" s="137">
        <v>50675</v>
      </c>
      <c r="I239" s="3" t="s">
        <v>613</v>
      </c>
      <c r="J239" s="3" t="s">
        <v>717</v>
      </c>
      <c r="K239" s="1">
        <v>0</v>
      </c>
      <c r="L239" s="1">
        <v>8031.73</v>
      </c>
      <c r="M239" s="1">
        <v>0</v>
      </c>
      <c r="N239" s="1">
        <v>8031.73</v>
      </c>
      <c r="O239" s="4">
        <f>Tab_01.Jan[[#This Row],[DÉBITO]]-Tab_01.Jan[[#This Row],[CRÉDITO]]</f>
        <v>8031.73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A</v>
      </c>
      <c r="E240" s="2">
        <f>IF($I240="","",COUNTIFS(Tab_00.Trial[CONTA],$I240))</f>
        <v>1</v>
      </c>
      <c r="F240" s="4">
        <f>SUMIFS(Tab_99.Trial[DEZEMBRO],Tab_99.Trial[CONTA],$I240)</f>
        <v>0</v>
      </c>
      <c r="G240" s="4">
        <f t="shared" si="13"/>
        <v>0</v>
      </c>
      <c r="H240" s="137" t="s">
        <v>986</v>
      </c>
      <c r="I240" s="3" t="s">
        <v>491</v>
      </c>
      <c r="J240" s="3" t="s">
        <v>492</v>
      </c>
      <c r="K240" s="1">
        <v>0</v>
      </c>
      <c r="L240" s="173">
        <v>3476.84</v>
      </c>
      <c r="M240" s="1">
        <v>0</v>
      </c>
      <c r="N240" s="173">
        <v>3476.84</v>
      </c>
      <c r="O240" s="4">
        <f>Tab_01.Jan[[#This Row],[DÉBITO]]-Tab_01.Jan[[#This Row],[CRÉDITO]]</f>
        <v>3476.84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A</v>
      </c>
      <c r="E241" s="2">
        <f>IF($I241="","",COUNTIFS(Tab_00.Trial[CONTA],$I241))</f>
        <v>1</v>
      </c>
      <c r="F241" s="4">
        <f>SUMIFS(Tab_99.Trial[DEZEMBRO],Tab_99.Trial[CONTA],$I241)</f>
        <v>0</v>
      </c>
      <c r="G241" s="4">
        <f t="shared" si="13"/>
        <v>0</v>
      </c>
      <c r="H241" s="137" t="s">
        <v>987</v>
      </c>
      <c r="I241" s="3" t="s">
        <v>493</v>
      </c>
      <c r="J241" s="3" t="s">
        <v>494</v>
      </c>
      <c r="K241" s="1">
        <v>0</v>
      </c>
      <c r="L241" s="173">
        <v>3157.37</v>
      </c>
      <c r="M241" s="1">
        <v>0</v>
      </c>
      <c r="N241" s="173">
        <v>3157.37</v>
      </c>
      <c r="O241" s="4">
        <f>Tab_01.Jan[[#This Row],[DÉBITO]]-Tab_01.Jan[[#This Row],[CRÉDITO]]</f>
        <v>3157.37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A</v>
      </c>
      <c r="E242" s="2">
        <f>IF($I242="","",COUNTIFS(Tab_00.Trial[CONTA],$I242))</f>
        <v>1</v>
      </c>
      <c r="F242" s="4">
        <f>SUMIFS(Tab_99.Trial[DEZEMBRO],Tab_99.Trial[CONTA],$I242)</f>
        <v>0</v>
      </c>
      <c r="G242" s="4">
        <f t="shared" si="13"/>
        <v>0</v>
      </c>
      <c r="H242" s="137" t="s">
        <v>988</v>
      </c>
      <c r="I242" s="3" t="s">
        <v>495</v>
      </c>
      <c r="J242" s="3" t="s">
        <v>496</v>
      </c>
      <c r="K242" s="1">
        <v>0</v>
      </c>
      <c r="L242" s="173">
        <v>1397.52</v>
      </c>
      <c r="M242" s="1">
        <v>0</v>
      </c>
      <c r="N242" s="173">
        <v>1397.52</v>
      </c>
      <c r="O242" s="4">
        <f>Tab_01.Jan[[#This Row],[DÉBITO]]-Tab_01.Jan[[#This Row],[CRÉDITO]]</f>
        <v>1397.52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S</v>
      </c>
      <c r="E243" s="2">
        <f>IF($I243="","",COUNTIFS(Tab_00.Trial[CONTA],$I243))</f>
        <v>1</v>
      </c>
      <c r="F243" s="4">
        <f>SUMIFS(Tab_99.Trial[DEZEMBRO],Tab_99.Trial[CONTA],$I243)</f>
        <v>0</v>
      </c>
      <c r="G243" s="4">
        <f t="shared" si="13"/>
        <v>0</v>
      </c>
      <c r="H243" s="137">
        <v>50750</v>
      </c>
      <c r="I243" s="3" t="s">
        <v>614</v>
      </c>
      <c r="J243" s="3" t="s">
        <v>718</v>
      </c>
      <c r="K243" s="1">
        <v>0</v>
      </c>
      <c r="L243" s="173">
        <v>3051.47</v>
      </c>
      <c r="M243" s="1">
        <v>0</v>
      </c>
      <c r="N243" s="173">
        <v>3051.47</v>
      </c>
      <c r="O243" s="4">
        <f>Tab_01.Jan[[#This Row],[DÉBITO]]-Tab_01.Jan[[#This Row],[CRÉDITO]]</f>
        <v>3051.47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A</v>
      </c>
      <c r="E244" s="2">
        <f>IF($I244="","",COUNTIFS(Tab_00.Trial[CONTA],$I244))</f>
        <v>1</v>
      </c>
      <c r="F244" s="4">
        <f>SUMIFS(Tab_99.Trial[DEZEMBRO],Tab_99.Trial[CONTA],$I244)</f>
        <v>0</v>
      </c>
      <c r="G244" s="4">
        <f t="shared" si="13"/>
        <v>0</v>
      </c>
      <c r="H244" s="137" t="s">
        <v>989</v>
      </c>
      <c r="I244" s="3" t="s">
        <v>499</v>
      </c>
      <c r="J244" s="3" t="s">
        <v>500</v>
      </c>
      <c r="K244" s="1">
        <v>0</v>
      </c>
      <c r="L244" s="173">
        <v>146.94</v>
      </c>
      <c r="M244" s="1">
        <v>0</v>
      </c>
      <c r="N244" s="173">
        <v>146.94</v>
      </c>
      <c r="O244" s="4">
        <f>Tab_01.Jan[[#This Row],[DÉBITO]]-Tab_01.Jan[[#This Row],[CRÉDITO]]</f>
        <v>146.94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A</v>
      </c>
      <c r="E245" s="2">
        <f>IF($I245="","",COUNTIFS(Tab_00.Trial[CONTA],$I245))</f>
        <v>1</v>
      </c>
      <c r="F245" s="4">
        <f>SUMIFS(Tab_99.Trial[DEZEMBRO],Tab_99.Trial[CONTA],$I245)</f>
        <v>0</v>
      </c>
      <c r="G245" s="4">
        <f t="shared" si="13"/>
        <v>0</v>
      </c>
      <c r="H245" s="137" t="s">
        <v>990</v>
      </c>
      <c r="I245" s="3" t="s">
        <v>501</v>
      </c>
      <c r="J245" s="3" t="s">
        <v>502</v>
      </c>
      <c r="K245" s="1">
        <v>0</v>
      </c>
      <c r="L245" s="173">
        <v>2241.66</v>
      </c>
      <c r="M245" s="1">
        <v>0</v>
      </c>
      <c r="N245" s="173">
        <v>2241.66</v>
      </c>
      <c r="O245" s="4">
        <f>Tab_01.Jan[[#This Row],[DÉBITO]]-Tab_01.Jan[[#This Row],[CRÉDITO]]</f>
        <v>2241.66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A</v>
      </c>
      <c r="E246" s="2">
        <f>IF($I246="","",COUNTIFS(Tab_00.Trial[CONTA],$I246))</f>
        <v>1</v>
      </c>
      <c r="F246" s="4">
        <f>SUMIFS(Tab_99.Trial[DEZEMBRO],Tab_99.Trial[CONTA],$I246)</f>
        <v>0</v>
      </c>
      <c r="G246" s="4">
        <f t="shared" si="13"/>
        <v>0</v>
      </c>
      <c r="H246" s="137" t="s">
        <v>991</v>
      </c>
      <c r="I246" s="3" t="s">
        <v>503</v>
      </c>
      <c r="J246" s="3" t="s">
        <v>504</v>
      </c>
      <c r="K246" s="1">
        <v>0</v>
      </c>
      <c r="L246" s="173">
        <v>662.87</v>
      </c>
      <c r="M246" s="1">
        <v>0</v>
      </c>
      <c r="N246" s="173">
        <v>662.87</v>
      </c>
      <c r="O246" s="4">
        <f>Tab_01.Jan[[#This Row],[DÉBITO]]-Tab_01.Jan[[#This Row],[CRÉDITO]]</f>
        <v>662.87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S</v>
      </c>
      <c r="E247" s="2">
        <f>IF($I247="","",COUNTIFS(Tab_00.Trial[CONTA],$I247))</f>
        <v>1</v>
      </c>
      <c r="F247" s="4">
        <f>SUMIFS(Tab_99.Trial[DEZEMBRO],Tab_99.Trial[CONTA],$I247)</f>
        <v>0</v>
      </c>
      <c r="G247" s="4">
        <f t="shared" si="13"/>
        <v>0</v>
      </c>
      <c r="H247" s="137">
        <v>50870</v>
      </c>
      <c r="I247" s="3" t="s">
        <v>615</v>
      </c>
      <c r="J247" s="3" t="s">
        <v>719</v>
      </c>
      <c r="K247" s="1">
        <v>0</v>
      </c>
      <c r="L247" s="173">
        <v>4265.3900000000003</v>
      </c>
      <c r="M247" s="173">
        <v>0</v>
      </c>
      <c r="N247" s="173">
        <v>4265.3900000000003</v>
      </c>
      <c r="O247" s="4">
        <f>Tab_01.Jan[[#This Row],[DÉBITO]]-Tab_01.Jan[[#This Row],[CRÉDITO]]</f>
        <v>4265.3900000000003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S</v>
      </c>
      <c r="E248" s="2">
        <f>IF($I248="","",COUNTIFS(Tab_00.Trial[CONTA],$I248))</f>
        <v>1</v>
      </c>
      <c r="F248" s="4">
        <f>SUMIFS(Tab_99.Trial[DEZEMBRO],Tab_99.Trial[CONTA],$I248)</f>
        <v>0</v>
      </c>
      <c r="G248" s="4">
        <f t="shared" si="13"/>
        <v>0</v>
      </c>
      <c r="H248" s="137">
        <v>50915</v>
      </c>
      <c r="I248" s="3" t="s">
        <v>617</v>
      </c>
      <c r="J248" s="3" t="s">
        <v>721</v>
      </c>
      <c r="K248" s="1">
        <v>0</v>
      </c>
      <c r="L248" s="173">
        <v>287.74</v>
      </c>
      <c r="M248" s="173">
        <v>0</v>
      </c>
      <c r="N248" s="173">
        <v>287.74</v>
      </c>
      <c r="O248" s="4">
        <f>Tab_01.Jan[[#This Row],[DÉBITO]]-Tab_01.Jan[[#This Row],[CRÉDITO]]</f>
        <v>287.74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A</v>
      </c>
      <c r="E249" s="2">
        <f>IF($I249="","",COUNTIFS(Tab_00.Trial[CONTA],$I249))</f>
        <v>1</v>
      </c>
      <c r="F249" s="4">
        <f>SUMIFS(Tab_99.Trial[DEZEMBRO],Tab_99.Trial[CONTA],$I249)</f>
        <v>0</v>
      </c>
      <c r="G249" s="4">
        <f t="shared" si="13"/>
        <v>0</v>
      </c>
      <c r="H249" s="137" t="s">
        <v>992</v>
      </c>
      <c r="I249" s="3" t="s">
        <v>739</v>
      </c>
      <c r="J249" s="3" t="s">
        <v>740</v>
      </c>
      <c r="K249" s="1">
        <v>0</v>
      </c>
      <c r="L249" s="173">
        <v>287.74</v>
      </c>
      <c r="M249" s="173">
        <v>0</v>
      </c>
      <c r="N249" s="173">
        <v>287.74</v>
      </c>
      <c r="O249" s="4">
        <f>Tab_01.Jan[[#This Row],[DÉBITO]]-Tab_01.Jan[[#This Row],[CRÉDITO]]</f>
        <v>287.74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S</v>
      </c>
      <c r="E250" s="2">
        <f>IF($I250="","",COUNTIFS(Tab_00.Trial[CONTA],$I250))</f>
        <v>1</v>
      </c>
      <c r="F250" s="4">
        <f>SUMIFS(Tab_99.Trial[DEZEMBRO],Tab_99.Trial[CONTA],$I250)</f>
        <v>0</v>
      </c>
      <c r="G250" s="4">
        <f t="shared" si="13"/>
        <v>0</v>
      </c>
      <c r="H250" s="137">
        <v>50960</v>
      </c>
      <c r="I250" s="3" t="s">
        <v>618</v>
      </c>
      <c r="J250" s="3" t="s">
        <v>722</v>
      </c>
      <c r="K250" s="1">
        <v>0</v>
      </c>
      <c r="L250" s="173">
        <v>2260.8200000000002</v>
      </c>
      <c r="M250" s="1">
        <v>0</v>
      </c>
      <c r="N250" s="173">
        <v>2260.8200000000002</v>
      </c>
      <c r="O250" s="4">
        <f>Tab_01.Jan[[#This Row],[DÉBITO]]-Tab_01.Jan[[#This Row],[CRÉDITO]]</f>
        <v>2260.8200000000002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A</v>
      </c>
      <c r="E251" s="2">
        <f>IF($I251="","",COUNTIFS(Tab_00.Trial[CONTA],$I251))</f>
        <v>1</v>
      </c>
      <c r="F251" s="4">
        <f>SUMIFS(Tab_99.Trial[DEZEMBRO],Tab_99.Trial[CONTA],$I251)</f>
        <v>0</v>
      </c>
      <c r="G251" s="4">
        <f t="shared" si="13"/>
        <v>0</v>
      </c>
      <c r="H251" s="137" t="s">
        <v>993</v>
      </c>
      <c r="I251" s="3" t="s">
        <v>511</v>
      </c>
      <c r="J251" s="3" t="s">
        <v>512</v>
      </c>
      <c r="K251" s="1">
        <v>0</v>
      </c>
      <c r="L251" s="173">
        <v>2260.8200000000002</v>
      </c>
      <c r="M251" s="1">
        <v>0</v>
      </c>
      <c r="N251" s="173">
        <v>2260.8200000000002</v>
      </c>
      <c r="O251" s="4">
        <f>Tab_01.Jan[[#This Row],[DÉBITO]]-Tab_01.Jan[[#This Row],[CRÉDITO]]</f>
        <v>2260.8200000000002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S</v>
      </c>
      <c r="E252" s="2">
        <f>IF($I252="","",COUNTIFS(Tab_00.Trial[CONTA],$I252))</f>
        <v>1</v>
      </c>
      <c r="F252" s="4">
        <f>SUMIFS(Tab_99.Trial[DEZEMBRO],Tab_99.Trial[CONTA],$I252)</f>
        <v>0</v>
      </c>
      <c r="G252" s="4">
        <f t="shared" si="13"/>
        <v>0</v>
      </c>
      <c r="H252" s="137">
        <v>50970</v>
      </c>
      <c r="I252" s="3" t="s">
        <v>619</v>
      </c>
      <c r="J252" s="3" t="s">
        <v>420</v>
      </c>
      <c r="K252" s="1">
        <v>0</v>
      </c>
      <c r="L252" s="173">
        <v>1716.83</v>
      </c>
      <c r="M252" s="1">
        <v>0</v>
      </c>
      <c r="N252" s="173">
        <v>1716.83</v>
      </c>
      <c r="O252" s="4">
        <f>Tab_01.Jan[[#This Row],[DÉBITO]]-Tab_01.Jan[[#This Row],[CRÉDITO]]</f>
        <v>1716.83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A</v>
      </c>
      <c r="E253" s="2">
        <f>IF($I253="","",COUNTIFS(Tab_00.Trial[CONTA],$I253))</f>
        <v>1</v>
      </c>
      <c r="F253" s="4">
        <f>SUMIFS(Tab_99.Trial[DEZEMBRO],Tab_99.Trial[CONTA],$I253)</f>
        <v>0</v>
      </c>
      <c r="G253" s="4">
        <f t="shared" si="13"/>
        <v>0</v>
      </c>
      <c r="H253" s="137" t="s">
        <v>994</v>
      </c>
      <c r="I253" s="3" t="s">
        <v>515</v>
      </c>
      <c r="J253" s="3" t="s">
        <v>420</v>
      </c>
      <c r="K253" s="1">
        <v>0</v>
      </c>
      <c r="L253" s="173">
        <v>1716.83</v>
      </c>
      <c r="M253" s="1">
        <v>0</v>
      </c>
      <c r="N253" s="173">
        <v>1716.83</v>
      </c>
      <c r="O253" s="4">
        <f>Tab_01.Jan[[#This Row],[DÉBITO]]-Tab_01.Jan[[#This Row],[CRÉDITO]]</f>
        <v>1716.83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S</v>
      </c>
      <c r="E254" s="2">
        <f>IF($I254="","",COUNTIFS(Tab_00.Trial[CONTA],$I254))</f>
        <v>1</v>
      </c>
      <c r="F254" s="4">
        <f>SUMIFS(Tab_99.Trial[DEZEMBRO],Tab_99.Trial[CONTA],$I254)</f>
        <v>0</v>
      </c>
      <c r="G254" s="4">
        <f t="shared" si="13"/>
        <v>0</v>
      </c>
      <c r="H254" s="137">
        <v>50990</v>
      </c>
      <c r="I254" s="3" t="s">
        <v>621</v>
      </c>
      <c r="J254" s="3" t="s">
        <v>723</v>
      </c>
      <c r="K254" s="1">
        <v>0</v>
      </c>
      <c r="L254" s="1">
        <v>1467.2</v>
      </c>
      <c r="M254" s="1">
        <v>0</v>
      </c>
      <c r="N254" s="1">
        <v>1467.2</v>
      </c>
      <c r="O254" s="4">
        <f>Tab_01.Jan[[#This Row],[DÉBITO]]-Tab_01.Jan[[#This Row],[CRÉDITO]]</f>
        <v>1467.2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S</v>
      </c>
      <c r="E255" s="2">
        <f>IF($I255="","",COUNTIFS(Tab_00.Trial[CONTA],$I255))</f>
        <v>1</v>
      </c>
      <c r="F255" s="4">
        <f>SUMIFS(Tab_99.Trial[DEZEMBRO],Tab_99.Trial[CONTA],$I255)</f>
        <v>0</v>
      </c>
      <c r="G255" s="4">
        <f t="shared" si="13"/>
        <v>0</v>
      </c>
      <c r="H255" s="137">
        <v>51005</v>
      </c>
      <c r="I255" s="3" t="s">
        <v>622</v>
      </c>
      <c r="J255" s="3" t="s">
        <v>723</v>
      </c>
      <c r="K255" s="1">
        <v>0</v>
      </c>
      <c r="L255" s="1">
        <v>1467.2</v>
      </c>
      <c r="M255" s="1">
        <v>0</v>
      </c>
      <c r="N255" s="1">
        <v>1467.2</v>
      </c>
      <c r="O255" s="4">
        <f>Tab_01.Jan[[#This Row],[DÉBITO]]-Tab_01.Jan[[#This Row],[CRÉDITO]]</f>
        <v>1467.2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A</v>
      </c>
      <c r="E256" s="2">
        <f>IF($I256="","",COUNTIFS(Tab_00.Trial[CONTA],$I256))</f>
        <v>1</v>
      </c>
      <c r="F256" s="4">
        <f>SUMIFS(Tab_99.Trial[DEZEMBRO],Tab_99.Trial[CONTA],$I256)</f>
        <v>0</v>
      </c>
      <c r="G256" s="4">
        <f t="shared" ref="G256:G258" si="14">IFERROR(IF(LEFT($I256)*1&gt;2,0,$F256-$K256),0)</f>
        <v>0</v>
      </c>
      <c r="H256" s="137" t="s">
        <v>995</v>
      </c>
      <c r="I256" s="3" t="s">
        <v>518</v>
      </c>
      <c r="J256" s="3" t="s">
        <v>519</v>
      </c>
      <c r="K256" s="1">
        <v>0</v>
      </c>
      <c r="L256" s="1">
        <v>1467.2</v>
      </c>
      <c r="M256" s="1">
        <v>0</v>
      </c>
      <c r="N256" s="1">
        <v>1467.2</v>
      </c>
      <c r="O256" s="4">
        <f>Tab_01.Jan[[#This Row],[DÉBITO]]-Tab_01.Jan[[#This Row],[CRÉDITO]]</f>
        <v>1467.2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S</v>
      </c>
      <c r="E257" s="2">
        <f>IF($I257="","",COUNTIFS(Tab_00.Trial[CONTA],$I257))</f>
        <v>1</v>
      </c>
      <c r="F257" s="4">
        <f>SUMIFS(Tab_99.Trial[DEZEMBRO],Tab_99.Trial[CONTA],$I257)</f>
        <v>0</v>
      </c>
      <c r="G257" s="4">
        <f t="shared" si="14"/>
        <v>0</v>
      </c>
      <c r="H257" s="137">
        <v>51050</v>
      </c>
      <c r="I257" s="3" t="s">
        <v>623</v>
      </c>
      <c r="J257" s="3" t="s">
        <v>724</v>
      </c>
      <c r="K257" s="1">
        <v>0</v>
      </c>
      <c r="L257" s="173">
        <v>7033.25</v>
      </c>
      <c r="M257" s="1">
        <v>1669.15</v>
      </c>
      <c r="N257" s="173">
        <v>5364.1</v>
      </c>
      <c r="O257" s="4">
        <f>Tab_01.Jan[[#This Row],[DÉBITO]]-Tab_01.Jan[[#This Row],[CRÉDITO]]</f>
        <v>5364.1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S</v>
      </c>
      <c r="E258" s="2">
        <f>IF($I258="","",COUNTIFS(Tab_00.Trial[CONTA],$I258))</f>
        <v>1</v>
      </c>
      <c r="F258" s="4">
        <f>SUMIFS(Tab_99.Trial[DEZEMBRO],Tab_99.Trial[CONTA],$I258)</f>
        <v>0</v>
      </c>
      <c r="G258" s="4">
        <f t="shared" si="14"/>
        <v>0</v>
      </c>
      <c r="H258" s="137">
        <v>51065</v>
      </c>
      <c r="I258" s="3" t="s">
        <v>624</v>
      </c>
      <c r="J258" s="3" t="s">
        <v>724</v>
      </c>
      <c r="K258" s="1">
        <v>0</v>
      </c>
      <c r="L258" s="1">
        <v>7033.25</v>
      </c>
      <c r="M258" s="1">
        <v>1669.15</v>
      </c>
      <c r="N258" s="1">
        <v>5364.1</v>
      </c>
      <c r="O258" s="4">
        <f>Tab_01.Jan[[#This Row],[DÉBITO]]-Tab_01.Jan[[#This Row],[CRÉDITO]]</f>
        <v>5364.1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A</v>
      </c>
      <c r="E259" s="2">
        <f>IF($I259="","",COUNTIFS(Tab_00.Trial[CONTA],$I259))</f>
        <v>1</v>
      </c>
      <c r="F259" s="4">
        <f>SUMIFS(Tab_99.Trial[DEZEMBRO],Tab_99.Trial[CONTA],$I259)</f>
        <v>0</v>
      </c>
      <c r="G259" s="4">
        <f t="shared" ref="G259:G291" si="15">IFERROR(IF(LEFT($I259)*1&gt;2,0,$F259-$K259),0)</f>
        <v>0</v>
      </c>
      <c r="H259" s="137" t="s">
        <v>996</v>
      </c>
      <c r="I259" s="3" t="s">
        <v>520</v>
      </c>
      <c r="J259" s="3" t="s">
        <v>521</v>
      </c>
      <c r="K259" s="4">
        <v>0</v>
      </c>
      <c r="L259" s="4">
        <v>7033.25</v>
      </c>
      <c r="M259" s="4">
        <v>1669.15</v>
      </c>
      <c r="N259" s="4">
        <v>5364.1</v>
      </c>
      <c r="O259" s="4">
        <f>Tab_01.Jan[[#This Row],[DÉBITO]]-Tab_01.Jan[[#This Row],[CRÉDITO]]</f>
        <v>5364.1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S</v>
      </c>
      <c r="E260" s="2">
        <f>IF($I260="","",COUNTIFS(Tab_00.Trial[CONTA],$I260))</f>
        <v>1</v>
      </c>
      <c r="F260" s="4">
        <f>SUMIFS(Tab_99.Trial[DEZEMBRO],Tab_99.Trial[CONTA],$I260)</f>
        <v>0</v>
      </c>
      <c r="G260" s="4">
        <f t="shared" si="15"/>
        <v>0</v>
      </c>
      <c r="H260" s="137">
        <v>51110</v>
      </c>
      <c r="I260" s="3" t="s">
        <v>625</v>
      </c>
      <c r="J260" s="3" t="s">
        <v>542</v>
      </c>
      <c r="K260" s="4">
        <v>0</v>
      </c>
      <c r="L260" s="4">
        <v>3126.59</v>
      </c>
      <c r="M260" s="4">
        <v>64.510000000000005</v>
      </c>
      <c r="N260" s="4">
        <v>3062.08</v>
      </c>
      <c r="O260" s="4">
        <f>Tab_01.Jan[[#This Row],[DÉBITO]]-Tab_01.Jan[[#This Row],[CRÉDITO]]</f>
        <v>3062.08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S</v>
      </c>
      <c r="E261" s="2">
        <f>IF($I261="","",COUNTIFS(Tab_00.Trial[CONTA],$I261))</f>
        <v>1</v>
      </c>
      <c r="F261" s="4">
        <f>SUMIFS(Tab_99.Trial[DEZEMBRO],Tab_99.Trial[CONTA],$I261)</f>
        <v>0</v>
      </c>
      <c r="G261" s="4">
        <f t="shared" si="15"/>
        <v>0</v>
      </c>
      <c r="H261" s="137">
        <v>51125</v>
      </c>
      <c r="I261" s="3" t="s">
        <v>626</v>
      </c>
      <c r="J261" s="3" t="s">
        <v>725</v>
      </c>
      <c r="K261" s="4">
        <v>0</v>
      </c>
      <c r="L261" s="4">
        <v>1140.1199999999999</v>
      </c>
      <c r="M261" s="4">
        <v>64.510000000000005</v>
      </c>
      <c r="N261" s="4">
        <v>1075.6099999999999</v>
      </c>
      <c r="O261" s="4">
        <f>Tab_01.Jan[[#This Row],[DÉBITO]]-Tab_01.Jan[[#This Row],[CRÉDITO]]</f>
        <v>1075.6099999999999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A</v>
      </c>
      <c r="E262" s="2">
        <f>IF($I262="","",COUNTIFS(Tab_00.Trial[CONTA],$I262))</f>
        <v>1</v>
      </c>
      <c r="F262" s="4">
        <f>SUMIFS(Tab_99.Trial[DEZEMBRO],Tab_99.Trial[CONTA],$I262)</f>
        <v>0</v>
      </c>
      <c r="G262" s="4">
        <f t="shared" si="15"/>
        <v>0</v>
      </c>
      <c r="H262" s="137" t="s">
        <v>997</v>
      </c>
      <c r="I262" s="3" t="s">
        <v>522</v>
      </c>
      <c r="J262" s="3" t="s">
        <v>523</v>
      </c>
      <c r="K262" s="4">
        <v>0</v>
      </c>
      <c r="L262" s="4">
        <v>1140.1199999999999</v>
      </c>
      <c r="M262" s="4">
        <v>64.510000000000005</v>
      </c>
      <c r="N262" s="4">
        <v>1075.6099999999999</v>
      </c>
      <c r="O262" s="4">
        <f>Tab_01.Jan[[#This Row],[DÉBITO]]-Tab_01.Jan[[#This Row],[CRÉDITO]]</f>
        <v>1075.6099999999999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S</v>
      </c>
      <c r="E263" s="2">
        <f>IF($I263="","",COUNTIFS(Tab_00.Trial[CONTA],$I263))</f>
        <v>1</v>
      </c>
      <c r="F263" s="4">
        <f>SUMIFS(Tab_99.Trial[DEZEMBRO],Tab_99.Trial[CONTA],$I263)</f>
        <v>0</v>
      </c>
      <c r="G263" s="4">
        <f t="shared" si="15"/>
        <v>0</v>
      </c>
      <c r="H263" s="137">
        <v>51230</v>
      </c>
      <c r="I263" s="3" t="s">
        <v>627</v>
      </c>
      <c r="J263" s="3" t="s">
        <v>542</v>
      </c>
      <c r="K263" s="4">
        <v>0</v>
      </c>
      <c r="L263" s="4">
        <v>1986.47</v>
      </c>
      <c r="M263" s="4">
        <v>0</v>
      </c>
      <c r="N263" s="4">
        <v>1986.47</v>
      </c>
      <c r="O263" s="4">
        <f>Tab_01.Jan[[#This Row],[DÉBITO]]-Tab_01.Jan[[#This Row],[CRÉDITO]]</f>
        <v>1986.47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A</v>
      </c>
      <c r="E264" s="2">
        <f>IF($I264="","",COUNTIFS(Tab_00.Trial[CONTA],$I264))</f>
        <v>1</v>
      </c>
      <c r="F264" s="4">
        <f>SUMIFS(Tab_99.Trial[DEZEMBRO],Tab_99.Trial[CONTA],$I264)</f>
        <v>0</v>
      </c>
      <c r="G264" s="4">
        <f t="shared" si="15"/>
        <v>0</v>
      </c>
      <c r="H264" s="137" t="s">
        <v>998</v>
      </c>
      <c r="I264" s="3" t="s">
        <v>528</v>
      </c>
      <c r="J264" s="3" t="s">
        <v>416</v>
      </c>
      <c r="K264" s="4">
        <v>0</v>
      </c>
      <c r="L264" s="4">
        <v>100.59</v>
      </c>
      <c r="M264" s="4">
        <v>0</v>
      </c>
      <c r="N264" s="4">
        <v>100.59</v>
      </c>
      <c r="O264" s="4">
        <f>Tab_01.Jan[[#This Row],[DÉBITO]]-Tab_01.Jan[[#This Row],[CRÉDITO]]</f>
        <v>100.59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A</v>
      </c>
      <c r="E265" s="2">
        <f>IF($I265="","",COUNTIFS(Tab_00.Trial[CONTA],$I265))</f>
        <v>1</v>
      </c>
      <c r="F265" s="4">
        <f>SUMIFS(Tab_99.Trial[DEZEMBRO],Tab_99.Trial[CONTA],$I265)</f>
        <v>0</v>
      </c>
      <c r="G265" s="4">
        <f t="shared" si="15"/>
        <v>0</v>
      </c>
      <c r="H265" s="137" t="s">
        <v>999</v>
      </c>
      <c r="I265" s="3" t="s">
        <v>531</v>
      </c>
      <c r="J265" s="3" t="s">
        <v>532</v>
      </c>
      <c r="K265" s="4">
        <v>0</v>
      </c>
      <c r="L265" s="4">
        <v>114</v>
      </c>
      <c r="M265" s="4">
        <v>0</v>
      </c>
      <c r="N265" s="4">
        <v>114</v>
      </c>
      <c r="O265" s="4">
        <f>Tab_01.Jan[[#This Row],[DÉBITO]]-Tab_01.Jan[[#This Row],[CRÉDITO]]</f>
        <v>114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A</v>
      </c>
      <c r="E266" s="2">
        <f>IF($I266="","",COUNTIFS(Tab_00.Trial[CONTA],$I266))</f>
        <v>1</v>
      </c>
      <c r="F266" s="4">
        <f>SUMIFS(Tab_99.Trial[DEZEMBRO],Tab_99.Trial[CONTA],$I266)</f>
        <v>0</v>
      </c>
      <c r="G266" s="4">
        <f t="shared" si="15"/>
        <v>0</v>
      </c>
      <c r="H266" s="137" t="s">
        <v>1000</v>
      </c>
      <c r="I266" s="3" t="s">
        <v>533</v>
      </c>
      <c r="J266" s="3" t="s">
        <v>534</v>
      </c>
      <c r="K266" s="4">
        <v>0</v>
      </c>
      <c r="L266" s="4">
        <v>350</v>
      </c>
      <c r="M266" s="4">
        <v>0</v>
      </c>
      <c r="N266" s="4">
        <v>350</v>
      </c>
      <c r="O266" s="4">
        <f>Tab_01.Jan[[#This Row],[DÉBITO]]-Tab_01.Jan[[#This Row],[CRÉDITO]]</f>
        <v>350</v>
      </c>
    </row>
    <row r="267" spans="2:15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5</v>
      </c>
      <c r="D267" s="2" t="str">
        <f>_xlfn.XLOOKUP($I267,Tab_00.Trial[CONTA],Tab_00.Trial[S/A],"",0,1)</f>
        <v>A</v>
      </c>
      <c r="E267" s="2">
        <f>IF($I267="","",COUNTIFS(Tab_00.Trial[CONTA],$I267))</f>
        <v>1</v>
      </c>
      <c r="F267" s="4">
        <f>SUMIFS(Tab_99.Trial[DEZEMBRO],Tab_99.Trial[CONTA],$I267)</f>
        <v>0</v>
      </c>
      <c r="G267" s="4">
        <f t="shared" si="15"/>
        <v>0</v>
      </c>
      <c r="H267" s="137" t="s">
        <v>1001</v>
      </c>
      <c r="I267" s="3" t="s">
        <v>537</v>
      </c>
      <c r="J267" s="3" t="s">
        <v>538</v>
      </c>
      <c r="K267" s="4">
        <v>0</v>
      </c>
      <c r="L267" s="4">
        <v>1059.06</v>
      </c>
      <c r="M267" s="4">
        <v>0</v>
      </c>
      <c r="N267" s="4">
        <v>1059.06</v>
      </c>
      <c r="O267" s="4">
        <f>Tab_01.Jan[[#This Row],[DÉBITO]]-Tab_01.Jan[[#This Row],[CRÉDITO]]</f>
        <v>1059.06</v>
      </c>
    </row>
    <row r="268" spans="2:15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5</v>
      </c>
      <c r="D268" s="2" t="str">
        <f>_xlfn.XLOOKUP($I268,Tab_00.Trial[CONTA],Tab_00.Trial[S/A],"",0,1)</f>
        <v>A</v>
      </c>
      <c r="E268" s="2">
        <f>IF($I268="","",COUNTIFS(Tab_00.Trial[CONTA],$I268))</f>
        <v>1</v>
      </c>
      <c r="F268" s="4">
        <f>SUMIFS(Tab_99.Trial[DEZEMBRO],Tab_99.Trial[CONTA],$I268)</f>
        <v>0</v>
      </c>
      <c r="G268" s="4">
        <f t="shared" si="15"/>
        <v>0</v>
      </c>
      <c r="H268" s="137" t="s">
        <v>1002</v>
      </c>
      <c r="I268" s="3" t="s">
        <v>541</v>
      </c>
      <c r="J268" s="3" t="s">
        <v>542</v>
      </c>
      <c r="K268" s="4">
        <v>0</v>
      </c>
      <c r="L268" s="4">
        <v>362.82</v>
      </c>
      <c r="M268" s="4">
        <v>0</v>
      </c>
      <c r="N268" s="4">
        <v>362.82</v>
      </c>
      <c r="O268" s="4">
        <f>Tab_01.Jan[[#This Row],[DÉBITO]]-Tab_01.Jan[[#This Row],[CRÉDITO]]</f>
        <v>362.82</v>
      </c>
    </row>
    <row r="269" spans="2:15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2</v>
      </c>
      <c r="D269" s="2" t="str">
        <f>_xlfn.XLOOKUP($I269,Tab_00.Trial[CONTA],Tab_00.Trial[S/A],"",0,1)</f>
        <v>S</v>
      </c>
      <c r="E269" s="2">
        <f>IF($I269="","",COUNTIFS(Tab_00.Trial[CONTA],$I269))</f>
        <v>1</v>
      </c>
      <c r="F269" s="4">
        <f>SUMIFS(Tab_99.Trial[DEZEMBRO],Tab_99.Trial[CONTA],$I269)</f>
        <v>0</v>
      </c>
      <c r="G269" s="4">
        <f t="shared" si="15"/>
        <v>0</v>
      </c>
      <c r="H269" s="137">
        <v>51590</v>
      </c>
      <c r="I269" s="3" t="s">
        <v>634</v>
      </c>
      <c r="J269" s="3" t="s">
        <v>730</v>
      </c>
      <c r="K269" s="4">
        <v>0</v>
      </c>
      <c r="L269" s="4">
        <v>1789.65</v>
      </c>
      <c r="M269" s="4">
        <v>1978.65</v>
      </c>
      <c r="N269" s="4">
        <v>-189</v>
      </c>
      <c r="O269" s="4">
        <f>Tab_01.Jan[[#This Row],[DÉBITO]]-Tab_01.Jan[[#This Row],[CRÉDITO]]</f>
        <v>-189</v>
      </c>
    </row>
    <row r="270" spans="2:15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S</v>
      </c>
      <c r="E270" s="2">
        <f>IF($I270="","",COUNTIFS(Tab_00.Trial[CONTA],$I270))</f>
        <v>1</v>
      </c>
      <c r="F270" s="4">
        <f>SUMIFS(Tab_99.Trial[DEZEMBRO],Tab_99.Trial[CONTA],$I270)</f>
        <v>0</v>
      </c>
      <c r="G270" s="4">
        <f t="shared" si="15"/>
        <v>0</v>
      </c>
      <c r="H270" s="137">
        <v>10216</v>
      </c>
      <c r="I270" s="3" t="s">
        <v>825</v>
      </c>
      <c r="J270" s="3" t="s">
        <v>826</v>
      </c>
      <c r="K270" s="4">
        <v>0</v>
      </c>
      <c r="L270" s="4">
        <v>1789.65</v>
      </c>
      <c r="M270" s="4">
        <v>1978.65</v>
      </c>
      <c r="N270" s="4">
        <v>-189</v>
      </c>
      <c r="O270" s="4">
        <f>Tab_01.Jan[[#This Row],[DÉBITO]]-Tab_01.Jan[[#This Row],[CRÉDITO]]</f>
        <v>-189</v>
      </c>
    </row>
    <row r="271" spans="2:15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5</v>
      </c>
      <c r="D271" s="2" t="str">
        <f>_xlfn.XLOOKUP($I271,Tab_00.Trial[CONTA],Tab_00.Trial[S/A],"",0,1)</f>
        <v>S</v>
      </c>
      <c r="E271" s="2">
        <f>IF($I271="","",COUNTIFS(Tab_00.Trial[CONTA],$I271))</f>
        <v>1</v>
      </c>
      <c r="F271" s="4">
        <f>SUMIFS(Tab_99.Trial[DEZEMBRO],Tab_99.Trial[CONTA],$I271)</f>
        <v>0</v>
      </c>
      <c r="G271" s="4">
        <f t="shared" si="15"/>
        <v>0</v>
      </c>
      <c r="H271" s="137">
        <v>10230</v>
      </c>
      <c r="I271" s="3" t="s">
        <v>827</v>
      </c>
      <c r="J271" s="3" t="s">
        <v>826</v>
      </c>
      <c r="K271" s="4">
        <v>0</v>
      </c>
      <c r="L271" s="4">
        <v>1789.65</v>
      </c>
      <c r="M271" s="4">
        <v>1978.65</v>
      </c>
      <c r="N271" s="4">
        <v>-189</v>
      </c>
      <c r="O271" s="4">
        <f>Tab_01.Jan[[#This Row],[DÉBITO]]-Tab_01.Jan[[#This Row],[CRÉDITO]]</f>
        <v>-189</v>
      </c>
    </row>
    <row r="272" spans="2:15" x14ac:dyDescent="0.3">
      <c r="B272" s="2" t="str">
        <f>_xlfn.XLOOKUP($I272,Tab_00.Trial[CONTA],Tab_00.Trial[TP],"",0,1)</f>
        <v>C</v>
      </c>
      <c r="C272" s="2">
        <f>_xlfn.XLOOKUP($I272,Tab_00.Trial[CONTA],Tab_00.Trial[NV],"",0,1)</f>
        <v>5</v>
      </c>
      <c r="D272" s="2" t="str">
        <f>_xlfn.XLOOKUP($I272,Tab_00.Trial[CONTA],Tab_00.Trial[S/A],"",0,1)</f>
        <v>A</v>
      </c>
      <c r="E272" s="2">
        <f>IF($I272="","",COUNTIFS(Tab_00.Trial[CONTA],$I272))</f>
        <v>1</v>
      </c>
      <c r="F272" s="4">
        <f>SUMIFS(Tab_99.Trial[DEZEMBRO],Tab_99.Trial[CONTA],$I272)</f>
        <v>0</v>
      </c>
      <c r="G272" s="4">
        <f t="shared" si="15"/>
        <v>0</v>
      </c>
      <c r="H272" s="137" t="s">
        <v>1003</v>
      </c>
      <c r="I272" s="3" t="s">
        <v>828</v>
      </c>
      <c r="J272" s="3" t="s">
        <v>829</v>
      </c>
      <c r="K272" s="4">
        <v>0</v>
      </c>
      <c r="L272" s="4">
        <v>1789.65</v>
      </c>
      <c r="M272" s="4">
        <v>1978.65</v>
      </c>
      <c r="N272" s="4">
        <v>-189</v>
      </c>
      <c r="O272" s="4">
        <f>Tab_01.Jan[[#This Row],[DÉBITO]]-Tab_01.Jan[[#This Row],[CRÉDITO]]</f>
        <v>-189</v>
      </c>
    </row>
    <row r="273" spans="2:15" x14ac:dyDescent="0.3">
      <c r="B273" s="2" t="str">
        <f>_xlfn.XLOOKUP($I273,Tab_00.Trial[CONTA],Tab_00.Trial[TP],"",0,1)</f>
        <v/>
      </c>
      <c r="C273" s="2" t="str">
        <f>_xlfn.XLOOKUP($I273,Tab_00.Trial[CONTA],Tab_00.Trial[NV],"",0,1)</f>
        <v/>
      </c>
      <c r="D273" s="2" t="str">
        <f>_xlfn.XLOOKUP($I273,Tab_00.Trial[CONTA],Tab_00.Trial[S/A],"",0,1)</f>
        <v/>
      </c>
      <c r="E273" s="2" t="str">
        <f>IF($I273="","",COUNTIFS(Tab_00.Trial[CONTA],$I273))</f>
        <v/>
      </c>
      <c r="F273" s="4">
        <f>SUMIFS(Tab_99.Trial[DEZEMBRO],Tab_99.Trial[CONTA],$I273)</f>
        <v>0</v>
      </c>
      <c r="G273" s="4">
        <f t="shared" si="15"/>
        <v>0</v>
      </c>
      <c r="H273" s="137"/>
      <c r="I273" s="3"/>
      <c r="J273" s="3"/>
      <c r="K273" s="4"/>
      <c r="L273" s="4"/>
      <c r="M273" s="4"/>
      <c r="O273" s="4">
        <f>Tab_01.Jan[[#This Row],[DÉBITO]]-Tab_01.Jan[[#This Row],[CRÉDITO]]</f>
        <v>0</v>
      </c>
    </row>
    <row r="274" spans="2:15" x14ac:dyDescent="0.3">
      <c r="B274" s="2" t="str">
        <f>_xlfn.XLOOKUP($I274,Tab_00.Trial[CONTA],Tab_00.Trial[TP],"",0,1)</f>
        <v/>
      </c>
      <c r="C274" s="2" t="str">
        <f>_xlfn.XLOOKUP($I274,Tab_00.Trial[CONTA],Tab_00.Trial[NV],"",0,1)</f>
        <v/>
      </c>
      <c r="D274" s="2" t="str">
        <f>_xlfn.XLOOKUP($I274,Tab_00.Trial[CONTA],Tab_00.Trial[S/A],"",0,1)</f>
        <v/>
      </c>
      <c r="E274" s="2" t="str">
        <f>IF($I274="","",COUNTIFS(Tab_00.Trial[CONTA],$I274))</f>
        <v/>
      </c>
      <c r="F274" s="4">
        <f>SUMIFS(Tab_99.Trial[DEZEMBRO],Tab_99.Trial[CONTA],$I274)</f>
        <v>0</v>
      </c>
      <c r="G274" s="4">
        <f t="shared" si="15"/>
        <v>0</v>
      </c>
      <c r="H274" s="137"/>
      <c r="I274" s="3"/>
      <c r="J274" s="3"/>
      <c r="K274" s="4"/>
      <c r="L274" s="4"/>
      <c r="M274" s="4"/>
      <c r="O274" s="4">
        <f>Tab_01.Jan[[#This Row],[DÉBITO]]-Tab_01.Jan[[#This Row],[CRÉDITO]]</f>
        <v>0</v>
      </c>
    </row>
    <row r="275" spans="2:15" x14ac:dyDescent="0.3">
      <c r="B275" s="2" t="str">
        <f>_xlfn.XLOOKUP($I275,Tab_00.Trial[CONTA],Tab_00.Trial[TP],"",0,1)</f>
        <v/>
      </c>
      <c r="C275" s="2" t="str">
        <f>_xlfn.XLOOKUP($I275,Tab_00.Trial[CONTA],Tab_00.Trial[NV],"",0,1)</f>
        <v/>
      </c>
      <c r="D275" s="2" t="str">
        <f>_xlfn.XLOOKUP($I275,Tab_00.Trial[CONTA],Tab_00.Trial[S/A],"",0,1)</f>
        <v/>
      </c>
      <c r="E275" s="2" t="str">
        <f>IF($I275="","",COUNTIFS(Tab_00.Trial[CONTA],$I275))</f>
        <v/>
      </c>
      <c r="F275" s="4">
        <f>SUMIFS(Tab_99.Trial[DEZEMBRO],Tab_99.Trial[CONTA],$I275)</f>
        <v>0</v>
      </c>
      <c r="G275" s="4">
        <f t="shared" si="15"/>
        <v>0</v>
      </c>
      <c r="H275" s="137"/>
      <c r="I275" s="3"/>
      <c r="J275" s="3"/>
      <c r="K275" s="4"/>
      <c r="L275" s="4"/>
      <c r="M275" s="4"/>
      <c r="O275" s="4">
        <f>Tab_01.Jan[[#This Row],[DÉBITO]]-Tab_01.Jan[[#This Row],[CRÉDITO]]</f>
        <v>0</v>
      </c>
    </row>
    <row r="276" spans="2:15" x14ac:dyDescent="0.3">
      <c r="B276" s="2" t="str">
        <f>_xlfn.XLOOKUP($I276,Tab_00.Trial[CONTA],Tab_00.Trial[TP],"",0,1)</f>
        <v/>
      </c>
      <c r="C276" s="2" t="str">
        <f>_xlfn.XLOOKUP($I276,Tab_00.Trial[CONTA],Tab_00.Trial[NV],"",0,1)</f>
        <v/>
      </c>
      <c r="D276" s="2" t="str">
        <f>_xlfn.XLOOKUP($I276,Tab_00.Trial[CONTA],Tab_00.Trial[S/A],"",0,1)</f>
        <v/>
      </c>
      <c r="E276" s="2" t="str">
        <f>IF($I276="","",COUNTIFS(Tab_00.Trial[CONTA],$I276))</f>
        <v/>
      </c>
      <c r="F276" s="4">
        <f>SUMIFS(Tab_99.Trial[DEZEMBRO],Tab_99.Trial[CONTA],$I276)</f>
        <v>0</v>
      </c>
      <c r="G276" s="4">
        <f t="shared" si="15"/>
        <v>0</v>
      </c>
      <c r="H276" s="137"/>
      <c r="I276" s="3"/>
      <c r="J276" s="3"/>
      <c r="K276" s="4"/>
      <c r="L276" s="4"/>
      <c r="M276" s="4"/>
      <c r="O276" s="4">
        <f>Tab_01.Jan[[#This Row],[DÉBITO]]-Tab_01.Jan[[#This Row],[CRÉDITO]]</f>
        <v>0</v>
      </c>
    </row>
    <row r="277" spans="2:15" x14ac:dyDescent="0.3">
      <c r="B277" s="2" t="str">
        <f>_xlfn.XLOOKUP($I277,Tab_00.Trial[CONTA],Tab_00.Trial[TP],"",0,1)</f>
        <v/>
      </c>
      <c r="C277" s="2" t="str">
        <f>_xlfn.XLOOKUP($I277,Tab_00.Trial[CONTA],Tab_00.Trial[NV],"",0,1)</f>
        <v/>
      </c>
      <c r="D277" s="2" t="str">
        <f>_xlfn.XLOOKUP($I277,Tab_00.Trial[CONTA],Tab_00.Trial[S/A],"",0,1)</f>
        <v/>
      </c>
      <c r="E277" s="2" t="str">
        <f>IF($I277="","",COUNTIFS(Tab_00.Trial[CONTA],$I277))</f>
        <v/>
      </c>
      <c r="F277" s="4">
        <f>SUMIFS(Tab_99.Trial[DEZEMBRO],Tab_99.Trial[CONTA],$I277)</f>
        <v>0</v>
      </c>
      <c r="G277" s="4">
        <f t="shared" si="15"/>
        <v>0</v>
      </c>
      <c r="H277" s="137"/>
      <c r="I277" s="3"/>
      <c r="J277" s="3"/>
      <c r="K277" s="4"/>
      <c r="L277" s="4"/>
      <c r="M277" s="4"/>
      <c r="O277" s="4">
        <f>Tab_01.Jan[[#This Row],[DÉBITO]]-Tab_01.Jan[[#This Row],[CRÉDITO]]</f>
        <v>0</v>
      </c>
    </row>
    <row r="278" spans="2:15" x14ac:dyDescent="0.3">
      <c r="B278" s="2" t="str">
        <f>_xlfn.XLOOKUP($I278,Tab_00.Trial[CONTA],Tab_00.Trial[TP],"",0,1)</f>
        <v/>
      </c>
      <c r="C278" s="2" t="str">
        <f>_xlfn.XLOOKUP($I278,Tab_00.Trial[CONTA],Tab_00.Trial[NV],"",0,1)</f>
        <v/>
      </c>
      <c r="D278" s="2" t="str">
        <f>_xlfn.XLOOKUP($I278,Tab_00.Trial[CONTA],Tab_00.Trial[S/A],"",0,1)</f>
        <v/>
      </c>
      <c r="E278" s="2" t="str">
        <f>IF($I278="","",COUNTIFS(Tab_00.Trial[CONTA],$I278))</f>
        <v/>
      </c>
      <c r="F278" s="4">
        <f>SUMIFS(Tab_99.Trial[DEZEMBRO],Tab_99.Trial[CONTA],$I278)</f>
        <v>0</v>
      </c>
      <c r="G278" s="4">
        <f t="shared" si="15"/>
        <v>0</v>
      </c>
      <c r="H278" s="137"/>
      <c r="I278" s="3"/>
      <c r="J278" s="3"/>
      <c r="K278" s="4"/>
      <c r="L278" s="4"/>
      <c r="M278" s="4"/>
      <c r="O278" s="4">
        <f>Tab_01.Jan[[#This Row],[DÉBITO]]-Tab_01.Jan[[#This Row],[CRÉDITO]]</f>
        <v>0</v>
      </c>
    </row>
    <row r="279" spans="2:15" x14ac:dyDescent="0.3">
      <c r="B279" s="2" t="str">
        <f>_xlfn.XLOOKUP($I279,Tab_00.Trial[CONTA],Tab_00.Trial[TP],"",0,1)</f>
        <v/>
      </c>
      <c r="C279" s="2" t="str">
        <f>_xlfn.XLOOKUP($I279,Tab_00.Trial[CONTA],Tab_00.Trial[NV],"",0,1)</f>
        <v/>
      </c>
      <c r="D279" s="2" t="str">
        <f>_xlfn.XLOOKUP($I279,Tab_00.Trial[CONTA],Tab_00.Trial[S/A],"",0,1)</f>
        <v/>
      </c>
      <c r="E279" s="2" t="str">
        <f>IF($I279="","",COUNTIFS(Tab_00.Trial[CONTA],$I279))</f>
        <v/>
      </c>
      <c r="F279" s="4">
        <f>SUMIFS(Tab_99.Trial[DEZEMBRO],Tab_99.Trial[CONTA],$I279)</f>
        <v>0</v>
      </c>
      <c r="G279" s="4">
        <f t="shared" si="15"/>
        <v>0</v>
      </c>
      <c r="H279" s="137"/>
      <c r="I279" s="3"/>
      <c r="J279" s="3"/>
      <c r="K279" s="4"/>
      <c r="L279" s="4"/>
      <c r="M279" s="4"/>
      <c r="O279" s="4">
        <f>Tab_01.Jan[[#This Row],[DÉBITO]]-Tab_01.Jan[[#This Row],[CRÉDITO]]</f>
        <v>0</v>
      </c>
    </row>
    <row r="280" spans="2:15" x14ac:dyDescent="0.3">
      <c r="B280" s="2" t="str">
        <f>_xlfn.XLOOKUP($I280,Tab_00.Trial[CONTA],Tab_00.Trial[TP],"",0,1)</f>
        <v/>
      </c>
      <c r="C280" s="2" t="str">
        <f>_xlfn.XLOOKUP($I280,Tab_00.Trial[CONTA],Tab_00.Trial[NV],"",0,1)</f>
        <v/>
      </c>
      <c r="D280" s="2" t="str">
        <f>_xlfn.XLOOKUP($I280,Tab_00.Trial[CONTA],Tab_00.Trial[S/A],"",0,1)</f>
        <v/>
      </c>
      <c r="E280" s="2" t="str">
        <f>IF($I280="","",COUNTIFS(Tab_00.Trial[CONTA],$I280))</f>
        <v/>
      </c>
      <c r="F280" s="4">
        <f>SUMIFS(Tab_99.Trial[DEZEMBRO],Tab_99.Trial[CONTA],$I280)</f>
        <v>0</v>
      </c>
      <c r="G280" s="4">
        <f t="shared" si="15"/>
        <v>0</v>
      </c>
      <c r="H280" s="137"/>
      <c r="I280" s="3"/>
      <c r="J280" s="3"/>
      <c r="K280" s="4"/>
      <c r="L280" s="4"/>
      <c r="M280" s="4"/>
      <c r="O280" s="4">
        <f>Tab_01.Jan[[#This Row],[DÉBITO]]-Tab_01.Jan[[#This Row],[CRÉDITO]]</f>
        <v>0</v>
      </c>
    </row>
    <row r="281" spans="2:15" x14ac:dyDescent="0.3">
      <c r="B281" s="2" t="str">
        <f>_xlfn.XLOOKUP($I281,Tab_00.Trial[CONTA],Tab_00.Trial[TP],"",0,1)</f>
        <v/>
      </c>
      <c r="C281" s="2" t="str">
        <f>_xlfn.XLOOKUP($I281,Tab_00.Trial[CONTA],Tab_00.Trial[NV],"",0,1)</f>
        <v/>
      </c>
      <c r="D281" s="2" t="str">
        <f>_xlfn.XLOOKUP($I281,Tab_00.Trial[CONTA],Tab_00.Trial[S/A],"",0,1)</f>
        <v/>
      </c>
      <c r="E281" s="2" t="str">
        <f>IF($I281="","",COUNTIFS(Tab_00.Trial[CONTA],$I281))</f>
        <v/>
      </c>
      <c r="F281" s="4">
        <f>SUMIFS(Tab_99.Trial[DEZEMBRO],Tab_99.Trial[CONTA],$I281)</f>
        <v>0</v>
      </c>
      <c r="G281" s="4">
        <f t="shared" si="15"/>
        <v>0</v>
      </c>
      <c r="H281" s="137"/>
      <c r="I281" s="3"/>
      <c r="J281" s="3"/>
      <c r="K281" s="4"/>
      <c r="L281" s="4"/>
      <c r="M281" s="4"/>
      <c r="O281" s="4">
        <f>Tab_01.Jan[[#This Row],[DÉBITO]]-Tab_01.Jan[[#This Row],[CRÉDITO]]</f>
        <v>0</v>
      </c>
    </row>
    <row r="282" spans="2:15" x14ac:dyDescent="0.3">
      <c r="B282" s="2" t="str">
        <f>_xlfn.XLOOKUP($I282,Tab_00.Trial[CONTA],Tab_00.Trial[TP],"",0,1)</f>
        <v/>
      </c>
      <c r="C282" s="2" t="str">
        <f>_xlfn.XLOOKUP($I282,Tab_00.Trial[CONTA],Tab_00.Trial[NV],"",0,1)</f>
        <v/>
      </c>
      <c r="D282" s="2" t="str">
        <f>_xlfn.XLOOKUP($I282,Tab_00.Trial[CONTA],Tab_00.Trial[S/A],"",0,1)</f>
        <v/>
      </c>
      <c r="E282" s="2" t="str">
        <f>IF($I282="","",COUNTIFS(Tab_00.Trial[CONTA],$I282))</f>
        <v/>
      </c>
      <c r="F282" s="4">
        <f>SUMIFS(Tab_99.Trial[DEZEMBRO],Tab_99.Trial[CONTA],$I282)</f>
        <v>0</v>
      </c>
      <c r="G282" s="4">
        <f t="shared" si="15"/>
        <v>0</v>
      </c>
      <c r="H282" s="137"/>
      <c r="I282" s="3"/>
      <c r="J282" s="3"/>
      <c r="K282" s="4"/>
      <c r="L282" s="4"/>
      <c r="M282" s="4"/>
      <c r="O282" s="4">
        <f>Tab_01.Jan[[#This Row],[DÉBITO]]-Tab_01.Jan[[#This Row],[CRÉDITO]]</f>
        <v>0</v>
      </c>
    </row>
    <row r="283" spans="2:15" x14ac:dyDescent="0.3">
      <c r="B283" s="2" t="str">
        <f>_xlfn.XLOOKUP($I283,Tab_00.Trial[CONTA],Tab_00.Trial[TP],"",0,1)</f>
        <v/>
      </c>
      <c r="C283" s="2" t="str">
        <f>_xlfn.XLOOKUP($I283,Tab_00.Trial[CONTA],Tab_00.Trial[NV],"",0,1)</f>
        <v/>
      </c>
      <c r="D283" s="2" t="str">
        <f>_xlfn.XLOOKUP($I283,Tab_00.Trial[CONTA],Tab_00.Trial[S/A],"",0,1)</f>
        <v/>
      </c>
      <c r="E283" s="2" t="str">
        <f>IF($I283="","",COUNTIFS(Tab_00.Trial[CONTA],$I283))</f>
        <v/>
      </c>
      <c r="F283" s="4">
        <f>SUMIFS(Tab_99.Trial[DEZEMBRO],Tab_99.Trial[CONTA],$I283)</f>
        <v>0</v>
      </c>
      <c r="G283" s="4">
        <f t="shared" si="15"/>
        <v>0</v>
      </c>
      <c r="H283" s="137"/>
      <c r="I283" s="3"/>
      <c r="J283" s="3"/>
      <c r="K283" s="4"/>
      <c r="L283" s="4"/>
      <c r="M283" s="4"/>
      <c r="O283" s="4">
        <f>Tab_01.Jan[[#This Row],[DÉBITO]]-Tab_01.Jan[[#This Row],[CRÉDITO]]</f>
        <v>0</v>
      </c>
    </row>
    <row r="284" spans="2:15" x14ac:dyDescent="0.3">
      <c r="B284" s="2" t="str">
        <f>_xlfn.XLOOKUP($I284,Tab_00.Trial[CONTA],Tab_00.Trial[TP],"",0,1)</f>
        <v/>
      </c>
      <c r="C284" s="2" t="str">
        <f>_xlfn.XLOOKUP($I284,Tab_00.Trial[CONTA],Tab_00.Trial[NV],"",0,1)</f>
        <v/>
      </c>
      <c r="D284" s="2" t="str">
        <f>_xlfn.XLOOKUP($I284,Tab_00.Trial[CONTA],Tab_00.Trial[S/A],"",0,1)</f>
        <v/>
      </c>
      <c r="E284" s="2" t="str">
        <f>IF($I284="","",COUNTIFS(Tab_00.Trial[CONTA],$I284))</f>
        <v/>
      </c>
      <c r="F284" s="4">
        <f>SUMIFS(Tab_99.Trial[DEZEMBRO],Tab_99.Trial[CONTA],$I284)</f>
        <v>0</v>
      </c>
      <c r="G284" s="4">
        <f t="shared" si="15"/>
        <v>0</v>
      </c>
      <c r="H284" s="137"/>
      <c r="I284" s="3"/>
      <c r="J284" s="3"/>
      <c r="K284" s="4"/>
      <c r="L284" s="4"/>
      <c r="M284" s="4"/>
      <c r="O284" s="4">
        <f>Tab_01.Jan[[#This Row],[DÉBITO]]-Tab_01.Jan[[#This Row],[CRÉDITO]]</f>
        <v>0</v>
      </c>
    </row>
    <row r="285" spans="2:15" x14ac:dyDescent="0.3">
      <c r="B285" s="2" t="str">
        <f>_xlfn.XLOOKUP($I285,Tab_00.Trial[CONTA],Tab_00.Trial[TP],"",0,1)</f>
        <v/>
      </c>
      <c r="C285" s="2" t="str">
        <f>_xlfn.XLOOKUP($I285,Tab_00.Trial[CONTA],Tab_00.Trial[NV],"",0,1)</f>
        <v/>
      </c>
      <c r="D285" s="2" t="str">
        <f>_xlfn.XLOOKUP($I285,Tab_00.Trial[CONTA],Tab_00.Trial[S/A],"",0,1)</f>
        <v/>
      </c>
      <c r="E285" s="2" t="str">
        <f>IF($I285="","",COUNTIFS(Tab_00.Trial[CONTA],$I285))</f>
        <v/>
      </c>
      <c r="F285" s="4">
        <f>SUMIFS(Tab_99.Trial[DEZEMBRO],Tab_99.Trial[CONTA],$I285)</f>
        <v>0</v>
      </c>
      <c r="G285" s="4">
        <f t="shared" si="15"/>
        <v>0</v>
      </c>
      <c r="H285" s="137"/>
      <c r="I285" s="3"/>
      <c r="J285" s="3"/>
      <c r="K285" s="4"/>
      <c r="L285" s="4"/>
      <c r="M285" s="4"/>
      <c r="O285" s="4">
        <f>Tab_01.Jan[[#This Row],[DÉBITO]]-Tab_01.Jan[[#This Row],[CRÉDITO]]</f>
        <v>0</v>
      </c>
    </row>
    <row r="286" spans="2:15" x14ac:dyDescent="0.3">
      <c r="B286" s="2" t="str">
        <f>_xlfn.XLOOKUP($I286,Tab_00.Trial[CONTA],Tab_00.Trial[TP],"",0,1)</f>
        <v/>
      </c>
      <c r="C286" s="2" t="str">
        <f>_xlfn.XLOOKUP($I286,Tab_00.Trial[CONTA],Tab_00.Trial[NV],"",0,1)</f>
        <v/>
      </c>
      <c r="D286" s="2" t="str">
        <f>_xlfn.XLOOKUP($I286,Tab_00.Trial[CONTA],Tab_00.Trial[S/A],"",0,1)</f>
        <v/>
      </c>
      <c r="E286" s="2" t="str">
        <f>IF($I286="","",COUNTIFS(Tab_00.Trial[CONTA],$I286))</f>
        <v/>
      </c>
      <c r="F286" s="4">
        <f>SUMIFS(Tab_99.Trial[DEZEMBRO],Tab_99.Trial[CONTA],$I286)</f>
        <v>0</v>
      </c>
      <c r="G286" s="4">
        <f t="shared" si="15"/>
        <v>0</v>
      </c>
      <c r="H286" s="137"/>
      <c r="I286" s="3"/>
      <c r="J286" s="3"/>
      <c r="K286" s="4"/>
      <c r="L286" s="4"/>
      <c r="M286" s="4"/>
      <c r="O286" s="4">
        <f>Tab_01.Jan[[#This Row],[DÉBITO]]-Tab_01.Jan[[#This Row],[CRÉDITO]]</f>
        <v>0</v>
      </c>
    </row>
    <row r="287" spans="2:15" x14ac:dyDescent="0.3">
      <c r="B287" s="2" t="str">
        <f>_xlfn.XLOOKUP($I287,Tab_00.Trial[CONTA],Tab_00.Trial[TP],"",0,1)</f>
        <v/>
      </c>
      <c r="C287" s="2" t="str">
        <f>_xlfn.XLOOKUP($I287,Tab_00.Trial[CONTA],Tab_00.Trial[NV],"",0,1)</f>
        <v/>
      </c>
      <c r="D287" s="2" t="str">
        <f>_xlfn.XLOOKUP($I287,Tab_00.Trial[CONTA],Tab_00.Trial[S/A],"",0,1)</f>
        <v/>
      </c>
      <c r="E287" s="2" t="str">
        <f>IF($I287="","",COUNTIFS(Tab_00.Trial[CONTA],$I287))</f>
        <v/>
      </c>
      <c r="F287" s="4">
        <f>SUMIFS(Tab_99.Trial[DEZEMBRO],Tab_99.Trial[CONTA],$I287)</f>
        <v>0</v>
      </c>
      <c r="G287" s="4">
        <f t="shared" si="15"/>
        <v>0</v>
      </c>
      <c r="H287" s="137"/>
      <c r="I287" s="3"/>
      <c r="J287" s="3"/>
      <c r="K287" s="4"/>
      <c r="L287" s="4"/>
      <c r="M287" s="4"/>
      <c r="O287" s="4">
        <f>Tab_01.Jan[[#This Row],[DÉBITO]]-Tab_01.Jan[[#This Row],[CRÉDITO]]</f>
        <v>0</v>
      </c>
    </row>
    <row r="288" spans="2:15" x14ac:dyDescent="0.3">
      <c r="B288" s="2" t="str">
        <f>_xlfn.XLOOKUP($I288,Tab_00.Trial[CONTA],Tab_00.Trial[TP],"",0,1)</f>
        <v/>
      </c>
      <c r="C288" s="2" t="str">
        <f>_xlfn.XLOOKUP($I288,Tab_00.Trial[CONTA],Tab_00.Trial[NV],"",0,1)</f>
        <v/>
      </c>
      <c r="D288" s="2" t="str">
        <f>_xlfn.XLOOKUP($I288,Tab_00.Trial[CONTA],Tab_00.Trial[S/A],"",0,1)</f>
        <v/>
      </c>
      <c r="E288" s="2" t="str">
        <f>IF($I288="","",COUNTIFS(Tab_00.Trial[CONTA],$I288))</f>
        <v/>
      </c>
      <c r="F288" s="4">
        <f>SUMIFS(Tab_99.Trial[DEZEMBRO],Tab_99.Trial[CONTA],$I288)</f>
        <v>0</v>
      </c>
      <c r="G288" s="4">
        <f t="shared" si="15"/>
        <v>0</v>
      </c>
      <c r="H288" s="137"/>
      <c r="I288" s="3"/>
      <c r="J288" s="3"/>
      <c r="K288" s="4"/>
      <c r="L288" s="4"/>
      <c r="M288" s="4"/>
      <c r="O288" s="4">
        <f>Tab_01.Jan[[#This Row],[DÉBITO]]-Tab_01.Jan[[#This Row],[CRÉDITO]]</f>
        <v>0</v>
      </c>
    </row>
    <row r="289" spans="2:15" x14ac:dyDescent="0.3">
      <c r="B289" s="2" t="str">
        <f>_xlfn.XLOOKUP($I289,Tab_00.Trial[CONTA],Tab_00.Trial[TP],"",0,1)</f>
        <v/>
      </c>
      <c r="C289" s="2" t="str">
        <f>_xlfn.XLOOKUP($I289,Tab_00.Trial[CONTA],Tab_00.Trial[NV],"",0,1)</f>
        <v/>
      </c>
      <c r="D289" s="2" t="str">
        <f>_xlfn.XLOOKUP($I289,Tab_00.Trial[CONTA],Tab_00.Trial[S/A],"",0,1)</f>
        <v/>
      </c>
      <c r="E289" s="2" t="str">
        <f>IF($I289="","",COUNTIFS(Tab_00.Trial[CONTA],$I289))</f>
        <v/>
      </c>
      <c r="F289" s="4">
        <f>SUMIFS(Tab_99.Trial[DEZEMBRO],Tab_99.Trial[CONTA],$I289)</f>
        <v>0</v>
      </c>
      <c r="G289" s="4">
        <f t="shared" si="15"/>
        <v>0</v>
      </c>
      <c r="H289" s="137"/>
      <c r="I289" s="3"/>
      <c r="J289" s="3"/>
      <c r="K289" s="4"/>
      <c r="L289" s="4"/>
      <c r="M289" s="4"/>
      <c r="O289" s="4">
        <f>Tab_01.Jan[[#This Row],[DÉBITO]]-Tab_01.Jan[[#This Row],[CRÉDITO]]</f>
        <v>0</v>
      </c>
    </row>
    <row r="290" spans="2:15" x14ac:dyDescent="0.3">
      <c r="B290" s="2" t="str">
        <f>_xlfn.XLOOKUP($I290,Tab_00.Trial[CONTA],Tab_00.Trial[TP],"",0,1)</f>
        <v/>
      </c>
      <c r="C290" s="2" t="str">
        <f>_xlfn.XLOOKUP($I290,Tab_00.Trial[CONTA],Tab_00.Trial[NV],"",0,1)</f>
        <v/>
      </c>
      <c r="D290" s="2" t="str">
        <f>_xlfn.XLOOKUP($I290,Tab_00.Trial[CONTA],Tab_00.Trial[S/A],"",0,1)</f>
        <v/>
      </c>
      <c r="E290" s="2" t="str">
        <f>IF($I290="","",COUNTIFS(Tab_00.Trial[CONTA],$I290))</f>
        <v/>
      </c>
      <c r="F290" s="4">
        <f>SUMIFS(Tab_99.Trial[DEZEMBRO],Tab_99.Trial[CONTA],$I290)</f>
        <v>0</v>
      </c>
      <c r="G290" s="4">
        <f t="shared" si="15"/>
        <v>0</v>
      </c>
      <c r="H290" s="137"/>
      <c r="I290" s="3"/>
      <c r="J290" s="3"/>
      <c r="K290" s="4"/>
      <c r="L290" s="4"/>
      <c r="M290" s="4"/>
      <c r="O290" s="4">
        <f>Tab_01.Jan[[#This Row],[DÉBITO]]-Tab_01.Jan[[#This Row],[CRÉDITO]]</f>
        <v>0</v>
      </c>
    </row>
    <row r="291" spans="2:15" x14ac:dyDescent="0.3">
      <c r="B291" s="2" t="str">
        <f>_xlfn.XLOOKUP($I291,Tab_00.Trial[CONTA],Tab_00.Trial[TP],"",0,1)</f>
        <v/>
      </c>
      <c r="C291" s="2" t="str">
        <f>_xlfn.XLOOKUP($I291,Tab_00.Trial[CONTA],Tab_00.Trial[NV],"",0,1)</f>
        <v/>
      </c>
      <c r="D291" s="2" t="str">
        <f>_xlfn.XLOOKUP($I291,Tab_00.Trial[CONTA],Tab_00.Trial[S/A],"",0,1)</f>
        <v/>
      </c>
      <c r="E291" s="2" t="str">
        <f>IF($I291="","",COUNTIFS(Tab_00.Trial[CONTA],$I291))</f>
        <v/>
      </c>
      <c r="F291" s="4">
        <f>SUMIFS(Tab_99.Trial[DEZEMBRO],Tab_99.Trial[CONTA],$I291)</f>
        <v>0</v>
      </c>
      <c r="G291" s="4">
        <f t="shared" si="15"/>
        <v>0</v>
      </c>
      <c r="H291" s="137"/>
      <c r="I291" s="3"/>
      <c r="J291" s="3"/>
      <c r="K291" s="4"/>
      <c r="L291" s="4"/>
      <c r="M291" s="4"/>
      <c r="O291" s="4">
        <f>Tab_01.Jan[[#This Row],[DÉBITO]]-Tab_01.Jan[[#This Row],[CRÉDITO]]</f>
        <v>0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54BEC-B34B-4C93-B3C6-92728D966C8C}">
  <sheetPr codeName="Planilha12"/>
  <dimension ref="B1:R293"/>
  <sheetViews>
    <sheetView showGridLines="0" showRowColHeaders="0" zoomScale="80" zoomScaleNormal="80" workbookViewId="0">
      <pane xSplit="7" ySplit="14" topLeftCell="J15" activePane="bottomRight" state="frozen"/>
      <selection activeCell="J28" sqref="J28"/>
      <selection pane="topRight" activeCell="J28" sqref="J28"/>
      <selection pane="bottomLeft" activeCell="J28" sqref="J28"/>
      <selection pane="bottomRight" activeCell="N6" sqref="N6:N7"/>
    </sheetView>
  </sheetViews>
  <sheetFormatPr defaultColWidth="8.88671875" defaultRowHeight="13.8" outlineLevelRow="1" x14ac:dyDescent="0.3"/>
  <cols>
    <col min="1" max="1" width="2.6640625" style="1" customWidth="1"/>
    <col min="2" max="5" width="4.6640625" style="2" customWidth="1"/>
    <col min="6" max="7" width="20.6640625" style="4" customWidth="1"/>
    <col min="8" max="8" width="15.6640625" customWidth="1"/>
    <col min="9" max="9" width="17.6640625" style="3" customWidth="1"/>
    <col min="10" max="10" width="75.6640625" style="3" customWidth="1"/>
    <col min="11" max="11" width="20.6640625" style="3" customWidth="1"/>
    <col min="12" max="15" width="20.6640625" style="4" customWidth="1"/>
    <col min="16" max="16384" width="8.88671875" style="1"/>
  </cols>
  <sheetData>
    <row r="1" spans="2:15" x14ac:dyDescent="0.3">
      <c r="H1" s="3"/>
      <c r="K1" s="4"/>
    </row>
    <row r="2" spans="2:15" outlineLevel="1" x14ac:dyDescent="0.3">
      <c r="B2" s="2" t="s">
        <v>16</v>
      </c>
      <c r="F2" s="7">
        <f ca="1">SUMIFS(INDIRECT("Tab_02.Fev["&amp;F$14&amp;"]"),Tab_02.Fev[TP],$B2,Tab_02.Fev[NV],"A")</f>
        <v>0</v>
      </c>
      <c r="G2" s="7">
        <f ca="1">SUMIFS(INDIRECT("Tab_02.Fev["&amp;G$14&amp;"]"),Tab_02.Fev[TP],$B2,Tab_02.Fev[NV],"A")</f>
        <v>0</v>
      </c>
      <c r="H2" s="3"/>
      <c r="J2" s="88" t="s">
        <v>15</v>
      </c>
      <c r="K2" s="7">
        <f ca="1">SUMIFS(INDIRECT("Tab_02.Fev["&amp;K$14&amp;"]"),Tab_02.Fev[TP],$B2,Tab_02.Fev[S/A],"A")</f>
        <v>83838931.319999993</v>
      </c>
      <c r="L2" s="7">
        <f ca="1">SUMIFS(INDIRECT("Tab_02.Fev["&amp;L$14&amp;"]"),Tab_02.Fev[TP],$B2,Tab_02.Fev[S/A],"A")</f>
        <v>2488960.06</v>
      </c>
      <c r="M2" s="7">
        <f ca="1">SUMIFS(INDIRECT("Tab_02.Fev["&amp;M$14&amp;"]"),Tab_02.Fev[TP],$B2,Tab_02.Fev[S/A],"A")</f>
        <v>3144241.93</v>
      </c>
      <c r="N2" s="7">
        <f ca="1">SUMIFS(INDIRECT("Tab_02.Fev["&amp;N$14&amp;"]"),Tab_02.Fev[TP],$B2,Tab_02.Fev[S/A],"A")</f>
        <v>83183649.450000003</v>
      </c>
      <c r="O2" s="7">
        <f ca="1">SUMIFS(INDIRECT("Tab_02.Fev["&amp;O$14&amp;"]"),Tab_02.Fev[TP],$B2,Tab_02.Fev[S/A],"A")</f>
        <v>-655281.87</v>
      </c>
    </row>
    <row r="3" spans="2:15" outlineLevel="1" x14ac:dyDescent="0.3">
      <c r="B3" s="2" t="s">
        <v>116</v>
      </c>
      <c r="F3" s="7">
        <f ca="1">SUMIFS(INDIRECT("Tab_02.Fev["&amp;F$14&amp;"]"),Tab_02.Fev[TP],$B3,Tab_02.Fev[NV],"A")</f>
        <v>0</v>
      </c>
      <c r="G3" s="7">
        <f ca="1">SUMIFS(INDIRECT("Tab_02.Fev["&amp;G$14&amp;"]"),Tab_02.Fev[TP],$B3,Tab_02.Fev[NV],"A")</f>
        <v>0</v>
      </c>
      <c r="H3" s="3"/>
      <c r="J3" s="88" t="s">
        <v>110</v>
      </c>
      <c r="K3" s="7">
        <f ca="1">SUMIFS(INDIRECT("Tab_02.Fev["&amp;K$14&amp;"]"),Tab_02.Fev[TP],$B3,Tab_02.Fev[S/A],"A")</f>
        <v>-83950196.079999998</v>
      </c>
      <c r="L3" s="7">
        <f ca="1">SUMIFS(INDIRECT("Tab_02.Fev["&amp;L$14&amp;"]"),Tab_02.Fev[TP],$B3,Tab_02.Fev[S/A],"A")</f>
        <v>2175611.04</v>
      </c>
      <c r="M3" s="7">
        <f ca="1">SUMIFS(INDIRECT("Tab_02.Fev["&amp;M$14&amp;"]"),Tab_02.Fev[TP],$B3,Tab_02.Fev[S/A],"A")</f>
        <v>2016729.06</v>
      </c>
      <c r="N3" s="7">
        <f ca="1">SUMIFS(INDIRECT("Tab_02.Fev["&amp;N$14&amp;"]"),Tab_02.Fev[TP],$B3,Tab_02.Fev[S/A],"A")</f>
        <v>-83791314.099999994</v>
      </c>
      <c r="O3" s="7">
        <f ca="1">SUMIFS(INDIRECT("Tab_02.Fev["&amp;O$14&amp;"]"),Tab_02.Fev[TP],$B3,Tab_02.Fev[S/A],"A")</f>
        <v>158881.98000000001</v>
      </c>
    </row>
    <row r="4" spans="2:15" outlineLevel="1" x14ac:dyDescent="0.3">
      <c r="F4" s="8">
        <f ca="1">SUM(F$2:F$3)</f>
        <v>0</v>
      </c>
      <c r="G4" s="8">
        <f ca="1">SUM(G$2:G$3)</f>
        <v>0</v>
      </c>
      <c r="H4" s="3"/>
      <c r="J4" s="88"/>
      <c r="K4" s="8">
        <f t="shared" ref="K4:O4" ca="1" si="0">SUM(K$2:K$3)</f>
        <v>-111264.76</v>
      </c>
      <c r="L4" s="8">
        <f t="shared" ca="1" si="0"/>
        <v>4664571.0999999996</v>
      </c>
      <c r="M4" s="8">
        <f t="shared" ca="1" si="0"/>
        <v>5160970.99</v>
      </c>
      <c r="N4" s="8">
        <f ca="1">SUM(N$2:N$3)</f>
        <v>-607664.65</v>
      </c>
      <c r="O4" s="8">
        <f t="shared" ca="1" si="0"/>
        <v>-496399.89</v>
      </c>
    </row>
    <row r="5" spans="2:15" ht="5.0999999999999996" customHeight="1" outlineLevel="1" x14ac:dyDescent="0.3">
      <c r="H5" s="3"/>
      <c r="J5" s="89"/>
      <c r="K5" s="4"/>
    </row>
    <row r="6" spans="2:15" outlineLevel="1" x14ac:dyDescent="0.3">
      <c r="B6" s="2" t="s">
        <v>19</v>
      </c>
      <c r="F6" s="7">
        <f ca="1">SUMIFS(INDIRECT("Tab_02.Fev["&amp;F$14&amp;"]"),Tab_02.Fev[TP],$B6,Tab_02.Fev[NV],"A")</f>
        <v>0</v>
      </c>
      <c r="G6" s="7">
        <f ca="1">SUMIFS(INDIRECT("Tab_02.Fev["&amp;G$14&amp;"]"),Tab_02.Fev[TP],$B6,Tab_02.Fev[NV],"A")</f>
        <v>0</v>
      </c>
      <c r="H6" s="3"/>
      <c r="J6" s="88" t="s">
        <v>18</v>
      </c>
      <c r="K6" s="7">
        <f ca="1">SUMIFS(INDIRECT("Tab_02.Fev["&amp;K$14&amp;"]"),Tab_02.Fev[TP],$B6,Tab_02.Fev[S/A],"A")</f>
        <v>-1152924.6399999999</v>
      </c>
      <c r="L6" s="7">
        <f ca="1">SUMIFS(INDIRECT("Tab_02.Fev["&amp;L$14&amp;"]"),Tab_02.Fev[TP],$B6,Tab_02.Fev[S/A],"A")</f>
        <v>0</v>
      </c>
      <c r="M6" s="7">
        <f ca="1">SUMIFS(INDIRECT("Tab_02.Fev["&amp;M$14&amp;"]"),Tab_02.Fev[TP],$B6,Tab_02.Fev[S/A],"A")</f>
        <v>1193936.95</v>
      </c>
      <c r="N6" s="7">
        <f ca="1">SUMIFS(INDIRECT("Tab_02.Fev["&amp;N$14&amp;"]"),Tab_02.Fev[TP],$B6,Tab_02.Fev[S/A],"A")</f>
        <v>-2346861.59</v>
      </c>
      <c r="O6" s="7">
        <f ca="1">SUMIFS(INDIRECT("Tab_02.Fev["&amp;O$14&amp;"]"),Tab_02.Fev[TP],$B6,Tab_02.Fev[S/A],"A")</f>
        <v>-1193936.95</v>
      </c>
    </row>
    <row r="7" spans="2:15" outlineLevel="1" x14ac:dyDescent="0.3">
      <c r="B7" s="2" t="s">
        <v>20</v>
      </c>
      <c r="F7" s="7">
        <f ca="1">SUMIFS(INDIRECT("Tab_02.Fev["&amp;F$14&amp;"]"),Tab_02.Fev[TP],$B7,Tab_02.Fev[NV],"A")</f>
        <v>0</v>
      </c>
      <c r="G7" s="7">
        <f ca="1">SUMIFS(INDIRECT("Tab_02.Fev["&amp;G$14&amp;"]"),Tab_02.Fev[TP],$B7,Tab_02.Fev[NV],"A")</f>
        <v>0</v>
      </c>
      <c r="H7" s="3"/>
      <c r="J7" s="88" t="s">
        <v>111</v>
      </c>
      <c r="K7" s="7">
        <f ca="1">SUMIFS(INDIRECT("Tab_02.Fev["&amp;K$14&amp;"]"),Tab_02.Fev[TP],$B7,Tab_02.Fev[S/A],"A")</f>
        <v>1264189.3999999999</v>
      </c>
      <c r="L7" s="7">
        <f ca="1">SUMIFS(INDIRECT("Tab_02.Fev["&amp;L$14&amp;"]"),Tab_02.Fev[TP],$B7,Tab_02.Fev[S/A],"A")</f>
        <v>1763193.46</v>
      </c>
      <c r="M7" s="7">
        <f ca="1">SUMIFS(INDIRECT("Tab_02.Fev["&amp;M$14&amp;"]"),Tab_02.Fev[TP],$B7,Tab_02.Fev[S/A],"A")</f>
        <v>72856.62</v>
      </c>
      <c r="N7" s="7">
        <f ca="1">SUMIFS(INDIRECT("Tab_02.Fev["&amp;N$14&amp;"]"),Tab_02.Fev[TP],$B7,Tab_02.Fev[S/A],"A")</f>
        <v>2954526.24</v>
      </c>
      <c r="O7" s="7">
        <f ca="1">SUMIFS(INDIRECT("Tab_02.Fev["&amp;O$14&amp;"]"),Tab_02.Fev[TP],$B7,Tab_02.Fev[S/A],"A")</f>
        <v>1690336.84</v>
      </c>
    </row>
    <row r="8" spans="2:15" outlineLevel="1" x14ac:dyDescent="0.3">
      <c r="F8" s="8">
        <f ca="1">SUM(F$6:F$7)</f>
        <v>0</v>
      </c>
      <c r="G8" s="8">
        <f ca="1">SUM(G$6:G$7)</f>
        <v>0</v>
      </c>
      <c r="H8" s="3"/>
      <c r="J8" s="88"/>
      <c r="K8" s="8">
        <f ca="1">SUM(K$6:K$7)</f>
        <v>111264.76</v>
      </c>
      <c r="L8" s="8">
        <f ca="1">SUM(L$6:L$7)</f>
        <v>1763193.46</v>
      </c>
      <c r="M8" s="8">
        <f ca="1">SUM(M$6:M$7)</f>
        <v>1266793.57</v>
      </c>
      <c r="N8" s="8">
        <f ca="1">SUM(N$6:N$7)</f>
        <v>607664.65</v>
      </c>
      <c r="O8" s="8">
        <f ca="1">SUM(O$6:O$7)</f>
        <v>496399.89</v>
      </c>
    </row>
    <row r="9" spans="2:15" ht="5.0999999999999996" customHeight="1" outlineLevel="1" x14ac:dyDescent="0.3">
      <c r="H9" s="3"/>
      <c r="J9" s="89"/>
      <c r="K9" s="4"/>
    </row>
    <row r="10" spans="2:15" x14ac:dyDescent="0.3">
      <c r="F10" s="11">
        <f ca="1">SUM(F$4,F$8)</f>
        <v>0</v>
      </c>
      <c r="G10" s="11">
        <f ca="1">SUM(G$4,G$8)</f>
        <v>0</v>
      </c>
      <c r="H10" s="3"/>
      <c r="J10" s="88" t="s">
        <v>22</v>
      </c>
      <c r="K10" s="11">
        <f t="shared" ref="K10:O10" ca="1" si="1">SUM(K$4,K$8)</f>
        <v>0</v>
      </c>
      <c r="L10" s="11">
        <f t="shared" ca="1" si="1"/>
        <v>6427764.5599999996</v>
      </c>
      <c r="M10" s="11">
        <f t="shared" ca="1" si="1"/>
        <v>6427764.5599999996</v>
      </c>
      <c r="N10" s="11">
        <f ca="1">SUM(N$4,N$8)</f>
        <v>0</v>
      </c>
      <c r="O10" s="11">
        <f t="shared" ca="1" si="1"/>
        <v>0</v>
      </c>
    </row>
    <row r="11" spans="2:15" ht="5.0999999999999996" customHeight="1" x14ac:dyDescent="0.3">
      <c r="H11" s="3"/>
      <c r="K11" s="4"/>
    </row>
    <row r="12" spans="2:15" x14ac:dyDescent="0.3">
      <c r="F12" s="7">
        <f>SUBTOTAL(9,Tab_02.Fev[SALDO FINAL
ANTERIOR])</f>
        <v>0</v>
      </c>
      <c r="G12" s="7">
        <f>SUBTOTAL(9,Tab_02.Fev[DIFERENÇA])</f>
        <v>0</v>
      </c>
      <c r="H12" s="3"/>
      <c r="K12" s="7">
        <f>SUBTOTAL(9,Tab_02.Fev[SALDO
ANTERIOR])</f>
        <v>0</v>
      </c>
      <c r="L12" s="7">
        <f>SUBTOTAL(9,Tab_02.Fev[DÉBITO])</f>
        <v>32138822.800000001</v>
      </c>
      <c r="M12" s="7">
        <f>SUBTOTAL(9,Tab_02.Fev[CRÉDITO])</f>
        <v>32138822.800000001</v>
      </c>
      <c r="N12" s="7">
        <f>SUBTOTAL(9,Tab_02.Fev[SALDO
ATUAL])</f>
        <v>0</v>
      </c>
      <c r="O12" s="7">
        <f>SUBTOTAL(9,Tab_02.Fev[MOVIMENTO])</f>
        <v>0</v>
      </c>
    </row>
    <row r="13" spans="2:15" ht="5.0999999999999996" customHeight="1" x14ac:dyDescent="0.3">
      <c r="H13" s="3"/>
      <c r="K13" s="4"/>
    </row>
    <row r="14" spans="2:15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5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SUMIFS(Tab_01.Jan[SALDO
ATUAL],Tab_01.Jan[CONTA],$I15)</f>
        <v>83838931.319999993</v>
      </c>
      <c r="G15" s="4">
        <f>$F15-$K15</f>
        <v>0</v>
      </c>
      <c r="H15" s="89">
        <v>10000</v>
      </c>
      <c r="I15" s="3">
        <v>1</v>
      </c>
      <c r="J15" s="3" t="s">
        <v>637</v>
      </c>
      <c r="K15" s="4">
        <v>83838931.319999993</v>
      </c>
      <c r="L15" s="4">
        <v>2488960.06</v>
      </c>
      <c r="M15" s="4">
        <v>3144241.93</v>
      </c>
      <c r="N15" s="4">
        <v>83183649.450000003</v>
      </c>
      <c r="O15" s="4">
        <f>Tab_02.Fev[[#This Row],[DÉBITO]]-Tab_02.Fev[[#This Row],[CRÉDITO]]</f>
        <v>-655281.87</v>
      </c>
    </row>
    <row r="16" spans="2:15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SUMIFS(Tab_01.Jan[SALDO
ATUAL],Tab_01.Jan[CONTA],$I16)</f>
        <v>11209233.01</v>
      </c>
      <c r="G16" s="4">
        <f>$F16-$K16</f>
        <v>0</v>
      </c>
      <c r="H16" s="89">
        <v>10015</v>
      </c>
      <c r="I16" s="3" t="s">
        <v>197</v>
      </c>
      <c r="J16" s="3" t="s">
        <v>247</v>
      </c>
      <c r="K16" s="4">
        <v>11209233.01</v>
      </c>
      <c r="L16" s="4">
        <v>2356023.2000000002</v>
      </c>
      <c r="M16" s="4">
        <v>3138992.19</v>
      </c>
      <c r="N16" s="4">
        <v>10426264.02</v>
      </c>
      <c r="O16" s="4">
        <f>Tab_02.Fev[[#This Row],[DÉBITO]]-Tab_02.Fev[[#This Row],[CRÉDITO]]</f>
        <v>-782968.99</v>
      </c>
    </row>
    <row r="17" spans="2:15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SUMIFS(Tab_01.Jan[SALDO
ATUAL],Tab_01.Jan[CONTA],$I17)</f>
        <v>10865493.23</v>
      </c>
      <c r="G17" s="4">
        <f>$F17-$K17</f>
        <v>0</v>
      </c>
      <c r="H17" s="89">
        <v>10030</v>
      </c>
      <c r="I17" s="3" t="s">
        <v>199</v>
      </c>
      <c r="J17" s="3" t="s">
        <v>638</v>
      </c>
      <c r="K17" s="4">
        <v>10865493.23</v>
      </c>
      <c r="L17" s="4">
        <v>2337915.5699999998</v>
      </c>
      <c r="M17" s="4">
        <v>3115790.92</v>
      </c>
      <c r="N17" s="4">
        <v>10087617.880000001</v>
      </c>
      <c r="O17" s="4">
        <f>Tab_02.Fev[[#This Row],[DÉBITO]]-Tab_02.Fev[[#This Row],[CRÉDITO]]</f>
        <v>-777875.35</v>
      </c>
    </row>
    <row r="18" spans="2:15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SUMIFS(Tab_01.Jan[SALDO
ATUAL],Tab_01.Jan[CONTA],$I18)</f>
        <v>3918.73</v>
      </c>
      <c r="G18" s="4">
        <f t="shared" ref="G18:G49" si="2">$F18-$K18</f>
        <v>0</v>
      </c>
      <c r="H18" s="89">
        <v>10045</v>
      </c>
      <c r="I18" s="3" t="s">
        <v>201</v>
      </c>
      <c r="J18" s="3" t="s">
        <v>639</v>
      </c>
      <c r="K18" s="4">
        <v>3918.73</v>
      </c>
      <c r="L18" s="4">
        <v>0</v>
      </c>
      <c r="M18" s="4">
        <v>112.84</v>
      </c>
      <c r="N18" s="4">
        <v>3805.89</v>
      </c>
      <c r="O18" s="4">
        <f>Tab_02.Fev[[#This Row],[DÉBITO]]-Tab_02.Fev[[#This Row],[CRÉDITO]]</f>
        <v>-112.84</v>
      </c>
    </row>
    <row r="19" spans="2:15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SUMIFS(Tab_01.Jan[SALDO
ATUAL],Tab_01.Jan[CONTA],$I19)</f>
        <v>3918.73</v>
      </c>
      <c r="G19" s="4">
        <f t="shared" si="2"/>
        <v>0</v>
      </c>
      <c r="H19" s="89">
        <v>10075</v>
      </c>
      <c r="I19" s="3" t="s">
        <v>176</v>
      </c>
      <c r="J19" s="3" t="s">
        <v>274</v>
      </c>
      <c r="K19" s="4">
        <v>3918.73</v>
      </c>
      <c r="L19" s="4">
        <v>0</v>
      </c>
      <c r="M19" s="4">
        <v>112.84</v>
      </c>
      <c r="N19" s="4">
        <v>3805.89</v>
      </c>
      <c r="O19" s="4">
        <f>Tab_02.Fev[[#This Row],[DÉBITO]]-Tab_02.Fev[[#This Row],[CRÉDITO]]</f>
        <v>-112.84</v>
      </c>
    </row>
    <row r="20" spans="2:15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SUMIFS(Tab_01.Jan[SALDO
ATUAL],Tab_01.Jan[CONTA],$I20)</f>
        <v>26915.9</v>
      </c>
      <c r="G20" s="4">
        <f t="shared" si="2"/>
        <v>0</v>
      </c>
      <c r="H20" s="89">
        <v>10090</v>
      </c>
      <c r="I20" s="3" t="s">
        <v>202</v>
      </c>
      <c r="J20" s="3" t="s">
        <v>640</v>
      </c>
      <c r="K20" s="4">
        <v>26915.9</v>
      </c>
      <c r="L20" s="4">
        <v>1824372.13</v>
      </c>
      <c r="M20" s="4">
        <v>1819096.05</v>
      </c>
      <c r="N20" s="4">
        <v>32191.98</v>
      </c>
      <c r="O20" s="4">
        <f>Tab_02.Fev[[#This Row],[DÉBITO]]-Tab_02.Fev[[#This Row],[CRÉDITO]]</f>
        <v>5276.08</v>
      </c>
    </row>
    <row r="21" spans="2:15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SUMIFS(Tab_01.Jan[SALDO
ATUAL],Tab_01.Jan[CONTA],$I21)</f>
        <v>1</v>
      </c>
      <c r="G21" s="4">
        <f t="shared" si="2"/>
        <v>0</v>
      </c>
      <c r="H21" s="89">
        <v>10110</v>
      </c>
      <c r="I21" s="3" t="s">
        <v>277</v>
      </c>
      <c r="J21" s="3" t="s">
        <v>278</v>
      </c>
      <c r="K21" s="4">
        <v>1</v>
      </c>
      <c r="L21" s="4">
        <v>1809421.31</v>
      </c>
      <c r="M21" s="4">
        <v>1809421.31</v>
      </c>
      <c r="N21" s="4">
        <v>1</v>
      </c>
      <c r="O21" s="4">
        <f>Tab_02.Fev[[#This Row],[DÉBITO]]-Tab_02.Fev[[#This Row],[CRÉDITO]]</f>
        <v>0</v>
      </c>
    </row>
    <row r="22" spans="2:15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SUMIFS(Tab_01.Jan[SALDO
ATUAL],Tab_01.Jan[CONTA],$I22)</f>
        <v>17189.240000000002</v>
      </c>
      <c r="G22" s="4">
        <f t="shared" si="2"/>
        <v>0</v>
      </c>
      <c r="H22" s="89">
        <v>10131</v>
      </c>
      <c r="I22" s="3" t="s">
        <v>177</v>
      </c>
      <c r="J22" s="3" t="s">
        <v>279</v>
      </c>
      <c r="K22" s="4">
        <v>17189.240000000002</v>
      </c>
      <c r="L22" s="4">
        <v>14950.82</v>
      </c>
      <c r="M22" s="4">
        <v>9266.84</v>
      </c>
      <c r="N22" s="4">
        <v>22873.22</v>
      </c>
      <c r="O22" s="4">
        <f>Tab_02.Fev[[#This Row],[DÉBITO]]-Tab_02.Fev[[#This Row],[CRÉDITO]]</f>
        <v>5683.98</v>
      </c>
    </row>
    <row r="23" spans="2:15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SUMIFS(Tab_01.Jan[SALDO
ATUAL],Tab_01.Jan[CONTA],$I23)</f>
        <v>4246.91</v>
      </c>
      <c r="G23" s="4">
        <f t="shared" si="2"/>
        <v>0</v>
      </c>
      <c r="H23" s="89">
        <v>10132</v>
      </c>
      <c r="I23" s="3" t="s">
        <v>280</v>
      </c>
      <c r="J23" s="3" t="s">
        <v>281</v>
      </c>
      <c r="K23" s="4">
        <v>4246.91</v>
      </c>
      <c r="L23" s="4">
        <v>0</v>
      </c>
      <c r="M23" s="4">
        <v>0</v>
      </c>
      <c r="N23" s="4">
        <v>4246.91</v>
      </c>
      <c r="O23" s="4">
        <f>Tab_02.Fev[[#This Row],[DÉBITO]]-Tab_02.Fev[[#This Row],[CRÉDITO]]</f>
        <v>0</v>
      </c>
    </row>
    <row r="24" spans="2:15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A</v>
      </c>
      <c r="E24" s="2">
        <f>IF($I24="","",COUNTIFS(Tab_00.Trial[CONTA],$I24))</f>
        <v>1</v>
      </c>
      <c r="F24" s="4">
        <f>SUMIFS(Tab_01.Jan[SALDO
ATUAL],Tab_01.Jan[CONTA],$I24)</f>
        <v>5478.75</v>
      </c>
      <c r="G24" s="4">
        <f t="shared" si="2"/>
        <v>0</v>
      </c>
      <c r="H24" s="89">
        <v>10133</v>
      </c>
      <c r="I24" s="3" t="s">
        <v>282</v>
      </c>
      <c r="J24" s="3" t="s">
        <v>283</v>
      </c>
      <c r="K24" s="4">
        <v>5478.75</v>
      </c>
      <c r="L24" s="4">
        <v>0</v>
      </c>
      <c r="M24" s="4">
        <v>407.9</v>
      </c>
      <c r="N24" s="4">
        <v>5070.8500000000004</v>
      </c>
      <c r="O24" s="4">
        <f>Tab_02.Fev[[#This Row],[DÉBITO]]-Tab_02.Fev[[#This Row],[CRÉDITO]]</f>
        <v>-407.9</v>
      </c>
    </row>
    <row r="25" spans="2:15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S</v>
      </c>
      <c r="E25" s="2">
        <f>IF($I25="","",COUNTIFS(Tab_00.Trial[CONTA],$I25))</f>
        <v>1</v>
      </c>
      <c r="F25" s="4">
        <f>SUMIFS(Tab_01.Jan[SALDO
ATUAL],Tab_01.Jan[CONTA],$I25)</f>
        <v>10834658.6</v>
      </c>
      <c r="G25" s="4">
        <f t="shared" si="2"/>
        <v>0</v>
      </c>
      <c r="H25" s="89">
        <v>10180</v>
      </c>
      <c r="I25" s="3" t="s">
        <v>203</v>
      </c>
      <c r="J25" s="3" t="s">
        <v>641</v>
      </c>
      <c r="K25" s="4">
        <v>10834658.6</v>
      </c>
      <c r="L25" s="4">
        <v>513543.44</v>
      </c>
      <c r="M25" s="4">
        <v>1296582.03</v>
      </c>
      <c r="N25" s="4">
        <v>10051620.01</v>
      </c>
      <c r="O25" s="4">
        <f>Tab_02.Fev[[#This Row],[DÉBITO]]-Tab_02.Fev[[#This Row],[CRÉDITO]]</f>
        <v>-783038.59</v>
      </c>
    </row>
    <row r="26" spans="2:15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SUMIFS(Tab_01.Jan[SALDO
ATUAL],Tab_01.Jan[CONTA],$I26)</f>
        <v>5399871.7999999998</v>
      </c>
      <c r="G26" s="4">
        <f t="shared" si="2"/>
        <v>0</v>
      </c>
      <c r="H26" s="89">
        <v>10200</v>
      </c>
      <c r="I26" s="3" t="s">
        <v>178</v>
      </c>
      <c r="J26" s="3" t="s">
        <v>284</v>
      </c>
      <c r="K26" s="4">
        <v>5399871.7999999998</v>
      </c>
      <c r="L26" s="4">
        <v>470475.35</v>
      </c>
      <c r="M26" s="4">
        <v>1296582.03</v>
      </c>
      <c r="N26" s="4">
        <v>4573765.12</v>
      </c>
      <c r="O26" s="4">
        <f>Tab_02.Fev[[#This Row],[DÉBITO]]-Tab_02.Fev[[#This Row],[CRÉDITO]]</f>
        <v>-826106.68</v>
      </c>
    </row>
    <row r="27" spans="2:15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A</v>
      </c>
      <c r="E27" s="2">
        <f>IF($I27="","",COUNTIFS(Tab_00.Trial[CONTA],$I27))</f>
        <v>1</v>
      </c>
      <c r="F27" s="4">
        <f>SUMIFS(Tab_01.Jan[SALDO
ATUAL],Tab_01.Jan[CONTA],$I27)</f>
        <v>5434786.7999999998</v>
      </c>
      <c r="G27" s="4">
        <f t="shared" si="2"/>
        <v>0</v>
      </c>
      <c r="H27" s="89">
        <v>10223</v>
      </c>
      <c r="I27" s="3" t="s">
        <v>287</v>
      </c>
      <c r="J27" s="3" t="s">
        <v>288</v>
      </c>
      <c r="K27" s="4">
        <v>5434786.7999999998</v>
      </c>
      <c r="L27" s="4">
        <v>43068.09</v>
      </c>
      <c r="M27" s="4">
        <v>0</v>
      </c>
      <c r="N27" s="4">
        <v>5477854.8899999997</v>
      </c>
      <c r="O27" s="4">
        <f>Tab_02.Fev[[#This Row],[DÉBITO]]-Tab_02.Fev[[#This Row],[CRÉDITO]]</f>
        <v>43068.09</v>
      </c>
    </row>
    <row r="28" spans="2:15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SUMIFS(Tab_01.Jan[SALDO
ATUAL],Tab_01.Jan[CONTA],$I28)</f>
        <v>99274.97</v>
      </c>
      <c r="G28" s="4">
        <f t="shared" si="2"/>
        <v>0</v>
      </c>
      <c r="H28" s="89">
        <v>10270</v>
      </c>
      <c r="I28" s="3" t="s">
        <v>204</v>
      </c>
      <c r="J28" s="3" t="s">
        <v>642</v>
      </c>
      <c r="K28" s="4">
        <v>99274.97</v>
      </c>
      <c r="L28" s="4">
        <v>0</v>
      </c>
      <c r="M28" s="4">
        <v>0</v>
      </c>
      <c r="N28" s="4">
        <v>99274.97</v>
      </c>
      <c r="O28" s="4">
        <f>Tab_02.Fev[[#This Row],[DÉBITO]]-Tab_02.Fev[[#This Row],[CRÉDITO]]</f>
        <v>0</v>
      </c>
    </row>
    <row r="29" spans="2:15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S</v>
      </c>
      <c r="E29" s="2">
        <f>IF($I29="","",COUNTIFS(Tab_00.Trial[CONTA],$I29))</f>
        <v>1</v>
      </c>
      <c r="F29" s="4">
        <f>SUMIFS(Tab_01.Jan[SALDO
ATUAL],Tab_01.Jan[CONTA],$I29)</f>
        <v>99274.97</v>
      </c>
      <c r="G29" s="4">
        <f t="shared" si="2"/>
        <v>0</v>
      </c>
      <c r="H29" s="89">
        <v>10345</v>
      </c>
      <c r="I29" s="3" t="s">
        <v>205</v>
      </c>
      <c r="J29" s="3" t="s">
        <v>643</v>
      </c>
      <c r="K29" s="4">
        <v>99274.97</v>
      </c>
      <c r="L29" s="4">
        <v>0</v>
      </c>
      <c r="M29" s="4">
        <v>0</v>
      </c>
      <c r="N29" s="4">
        <v>99274.97</v>
      </c>
      <c r="O29" s="4">
        <f>Tab_02.Fev[[#This Row],[DÉBITO]]-Tab_02.Fev[[#This Row],[CRÉDITO]]</f>
        <v>0</v>
      </c>
    </row>
    <row r="30" spans="2:15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A</v>
      </c>
      <c r="E30" s="2">
        <f>IF($I30="","",COUNTIFS(Tab_00.Trial[CONTA],$I30))</f>
        <v>1</v>
      </c>
      <c r="F30" s="4">
        <f>SUMIFS(Tab_01.Jan[SALDO
ATUAL],Tab_01.Jan[CONTA],$I30)</f>
        <v>99274.97</v>
      </c>
      <c r="G30" s="4">
        <f t="shared" si="2"/>
        <v>0</v>
      </c>
      <c r="H30" s="89">
        <v>10377</v>
      </c>
      <c r="I30" s="3" t="s">
        <v>291</v>
      </c>
      <c r="J30" s="3" t="s">
        <v>292</v>
      </c>
      <c r="K30" s="4">
        <v>99274.97</v>
      </c>
      <c r="L30" s="4">
        <v>0</v>
      </c>
      <c r="M30" s="4">
        <v>0</v>
      </c>
      <c r="N30" s="4">
        <v>99274.97</v>
      </c>
      <c r="O30" s="4">
        <f>Tab_02.Fev[[#This Row],[DÉBITO]]-Tab_02.Fev[[#This Row],[CRÉDITO]]</f>
        <v>0</v>
      </c>
    </row>
    <row r="31" spans="2:15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S</v>
      </c>
      <c r="E31" s="2">
        <f>IF($I31="","",COUNTIFS(Tab_00.Trial[CONTA],$I31))</f>
        <v>1</v>
      </c>
      <c r="F31" s="4">
        <f>SUMIFS(Tab_01.Jan[SALDO
ATUAL],Tab_01.Jan[CONTA],$I31)</f>
        <v>9738.24</v>
      </c>
      <c r="G31" s="4">
        <f t="shared" si="2"/>
        <v>0</v>
      </c>
      <c r="H31" s="89">
        <v>10630</v>
      </c>
      <c r="I31" s="3" t="s">
        <v>206</v>
      </c>
      <c r="J31" s="3" t="s">
        <v>644</v>
      </c>
      <c r="K31" s="4">
        <v>9738.24</v>
      </c>
      <c r="L31" s="4">
        <v>6300.28</v>
      </c>
      <c r="M31" s="4">
        <v>11106.18</v>
      </c>
      <c r="N31" s="4">
        <v>4932.34</v>
      </c>
      <c r="O31" s="4">
        <f>Tab_02.Fev[[#This Row],[DÉBITO]]-Tab_02.Fev[[#This Row],[CRÉDITO]]</f>
        <v>-4805.8999999999996</v>
      </c>
    </row>
    <row r="32" spans="2:15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S</v>
      </c>
      <c r="E32" s="2">
        <f>IF($I32="","",COUNTIFS(Tab_00.Trial[CONTA],$I32))</f>
        <v>1</v>
      </c>
      <c r="F32" s="4">
        <f>SUMIFS(Tab_01.Jan[SALDO
ATUAL],Tab_01.Jan[CONTA],$I32)</f>
        <v>5256.5</v>
      </c>
      <c r="G32" s="4">
        <f t="shared" si="2"/>
        <v>0</v>
      </c>
      <c r="H32" s="89">
        <v>10645</v>
      </c>
      <c r="I32" s="3" t="s">
        <v>208</v>
      </c>
      <c r="J32" s="3" t="s">
        <v>139</v>
      </c>
      <c r="K32" s="4">
        <v>5256.5</v>
      </c>
      <c r="L32" s="4">
        <v>6300.28</v>
      </c>
      <c r="M32" s="4">
        <v>11106.18</v>
      </c>
      <c r="N32" s="4">
        <v>450.6</v>
      </c>
      <c r="O32" s="4">
        <f>Tab_02.Fev[[#This Row],[DÉBITO]]-Tab_02.Fev[[#This Row],[CRÉDITO]]</f>
        <v>-4805.8999999999996</v>
      </c>
    </row>
    <row r="33" spans="2:18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A</v>
      </c>
      <c r="E33" s="2">
        <f>IF($I33="","",COUNTIFS(Tab_00.Trial[CONTA],$I33))</f>
        <v>1</v>
      </c>
      <c r="F33" s="4">
        <f>SUMIFS(Tab_01.Jan[SALDO
ATUAL],Tab_01.Jan[CONTA],$I33)</f>
        <v>44.58</v>
      </c>
      <c r="G33" s="4">
        <f t="shared" si="2"/>
        <v>0</v>
      </c>
      <c r="H33" s="89">
        <v>10660</v>
      </c>
      <c r="I33" s="3" t="s">
        <v>179</v>
      </c>
      <c r="J33" s="3" t="s">
        <v>293</v>
      </c>
      <c r="K33" s="4">
        <v>44.58</v>
      </c>
      <c r="L33" s="4">
        <v>0</v>
      </c>
      <c r="M33" s="4">
        <v>0</v>
      </c>
      <c r="N33" s="4">
        <v>44.58</v>
      </c>
      <c r="O33" s="4">
        <f>Tab_02.Fev[[#This Row],[DÉBITO]]-Tab_02.Fev[[#This Row],[CRÉDITO]]</f>
        <v>0</v>
      </c>
    </row>
    <row r="34" spans="2:18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A</v>
      </c>
      <c r="E34" s="2">
        <f>IF($I34="","",COUNTIFS(Tab_00.Trial[CONTA],$I34))</f>
        <v>1</v>
      </c>
      <c r="F34" s="4">
        <f>SUMIFS(Tab_01.Jan[SALDO
ATUAL],Tab_01.Jan[CONTA],$I34)</f>
        <v>5211.92</v>
      </c>
      <c r="G34" s="4">
        <f t="shared" si="2"/>
        <v>0</v>
      </c>
      <c r="H34" s="89">
        <v>10735</v>
      </c>
      <c r="I34" s="3" t="s">
        <v>294</v>
      </c>
      <c r="J34" s="3" t="s">
        <v>295</v>
      </c>
      <c r="K34" s="4">
        <v>5211.92</v>
      </c>
      <c r="L34" s="4">
        <v>6300.28</v>
      </c>
      <c r="M34" s="4">
        <v>11106.18</v>
      </c>
      <c r="N34" s="4">
        <v>406.02</v>
      </c>
      <c r="O34" s="4">
        <f>Tab_02.Fev[[#This Row],[DÉBITO]]-Tab_02.Fev[[#This Row],[CRÉDITO]]</f>
        <v>-4805.8999999999996</v>
      </c>
    </row>
    <row r="35" spans="2:18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S</v>
      </c>
      <c r="E35" s="2">
        <f>IF($I35="","",COUNTIFS(Tab_00.Trial[CONTA],$I35))</f>
        <v>1</v>
      </c>
      <c r="F35" s="4">
        <f>SUMIFS(Tab_01.Jan[SALDO
ATUAL],Tab_01.Jan[CONTA],$I35)</f>
        <v>4481.74</v>
      </c>
      <c r="G35" s="4">
        <f t="shared" si="2"/>
        <v>0</v>
      </c>
      <c r="H35" s="89">
        <v>10765</v>
      </c>
      <c r="I35" s="3" t="s">
        <v>551</v>
      </c>
      <c r="J35" s="3" t="s">
        <v>645</v>
      </c>
      <c r="K35" s="4">
        <v>4481.74</v>
      </c>
      <c r="L35" s="4">
        <v>0</v>
      </c>
      <c r="M35" s="4">
        <v>0</v>
      </c>
      <c r="N35" s="4">
        <v>4481.74</v>
      </c>
      <c r="O35" s="4">
        <f>Tab_02.Fev[[#This Row],[DÉBITO]]-Tab_02.Fev[[#This Row],[CRÉDITO]]</f>
        <v>0</v>
      </c>
    </row>
    <row r="36" spans="2:18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A</v>
      </c>
      <c r="E36" s="2">
        <f>IF($I36="","",COUNTIFS(Tab_00.Trial[CONTA],$I36))</f>
        <v>1</v>
      </c>
      <c r="F36" s="4">
        <f>SUMIFS(Tab_01.Jan[SALDO
ATUAL],Tab_01.Jan[CONTA],$I36)</f>
        <v>4481.74</v>
      </c>
      <c r="G36" s="4">
        <f t="shared" si="2"/>
        <v>0</v>
      </c>
      <c r="H36" s="89">
        <v>10867</v>
      </c>
      <c r="I36" s="3" t="s">
        <v>831</v>
      </c>
      <c r="J36" s="3" t="s">
        <v>832</v>
      </c>
      <c r="K36" s="4">
        <v>4481.74</v>
      </c>
      <c r="L36" s="4">
        <v>0</v>
      </c>
      <c r="M36" s="4">
        <v>0</v>
      </c>
      <c r="N36" s="4">
        <v>4481.74</v>
      </c>
      <c r="O36" s="4">
        <f>Tab_02.Fev[[#This Row],[DÉBITO]]-Tab_02.Fev[[#This Row],[CRÉDITO]]</f>
        <v>0</v>
      </c>
    </row>
    <row r="37" spans="2:18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S</v>
      </c>
      <c r="E37" s="2">
        <f>IF($I37="","",COUNTIFS(Tab_00.Trial[CONTA],$I37))</f>
        <v>1</v>
      </c>
      <c r="F37" s="4">
        <f>SUMIFS(Tab_01.Jan[SALDO
ATUAL],Tab_01.Jan[CONTA],$I37)</f>
        <v>232437.24</v>
      </c>
      <c r="G37" s="4">
        <f t="shared" si="2"/>
        <v>0</v>
      </c>
      <c r="H37" s="89">
        <v>10840</v>
      </c>
      <c r="I37" s="3" t="s">
        <v>840</v>
      </c>
      <c r="J37" s="3" t="s">
        <v>841</v>
      </c>
      <c r="K37" s="4">
        <v>232437.24</v>
      </c>
      <c r="L37" s="4">
        <v>11807.35</v>
      </c>
      <c r="M37" s="4">
        <v>11807.35</v>
      </c>
      <c r="N37" s="4">
        <v>232437.24</v>
      </c>
      <c r="O37" s="4">
        <f>Tab_02.Fev[[#This Row],[DÉBITO]]-Tab_02.Fev[[#This Row],[CRÉDITO]]</f>
        <v>0</v>
      </c>
    </row>
    <row r="38" spans="2:18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S</v>
      </c>
      <c r="E38" s="2">
        <f>IF($I38="","",COUNTIFS(Tab_00.Trial[CONTA],$I38))</f>
        <v>1</v>
      </c>
      <c r="F38" s="4">
        <f>SUMIFS(Tab_01.Jan[SALDO
ATUAL],Tab_01.Jan[CONTA],$I38)</f>
        <v>232437.24</v>
      </c>
      <c r="G38" s="4">
        <f t="shared" si="2"/>
        <v>0</v>
      </c>
      <c r="H38" s="89">
        <v>10965</v>
      </c>
      <c r="I38" s="3" t="s">
        <v>842</v>
      </c>
      <c r="J38" s="3" t="s">
        <v>843</v>
      </c>
      <c r="K38" s="4">
        <v>232437.24</v>
      </c>
      <c r="L38" s="4">
        <v>0</v>
      </c>
      <c r="M38" s="4">
        <v>0</v>
      </c>
      <c r="N38" s="4">
        <v>232437.24</v>
      </c>
      <c r="O38" s="4">
        <f>Tab_02.Fev[[#This Row],[DÉBITO]]-Tab_02.Fev[[#This Row],[CRÉDITO]]</f>
        <v>0</v>
      </c>
    </row>
    <row r="39" spans="2:18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A</v>
      </c>
      <c r="E39" s="2">
        <f>IF($I39="","",COUNTIFS(Tab_00.Trial[CONTA],$I39))</f>
        <v>1</v>
      </c>
      <c r="F39" s="4">
        <f>SUMIFS(Tab_01.Jan[SALDO
ATUAL],Tab_01.Jan[CONTA],$I39)</f>
        <v>232437.24</v>
      </c>
      <c r="G39" s="4">
        <f t="shared" si="2"/>
        <v>0</v>
      </c>
      <c r="H39" s="89">
        <v>10874</v>
      </c>
      <c r="I39" s="3" t="s">
        <v>844</v>
      </c>
      <c r="J39" s="3" t="s">
        <v>843</v>
      </c>
      <c r="K39" s="4">
        <v>232437.24</v>
      </c>
      <c r="L39" s="4">
        <v>0</v>
      </c>
      <c r="M39" s="4">
        <v>0</v>
      </c>
      <c r="N39" s="4">
        <v>232437.24</v>
      </c>
      <c r="O39" s="4">
        <f>Tab_02.Fev[[#This Row],[DÉBITO]]-Tab_02.Fev[[#This Row],[CRÉDITO]]</f>
        <v>0</v>
      </c>
    </row>
    <row r="40" spans="2:18" x14ac:dyDescent="0.3">
      <c r="B40" s="2" t="str">
        <f>_xlfn.XLOOKUP($I40,Tab_00.Trial[CONTA],Tab_00.Trial[TP],"",0,1)</f>
        <v>A</v>
      </c>
      <c r="C40" s="2">
        <f>_xlfn.XLOOKUP($I40,Tab_00.Trial[CONTA],Tab_00.Trial[NV],"",0,1)</f>
        <v>5</v>
      </c>
      <c r="D40" s="2" t="str">
        <f>_xlfn.XLOOKUP($I40,Tab_00.Trial[CONTA],Tab_00.Trial[S/A],"",0,1)</f>
        <v>S</v>
      </c>
      <c r="E40" s="2">
        <f>IF($I40="","",COUNTIFS(Tab_00.Trial[CONTA],$I40))</f>
        <v>1</v>
      </c>
      <c r="F40" s="4">
        <f>SUMIFS(Tab_01.Jan[SALDO
ATUAL],Tab_01.Jan[CONTA],$I40)</f>
        <v>0</v>
      </c>
      <c r="G40" s="4">
        <f t="shared" si="2"/>
        <v>0</v>
      </c>
      <c r="H40" s="89">
        <v>10881</v>
      </c>
      <c r="I40" s="3" t="s">
        <v>864</v>
      </c>
      <c r="J40" s="3" t="s">
        <v>865</v>
      </c>
      <c r="K40" s="4">
        <v>0</v>
      </c>
      <c r="L40" s="4">
        <v>11807.35</v>
      </c>
      <c r="M40" s="4">
        <v>11807.35</v>
      </c>
      <c r="N40" s="4">
        <v>0</v>
      </c>
      <c r="O40" s="4">
        <f>Tab_02.Fev[[#This Row],[DÉBITO]]-Tab_02.Fev[[#This Row],[CRÉDITO]]</f>
        <v>0</v>
      </c>
    </row>
    <row r="41" spans="2:18" x14ac:dyDescent="0.3">
      <c r="B41" s="2" t="str">
        <f>_xlfn.XLOOKUP($I41,Tab_00.Trial[CONTA],Tab_00.Trial[TP],"",0,1)</f>
        <v>A</v>
      </c>
      <c r="C41" s="2">
        <f>_xlfn.XLOOKUP($I41,Tab_00.Trial[CONTA],Tab_00.Trial[NV],"",0,1)</f>
        <v>5</v>
      </c>
      <c r="D41" s="2" t="str">
        <f>_xlfn.XLOOKUP($I41,Tab_00.Trial[CONTA],Tab_00.Trial[S/A],"",0,1)</f>
        <v>A</v>
      </c>
      <c r="E41" s="2">
        <f>IF($I41="","",COUNTIFS(Tab_00.Trial[CONTA],$I41))</f>
        <v>1</v>
      </c>
      <c r="F41" s="4">
        <f>SUMIFS(Tab_01.Jan[SALDO
ATUAL],Tab_01.Jan[CONTA],$I41)</f>
        <v>0</v>
      </c>
      <c r="G41" s="4">
        <f t="shared" si="2"/>
        <v>0</v>
      </c>
      <c r="H41" s="89">
        <v>10888</v>
      </c>
      <c r="I41" s="3" t="s">
        <v>867</v>
      </c>
      <c r="J41" s="3" t="s">
        <v>868</v>
      </c>
      <c r="K41" s="4">
        <v>0</v>
      </c>
      <c r="L41" s="4">
        <v>11807.35</v>
      </c>
      <c r="M41" s="4">
        <v>11807.35</v>
      </c>
      <c r="N41" s="4">
        <v>0</v>
      </c>
      <c r="O41" s="4">
        <f>Tab_02.Fev[[#This Row],[DÉBITO]]-Tab_02.Fev[[#This Row],[CRÉDITO]]</f>
        <v>0</v>
      </c>
    </row>
    <row r="42" spans="2:18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S</v>
      </c>
      <c r="E42" s="2">
        <f>IF($I42="","",COUNTIFS(Tab_00.Trial[CONTA],$I42))</f>
        <v>1</v>
      </c>
      <c r="F42" s="4">
        <f>SUMIFS(Tab_01.Jan[SALDO
ATUAL],Tab_01.Jan[CONTA],$I42)</f>
        <v>2289.33</v>
      </c>
      <c r="G42" s="4">
        <f t="shared" si="2"/>
        <v>0</v>
      </c>
      <c r="H42" s="89">
        <v>10975</v>
      </c>
      <c r="I42" s="3" t="s">
        <v>209</v>
      </c>
      <c r="J42" s="3" t="s">
        <v>646</v>
      </c>
      <c r="K42" s="4">
        <v>2289.33</v>
      </c>
      <c r="L42" s="4">
        <v>0</v>
      </c>
      <c r="M42" s="4">
        <v>287.74</v>
      </c>
      <c r="N42" s="4">
        <v>2001.59</v>
      </c>
      <c r="O42" s="4">
        <f>Tab_02.Fev[[#This Row],[DÉBITO]]-Tab_02.Fev[[#This Row],[CRÉDITO]]</f>
        <v>-287.74</v>
      </c>
    </row>
    <row r="43" spans="2:18" x14ac:dyDescent="0.3">
      <c r="B43" s="2" t="str">
        <f>_xlfn.XLOOKUP($I43,Tab_00.Trial[CONTA],Tab_00.Trial[TP],"",0,1)</f>
        <v>A</v>
      </c>
      <c r="C43" s="2">
        <f>_xlfn.XLOOKUP($I43,Tab_00.Trial[CONTA],Tab_00.Trial[NV],"",0,1)</f>
        <v>5</v>
      </c>
      <c r="D43" s="2" t="str">
        <f>_xlfn.XLOOKUP($I43,Tab_00.Trial[CONTA],Tab_00.Trial[S/A],"",0,1)</f>
        <v>S</v>
      </c>
      <c r="E43" s="2">
        <f>IF($I43="","",COUNTIFS(Tab_00.Trial[CONTA],$I43))</f>
        <v>1</v>
      </c>
      <c r="F43" s="4">
        <f>SUMIFS(Tab_01.Jan[SALDO
ATUAL],Tab_01.Jan[CONTA],$I43)</f>
        <v>2289.33</v>
      </c>
      <c r="G43" s="4">
        <f t="shared" si="2"/>
        <v>0</v>
      </c>
      <c r="H43" s="89">
        <v>10990</v>
      </c>
      <c r="I43" s="3" t="s">
        <v>210</v>
      </c>
      <c r="J43" s="3" t="s">
        <v>646</v>
      </c>
      <c r="K43" s="4">
        <v>2289.33</v>
      </c>
      <c r="L43" s="4">
        <v>0</v>
      </c>
      <c r="M43" s="4">
        <v>287.74</v>
      </c>
      <c r="N43" s="4">
        <v>2001.59</v>
      </c>
      <c r="O43" s="4">
        <f>Tab_02.Fev[[#This Row],[DÉBITO]]-Tab_02.Fev[[#This Row],[CRÉDITO]]</f>
        <v>-287.74</v>
      </c>
    </row>
    <row r="44" spans="2:18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A</v>
      </c>
      <c r="E44" s="2">
        <f>IF($I44="","",COUNTIFS(Tab_00.Trial[CONTA],$I44))</f>
        <v>1</v>
      </c>
      <c r="F44" s="4">
        <f>SUMIFS(Tab_01.Jan[SALDO
ATUAL],Tab_01.Jan[CONTA],$I44)</f>
        <v>2289.33</v>
      </c>
      <c r="G44" s="4">
        <f t="shared" si="2"/>
        <v>0</v>
      </c>
      <c r="H44" s="89">
        <v>11005</v>
      </c>
      <c r="I44" s="3" t="s">
        <v>298</v>
      </c>
      <c r="J44" s="3" t="s">
        <v>299</v>
      </c>
      <c r="K44" s="4">
        <v>2289.33</v>
      </c>
      <c r="L44" s="4">
        <v>0</v>
      </c>
      <c r="M44" s="4">
        <v>287.74</v>
      </c>
      <c r="N44" s="4">
        <v>2001.59</v>
      </c>
      <c r="O44" s="4">
        <f>Tab_02.Fev[[#This Row],[DÉBITO]]-Tab_02.Fev[[#This Row],[CRÉDITO]]</f>
        <v>-287.74</v>
      </c>
    </row>
    <row r="45" spans="2:18" x14ac:dyDescent="0.3">
      <c r="B45" s="2" t="str">
        <f>_xlfn.XLOOKUP($I45,Tab_00.Trial[CONTA],Tab_00.Trial[TP],"",0,1)</f>
        <v>A</v>
      </c>
      <c r="C45" s="2">
        <f>_xlfn.XLOOKUP($I45,Tab_00.Trial[CONTA],Tab_00.Trial[NV],"",0,1)</f>
        <v>2</v>
      </c>
      <c r="D45" s="2" t="str">
        <f>_xlfn.XLOOKUP($I45,Tab_00.Trial[CONTA],Tab_00.Trial[S/A],"",0,1)</f>
        <v>S</v>
      </c>
      <c r="E45" s="2">
        <f>IF($I45="","",COUNTIFS(Tab_00.Trial[CONTA],$I45))</f>
        <v>1</v>
      </c>
      <c r="F45" s="4">
        <f>SUMIFS(Tab_01.Jan[SALDO
ATUAL],Tab_01.Jan[CONTA],$I45)</f>
        <v>72629698.310000002</v>
      </c>
      <c r="G45" s="4">
        <f t="shared" si="2"/>
        <v>0</v>
      </c>
      <c r="H45" s="89">
        <v>11065</v>
      </c>
      <c r="I45" s="3" t="s">
        <v>211</v>
      </c>
      <c r="J45" s="3" t="s">
        <v>76</v>
      </c>
      <c r="K45" s="4">
        <v>72629698.310000002</v>
      </c>
      <c r="L45" s="4">
        <v>132936.85999999999</v>
      </c>
      <c r="M45" s="4">
        <v>5249.74</v>
      </c>
      <c r="N45" s="4">
        <v>72757385.430000007</v>
      </c>
      <c r="O45" s="4">
        <f>Tab_02.Fev[[#This Row],[DÉBITO]]-Tab_02.Fev[[#This Row],[CRÉDITO]]</f>
        <v>127687.12</v>
      </c>
    </row>
    <row r="46" spans="2:18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S</v>
      </c>
      <c r="E46" s="2">
        <f>IF($I46="","",COUNTIFS(Tab_00.Trial[CONTA],$I46))</f>
        <v>1</v>
      </c>
      <c r="F46" s="4">
        <f>SUMIFS(Tab_01.Jan[SALDO
ATUAL],Tab_01.Jan[CONTA],$I46)</f>
        <v>252090.79</v>
      </c>
      <c r="G46" s="4">
        <f t="shared" si="2"/>
        <v>0</v>
      </c>
      <c r="H46" s="89">
        <v>11080</v>
      </c>
      <c r="I46" s="3" t="s">
        <v>552</v>
      </c>
      <c r="J46" s="3" t="s">
        <v>647</v>
      </c>
      <c r="K46" s="4">
        <v>252090.79</v>
      </c>
      <c r="L46" s="4">
        <v>952.6</v>
      </c>
      <c r="M46" s="4">
        <v>0</v>
      </c>
      <c r="N46" s="4">
        <v>253043.39</v>
      </c>
      <c r="O46" s="4">
        <f>Tab_02.Fev[[#This Row],[DÉBITO]]-Tab_02.Fev[[#This Row],[CRÉDITO]]</f>
        <v>952.6</v>
      </c>
    </row>
    <row r="47" spans="2:18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S</v>
      </c>
      <c r="E47" s="2">
        <f>IF($I47="","",COUNTIFS(Tab_00.Trial[CONTA],$I47))</f>
        <v>1</v>
      </c>
      <c r="F47" s="4">
        <f>SUMIFS(Tab_01.Jan[SALDO
ATUAL],Tab_01.Jan[CONTA],$I47)</f>
        <v>252090.79</v>
      </c>
      <c r="G47" s="4">
        <f t="shared" si="2"/>
        <v>0</v>
      </c>
      <c r="H47" s="89">
        <v>11125</v>
      </c>
      <c r="I47" s="3" t="s">
        <v>553</v>
      </c>
      <c r="J47" s="3" t="s">
        <v>301</v>
      </c>
      <c r="K47" s="4">
        <v>252090.79</v>
      </c>
      <c r="L47" s="4">
        <v>952.6</v>
      </c>
      <c r="M47" s="4">
        <v>0</v>
      </c>
      <c r="N47" s="4">
        <v>253043.39</v>
      </c>
      <c r="O47" s="4">
        <f>Tab_02.Fev[[#This Row],[DÉBITO]]-Tab_02.Fev[[#This Row],[CRÉDITO]]</f>
        <v>952.6</v>
      </c>
    </row>
    <row r="48" spans="2:18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A</v>
      </c>
      <c r="E48" s="2">
        <f>IF($I48="","",COUNTIFS(Tab_00.Trial[CONTA],$I48))</f>
        <v>1</v>
      </c>
      <c r="F48" s="4">
        <f>SUMIFS(Tab_01.Jan[SALDO
ATUAL],Tab_01.Jan[CONTA],$I48)</f>
        <v>252090.79</v>
      </c>
      <c r="G48" s="4">
        <f t="shared" si="2"/>
        <v>0</v>
      </c>
      <c r="H48" s="89">
        <v>11140</v>
      </c>
      <c r="I48" s="3" t="s">
        <v>300</v>
      </c>
      <c r="J48" s="3" t="s">
        <v>301</v>
      </c>
      <c r="K48" s="4">
        <v>252090.79</v>
      </c>
      <c r="L48" s="4">
        <v>952.6</v>
      </c>
      <c r="M48" s="4">
        <v>0</v>
      </c>
      <c r="N48" s="4">
        <v>253043.39</v>
      </c>
      <c r="O48" s="4">
        <f>Tab_02.Fev[[#This Row],[DÉBITO]]-Tab_02.Fev[[#This Row],[CRÉDITO]]</f>
        <v>952.6</v>
      </c>
      <c r="R48" s="1" t="s">
        <v>734</v>
      </c>
    </row>
    <row r="49" spans="2:15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S</v>
      </c>
      <c r="E49" s="2">
        <f>IF($I49="","",COUNTIFS(Tab_00.Trial[CONTA],$I49))</f>
        <v>1</v>
      </c>
      <c r="F49" s="4">
        <f>SUMIFS(Tab_01.Jan[SALDO
ATUAL],Tab_01.Jan[CONTA],$I49)</f>
        <v>70047290.069999993</v>
      </c>
      <c r="G49" s="4">
        <f t="shared" si="2"/>
        <v>0</v>
      </c>
      <c r="H49" s="89">
        <v>11170</v>
      </c>
      <c r="I49" s="3" t="s">
        <v>554</v>
      </c>
      <c r="J49" s="3" t="s">
        <v>648</v>
      </c>
      <c r="K49" s="4">
        <v>70047290.069999993</v>
      </c>
      <c r="L49" s="4">
        <v>131984.26</v>
      </c>
      <c r="M49" s="4">
        <v>0</v>
      </c>
      <c r="N49" s="4">
        <v>70179274.329999998</v>
      </c>
      <c r="O49" s="4">
        <f>Tab_02.Fev[[#This Row],[DÉBITO]]-Tab_02.Fev[[#This Row],[CRÉDITO]]</f>
        <v>131984.26</v>
      </c>
    </row>
    <row r="50" spans="2:15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S</v>
      </c>
      <c r="E50" s="2">
        <f>IF($I50="","",COUNTIFS(Tab_00.Trial[CONTA],$I50))</f>
        <v>1</v>
      </c>
      <c r="F50" s="4">
        <f>SUMIFS(Tab_01.Jan[SALDO
ATUAL],Tab_01.Jan[CONTA],$I50)</f>
        <v>45344232.229999997</v>
      </c>
      <c r="G50" s="4">
        <f t="shared" ref="G50:G81" si="3">$F50-$K50</f>
        <v>0</v>
      </c>
      <c r="H50" s="89">
        <v>11185</v>
      </c>
      <c r="I50" s="3" t="s">
        <v>555</v>
      </c>
      <c r="J50" s="3" t="s">
        <v>649</v>
      </c>
      <c r="K50" s="4">
        <v>45344232.229999997</v>
      </c>
      <c r="L50" s="4">
        <v>0</v>
      </c>
      <c r="M50" s="4">
        <v>0</v>
      </c>
      <c r="N50" s="4">
        <v>45344232.229999997</v>
      </c>
      <c r="O50" s="4">
        <f>Tab_02.Fev[[#This Row],[DÉBITO]]-Tab_02.Fev[[#This Row],[CRÉDITO]]</f>
        <v>0</v>
      </c>
    </row>
    <row r="51" spans="2:15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A</v>
      </c>
      <c r="E51" s="2">
        <f>IF($I51="","",COUNTIFS(Tab_00.Trial[CONTA],$I51))</f>
        <v>1</v>
      </c>
      <c r="F51" s="4">
        <f>SUMIFS(Tab_01.Jan[SALDO
ATUAL],Tab_01.Jan[CONTA],$I51)</f>
        <v>42477392.43</v>
      </c>
      <c r="G51" s="4">
        <f t="shared" si="3"/>
        <v>0</v>
      </c>
      <c r="H51" s="89">
        <v>11205</v>
      </c>
      <c r="I51" s="3" t="s">
        <v>302</v>
      </c>
      <c r="J51" s="3" t="s">
        <v>303</v>
      </c>
      <c r="K51" s="4">
        <v>42477392.43</v>
      </c>
      <c r="L51" s="4">
        <v>0</v>
      </c>
      <c r="M51" s="4">
        <v>0</v>
      </c>
      <c r="N51" s="4">
        <v>42477392.43</v>
      </c>
      <c r="O51" s="4">
        <f>Tab_02.Fev[[#This Row],[DÉBITO]]-Tab_02.Fev[[#This Row],[CRÉDITO]]</f>
        <v>0</v>
      </c>
    </row>
    <row r="52" spans="2:15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A</v>
      </c>
      <c r="E52" s="2">
        <f>IF($I52="","",COUNTIFS(Tab_00.Trial[CONTA],$I52))</f>
        <v>1</v>
      </c>
      <c r="F52" s="4">
        <f>SUMIFS(Tab_01.Jan[SALDO
ATUAL],Tab_01.Jan[CONTA],$I52)</f>
        <v>2866839.8</v>
      </c>
      <c r="G52" s="4">
        <f t="shared" si="3"/>
        <v>0</v>
      </c>
      <c r="H52" s="89">
        <v>11210</v>
      </c>
      <c r="I52" s="3" t="s">
        <v>304</v>
      </c>
      <c r="J52" s="3" t="s">
        <v>305</v>
      </c>
      <c r="K52" s="4">
        <v>2866839.8</v>
      </c>
      <c r="L52" s="4">
        <v>0</v>
      </c>
      <c r="M52" s="4">
        <v>0</v>
      </c>
      <c r="N52" s="4">
        <v>2866839.8</v>
      </c>
      <c r="O52" s="4">
        <f>Tab_02.Fev[[#This Row],[DÉBITO]]-Tab_02.Fev[[#This Row],[CRÉDITO]]</f>
        <v>0</v>
      </c>
    </row>
    <row r="53" spans="2:15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S</v>
      </c>
      <c r="E53" s="2">
        <f>IF($I53="","",COUNTIFS(Tab_00.Trial[CONTA],$I53))</f>
        <v>1</v>
      </c>
      <c r="F53" s="4">
        <f>SUMIFS(Tab_01.Jan[SALDO
ATUAL],Tab_01.Jan[CONTA],$I53)</f>
        <v>4760.84</v>
      </c>
      <c r="G53" s="4">
        <f t="shared" si="3"/>
        <v>0</v>
      </c>
      <c r="H53" s="89">
        <v>11215</v>
      </c>
      <c r="I53" s="3" t="s">
        <v>556</v>
      </c>
      <c r="J53" s="3" t="s">
        <v>650</v>
      </c>
      <c r="K53" s="4">
        <v>4760.84</v>
      </c>
      <c r="L53" s="4">
        <v>0</v>
      </c>
      <c r="M53" s="4">
        <v>0</v>
      </c>
      <c r="N53" s="4">
        <v>4760.84</v>
      </c>
      <c r="O53" s="4">
        <f>Tab_02.Fev[[#This Row],[DÉBITO]]-Tab_02.Fev[[#This Row],[CRÉDITO]]</f>
        <v>0</v>
      </c>
    </row>
    <row r="54" spans="2:15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A</v>
      </c>
      <c r="E54" s="2">
        <f>IF($I54="","",COUNTIFS(Tab_00.Trial[CONTA],$I54))</f>
        <v>1</v>
      </c>
      <c r="F54" s="4">
        <f>SUMIFS(Tab_01.Jan[SALDO
ATUAL],Tab_01.Jan[CONTA],$I54)</f>
        <v>4760.84</v>
      </c>
      <c r="G54" s="4">
        <f t="shared" si="3"/>
        <v>0</v>
      </c>
      <c r="H54" s="89">
        <v>11230</v>
      </c>
      <c r="I54" s="3" t="s">
        <v>306</v>
      </c>
      <c r="J54" s="3" t="s">
        <v>307</v>
      </c>
      <c r="K54" s="4">
        <v>4760.84</v>
      </c>
      <c r="L54" s="4">
        <v>0</v>
      </c>
      <c r="M54" s="4">
        <v>0</v>
      </c>
      <c r="N54" s="4">
        <v>4760.84</v>
      </c>
      <c r="O54" s="4">
        <f>Tab_02.Fev[[#This Row],[DÉBITO]]-Tab_02.Fev[[#This Row],[CRÉDITO]]</f>
        <v>0</v>
      </c>
    </row>
    <row r="55" spans="2:15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S</v>
      </c>
      <c r="E55" s="2">
        <f>IF($I55="","",COUNTIFS(Tab_00.Trial[CONTA],$I55))</f>
        <v>1</v>
      </c>
      <c r="F55" s="4">
        <f>SUMIFS(Tab_01.Jan[SALDO
ATUAL],Tab_01.Jan[CONTA],$I55)</f>
        <v>24698297</v>
      </c>
      <c r="G55" s="4">
        <f t="shared" si="3"/>
        <v>0</v>
      </c>
      <c r="H55" s="89">
        <v>11235</v>
      </c>
      <c r="I55" s="3" t="s">
        <v>557</v>
      </c>
      <c r="J55" s="3" t="s">
        <v>309</v>
      </c>
      <c r="K55" s="4">
        <v>24698297</v>
      </c>
      <c r="L55" s="4">
        <v>131984.26</v>
      </c>
      <c r="M55" s="4">
        <v>0</v>
      </c>
      <c r="N55" s="4">
        <v>24830281.260000002</v>
      </c>
      <c r="O55" s="4">
        <f>Tab_02.Fev[[#This Row],[DÉBITO]]-Tab_02.Fev[[#This Row],[CRÉDITO]]</f>
        <v>131984.26</v>
      </c>
    </row>
    <row r="56" spans="2:15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A</v>
      </c>
      <c r="E56" s="2">
        <f>IF($I56="","",COUNTIFS(Tab_00.Trial[CONTA],$I56))</f>
        <v>1</v>
      </c>
      <c r="F56" s="4">
        <f>SUMIFS(Tab_01.Jan[SALDO
ATUAL],Tab_01.Jan[CONTA],$I56)</f>
        <v>24698297</v>
      </c>
      <c r="G56" s="4">
        <f t="shared" si="3"/>
        <v>0</v>
      </c>
      <c r="H56" s="89">
        <v>11240</v>
      </c>
      <c r="I56" s="3" t="s">
        <v>308</v>
      </c>
      <c r="J56" s="3" t="s">
        <v>309</v>
      </c>
      <c r="K56" s="4">
        <v>24698297</v>
      </c>
      <c r="L56" s="4">
        <v>131984.26</v>
      </c>
      <c r="M56" s="4">
        <v>0</v>
      </c>
      <c r="N56" s="4">
        <v>24830281.260000002</v>
      </c>
      <c r="O56" s="4">
        <f>Tab_02.Fev[[#This Row],[DÉBITO]]-Tab_02.Fev[[#This Row],[CRÉDITO]]</f>
        <v>131984.26</v>
      </c>
    </row>
    <row r="57" spans="2:15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S</v>
      </c>
      <c r="E57" s="2">
        <f>IF($I57="","",COUNTIFS(Tab_00.Trial[CONTA],$I57))</f>
        <v>1</v>
      </c>
      <c r="F57" s="4">
        <f>SUMIFS(Tab_01.Jan[SALDO
ATUAL],Tab_01.Jan[CONTA],$I57)</f>
        <v>2330317.4500000002</v>
      </c>
      <c r="G57" s="4">
        <f t="shared" si="3"/>
        <v>0</v>
      </c>
      <c r="H57" s="89">
        <v>11245</v>
      </c>
      <c r="I57" s="3" t="s">
        <v>213</v>
      </c>
      <c r="J57" s="3" t="s">
        <v>35</v>
      </c>
      <c r="K57" s="4">
        <v>2330317.4500000002</v>
      </c>
      <c r="L57" s="4">
        <v>0</v>
      </c>
      <c r="M57" s="4">
        <v>5249.74</v>
      </c>
      <c r="N57" s="4">
        <v>2325067.71</v>
      </c>
      <c r="O57" s="4">
        <f>Tab_02.Fev[[#This Row],[DÉBITO]]-Tab_02.Fev[[#This Row],[CRÉDITO]]</f>
        <v>-5249.74</v>
      </c>
    </row>
    <row r="58" spans="2:15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S</v>
      </c>
      <c r="E58" s="2">
        <f>IF($I58="","",COUNTIFS(Tab_00.Trial[CONTA],$I58))</f>
        <v>1</v>
      </c>
      <c r="F58" s="4">
        <f>SUMIFS(Tab_01.Jan[SALDO
ATUAL],Tab_01.Jan[CONTA],$I58)</f>
        <v>3487455.56</v>
      </c>
      <c r="G58" s="4">
        <f t="shared" si="3"/>
        <v>0</v>
      </c>
      <c r="H58" s="89">
        <v>11260</v>
      </c>
      <c r="I58" s="3" t="s">
        <v>214</v>
      </c>
      <c r="J58" s="3" t="s">
        <v>651</v>
      </c>
      <c r="K58" s="4">
        <v>3487455.56</v>
      </c>
      <c r="L58" s="4">
        <v>0</v>
      </c>
      <c r="M58" s="4">
        <v>0</v>
      </c>
      <c r="N58" s="4">
        <v>3487455.56</v>
      </c>
      <c r="O58" s="4">
        <f>Tab_02.Fev[[#This Row],[DÉBITO]]-Tab_02.Fev[[#This Row],[CRÉDITO]]</f>
        <v>0</v>
      </c>
    </row>
    <row r="59" spans="2:15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A</v>
      </c>
      <c r="E59" s="2">
        <f>IF($I59="","",COUNTIFS(Tab_00.Trial[CONTA],$I59))</f>
        <v>1</v>
      </c>
      <c r="F59" s="4">
        <f>SUMIFS(Tab_01.Jan[SALDO
ATUAL],Tab_01.Jan[CONTA],$I59)</f>
        <v>1379260.84</v>
      </c>
      <c r="G59" s="4">
        <f t="shared" si="3"/>
        <v>0</v>
      </c>
      <c r="H59" s="89">
        <v>11275</v>
      </c>
      <c r="I59" s="3" t="s">
        <v>310</v>
      </c>
      <c r="J59" s="3" t="s">
        <v>311</v>
      </c>
      <c r="K59" s="4">
        <v>1379260.84</v>
      </c>
      <c r="L59" s="4">
        <v>0</v>
      </c>
      <c r="M59" s="4">
        <v>0</v>
      </c>
      <c r="N59" s="4">
        <v>1379260.84</v>
      </c>
      <c r="O59" s="4">
        <f>Tab_02.Fev[[#This Row],[DÉBITO]]-Tab_02.Fev[[#This Row],[CRÉDITO]]</f>
        <v>0</v>
      </c>
    </row>
    <row r="60" spans="2:15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A</v>
      </c>
      <c r="E60" s="2">
        <f>IF($I60="","",COUNTIFS(Tab_00.Trial[CONTA],$I60))</f>
        <v>1</v>
      </c>
      <c r="F60" s="4">
        <f>SUMIFS(Tab_01.Jan[SALDO
ATUAL],Tab_01.Jan[CONTA],$I60)</f>
        <v>1233996.98</v>
      </c>
      <c r="G60" s="4">
        <f t="shared" si="3"/>
        <v>0</v>
      </c>
      <c r="H60" s="89">
        <v>11290</v>
      </c>
      <c r="I60" s="3" t="s">
        <v>312</v>
      </c>
      <c r="J60" s="3" t="s">
        <v>313</v>
      </c>
      <c r="K60" s="4">
        <v>1233996.98</v>
      </c>
      <c r="L60" s="4">
        <v>0</v>
      </c>
      <c r="M60" s="4">
        <v>0</v>
      </c>
      <c r="N60" s="4">
        <v>1233996.98</v>
      </c>
      <c r="O60" s="4">
        <f>Tab_02.Fev[[#This Row],[DÉBITO]]-Tab_02.Fev[[#This Row],[CRÉDITO]]</f>
        <v>0</v>
      </c>
    </row>
    <row r="61" spans="2:15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SUMIFS(Tab_01.Jan[SALDO
ATUAL],Tab_01.Jan[CONTA],$I61)</f>
        <v>23000</v>
      </c>
      <c r="G61" s="4">
        <f t="shared" si="3"/>
        <v>0</v>
      </c>
      <c r="H61" s="89">
        <v>11320</v>
      </c>
      <c r="I61" s="3" t="s">
        <v>181</v>
      </c>
      <c r="J61" s="3" t="s">
        <v>314</v>
      </c>
      <c r="K61" s="4">
        <v>23000</v>
      </c>
      <c r="L61" s="4">
        <v>0</v>
      </c>
      <c r="M61" s="4">
        <v>0</v>
      </c>
      <c r="N61" s="4">
        <v>23000</v>
      </c>
      <c r="O61" s="4">
        <f>Tab_02.Fev[[#This Row],[DÉBITO]]-Tab_02.Fev[[#This Row],[CRÉDITO]]</f>
        <v>0</v>
      </c>
    </row>
    <row r="62" spans="2:15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SUMIFS(Tab_01.Jan[SALDO
ATUAL],Tab_01.Jan[CONTA],$I62)</f>
        <v>12594</v>
      </c>
      <c r="G62" s="4">
        <f t="shared" si="3"/>
        <v>0</v>
      </c>
      <c r="H62" s="89">
        <v>11335</v>
      </c>
      <c r="I62" s="3" t="s">
        <v>182</v>
      </c>
      <c r="J62" s="3" t="s">
        <v>315</v>
      </c>
      <c r="K62" s="4">
        <v>12594</v>
      </c>
      <c r="L62" s="4">
        <v>0</v>
      </c>
      <c r="M62" s="4">
        <v>0</v>
      </c>
      <c r="N62" s="4">
        <v>12594</v>
      </c>
      <c r="O62" s="4">
        <f>Tab_02.Fev[[#This Row],[DÉBITO]]-Tab_02.Fev[[#This Row],[CRÉDITO]]</f>
        <v>0</v>
      </c>
    </row>
    <row r="63" spans="2:15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A</v>
      </c>
      <c r="E63" s="2">
        <f>IF($I63="","",COUNTIFS(Tab_00.Trial[CONTA],$I63))</f>
        <v>1</v>
      </c>
      <c r="F63" s="4">
        <f>SUMIFS(Tab_01.Jan[SALDO
ATUAL],Tab_01.Jan[CONTA],$I63)</f>
        <v>223690.57</v>
      </c>
      <c r="G63" s="4">
        <f t="shared" si="3"/>
        <v>0</v>
      </c>
      <c r="H63" s="89">
        <v>11350</v>
      </c>
      <c r="I63" s="3" t="s">
        <v>183</v>
      </c>
      <c r="J63" s="3" t="s">
        <v>316</v>
      </c>
      <c r="K63" s="4">
        <v>223690.57</v>
      </c>
      <c r="L63" s="4">
        <v>0</v>
      </c>
      <c r="M63" s="4">
        <v>0</v>
      </c>
      <c r="N63" s="4">
        <v>223690.57</v>
      </c>
      <c r="O63" s="4">
        <f>Tab_02.Fev[[#This Row],[DÉBITO]]-Tab_02.Fev[[#This Row],[CRÉDITO]]</f>
        <v>0</v>
      </c>
    </row>
    <row r="64" spans="2:15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A</v>
      </c>
      <c r="E64" s="2">
        <f>IF($I64="","",COUNTIFS(Tab_00.Trial[CONTA],$I64))</f>
        <v>1</v>
      </c>
      <c r="F64" s="4">
        <f>SUMIFS(Tab_01.Jan[SALDO
ATUAL],Tab_01.Jan[CONTA],$I64)</f>
        <v>7349.9</v>
      </c>
      <c r="G64" s="4">
        <f t="shared" si="3"/>
        <v>0</v>
      </c>
      <c r="H64" s="89">
        <v>11365</v>
      </c>
      <c r="I64" s="3" t="s">
        <v>317</v>
      </c>
      <c r="J64" s="3" t="s">
        <v>318</v>
      </c>
      <c r="K64" s="4">
        <v>7349.9</v>
      </c>
      <c r="L64" s="4">
        <v>0</v>
      </c>
      <c r="M64" s="4">
        <v>0</v>
      </c>
      <c r="N64" s="4">
        <v>7349.9</v>
      </c>
      <c r="O64" s="4">
        <f>Tab_02.Fev[[#This Row],[DÉBITO]]-Tab_02.Fev[[#This Row],[CRÉDITO]]</f>
        <v>0</v>
      </c>
    </row>
    <row r="65" spans="2:15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SUMIFS(Tab_01.Jan[SALDO
ATUAL],Tab_01.Jan[CONTA],$I65)</f>
        <v>128697.03</v>
      </c>
      <c r="G65" s="4">
        <f t="shared" si="3"/>
        <v>0</v>
      </c>
      <c r="H65" s="89">
        <v>11380</v>
      </c>
      <c r="I65" s="3" t="s">
        <v>184</v>
      </c>
      <c r="J65" s="3" t="s">
        <v>319</v>
      </c>
      <c r="K65" s="4">
        <v>128697.03</v>
      </c>
      <c r="L65" s="4">
        <v>0</v>
      </c>
      <c r="M65" s="4">
        <v>0</v>
      </c>
      <c r="N65" s="4">
        <v>128697.03</v>
      </c>
      <c r="O65" s="4">
        <f>Tab_02.Fev[[#This Row],[DÉBITO]]-Tab_02.Fev[[#This Row],[CRÉDITO]]</f>
        <v>0</v>
      </c>
    </row>
    <row r="66" spans="2:15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A</v>
      </c>
      <c r="E66" s="2">
        <f>IF($I66="","",COUNTIFS(Tab_00.Trial[CONTA],$I66))</f>
        <v>1</v>
      </c>
      <c r="F66" s="4">
        <f>SUMIFS(Tab_01.Jan[SALDO
ATUAL],Tab_01.Jan[CONTA],$I66)</f>
        <v>15029.74</v>
      </c>
      <c r="G66" s="4">
        <f t="shared" si="3"/>
        <v>0</v>
      </c>
      <c r="H66" s="89">
        <v>11410</v>
      </c>
      <c r="I66" s="3" t="s">
        <v>185</v>
      </c>
      <c r="J66" s="3" t="s">
        <v>320</v>
      </c>
      <c r="K66" s="4">
        <v>15029.74</v>
      </c>
      <c r="L66" s="4">
        <v>0</v>
      </c>
      <c r="M66" s="4">
        <v>0</v>
      </c>
      <c r="N66" s="4">
        <v>15029.74</v>
      </c>
      <c r="O66" s="4">
        <f>Tab_02.Fev[[#This Row],[DÉBITO]]-Tab_02.Fev[[#This Row],[CRÉDITO]]</f>
        <v>0</v>
      </c>
    </row>
    <row r="67" spans="2:15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SUMIFS(Tab_01.Jan[SALDO
ATUAL],Tab_01.Jan[CONTA],$I67)</f>
        <v>463836.5</v>
      </c>
      <c r="G67" s="4">
        <f t="shared" si="3"/>
        <v>0</v>
      </c>
      <c r="H67" s="89">
        <v>11415</v>
      </c>
      <c r="I67" s="3" t="s">
        <v>321</v>
      </c>
      <c r="J67" s="3" t="s">
        <v>322</v>
      </c>
      <c r="K67" s="4">
        <v>463836.5</v>
      </c>
      <c r="L67" s="4">
        <v>0</v>
      </c>
      <c r="M67" s="4">
        <v>0</v>
      </c>
      <c r="N67" s="4">
        <v>463836.5</v>
      </c>
      <c r="O67" s="4">
        <f>Tab_02.Fev[[#This Row],[DÉBITO]]-Tab_02.Fev[[#This Row],[CRÉDITO]]</f>
        <v>0</v>
      </c>
    </row>
    <row r="68" spans="2:15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S</v>
      </c>
      <c r="E68" s="2">
        <f>IF($I68="","",COUNTIFS(Tab_00.Trial[CONTA],$I68))</f>
        <v>1</v>
      </c>
      <c r="F68" s="4">
        <f>SUMIFS(Tab_01.Jan[SALDO
ATUAL],Tab_01.Jan[CONTA],$I68)</f>
        <v>-1157138.1100000001</v>
      </c>
      <c r="G68" s="4">
        <f t="shared" si="3"/>
        <v>0</v>
      </c>
      <c r="H68" s="89">
        <v>11425</v>
      </c>
      <c r="I68" s="3" t="s">
        <v>215</v>
      </c>
      <c r="J68" s="3" t="s">
        <v>652</v>
      </c>
      <c r="K68" s="4">
        <v>-1157138.1100000001</v>
      </c>
      <c r="L68" s="4">
        <v>0</v>
      </c>
      <c r="M68" s="4">
        <v>5249.74</v>
      </c>
      <c r="N68" s="4">
        <v>-1162387.8500000001</v>
      </c>
      <c r="O68" s="4">
        <f>Tab_02.Fev[[#This Row],[DÉBITO]]-Tab_02.Fev[[#This Row],[CRÉDITO]]</f>
        <v>-5249.74</v>
      </c>
    </row>
    <row r="69" spans="2:15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SUMIFS(Tab_01.Jan[SALDO
ATUAL],Tab_01.Jan[CONTA],$I69)</f>
        <v>-649876.97</v>
      </c>
      <c r="G69" s="4">
        <f t="shared" si="3"/>
        <v>0</v>
      </c>
      <c r="H69" s="89">
        <v>11440</v>
      </c>
      <c r="I69" s="3" t="s">
        <v>186</v>
      </c>
      <c r="J69" s="3" t="s">
        <v>313</v>
      </c>
      <c r="K69" s="4">
        <v>-649876.97</v>
      </c>
      <c r="L69" s="4">
        <v>0</v>
      </c>
      <c r="M69" s="4">
        <v>2997.93</v>
      </c>
      <c r="N69" s="4">
        <v>-652874.9</v>
      </c>
      <c r="O69" s="4">
        <f>Tab_02.Fev[[#This Row],[DÉBITO]]-Tab_02.Fev[[#This Row],[CRÉDITO]]</f>
        <v>-2997.93</v>
      </c>
    </row>
    <row r="70" spans="2:15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SUMIFS(Tab_01.Jan[SALDO
ATUAL],Tab_01.Jan[CONTA],$I70)</f>
        <v>-17058.599999999999</v>
      </c>
      <c r="G70" s="4">
        <f t="shared" si="3"/>
        <v>0</v>
      </c>
      <c r="H70" s="89">
        <v>11470</v>
      </c>
      <c r="I70" s="3" t="s">
        <v>187</v>
      </c>
      <c r="J70" s="3" t="s">
        <v>314</v>
      </c>
      <c r="K70" s="4">
        <v>-17058.599999999999</v>
      </c>
      <c r="L70" s="4">
        <v>0</v>
      </c>
      <c r="M70" s="4">
        <v>191.67</v>
      </c>
      <c r="N70" s="4">
        <v>-17250.27</v>
      </c>
      <c r="O70" s="4">
        <f>Tab_02.Fev[[#This Row],[DÉBITO]]-Tab_02.Fev[[#This Row],[CRÉDITO]]</f>
        <v>-191.67</v>
      </c>
    </row>
    <row r="71" spans="2:15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SUMIFS(Tab_01.Jan[SALDO
ATUAL],Tab_01.Jan[CONTA],$I71)</f>
        <v>-6159.06</v>
      </c>
      <c r="G71" s="4">
        <f t="shared" si="3"/>
        <v>0</v>
      </c>
      <c r="H71" s="89">
        <v>11485</v>
      </c>
      <c r="I71" s="3" t="s">
        <v>188</v>
      </c>
      <c r="J71" s="3" t="s">
        <v>315</v>
      </c>
      <c r="K71" s="4">
        <v>-6159.06</v>
      </c>
      <c r="L71" s="4">
        <v>0</v>
      </c>
      <c r="M71" s="4">
        <v>104.95</v>
      </c>
      <c r="N71" s="4">
        <v>-6264.01</v>
      </c>
      <c r="O71" s="4">
        <f>Tab_02.Fev[[#This Row],[DÉBITO]]-Tab_02.Fev[[#This Row],[CRÉDITO]]</f>
        <v>-104.95</v>
      </c>
    </row>
    <row r="72" spans="2:15" x14ac:dyDescent="0.3">
      <c r="B72" s="2" t="str">
        <f>_xlfn.XLOOKUP($I72,Tab_00.Trial[CONTA],Tab_00.Trial[TP],"",0,1)</f>
        <v>A</v>
      </c>
      <c r="C72" s="2">
        <f>_xlfn.XLOOKUP($I72,Tab_00.Trial[CONTA],Tab_00.Trial[NV],"",0,1)</f>
        <v>5</v>
      </c>
      <c r="D72" s="2" t="str">
        <f>_xlfn.XLOOKUP($I72,Tab_00.Trial[CONTA],Tab_00.Trial[S/A],"",0,1)</f>
        <v>A</v>
      </c>
      <c r="E72" s="2">
        <f>IF($I72="","",COUNTIFS(Tab_00.Trial[CONTA],$I72))</f>
        <v>1</v>
      </c>
      <c r="F72" s="4">
        <f>SUMIFS(Tab_01.Jan[SALDO
ATUAL],Tab_01.Jan[CONTA],$I72)</f>
        <v>-223060.16</v>
      </c>
      <c r="G72" s="4">
        <f t="shared" si="3"/>
        <v>0</v>
      </c>
      <c r="H72" s="89">
        <v>11500</v>
      </c>
      <c r="I72" s="3" t="s">
        <v>189</v>
      </c>
      <c r="J72" s="3" t="s">
        <v>316</v>
      </c>
      <c r="K72" s="4">
        <v>-223060.16</v>
      </c>
      <c r="L72" s="4">
        <v>0</v>
      </c>
      <c r="M72" s="4">
        <v>1582.69</v>
      </c>
      <c r="N72" s="4">
        <v>-224642.85</v>
      </c>
      <c r="O72" s="4">
        <f>Tab_02.Fev[[#This Row],[DÉBITO]]-Tab_02.Fev[[#This Row],[CRÉDITO]]</f>
        <v>-1582.69</v>
      </c>
    </row>
    <row r="73" spans="2:15" x14ac:dyDescent="0.3">
      <c r="B73" s="2" t="str">
        <f>_xlfn.XLOOKUP($I73,Tab_00.Trial[CONTA],Tab_00.Trial[TP],"",0,1)</f>
        <v>A</v>
      </c>
      <c r="C73" s="2">
        <f>_xlfn.XLOOKUP($I73,Tab_00.Trial[CONTA],Tab_00.Trial[NV],"",0,1)</f>
        <v>5</v>
      </c>
      <c r="D73" s="2" t="str">
        <f>_xlfn.XLOOKUP($I73,Tab_00.Trial[CONTA],Tab_00.Trial[S/A],"",0,1)</f>
        <v>A</v>
      </c>
      <c r="E73" s="2">
        <f>IF($I73="","",COUNTIFS(Tab_00.Trial[CONTA],$I73))</f>
        <v>1</v>
      </c>
      <c r="F73" s="4">
        <f>SUMIFS(Tab_01.Jan[SALDO
ATUAL],Tab_01.Jan[CONTA],$I73)</f>
        <v>-3574.84</v>
      </c>
      <c r="G73" s="4">
        <f t="shared" si="3"/>
        <v>0</v>
      </c>
      <c r="H73" s="89">
        <v>11515</v>
      </c>
      <c r="I73" s="3" t="s">
        <v>190</v>
      </c>
      <c r="J73" s="3" t="s">
        <v>318</v>
      </c>
      <c r="K73" s="4">
        <v>-3574.84</v>
      </c>
      <c r="L73" s="4">
        <v>0</v>
      </c>
      <c r="M73" s="4">
        <v>122.5</v>
      </c>
      <c r="N73" s="4">
        <v>-3697.34</v>
      </c>
      <c r="O73" s="4">
        <f>Tab_02.Fev[[#This Row],[DÉBITO]]-Tab_02.Fev[[#This Row],[CRÉDITO]]</f>
        <v>-122.5</v>
      </c>
    </row>
    <row r="74" spans="2:15" x14ac:dyDescent="0.3">
      <c r="B74" s="2" t="str">
        <f>_xlfn.XLOOKUP($I74,Tab_00.Trial[CONTA],Tab_00.Trial[TP],"",0,1)</f>
        <v>A</v>
      </c>
      <c r="C74" s="2">
        <f>_xlfn.XLOOKUP($I74,Tab_00.Trial[CONTA],Tab_00.Trial[NV],"",0,1)</f>
        <v>5</v>
      </c>
      <c r="D74" s="2" t="str">
        <f>_xlfn.XLOOKUP($I74,Tab_00.Trial[CONTA],Tab_00.Trial[S/A],"",0,1)</f>
        <v>A</v>
      </c>
      <c r="E74" s="2">
        <f>IF($I74="","",COUNTIFS(Tab_00.Trial[CONTA],$I74))</f>
        <v>1</v>
      </c>
      <c r="F74" s="4">
        <f>SUMIFS(Tab_01.Jan[SALDO
ATUAL],Tab_01.Jan[CONTA],$I74)</f>
        <v>-128697.03</v>
      </c>
      <c r="G74" s="4">
        <f t="shared" si="3"/>
        <v>0</v>
      </c>
      <c r="H74" s="89">
        <v>11530</v>
      </c>
      <c r="I74" s="3" t="s">
        <v>323</v>
      </c>
      <c r="J74" s="3" t="s">
        <v>319</v>
      </c>
      <c r="K74" s="4">
        <v>-128697.03</v>
      </c>
      <c r="L74" s="4">
        <v>0</v>
      </c>
      <c r="M74" s="4">
        <v>0</v>
      </c>
      <c r="N74" s="4">
        <v>-128697.03</v>
      </c>
      <c r="O74" s="4">
        <f>Tab_02.Fev[[#This Row],[DÉBITO]]-Tab_02.Fev[[#This Row],[CRÉDITO]]</f>
        <v>0</v>
      </c>
    </row>
    <row r="75" spans="2:15" x14ac:dyDescent="0.3">
      <c r="B75" s="2" t="str">
        <f>_xlfn.XLOOKUP($I75,Tab_00.Trial[CONTA],Tab_00.Trial[TP],"",0,1)</f>
        <v>A</v>
      </c>
      <c r="C75" s="2">
        <f>_xlfn.XLOOKUP($I75,Tab_00.Trial[CONTA],Tab_00.Trial[NV],"",0,1)</f>
        <v>5</v>
      </c>
      <c r="D75" s="2" t="str">
        <f>_xlfn.XLOOKUP($I75,Tab_00.Trial[CONTA],Tab_00.Trial[S/A],"",0,1)</f>
        <v>A</v>
      </c>
      <c r="E75" s="2">
        <f>IF($I75="","",COUNTIFS(Tab_00.Trial[CONTA],$I75))</f>
        <v>1</v>
      </c>
      <c r="F75" s="4">
        <f>SUMIFS(Tab_01.Jan[SALDO
ATUAL],Tab_01.Jan[CONTA],$I75)</f>
        <v>-15029.74</v>
      </c>
      <c r="G75" s="4">
        <f t="shared" si="3"/>
        <v>0</v>
      </c>
      <c r="H75" s="89">
        <v>11560</v>
      </c>
      <c r="I75" s="3" t="s">
        <v>324</v>
      </c>
      <c r="J75" s="3" t="s">
        <v>320</v>
      </c>
      <c r="K75" s="4">
        <v>-15029.74</v>
      </c>
      <c r="L75" s="4">
        <v>0</v>
      </c>
      <c r="M75" s="4">
        <v>0</v>
      </c>
      <c r="N75" s="4">
        <v>-15029.74</v>
      </c>
      <c r="O75" s="4">
        <f>Tab_02.Fev[[#This Row],[DÉBITO]]-Tab_02.Fev[[#This Row],[CRÉDITO]]</f>
        <v>0</v>
      </c>
    </row>
    <row r="76" spans="2:15" x14ac:dyDescent="0.3">
      <c r="B76" s="2" t="str">
        <f>_xlfn.XLOOKUP($I76,Tab_00.Trial[CONTA],Tab_00.Trial[TP],"",0,1)</f>
        <v>A</v>
      </c>
      <c r="C76" s="2">
        <f>_xlfn.XLOOKUP($I76,Tab_00.Trial[CONTA],Tab_00.Trial[NV],"",0,1)</f>
        <v>5</v>
      </c>
      <c r="D76" s="2" t="str">
        <f>_xlfn.XLOOKUP($I76,Tab_00.Trial[CONTA],Tab_00.Trial[S/A],"",0,1)</f>
        <v>A</v>
      </c>
      <c r="E76" s="2">
        <f>IF($I76="","",COUNTIFS(Tab_00.Trial[CONTA],$I76))</f>
        <v>1</v>
      </c>
      <c r="F76" s="4">
        <f>SUMIFS(Tab_01.Jan[SALDO
ATUAL],Tab_01.Jan[CONTA],$I76)</f>
        <v>-113681.71</v>
      </c>
      <c r="G76" s="4">
        <f t="shared" si="3"/>
        <v>0</v>
      </c>
      <c r="H76" s="89">
        <v>11565</v>
      </c>
      <c r="I76" s="3" t="s">
        <v>325</v>
      </c>
      <c r="J76" s="3" t="s">
        <v>322</v>
      </c>
      <c r="K76" s="4">
        <v>-113681.71</v>
      </c>
      <c r="L76" s="4">
        <v>0</v>
      </c>
      <c r="M76" s="4">
        <v>250</v>
      </c>
      <c r="N76" s="4">
        <v>-113931.71</v>
      </c>
      <c r="O76" s="4">
        <f>Tab_02.Fev[[#This Row],[DÉBITO]]-Tab_02.Fev[[#This Row],[CRÉDITO]]</f>
        <v>-250</v>
      </c>
    </row>
    <row r="77" spans="2:15" x14ac:dyDescent="0.3">
      <c r="B77" s="2" t="str">
        <f>_xlfn.XLOOKUP($I77,Tab_00.Trial[CONTA],Tab_00.Trial[TP],"",0,1)</f>
        <v>P</v>
      </c>
      <c r="C77" s="2">
        <f>_xlfn.XLOOKUP($I77,Tab_00.Trial[CONTA],Tab_00.Trial[NV],"",0,1)</f>
        <v>1</v>
      </c>
      <c r="D77" s="2" t="str">
        <f>_xlfn.XLOOKUP($I77,Tab_00.Trial[CONTA],Tab_00.Trial[S/A],"",0,1)</f>
        <v>S</v>
      </c>
      <c r="E77" s="2">
        <f>IF($I77="","",COUNTIFS(Tab_00.Trial[CONTA],$I77))</f>
        <v>1</v>
      </c>
      <c r="F77" s="4">
        <f>SUMIFS(Tab_01.Jan[SALDO
ATUAL],Tab_01.Jan[CONTA],$I77)</f>
        <v>-83950196.079999998</v>
      </c>
      <c r="G77" s="4">
        <f t="shared" si="3"/>
        <v>0</v>
      </c>
      <c r="H77" s="89">
        <v>20000</v>
      </c>
      <c r="I77" s="3">
        <v>2</v>
      </c>
      <c r="J77" s="3" t="s">
        <v>653</v>
      </c>
      <c r="K77" s="4">
        <v>-83950196.079999998</v>
      </c>
      <c r="L77" s="4">
        <v>2175611.04</v>
      </c>
      <c r="M77" s="4">
        <v>2016729.06</v>
      </c>
      <c r="N77" s="4">
        <v>-83791314.099999994</v>
      </c>
      <c r="O77" s="4">
        <f>Tab_02.Fev[[#This Row],[DÉBITO]]-Tab_02.Fev[[#This Row],[CRÉDITO]]</f>
        <v>158881.98000000001</v>
      </c>
    </row>
    <row r="78" spans="2:15" x14ac:dyDescent="0.3">
      <c r="B78" s="2" t="str">
        <f>_xlfn.XLOOKUP($I78,Tab_00.Trial[CONTA],Tab_00.Trial[TP],"",0,1)</f>
        <v>P</v>
      </c>
      <c r="C78" s="2">
        <f>_xlfn.XLOOKUP($I78,Tab_00.Trial[CONTA],Tab_00.Trial[NV],"",0,1)</f>
        <v>2</v>
      </c>
      <c r="D78" s="2" t="str">
        <f>_xlfn.XLOOKUP($I78,Tab_00.Trial[CONTA],Tab_00.Trial[S/A],"",0,1)</f>
        <v>S</v>
      </c>
      <c r="E78" s="2">
        <f>IF($I78="","",COUNTIFS(Tab_00.Trial[CONTA],$I78))</f>
        <v>1</v>
      </c>
      <c r="F78" s="4">
        <f>SUMIFS(Tab_01.Jan[SALDO
ATUAL],Tab_01.Jan[CONTA],$I78)</f>
        <v>-1815294.31</v>
      </c>
      <c r="G78" s="4">
        <f t="shared" si="3"/>
        <v>0</v>
      </c>
      <c r="H78" s="89">
        <v>20015</v>
      </c>
      <c r="I78" s="3" t="s">
        <v>216</v>
      </c>
      <c r="J78" s="3" t="s">
        <v>31</v>
      </c>
      <c r="K78" s="4">
        <v>-1815294.31</v>
      </c>
      <c r="L78" s="4">
        <v>2175611.04</v>
      </c>
      <c r="M78" s="4">
        <v>2016729.06</v>
      </c>
      <c r="N78" s="4">
        <v>-1656412.33</v>
      </c>
      <c r="O78" s="4">
        <f>Tab_02.Fev[[#This Row],[DÉBITO]]-Tab_02.Fev[[#This Row],[CRÉDITO]]</f>
        <v>158881.98000000001</v>
      </c>
    </row>
    <row r="79" spans="2:15" x14ac:dyDescent="0.3">
      <c r="B79" s="2" t="str">
        <f>_xlfn.XLOOKUP($I79,Tab_00.Trial[CONTA],Tab_00.Trial[TP],"",0,1)</f>
        <v>P</v>
      </c>
      <c r="C79" s="2">
        <f>_xlfn.XLOOKUP($I79,Tab_00.Trial[CONTA],Tab_00.Trial[NV],"",0,1)</f>
        <v>5</v>
      </c>
      <c r="D79" s="2" t="str">
        <f>_xlfn.XLOOKUP($I79,Tab_00.Trial[CONTA],Tab_00.Trial[S/A],"",0,1)</f>
        <v>S</v>
      </c>
      <c r="E79" s="2">
        <f>IF($I79="","",COUNTIFS(Tab_00.Trial[CONTA],$I79))</f>
        <v>1</v>
      </c>
      <c r="F79" s="4">
        <f>SUMIFS(Tab_01.Jan[SALDO
ATUAL],Tab_01.Jan[CONTA],$I79)</f>
        <v>-368637.38</v>
      </c>
      <c r="G79" s="4">
        <f t="shared" si="3"/>
        <v>0</v>
      </c>
      <c r="H79" s="89">
        <v>20030</v>
      </c>
      <c r="I79" s="3" t="s">
        <v>558</v>
      </c>
      <c r="J79" s="3" t="s">
        <v>654</v>
      </c>
      <c r="K79" s="4">
        <v>-368637.38</v>
      </c>
      <c r="L79" s="4">
        <v>647933.73</v>
      </c>
      <c r="M79" s="4">
        <v>561887.96</v>
      </c>
      <c r="N79" s="4">
        <v>-282591.61</v>
      </c>
      <c r="O79" s="4">
        <f>Tab_02.Fev[[#This Row],[DÉBITO]]-Tab_02.Fev[[#This Row],[CRÉDITO]]</f>
        <v>86045.77</v>
      </c>
    </row>
    <row r="80" spans="2:15" x14ac:dyDescent="0.3">
      <c r="B80" s="2" t="str">
        <f>_xlfn.XLOOKUP($I80,Tab_00.Trial[CONTA],Tab_00.Trial[TP],"",0,1)</f>
        <v>P</v>
      </c>
      <c r="C80" s="2">
        <f>_xlfn.XLOOKUP($I80,Tab_00.Trial[CONTA],Tab_00.Trial[NV],"",0,1)</f>
        <v>5</v>
      </c>
      <c r="D80" s="2" t="str">
        <f>_xlfn.XLOOKUP($I80,Tab_00.Trial[CONTA],Tab_00.Trial[S/A],"",0,1)</f>
        <v>S</v>
      </c>
      <c r="E80" s="2">
        <f>IF($I80="","",COUNTIFS(Tab_00.Trial[CONTA],$I80))</f>
        <v>1</v>
      </c>
      <c r="F80" s="4">
        <f>SUMIFS(Tab_01.Jan[SALDO
ATUAL],Tab_01.Jan[CONTA],$I80)</f>
        <v>0</v>
      </c>
      <c r="G80" s="4">
        <f t="shared" si="3"/>
        <v>0</v>
      </c>
      <c r="H80" s="89">
        <v>20045</v>
      </c>
      <c r="I80" s="3" t="s">
        <v>559</v>
      </c>
      <c r="J80" s="3" t="s">
        <v>655</v>
      </c>
      <c r="K80" s="4">
        <v>0</v>
      </c>
      <c r="L80" s="4">
        <v>264450.21000000002</v>
      </c>
      <c r="M80" s="4">
        <v>264450.21000000002</v>
      </c>
      <c r="N80" s="4">
        <v>0</v>
      </c>
      <c r="O80" s="4">
        <f>Tab_02.Fev[[#This Row],[DÉBITO]]-Tab_02.Fev[[#This Row],[CRÉDITO]]</f>
        <v>0</v>
      </c>
    </row>
    <row r="81" spans="2:15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A</v>
      </c>
      <c r="E81" s="2">
        <f>IF($I81="","",COUNTIFS(Tab_00.Trial[CONTA],$I81))</f>
        <v>1</v>
      </c>
      <c r="F81" s="4">
        <f>SUMIFS(Tab_01.Jan[SALDO
ATUAL],Tab_01.Jan[CONTA],$I81)</f>
        <v>0</v>
      </c>
      <c r="G81" s="4">
        <f t="shared" si="3"/>
        <v>0</v>
      </c>
      <c r="H81" s="89">
        <v>20060</v>
      </c>
      <c r="I81" s="3" t="s">
        <v>326</v>
      </c>
      <c r="J81" s="3" t="s">
        <v>327</v>
      </c>
      <c r="K81" s="4">
        <v>0</v>
      </c>
      <c r="L81" s="4">
        <v>79470.97</v>
      </c>
      <c r="M81" s="4">
        <v>79470.97</v>
      </c>
      <c r="N81" s="4">
        <v>0</v>
      </c>
      <c r="O81" s="4">
        <f>Tab_02.Fev[[#This Row],[DÉBITO]]-Tab_02.Fev[[#This Row],[CRÉDITO]]</f>
        <v>0</v>
      </c>
    </row>
    <row r="82" spans="2:15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A</v>
      </c>
      <c r="E82" s="2">
        <f>IF($I82="","",COUNTIFS(Tab_00.Trial[CONTA],$I82))</f>
        <v>1</v>
      </c>
      <c r="F82" s="4">
        <f>SUMIFS(Tab_01.Jan[SALDO
ATUAL],Tab_01.Jan[CONTA],$I82)</f>
        <v>0</v>
      </c>
      <c r="G82" s="4">
        <f t="shared" ref="G82:G113" si="4">$F82-$K82</f>
        <v>0</v>
      </c>
      <c r="H82" s="89">
        <v>20075</v>
      </c>
      <c r="I82" s="3" t="s">
        <v>328</v>
      </c>
      <c r="J82" s="3" t="s">
        <v>329</v>
      </c>
      <c r="K82" s="4">
        <v>0</v>
      </c>
      <c r="L82" s="4">
        <v>183790.11</v>
      </c>
      <c r="M82" s="4">
        <v>183790.11</v>
      </c>
      <c r="N82" s="4">
        <v>0</v>
      </c>
      <c r="O82" s="4">
        <f>Tab_02.Fev[[#This Row],[DÉBITO]]-Tab_02.Fev[[#This Row],[CRÉDITO]]</f>
        <v>0</v>
      </c>
    </row>
    <row r="83" spans="2:15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A</v>
      </c>
      <c r="E83" s="2">
        <f>IF($I83="","",COUNTIFS(Tab_00.Trial[CONTA],$I83))</f>
        <v>1</v>
      </c>
      <c r="F83" s="4">
        <f>SUMIFS(Tab_01.Jan[SALDO
ATUAL],Tab_01.Jan[CONTA],$I83)</f>
        <v>0</v>
      </c>
      <c r="G83" s="4">
        <f t="shared" si="4"/>
        <v>0</v>
      </c>
      <c r="H83" s="89">
        <v>20105</v>
      </c>
      <c r="I83" s="3" t="s">
        <v>330</v>
      </c>
      <c r="J83" s="3" t="s">
        <v>331</v>
      </c>
      <c r="K83" s="4">
        <v>0</v>
      </c>
      <c r="L83" s="4">
        <v>1189.1300000000001</v>
      </c>
      <c r="M83" s="4">
        <v>1189.1300000000001</v>
      </c>
      <c r="N83" s="4">
        <v>0</v>
      </c>
      <c r="O83" s="4">
        <f>Tab_02.Fev[[#This Row],[DÉBITO]]-Tab_02.Fev[[#This Row],[CRÉDITO]]</f>
        <v>0</v>
      </c>
    </row>
    <row r="84" spans="2:15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S</v>
      </c>
      <c r="E84" s="2">
        <f>IF($I84="","",COUNTIFS(Tab_00.Trial[CONTA],$I84))</f>
        <v>1</v>
      </c>
      <c r="F84" s="4">
        <f>SUMIFS(Tab_01.Jan[SALDO
ATUAL],Tab_01.Jan[CONTA],$I84)</f>
        <v>-15301.97</v>
      </c>
      <c r="G84" s="4">
        <f t="shared" si="4"/>
        <v>0</v>
      </c>
      <c r="H84" s="89">
        <v>20120</v>
      </c>
      <c r="I84" s="3" t="s">
        <v>560</v>
      </c>
      <c r="J84" s="3" t="s">
        <v>656</v>
      </c>
      <c r="K84" s="4">
        <v>-15301.97</v>
      </c>
      <c r="L84" s="4">
        <v>8106.47</v>
      </c>
      <c r="M84" s="4">
        <v>15302.12</v>
      </c>
      <c r="N84" s="4">
        <v>-22497.62</v>
      </c>
      <c r="O84" s="4">
        <f>Tab_02.Fev[[#This Row],[DÉBITO]]-Tab_02.Fev[[#This Row],[CRÉDITO]]</f>
        <v>-7195.65</v>
      </c>
    </row>
    <row r="85" spans="2:15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A</v>
      </c>
      <c r="E85" s="2">
        <f>IF($I85="","",COUNTIFS(Tab_00.Trial[CONTA],$I85))</f>
        <v>1</v>
      </c>
      <c r="F85" s="4">
        <f>SUMIFS(Tab_01.Jan[SALDO
ATUAL],Tab_01.Jan[CONTA],$I85)</f>
        <v>-11268.08</v>
      </c>
      <c r="G85" s="4">
        <f t="shared" si="4"/>
        <v>0</v>
      </c>
      <c r="H85" s="89">
        <v>20135</v>
      </c>
      <c r="I85" s="3" t="s">
        <v>332</v>
      </c>
      <c r="J85" s="3" t="s">
        <v>333</v>
      </c>
      <c r="K85" s="4">
        <v>-11268.08</v>
      </c>
      <c r="L85" s="4">
        <v>5969.43</v>
      </c>
      <c r="M85" s="4">
        <v>11268.11</v>
      </c>
      <c r="N85" s="4">
        <v>-16566.759999999998</v>
      </c>
      <c r="O85" s="4">
        <f>Tab_02.Fev[[#This Row],[DÉBITO]]-Tab_02.Fev[[#This Row],[CRÉDITO]]</f>
        <v>-5298.68</v>
      </c>
    </row>
    <row r="86" spans="2:15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A</v>
      </c>
      <c r="E86" s="2">
        <f>IF($I86="","",COUNTIFS(Tab_00.Trial[CONTA],$I86))</f>
        <v>1</v>
      </c>
      <c r="F86" s="4">
        <f>SUMIFS(Tab_01.Jan[SALDO
ATUAL],Tab_01.Jan[CONTA],$I86)</f>
        <v>-901.38</v>
      </c>
      <c r="G86" s="4">
        <f t="shared" si="4"/>
        <v>0</v>
      </c>
      <c r="H86" s="89">
        <v>20150</v>
      </c>
      <c r="I86" s="3" t="s">
        <v>778</v>
      </c>
      <c r="J86" s="3" t="s">
        <v>779</v>
      </c>
      <c r="K86" s="4">
        <v>-901.38</v>
      </c>
      <c r="L86" s="4">
        <v>477.55</v>
      </c>
      <c r="M86" s="4">
        <v>901.46</v>
      </c>
      <c r="N86" s="4">
        <v>-1325.29</v>
      </c>
      <c r="O86" s="4">
        <f>Tab_02.Fev[[#This Row],[DÉBITO]]-Tab_02.Fev[[#This Row],[CRÉDITO]]</f>
        <v>-423.91</v>
      </c>
    </row>
    <row r="87" spans="2:15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A</v>
      </c>
      <c r="E87" s="2">
        <f>IF($I87="","",COUNTIFS(Tab_00.Trial[CONTA],$I87))</f>
        <v>1</v>
      </c>
      <c r="F87" s="4">
        <f>SUMIFS(Tab_01.Jan[SALDO
ATUAL],Tab_01.Jan[CONTA],$I87)</f>
        <v>-112.67</v>
      </c>
      <c r="G87" s="4">
        <f t="shared" si="4"/>
        <v>0</v>
      </c>
      <c r="H87" s="89">
        <v>20165</v>
      </c>
      <c r="I87" s="3" t="s">
        <v>780</v>
      </c>
      <c r="J87" s="3" t="s">
        <v>781</v>
      </c>
      <c r="K87" s="4">
        <v>-112.67</v>
      </c>
      <c r="L87" s="4">
        <v>59.69</v>
      </c>
      <c r="M87" s="4">
        <v>112.7</v>
      </c>
      <c r="N87" s="4">
        <v>-165.68</v>
      </c>
      <c r="O87" s="4">
        <f>Tab_02.Fev[[#This Row],[DÉBITO]]-Tab_02.Fev[[#This Row],[CRÉDITO]]</f>
        <v>-53.01</v>
      </c>
    </row>
    <row r="88" spans="2:15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A</v>
      </c>
      <c r="E88" s="2">
        <f>IF($I88="","",COUNTIFS(Tab_00.Trial[CONTA],$I88))</f>
        <v>1</v>
      </c>
      <c r="F88" s="4">
        <f>SUMIFS(Tab_01.Jan[SALDO
ATUAL],Tab_01.Jan[CONTA],$I88)</f>
        <v>-3019.84</v>
      </c>
      <c r="G88" s="4">
        <f t="shared" si="4"/>
        <v>0</v>
      </c>
      <c r="H88" s="89">
        <v>10097</v>
      </c>
      <c r="I88" s="3" t="s">
        <v>782</v>
      </c>
      <c r="J88" s="3" t="s">
        <v>783</v>
      </c>
      <c r="K88" s="4">
        <v>-3019.84</v>
      </c>
      <c r="L88" s="4">
        <v>1599.8</v>
      </c>
      <c r="M88" s="4">
        <v>3019.85</v>
      </c>
      <c r="N88" s="4">
        <v>-4439.8900000000003</v>
      </c>
      <c r="O88" s="4">
        <f>Tab_02.Fev[[#This Row],[DÉBITO]]-Tab_02.Fev[[#This Row],[CRÉDITO]]</f>
        <v>-1420.05</v>
      </c>
    </row>
    <row r="89" spans="2:15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S</v>
      </c>
      <c r="E89" s="2">
        <f>IF($I89="","",COUNTIFS(Tab_00.Trial[CONTA],$I89))</f>
        <v>1</v>
      </c>
      <c r="F89" s="4">
        <f>SUMIFS(Tab_01.Jan[SALDO
ATUAL],Tab_01.Jan[CONTA],$I89)</f>
        <v>-281798.96000000002</v>
      </c>
      <c r="G89" s="4">
        <f t="shared" si="4"/>
        <v>0</v>
      </c>
      <c r="H89" s="89">
        <v>20180</v>
      </c>
      <c r="I89" s="3" t="s">
        <v>561</v>
      </c>
      <c r="J89" s="3" t="s">
        <v>657</v>
      </c>
      <c r="K89" s="4">
        <v>-281798.96000000002</v>
      </c>
      <c r="L89" s="4">
        <v>101012.89</v>
      </c>
      <c r="M89" s="4">
        <v>14833.79</v>
      </c>
      <c r="N89" s="4">
        <v>-195619.86</v>
      </c>
      <c r="O89" s="4">
        <f>Tab_02.Fev[[#This Row],[DÉBITO]]-Tab_02.Fev[[#This Row],[CRÉDITO]]</f>
        <v>86179.1</v>
      </c>
    </row>
    <row r="90" spans="2:15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A</v>
      </c>
      <c r="E90" s="2">
        <f>IF($I90="","",COUNTIFS(Tab_00.Trial[CONTA],$I90))</f>
        <v>1</v>
      </c>
      <c r="F90" s="4">
        <f>SUMIFS(Tab_01.Jan[SALDO
ATUAL],Tab_01.Jan[CONTA],$I90)</f>
        <v>-207351.84</v>
      </c>
      <c r="G90" s="4">
        <f t="shared" si="4"/>
        <v>0</v>
      </c>
      <c r="H90" s="89">
        <v>20195</v>
      </c>
      <c r="I90" s="3" t="s">
        <v>334</v>
      </c>
      <c r="J90" s="3" t="s">
        <v>335</v>
      </c>
      <c r="K90" s="4">
        <v>-207351.84</v>
      </c>
      <c r="L90" s="4">
        <v>74334.240000000005</v>
      </c>
      <c r="M90" s="4">
        <v>10947.35</v>
      </c>
      <c r="N90" s="4">
        <v>-143964.95000000001</v>
      </c>
      <c r="O90" s="4">
        <f>Tab_02.Fev[[#This Row],[DÉBITO]]-Tab_02.Fev[[#This Row],[CRÉDITO]]</f>
        <v>63386.89</v>
      </c>
    </row>
    <row r="91" spans="2:15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A</v>
      </c>
      <c r="E91" s="2">
        <f>IF($I91="","",COUNTIFS(Tab_00.Trial[CONTA],$I91))</f>
        <v>1</v>
      </c>
      <c r="F91" s="4">
        <f>SUMIFS(Tab_01.Jan[SALDO
ATUAL],Tab_01.Jan[CONTA],$I91)</f>
        <v>-16551.36</v>
      </c>
      <c r="G91" s="4">
        <f t="shared" si="4"/>
        <v>0</v>
      </c>
      <c r="H91" s="89">
        <v>20210</v>
      </c>
      <c r="I91" s="3" t="s">
        <v>784</v>
      </c>
      <c r="J91" s="3" t="s">
        <v>785</v>
      </c>
      <c r="K91" s="4">
        <v>-16551.36</v>
      </c>
      <c r="L91" s="4">
        <v>5946.74</v>
      </c>
      <c r="M91" s="4">
        <v>868.41</v>
      </c>
      <c r="N91" s="4">
        <v>-11473.03</v>
      </c>
      <c r="O91" s="4">
        <f>Tab_02.Fev[[#This Row],[DÉBITO]]-Tab_02.Fev[[#This Row],[CRÉDITO]]</f>
        <v>5078.33</v>
      </c>
    </row>
    <row r="92" spans="2:15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A</v>
      </c>
      <c r="E92" s="2">
        <f>IF($I92="","",COUNTIFS(Tab_00.Trial[CONTA],$I92))</f>
        <v>1</v>
      </c>
      <c r="F92" s="4">
        <f>SUMIFS(Tab_01.Jan[SALDO
ATUAL],Tab_01.Jan[CONTA],$I92)</f>
        <v>-2448.34</v>
      </c>
      <c r="G92" s="4">
        <f t="shared" si="4"/>
        <v>0</v>
      </c>
      <c r="H92" s="89">
        <v>20225</v>
      </c>
      <c r="I92" s="3" t="s">
        <v>786</v>
      </c>
      <c r="J92" s="3" t="s">
        <v>787</v>
      </c>
      <c r="K92" s="4">
        <v>-2448.34</v>
      </c>
      <c r="L92" s="4">
        <v>810.34</v>
      </c>
      <c r="M92" s="4">
        <v>108.64</v>
      </c>
      <c r="N92" s="4">
        <v>-1746.64</v>
      </c>
      <c r="O92" s="4">
        <f>Tab_02.Fev[[#This Row],[DÉBITO]]-Tab_02.Fev[[#This Row],[CRÉDITO]]</f>
        <v>701.7</v>
      </c>
    </row>
    <row r="93" spans="2:15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A</v>
      </c>
      <c r="E93" s="2">
        <f>IF($I93="","",COUNTIFS(Tab_00.Trial[CONTA],$I93))</f>
        <v>1</v>
      </c>
      <c r="F93" s="4">
        <f>SUMIFS(Tab_01.Jan[SALDO
ATUAL],Tab_01.Jan[CONTA],$I93)</f>
        <v>-55447.42</v>
      </c>
      <c r="G93" s="4">
        <f t="shared" si="4"/>
        <v>0</v>
      </c>
      <c r="H93" s="89">
        <v>10104</v>
      </c>
      <c r="I93" s="3" t="s">
        <v>788</v>
      </c>
      <c r="J93" s="3" t="s">
        <v>789</v>
      </c>
      <c r="K93" s="4">
        <v>-55447.42</v>
      </c>
      <c r="L93" s="4">
        <v>19921.57</v>
      </c>
      <c r="M93" s="4">
        <v>2909.39</v>
      </c>
      <c r="N93" s="4">
        <v>-38435.24</v>
      </c>
      <c r="O93" s="4">
        <f>Tab_02.Fev[[#This Row],[DÉBITO]]-Tab_02.Fev[[#This Row],[CRÉDITO]]</f>
        <v>17012.18</v>
      </c>
    </row>
    <row r="94" spans="2:15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S</v>
      </c>
      <c r="E94" s="2">
        <f>IF($I94="","",COUNTIFS(Tab_00.Trial[CONTA],$I94))</f>
        <v>1</v>
      </c>
      <c r="F94" s="4">
        <f>SUMIFS(Tab_01.Jan[SALDO
ATUAL],Tab_01.Jan[CONTA],$I94)</f>
        <v>-48287.58</v>
      </c>
      <c r="G94" s="4">
        <f t="shared" si="4"/>
        <v>0</v>
      </c>
      <c r="H94" s="89">
        <v>20240</v>
      </c>
      <c r="I94" s="3" t="s">
        <v>562</v>
      </c>
      <c r="J94" s="3" t="s">
        <v>658</v>
      </c>
      <c r="K94" s="4">
        <v>-48287.58</v>
      </c>
      <c r="L94" s="4">
        <v>71134.820000000007</v>
      </c>
      <c r="M94" s="4">
        <v>68940.02</v>
      </c>
      <c r="N94" s="4">
        <v>-46092.78</v>
      </c>
      <c r="O94" s="4">
        <f>Tab_02.Fev[[#This Row],[DÉBITO]]-Tab_02.Fev[[#This Row],[CRÉDITO]]</f>
        <v>2194.8000000000002</v>
      </c>
    </row>
    <row r="95" spans="2:15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A</v>
      </c>
      <c r="E95" s="2">
        <f>IF($I95="","",COUNTIFS(Tab_00.Trial[CONTA],$I95))</f>
        <v>1</v>
      </c>
      <c r="F95" s="4">
        <f>SUMIFS(Tab_01.Jan[SALDO
ATUAL],Tab_01.Jan[CONTA],$I95)</f>
        <v>-47261.64</v>
      </c>
      <c r="G95" s="4">
        <f t="shared" si="4"/>
        <v>0</v>
      </c>
      <c r="H95" s="89">
        <v>20255</v>
      </c>
      <c r="I95" s="3" t="s">
        <v>336</v>
      </c>
      <c r="J95" s="3" t="s">
        <v>337</v>
      </c>
      <c r="K95" s="4">
        <v>-47261.64</v>
      </c>
      <c r="L95" s="4">
        <v>70621.84</v>
      </c>
      <c r="M95" s="4">
        <v>68427.039999999994</v>
      </c>
      <c r="N95" s="4">
        <v>-45066.84</v>
      </c>
      <c r="O95" s="4">
        <f>Tab_02.Fev[[#This Row],[DÉBITO]]-Tab_02.Fev[[#This Row],[CRÉDITO]]</f>
        <v>2194.8000000000002</v>
      </c>
    </row>
    <row r="96" spans="2:15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A</v>
      </c>
      <c r="E96" s="2">
        <f>IF($I96="","",COUNTIFS(Tab_00.Trial[CONTA],$I96))</f>
        <v>1</v>
      </c>
      <c r="F96" s="4">
        <f>SUMIFS(Tab_01.Jan[SALDO
ATUAL],Tab_01.Jan[CONTA],$I96)</f>
        <v>-1025.94</v>
      </c>
      <c r="G96" s="4">
        <f t="shared" si="4"/>
        <v>0</v>
      </c>
      <c r="H96" s="89">
        <v>20270</v>
      </c>
      <c r="I96" s="3" t="s">
        <v>338</v>
      </c>
      <c r="J96" s="3" t="s">
        <v>339</v>
      </c>
      <c r="K96" s="4">
        <v>-1025.94</v>
      </c>
      <c r="L96" s="4">
        <v>512.98</v>
      </c>
      <c r="M96" s="4">
        <v>512.98</v>
      </c>
      <c r="N96" s="4">
        <v>-1025.94</v>
      </c>
      <c r="O96" s="4">
        <f>Tab_02.Fev[[#This Row],[DÉBITO]]-Tab_02.Fev[[#This Row],[CRÉDITO]]</f>
        <v>0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S</v>
      </c>
      <c r="E97" s="2">
        <f>IF($I97="","",COUNTIFS(Tab_00.Trial[CONTA],$I97))</f>
        <v>1</v>
      </c>
      <c r="F97" s="4">
        <f>SUMIFS(Tab_01.Jan[SALDO
ATUAL],Tab_01.Jan[CONTA],$I97)</f>
        <v>-23248.87</v>
      </c>
      <c r="G97" s="4">
        <f t="shared" si="4"/>
        <v>0</v>
      </c>
      <c r="H97" s="89">
        <v>20345</v>
      </c>
      <c r="I97" s="3" t="s">
        <v>563</v>
      </c>
      <c r="J97" s="3" t="s">
        <v>659</v>
      </c>
      <c r="K97" s="4">
        <v>-23248.87</v>
      </c>
      <c r="L97" s="4">
        <v>203229.34</v>
      </c>
      <c r="M97" s="4">
        <v>198361.82</v>
      </c>
      <c r="N97" s="4">
        <v>-18381.349999999999</v>
      </c>
      <c r="O97" s="4">
        <f>Tab_02.Fev[[#This Row],[DÉBITO]]-Tab_02.Fev[[#This Row],[CRÉDITO]]</f>
        <v>4867.5200000000004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A</v>
      </c>
      <c r="E98" s="2">
        <f>IF($I98="","",COUNTIFS(Tab_00.Trial[CONTA],$I98))</f>
        <v>1</v>
      </c>
      <c r="F98" s="4">
        <f>SUMIFS(Tab_01.Jan[SALDO
ATUAL],Tab_01.Jan[CONTA],$I98)</f>
        <v>-21799.74</v>
      </c>
      <c r="G98" s="4">
        <f t="shared" si="4"/>
        <v>0</v>
      </c>
      <c r="H98" s="89">
        <v>20360</v>
      </c>
      <c r="I98" s="3" t="s">
        <v>340</v>
      </c>
      <c r="J98" s="3" t="s">
        <v>341</v>
      </c>
      <c r="K98" s="4">
        <v>-21799.74</v>
      </c>
      <c r="L98" s="4">
        <v>201780.21</v>
      </c>
      <c r="M98" s="4">
        <v>197072.14</v>
      </c>
      <c r="N98" s="4">
        <v>-17091.669999999998</v>
      </c>
      <c r="O98" s="4">
        <f>Tab_02.Fev[[#This Row],[DÉBITO]]-Tab_02.Fev[[#This Row],[CRÉDITO]]</f>
        <v>4708.07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A</v>
      </c>
      <c r="E99" s="2">
        <f>IF($I99="","",COUNTIFS(Tab_00.Trial[CONTA],$I99))</f>
        <v>1</v>
      </c>
      <c r="F99" s="4">
        <f>SUMIFS(Tab_01.Jan[SALDO
ATUAL],Tab_01.Jan[CONTA],$I99)</f>
        <v>-1449.13</v>
      </c>
      <c r="G99" s="4">
        <f t="shared" si="4"/>
        <v>0</v>
      </c>
      <c r="H99" s="89">
        <v>20375</v>
      </c>
      <c r="I99" s="3" t="s">
        <v>342</v>
      </c>
      <c r="J99" s="3" t="s">
        <v>343</v>
      </c>
      <c r="K99" s="4">
        <v>-1449.13</v>
      </c>
      <c r="L99" s="4">
        <v>1449.13</v>
      </c>
      <c r="M99" s="4">
        <v>1289.68</v>
      </c>
      <c r="N99" s="4">
        <v>-1289.68</v>
      </c>
      <c r="O99" s="4">
        <f>Tab_02.Fev[[#This Row],[DÉBITO]]-Tab_02.Fev[[#This Row],[CRÉDITO]]</f>
        <v>159.44999999999999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S</v>
      </c>
      <c r="E100" s="2">
        <f>IF($I100="","",COUNTIFS(Tab_00.Trial[CONTA],$I100))</f>
        <v>1</v>
      </c>
      <c r="F100" s="4">
        <f>SUMIFS(Tab_01.Jan[SALDO
ATUAL],Tab_01.Jan[CONTA],$I100)</f>
        <v>-1396034.98</v>
      </c>
      <c r="G100" s="4">
        <f t="shared" si="4"/>
        <v>0</v>
      </c>
      <c r="H100" s="89">
        <v>20390</v>
      </c>
      <c r="I100" s="3" t="s">
        <v>218</v>
      </c>
      <c r="J100" s="3" t="s">
        <v>660</v>
      </c>
      <c r="K100" s="4">
        <v>-1396034.98</v>
      </c>
      <c r="L100" s="4">
        <v>1502023.76</v>
      </c>
      <c r="M100" s="4">
        <v>1430675.84</v>
      </c>
      <c r="N100" s="4">
        <v>-1324687.06</v>
      </c>
      <c r="O100" s="4">
        <f>Tab_02.Fev[[#This Row],[DÉBITO]]-Tab_02.Fev[[#This Row],[CRÉDITO]]</f>
        <v>71347.92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S</v>
      </c>
      <c r="E101" s="2">
        <f>IF($I101="","",COUNTIFS(Tab_00.Trial[CONTA],$I101))</f>
        <v>1</v>
      </c>
      <c r="F101" s="4">
        <f>SUMIFS(Tab_01.Jan[SALDO
ATUAL],Tab_01.Jan[CONTA],$I101)</f>
        <v>-646686.39</v>
      </c>
      <c r="G101" s="4">
        <f t="shared" si="4"/>
        <v>0</v>
      </c>
      <c r="H101" s="89">
        <v>20405</v>
      </c>
      <c r="I101" s="3" t="s">
        <v>219</v>
      </c>
      <c r="J101" s="3" t="s">
        <v>56</v>
      </c>
      <c r="K101" s="4">
        <v>-646686.39</v>
      </c>
      <c r="L101" s="4">
        <v>831723.36</v>
      </c>
      <c r="M101" s="4">
        <v>760375.44</v>
      </c>
      <c r="N101" s="4">
        <v>-575338.47</v>
      </c>
      <c r="O101" s="4">
        <f>Tab_02.Fev[[#This Row],[DÉBITO]]-Tab_02.Fev[[#This Row],[CRÉDITO]]</f>
        <v>71347.92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A</v>
      </c>
      <c r="E102" s="2">
        <f>IF($I102="","",COUNTIFS(Tab_00.Trial[CONTA],$I102))</f>
        <v>1</v>
      </c>
      <c r="F102" s="4">
        <f>SUMIFS(Tab_01.Jan[SALDO
ATUAL],Tab_01.Jan[CONTA],$I102)</f>
        <v>-646686.39</v>
      </c>
      <c r="G102" s="4">
        <f t="shared" si="4"/>
        <v>0</v>
      </c>
      <c r="H102" s="89">
        <v>20420</v>
      </c>
      <c r="I102" s="3" t="s">
        <v>344</v>
      </c>
      <c r="J102" s="3" t="s">
        <v>56</v>
      </c>
      <c r="K102" s="4">
        <v>-646686.39</v>
      </c>
      <c r="L102" s="4">
        <v>831723.36</v>
      </c>
      <c r="M102" s="4">
        <v>760375.44</v>
      </c>
      <c r="N102" s="4">
        <v>-575338.47</v>
      </c>
      <c r="O102" s="4">
        <f>Tab_02.Fev[[#This Row],[DÉBITO]]-Tab_02.Fev[[#This Row],[CRÉDITO]]</f>
        <v>71347.92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S</v>
      </c>
      <c r="E103" s="2">
        <f>IF($I103="","",COUNTIFS(Tab_00.Trial[CONTA],$I103))</f>
        <v>1</v>
      </c>
      <c r="F103" s="4">
        <f>SUMIFS(Tab_01.Jan[SALDO
ATUAL],Tab_01.Jan[CONTA],$I103)</f>
        <v>-749348.59</v>
      </c>
      <c r="G103" s="4">
        <f t="shared" si="4"/>
        <v>0</v>
      </c>
      <c r="H103" s="89">
        <v>20455</v>
      </c>
      <c r="I103" s="3" t="s">
        <v>220</v>
      </c>
      <c r="J103" s="3" t="s">
        <v>346</v>
      </c>
      <c r="K103" s="4">
        <v>-749348.59</v>
      </c>
      <c r="L103" s="4">
        <v>670300.4</v>
      </c>
      <c r="M103" s="4">
        <v>670300.4</v>
      </c>
      <c r="N103" s="4">
        <v>-749348.59</v>
      </c>
      <c r="O103" s="4">
        <f>Tab_02.Fev[[#This Row],[DÉBITO]]-Tab_02.Fev[[#This Row],[CRÉDITO]]</f>
        <v>0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A</v>
      </c>
      <c r="E104" s="2">
        <f>IF($I104="","",COUNTIFS(Tab_00.Trial[CONTA],$I104))</f>
        <v>1</v>
      </c>
      <c r="F104" s="4">
        <f>SUMIFS(Tab_01.Jan[SALDO
ATUAL],Tab_01.Jan[CONTA],$I104)</f>
        <v>-749348.59</v>
      </c>
      <c r="G104" s="4">
        <f t="shared" si="4"/>
        <v>0</v>
      </c>
      <c r="H104" s="89">
        <v>20460</v>
      </c>
      <c r="I104" s="3" t="s">
        <v>345</v>
      </c>
      <c r="J104" s="3" t="s">
        <v>346</v>
      </c>
      <c r="K104" s="4">
        <v>-749348.59</v>
      </c>
      <c r="L104" s="4">
        <v>670300.4</v>
      </c>
      <c r="M104" s="4">
        <v>670300.4</v>
      </c>
      <c r="N104" s="4">
        <v>-749348.59</v>
      </c>
      <c r="O104" s="4">
        <f>Tab_02.Fev[[#This Row],[DÉBITO]]-Tab_02.Fev[[#This Row],[CRÉDITO]]</f>
        <v>0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S</v>
      </c>
      <c r="E105" s="2">
        <f>IF($I105="","",COUNTIFS(Tab_00.Trial[CONTA],$I105))</f>
        <v>1</v>
      </c>
      <c r="F105" s="4">
        <f>SUMIFS(Tab_01.Jan[SALDO
ATUAL],Tab_01.Jan[CONTA],$I105)</f>
        <v>-24303.84</v>
      </c>
      <c r="G105" s="4">
        <f t="shared" si="4"/>
        <v>0</v>
      </c>
      <c r="H105" s="89">
        <v>20465</v>
      </c>
      <c r="I105" s="3" t="s">
        <v>221</v>
      </c>
      <c r="J105" s="3" t="s">
        <v>661</v>
      </c>
      <c r="K105" s="4">
        <v>-24303.84</v>
      </c>
      <c r="L105" s="4">
        <v>25066.42</v>
      </c>
      <c r="M105" s="4">
        <v>23540.35</v>
      </c>
      <c r="N105" s="4">
        <v>-22777.77</v>
      </c>
      <c r="O105" s="4">
        <f>Tab_02.Fev[[#This Row],[DÉBITO]]-Tab_02.Fev[[#This Row],[CRÉDITO]]</f>
        <v>1526.07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S</v>
      </c>
      <c r="E106" s="2">
        <f>IF($I106="","",COUNTIFS(Tab_00.Trial[CONTA],$I106))</f>
        <v>1</v>
      </c>
      <c r="F106" s="4">
        <f>SUMIFS(Tab_01.Jan[SALDO
ATUAL],Tab_01.Jan[CONTA],$I106)</f>
        <v>-23819.66</v>
      </c>
      <c r="G106" s="4">
        <f t="shared" si="4"/>
        <v>0</v>
      </c>
      <c r="H106" s="89">
        <v>20480</v>
      </c>
      <c r="I106" s="3" t="s">
        <v>222</v>
      </c>
      <c r="J106" s="3" t="s">
        <v>662</v>
      </c>
      <c r="K106" s="4">
        <v>-23819.66</v>
      </c>
      <c r="L106" s="4">
        <v>25066.42</v>
      </c>
      <c r="M106" s="4">
        <v>23540.35</v>
      </c>
      <c r="N106" s="4">
        <v>-22293.59</v>
      </c>
      <c r="O106" s="4">
        <f>Tab_02.Fev[[#This Row],[DÉBITO]]-Tab_02.Fev[[#This Row],[CRÉDITO]]</f>
        <v>1526.07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A</v>
      </c>
      <c r="E107" s="2">
        <f>IF($I107="","",COUNTIFS(Tab_00.Trial[CONTA],$I107))</f>
        <v>1</v>
      </c>
      <c r="F107" s="4">
        <f>SUMIFS(Tab_01.Jan[SALDO
ATUAL],Tab_01.Jan[CONTA],$I107)</f>
        <v>-409</v>
      </c>
      <c r="G107" s="4">
        <f t="shared" si="4"/>
        <v>0</v>
      </c>
      <c r="H107" s="89">
        <v>20495</v>
      </c>
      <c r="I107" s="3" t="s">
        <v>191</v>
      </c>
      <c r="J107" s="3" t="s">
        <v>347</v>
      </c>
      <c r="K107" s="4">
        <v>-409</v>
      </c>
      <c r="L107" s="4">
        <v>575.26</v>
      </c>
      <c r="M107" s="4">
        <v>584.57000000000005</v>
      </c>
      <c r="N107" s="4">
        <v>-418.31</v>
      </c>
      <c r="O107" s="4">
        <f>Tab_02.Fev[[#This Row],[DÉBITO]]-Tab_02.Fev[[#This Row],[CRÉDITO]]</f>
        <v>-9.31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A</v>
      </c>
      <c r="E108" s="2">
        <f>IF($I108="","",COUNTIFS(Tab_00.Trial[CONTA],$I108))</f>
        <v>1</v>
      </c>
      <c r="F108" s="4">
        <f>SUMIFS(Tab_01.Jan[SALDO
ATUAL],Tab_01.Jan[CONTA],$I108)</f>
        <v>-21686.36</v>
      </c>
      <c r="G108" s="4">
        <f t="shared" si="4"/>
        <v>0</v>
      </c>
      <c r="H108" s="89">
        <v>20510</v>
      </c>
      <c r="I108" s="3" t="s">
        <v>192</v>
      </c>
      <c r="J108" s="3" t="s">
        <v>348</v>
      </c>
      <c r="K108" s="4">
        <v>-21686.36</v>
      </c>
      <c r="L108" s="4">
        <v>21686.36</v>
      </c>
      <c r="M108" s="4">
        <v>20806.93</v>
      </c>
      <c r="N108" s="4">
        <v>-20806.93</v>
      </c>
      <c r="O108" s="4">
        <f>Tab_02.Fev[[#This Row],[DÉBITO]]-Tab_02.Fev[[#This Row],[CRÉDITO]]</f>
        <v>879.43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A</v>
      </c>
      <c r="E109" s="2">
        <f>IF($I109="","",COUNTIFS(Tab_00.Trial[CONTA],$I109))</f>
        <v>1</v>
      </c>
      <c r="F109" s="4">
        <f>SUMIFS(Tab_01.Jan[SALDO
ATUAL],Tab_01.Jan[CONTA],$I109)</f>
        <v>-120.94</v>
      </c>
      <c r="G109" s="4">
        <f t="shared" si="4"/>
        <v>0</v>
      </c>
      <c r="H109" s="89">
        <v>20515</v>
      </c>
      <c r="I109" s="3" t="s">
        <v>264</v>
      </c>
      <c r="J109" s="3" t="s">
        <v>349</v>
      </c>
      <c r="K109" s="4">
        <v>-120.94</v>
      </c>
      <c r="L109" s="4">
        <v>0</v>
      </c>
      <c r="M109" s="4">
        <v>0</v>
      </c>
      <c r="N109" s="4">
        <v>-120.94</v>
      </c>
      <c r="O109" s="4">
        <f>Tab_02.Fev[[#This Row],[DÉBITO]]-Tab_02.Fev[[#This Row],[CRÉDITO]]</f>
        <v>0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A</v>
      </c>
      <c r="E110" s="2">
        <f>IF($I110="","",COUNTIFS(Tab_00.Trial[CONTA],$I110))</f>
        <v>1</v>
      </c>
      <c r="F110" s="4">
        <f>SUMIFS(Tab_01.Jan[SALDO
ATUAL],Tab_01.Jan[CONTA],$I110)</f>
        <v>-1580.91</v>
      </c>
      <c r="G110" s="4">
        <f t="shared" si="4"/>
        <v>0</v>
      </c>
      <c r="H110" s="89">
        <v>20525</v>
      </c>
      <c r="I110" s="3" t="s">
        <v>350</v>
      </c>
      <c r="J110" s="3" t="s">
        <v>351</v>
      </c>
      <c r="K110" s="4">
        <v>-1580.91</v>
      </c>
      <c r="L110" s="4">
        <v>2793.63</v>
      </c>
      <c r="M110" s="4">
        <v>2137.6799999999998</v>
      </c>
      <c r="N110" s="4">
        <v>-924.96</v>
      </c>
      <c r="O110" s="4">
        <f>Tab_02.Fev[[#This Row],[DÉBITO]]-Tab_02.Fev[[#This Row],[CRÉDITO]]</f>
        <v>655.95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A</v>
      </c>
      <c r="E111" s="2">
        <f>IF($I111="","",COUNTIFS(Tab_00.Trial[CONTA],$I111))</f>
        <v>1</v>
      </c>
      <c r="F111" s="4">
        <f>SUMIFS(Tab_01.Jan[SALDO
ATUAL],Tab_01.Jan[CONTA],$I111)</f>
        <v>-22.45</v>
      </c>
      <c r="G111" s="4">
        <f t="shared" si="4"/>
        <v>0</v>
      </c>
      <c r="H111" s="89">
        <v>20540</v>
      </c>
      <c r="I111" s="3" t="s">
        <v>352</v>
      </c>
      <c r="J111" s="3" t="s">
        <v>353</v>
      </c>
      <c r="K111" s="4">
        <v>-22.45</v>
      </c>
      <c r="L111" s="4">
        <v>11.17</v>
      </c>
      <c r="M111" s="4">
        <v>11.17</v>
      </c>
      <c r="N111" s="4">
        <v>-22.45</v>
      </c>
      <c r="O111" s="4">
        <f>Tab_02.Fev[[#This Row],[DÉBITO]]-Tab_02.Fev[[#This Row],[CRÉDITO]]</f>
        <v>0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S</v>
      </c>
      <c r="E112" s="2">
        <f>IF($I112="","",COUNTIFS(Tab_00.Trial[CONTA],$I112))</f>
        <v>1</v>
      </c>
      <c r="F112" s="4">
        <f>SUMIFS(Tab_01.Jan[SALDO
ATUAL],Tab_01.Jan[CONTA],$I112)</f>
        <v>-484.18</v>
      </c>
      <c r="G112" s="4">
        <f t="shared" si="4"/>
        <v>0</v>
      </c>
      <c r="H112" s="89">
        <v>20565</v>
      </c>
      <c r="I112" s="3" t="s">
        <v>223</v>
      </c>
      <c r="J112" s="3" t="s">
        <v>663</v>
      </c>
      <c r="K112" s="4">
        <v>-484.18</v>
      </c>
      <c r="L112" s="4">
        <v>0</v>
      </c>
      <c r="M112" s="4">
        <v>0</v>
      </c>
      <c r="N112" s="4">
        <v>-484.18</v>
      </c>
      <c r="O112" s="4">
        <f>Tab_02.Fev[[#This Row],[DÉBITO]]-Tab_02.Fev[[#This Row],[CRÉDITO]]</f>
        <v>0</v>
      </c>
    </row>
    <row r="113" spans="2:15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A</v>
      </c>
      <c r="E113" s="2">
        <f>IF($I113="","",COUNTIFS(Tab_00.Trial[CONTA],$I113))</f>
        <v>1</v>
      </c>
      <c r="F113" s="4">
        <f>SUMIFS(Tab_01.Jan[SALDO
ATUAL],Tab_01.Jan[CONTA],$I113)</f>
        <v>-484.18</v>
      </c>
      <c r="G113" s="4">
        <f t="shared" si="4"/>
        <v>0</v>
      </c>
      <c r="H113" s="89">
        <v>20576</v>
      </c>
      <c r="I113" s="3" t="s">
        <v>354</v>
      </c>
      <c r="J113" s="3" t="s">
        <v>355</v>
      </c>
      <c r="K113" s="4">
        <v>-484.18</v>
      </c>
      <c r="L113" s="4">
        <v>0</v>
      </c>
      <c r="M113" s="4">
        <v>0</v>
      </c>
      <c r="N113" s="4">
        <v>-484.18</v>
      </c>
      <c r="O113" s="4">
        <f>Tab_02.Fev[[#This Row],[DÉBITO]]-Tab_02.Fev[[#This Row],[CRÉDITO]]</f>
        <v>0</v>
      </c>
    </row>
    <row r="114" spans="2:15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5</v>
      </c>
      <c r="D114" s="2" t="str">
        <f>_xlfn.XLOOKUP($I114,Tab_00.Trial[CONTA],Tab_00.Trial[S/A],"",0,1)</f>
        <v>S</v>
      </c>
      <c r="E114" s="2">
        <f>IF($I114="","",COUNTIFS(Tab_00.Trial[CONTA],$I114))</f>
        <v>1</v>
      </c>
      <c r="F114" s="4">
        <f>SUMIFS(Tab_01.Jan[SALDO
ATUAL],Tab_01.Jan[CONTA],$I114)</f>
        <v>-22468.91</v>
      </c>
      <c r="G114" s="4">
        <f t="shared" ref="G114:G145" si="5">$F114-$K114</f>
        <v>0</v>
      </c>
      <c r="H114" s="89">
        <v>20690</v>
      </c>
      <c r="I114" s="3" t="s">
        <v>224</v>
      </c>
      <c r="J114" s="3" t="s">
        <v>664</v>
      </c>
      <c r="K114" s="4">
        <v>-22468.91</v>
      </c>
      <c r="L114" s="4">
        <v>587.13</v>
      </c>
      <c r="M114" s="4">
        <v>624.91</v>
      </c>
      <c r="N114" s="4">
        <v>-22506.69</v>
      </c>
      <c r="O114" s="4">
        <f>Tab_02.Fev[[#This Row],[DÉBITO]]-Tab_02.Fev[[#This Row],[CRÉDITO]]</f>
        <v>-37.78</v>
      </c>
    </row>
    <row r="115" spans="2:15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5</v>
      </c>
      <c r="D115" s="2" t="str">
        <f>_xlfn.XLOOKUP($I115,Tab_00.Trial[CONTA],Tab_00.Trial[S/A],"",0,1)</f>
        <v>S</v>
      </c>
      <c r="E115" s="2">
        <f>IF($I115="","",COUNTIFS(Tab_00.Trial[CONTA],$I115))</f>
        <v>1</v>
      </c>
      <c r="F115" s="4">
        <f>SUMIFS(Tab_01.Jan[SALDO
ATUAL],Tab_01.Jan[CONTA],$I115)</f>
        <v>-22468.91</v>
      </c>
      <c r="G115" s="4">
        <f t="shared" si="5"/>
        <v>0</v>
      </c>
      <c r="H115" s="89">
        <v>20705</v>
      </c>
      <c r="I115" s="3" t="s">
        <v>225</v>
      </c>
      <c r="J115" s="3" t="s">
        <v>665</v>
      </c>
      <c r="K115" s="4">
        <v>-22468.91</v>
      </c>
      <c r="L115" s="4">
        <v>587.13</v>
      </c>
      <c r="M115" s="4">
        <v>624.91</v>
      </c>
      <c r="N115" s="4">
        <v>-22506.69</v>
      </c>
      <c r="O115" s="4">
        <f>Tab_02.Fev[[#This Row],[DÉBITO]]-Tab_02.Fev[[#This Row],[CRÉDITO]]</f>
        <v>-37.78</v>
      </c>
    </row>
    <row r="116" spans="2:15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5</v>
      </c>
      <c r="D116" s="2" t="str">
        <f>_xlfn.XLOOKUP($I116,Tab_00.Trial[CONTA],Tab_00.Trial[S/A],"",0,1)</f>
        <v>A</v>
      </c>
      <c r="E116" s="2">
        <f>IF($I116="","",COUNTIFS(Tab_00.Trial[CONTA],$I116))</f>
        <v>1</v>
      </c>
      <c r="F116" s="4">
        <f>SUMIFS(Tab_01.Jan[SALDO
ATUAL],Tab_01.Jan[CONTA],$I116)</f>
        <v>-22468.91</v>
      </c>
      <c r="G116" s="4">
        <f t="shared" si="5"/>
        <v>0</v>
      </c>
      <c r="H116" s="89">
        <v>20750</v>
      </c>
      <c r="I116" s="3" t="s">
        <v>356</v>
      </c>
      <c r="J116" s="3" t="s">
        <v>357</v>
      </c>
      <c r="K116" s="4">
        <v>-22468.91</v>
      </c>
      <c r="L116" s="4">
        <v>587.13</v>
      </c>
      <c r="M116" s="4">
        <v>624.91</v>
      </c>
      <c r="N116" s="4">
        <v>-22506.69</v>
      </c>
      <c r="O116" s="4">
        <f>Tab_02.Fev[[#This Row],[DÉBITO]]-Tab_02.Fev[[#This Row],[CRÉDITO]]</f>
        <v>-37.78</v>
      </c>
    </row>
    <row r="117" spans="2:15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5</v>
      </c>
      <c r="D117" s="2" t="str">
        <f>_xlfn.XLOOKUP($I117,Tab_00.Trial[CONTA],Tab_00.Trial[S/A],"",0,1)</f>
        <v>S</v>
      </c>
      <c r="E117" s="2">
        <f>IF($I117="","",COUNTIFS(Tab_00.Trial[CONTA],$I117))</f>
        <v>1</v>
      </c>
      <c r="F117" s="4">
        <f>SUMIFS(Tab_01.Jan[SALDO
ATUAL],Tab_01.Jan[CONTA],$I117)</f>
        <v>-3849.2</v>
      </c>
      <c r="G117" s="4">
        <f t="shared" si="5"/>
        <v>0</v>
      </c>
      <c r="H117" s="89">
        <v>20765</v>
      </c>
      <c r="I117" s="3" t="s">
        <v>564</v>
      </c>
      <c r="J117" s="3" t="s">
        <v>666</v>
      </c>
      <c r="K117" s="4">
        <v>-3849.2</v>
      </c>
      <c r="L117" s="4">
        <v>0</v>
      </c>
      <c r="M117" s="4">
        <v>0</v>
      </c>
      <c r="N117" s="4">
        <v>-3849.2</v>
      </c>
      <c r="O117" s="4">
        <f>Tab_02.Fev[[#This Row],[DÉBITO]]-Tab_02.Fev[[#This Row],[CRÉDITO]]</f>
        <v>0</v>
      </c>
    </row>
    <row r="118" spans="2:15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5</v>
      </c>
      <c r="D118" s="2" t="str">
        <f>_xlfn.XLOOKUP($I118,Tab_00.Trial[CONTA],Tab_00.Trial[S/A],"",0,1)</f>
        <v>S</v>
      </c>
      <c r="E118" s="2">
        <f>IF($I118="","",COUNTIFS(Tab_00.Trial[CONTA],$I118))</f>
        <v>1</v>
      </c>
      <c r="F118" s="4">
        <f>SUMIFS(Tab_01.Jan[SALDO
ATUAL],Tab_01.Jan[CONTA],$I118)</f>
        <v>-3849.2</v>
      </c>
      <c r="G118" s="4">
        <f t="shared" si="5"/>
        <v>0</v>
      </c>
      <c r="H118" s="89">
        <v>20780</v>
      </c>
      <c r="I118" s="3" t="s">
        <v>565</v>
      </c>
      <c r="J118" s="3" t="s">
        <v>667</v>
      </c>
      <c r="K118" s="4">
        <v>-3849.2</v>
      </c>
      <c r="L118" s="4">
        <v>0</v>
      </c>
      <c r="M118" s="4">
        <v>0</v>
      </c>
      <c r="N118" s="4">
        <v>-3849.2</v>
      </c>
      <c r="O118" s="4">
        <f>Tab_02.Fev[[#This Row],[DÉBITO]]-Tab_02.Fev[[#This Row],[CRÉDITO]]</f>
        <v>0</v>
      </c>
    </row>
    <row r="119" spans="2:15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5</v>
      </c>
      <c r="D119" s="2" t="str">
        <f>_xlfn.XLOOKUP($I119,Tab_00.Trial[CONTA],Tab_00.Trial[S/A],"",0,1)</f>
        <v>A</v>
      </c>
      <c r="E119" s="2">
        <f>IF($I119="","",COUNTIFS(Tab_00.Trial[CONTA],$I119))</f>
        <v>1</v>
      </c>
      <c r="F119" s="4">
        <f>SUMIFS(Tab_01.Jan[SALDO
ATUAL],Tab_01.Jan[CONTA],$I119)</f>
        <v>-3849.2</v>
      </c>
      <c r="G119" s="4">
        <f t="shared" si="5"/>
        <v>0</v>
      </c>
      <c r="H119" s="89">
        <v>20790</v>
      </c>
      <c r="I119" s="3" t="s">
        <v>358</v>
      </c>
      <c r="J119" s="3" t="s">
        <v>359</v>
      </c>
      <c r="K119" s="4">
        <v>-3849.2</v>
      </c>
      <c r="L119" s="4">
        <v>0</v>
      </c>
      <c r="M119" s="4">
        <v>0</v>
      </c>
      <c r="N119" s="4">
        <v>-3849.2</v>
      </c>
      <c r="O119" s="4">
        <f>Tab_02.Fev[[#This Row],[DÉBITO]]-Tab_02.Fev[[#This Row],[CRÉDITO]]</f>
        <v>0</v>
      </c>
    </row>
    <row r="120" spans="2:15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2</v>
      </c>
      <c r="D120" s="2" t="str">
        <f>_xlfn.XLOOKUP($I120,Tab_00.Trial[CONTA],Tab_00.Trial[S/A],"",0,1)</f>
        <v>S</v>
      </c>
      <c r="E120" s="2">
        <f>IF($I120="","",COUNTIFS(Tab_00.Trial[CONTA],$I120))</f>
        <v>1</v>
      </c>
      <c r="F120" s="4">
        <f>SUMIFS(Tab_01.Jan[SALDO
ATUAL],Tab_01.Jan[CONTA],$I120)</f>
        <v>-46934.04</v>
      </c>
      <c r="G120" s="4">
        <f t="shared" si="5"/>
        <v>0</v>
      </c>
      <c r="H120" s="89">
        <v>20885</v>
      </c>
      <c r="I120" s="3" t="s">
        <v>226</v>
      </c>
      <c r="J120" s="3" t="s">
        <v>76</v>
      </c>
      <c r="K120" s="4">
        <v>-46934.04</v>
      </c>
      <c r="L120" s="4">
        <v>0</v>
      </c>
      <c r="M120" s="4">
        <v>0</v>
      </c>
      <c r="N120" s="4">
        <v>-46934.04</v>
      </c>
      <c r="O120" s="4">
        <f>Tab_02.Fev[[#This Row],[DÉBITO]]-Tab_02.Fev[[#This Row],[CRÉDITO]]</f>
        <v>0</v>
      </c>
    </row>
    <row r="121" spans="2:15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5</v>
      </c>
      <c r="D121" s="2" t="str">
        <f>_xlfn.XLOOKUP($I121,Tab_00.Trial[CONTA],Tab_00.Trial[S/A],"",0,1)</f>
        <v>S</v>
      </c>
      <c r="E121" s="2">
        <f>IF($I121="","",COUNTIFS(Tab_00.Trial[CONTA],$I121))</f>
        <v>1</v>
      </c>
      <c r="F121" s="4">
        <f>SUMIFS(Tab_01.Jan[SALDO
ATUAL],Tab_01.Jan[CONTA],$I121)</f>
        <v>-46934.04</v>
      </c>
      <c r="G121" s="4">
        <f t="shared" si="5"/>
        <v>0</v>
      </c>
      <c r="H121" s="89">
        <v>21110</v>
      </c>
      <c r="I121" s="3" t="s">
        <v>566</v>
      </c>
      <c r="J121" s="3" t="s">
        <v>668</v>
      </c>
      <c r="K121" s="4">
        <v>-46934.04</v>
      </c>
      <c r="L121" s="4">
        <v>0</v>
      </c>
      <c r="M121" s="4">
        <v>0</v>
      </c>
      <c r="N121" s="4">
        <v>-46934.04</v>
      </c>
      <c r="O121" s="4">
        <f>Tab_02.Fev[[#This Row],[DÉBITO]]-Tab_02.Fev[[#This Row],[CRÉDITO]]</f>
        <v>0</v>
      </c>
    </row>
    <row r="122" spans="2:15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5</v>
      </c>
      <c r="D122" s="2" t="str">
        <f>_xlfn.XLOOKUP($I122,Tab_00.Trial[CONTA],Tab_00.Trial[S/A],"",0,1)</f>
        <v>S</v>
      </c>
      <c r="E122" s="2">
        <f>IF($I122="","",COUNTIFS(Tab_00.Trial[CONTA],$I122))</f>
        <v>1</v>
      </c>
      <c r="F122" s="4">
        <f>SUMIFS(Tab_01.Jan[SALDO
ATUAL],Tab_01.Jan[CONTA],$I122)</f>
        <v>-46934.04</v>
      </c>
      <c r="G122" s="4">
        <f t="shared" si="5"/>
        <v>0</v>
      </c>
      <c r="H122" s="89">
        <v>21125</v>
      </c>
      <c r="I122" s="3" t="s">
        <v>567</v>
      </c>
      <c r="J122" s="3" t="s">
        <v>669</v>
      </c>
      <c r="K122" s="4">
        <v>-46934.04</v>
      </c>
      <c r="L122" s="4">
        <v>0</v>
      </c>
      <c r="M122" s="4">
        <v>0</v>
      </c>
      <c r="N122" s="4">
        <v>-46934.04</v>
      </c>
      <c r="O122" s="4">
        <f>Tab_02.Fev[[#This Row],[DÉBITO]]-Tab_02.Fev[[#This Row],[CRÉDITO]]</f>
        <v>0</v>
      </c>
    </row>
    <row r="123" spans="2:15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A</v>
      </c>
      <c r="E123" s="2">
        <f>IF($I123="","",COUNTIFS(Tab_00.Trial[CONTA],$I123))</f>
        <v>1</v>
      </c>
      <c r="F123" s="4">
        <f>SUMIFS(Tab_01.Jan[SALDO
ATUAL],Tab_01.Jan[CONTA],$I123)</f>
        <v>-31934.04</v>
      </c>
      <c r="G123" s="4">
        <f t="shared" si="5"/>
        <v>0</v>
      </c>
      <c r="H123" s="89">
        <v>21170</v>
      </c>
      <c r="I123" s="3" t="s">
        <v>360</v>
      </c>
      <c r="J123" s="3" t="s">
        <v>361</v>
      </c>
      <c r="K123" s="4">
        <v>-31934.04</v>
      </c>
      <c r="L123" s="4">
        <v>0</v>
      </c>
      <c r="M123" s="4">
        <v>0</v>
      </c>
      <c r="N123" s="4">
        <v>-31934.04</v>
      </c>
      <c r="O123" s="4">
        <f>Tab_02.Fev[[#This Row],[DÉBITO]]-Tab_02.Fev[[#This Row],[CRÉDITO]]</f>
        <v>0</v>
      </c>
    </row>
    <row r="124" spans="2:15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5</v>
      </c>
      <c r="D124" s="2" t="str">
        <f>_xlfn.XLOOKUP($I124,Tab_00.Trial[CONTA],Tab_00.Trial[S/A],"",0,1)</f>
        <v>A</v>
      </c>
      <c r="E124" s="2">
        <f>IF($I124="","",COUNTIFS(Tab_00.Trial[CONTA],$I124))</f>
        <v>1</v>
      </c>
      <c r="F124" s="4">
        <f>SUMIFS(Tab_01.Jan[SALDO
ATUAL],Tab_01.Jan[CONTA],$I124)</f>
        <v>-15000</v>
      </c>
      <c r="G124" s="4">
        <f t="shared" si="5"/>
        <v>0</v>
      </c>
      <c r="H124" s="89">
        <v>21185</v>
      </c>
      <c r="I124" s="3" t="s">
        <v>362</v>
      </c>
      <c r="J124" s="3" t="s">
        <v>363</v>
      </c>
      <c r="K124" s="4">
        <v>-15000</v>
      </c>
      <c r="L124" s="4">
        <v>0</v>
      </c>
      <c r="M124" s="4">
        <v>0</v>
      </c>
      <c r="N124" s="4">
        <v>-15000</v>
      </c>
      <c r="O124" s="4">
        <f>Tab_02.Fev[[#This Row],[DÉBITO]]-Tab_02.Fev[[#This Row],[CRÉDITO]]</f>
        <v>0</v>
      </c>
    </row>
    <row r="125" spans="2:15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2</v>
      </c>
      <c r="D125" s="2" t="str">
        <f>_xlfn.XLOOKUP($I125,Tab_00.Trial[CONTA],Tab_00.Trial[S/A],"",0,1)</f>
        <v>S</v>
      </c>
      <c r="E125" s="2">
        <f>IF($I125="","",COUNTIFS(Tab_00.Trial[CONTA],$I125))</f>
        <v>1</v>
      </c>
      <c r="F125" s="4">
        <f>SUMIFS(Tab_01.Jan[SALDO
ATUAL],Tab_01.Jan[CONTA],$I125)</f>
        <v>-82087967.730000004</v>
      </c>
      <c r="G125" s="4">
        <f t="shared" si="5"/>
        <v>0</v>
      </c>
      <c r="H125" s="89">
        <v>21200</v>
      </c>
      <c r="I125" s="3" t="s">
        <v>228</v>
      </c>
      <c r="J125" s="3" t="s">
        <v>670</v>
      </c>
      <c r="K125" s="4">
        <v>-82087967.730000004</v>
      </c>
      <c r="L125" s="4">
        <v>0</v>
      </c>
      <c r="M125" s="4">
        <v>0</v>
      </c>
      <c r="N125" s="4">
        <v>-82087967.730000004</v>
      </c>
      <c r="O125" s="4">
        <f>Tab_02.Fev[[#This Row],[DÉBITO]]-Tab_02.Fev[[#This Row],[CRÉDITO]]</f>
        <v>0</v>
      </c>
    </row>
    <row r="126" spans="2:15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S</v>
      </c>
      <c r="E126" s="2">
        <f>IF($I126="","",COUNTIFS(Tab_00.Trial[CONTA],$I126))</f>
        <v>1</v>
      </c>
      <c r="F126" s="4">
        <f>SUMIFS(Tab_01.Jan[SALDO
ATUAL],Tab_01.Jan[CONTA],$I126)</f>
        <v>-82087967.730000004</v>
      </c>
      <c r="G126" s="4">
        <f t="shared" si="5"/>
        <v>0</v>
      </c>
      <c r="H126" s="89">
        <v>21215</v>
      </c>
      <c r="I126" s="3" t="s">
        <v>229</v>
      </c>
      <c r="J126" s="3" t="s">
        <v>670</v>
      </c>
      <c r="K126" s="4">
        <v>-82087967.730000004</v>
      </c>
      <c r="L126" s="4">
        <v>0</v>
      </c>
      <c r="M126" s="4">
        <v>0</v>
      </c>
      <c r="N126" s="4">
        <v>-82087967.730000004</v>
      </c>
      <c r="O126" s="4">
        <f>Tab_02.Fev[[#This Row],[DÉBITO]]-Tab_02.Fev[[#This Row],[CRÉDITO]]</f>
        <v>0</v>
      </c>
    </row>
    <row r="127" spans="2:15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S</v>
      </c>
      <c r="E127" s="2">
        <f>IF($I127="","",COUNTIFS(Tab_00.Trial[CONTA],$I127))</f>
        <v>1</v>
      </c>
      <c r="F127" s="4">
        <f>SUMIFS(Tab_01.Jan[SALDO
ATUAL],Tab_01.Jan[CONTA],$I127)</f>
        <v>-104784619.59999999</v>
      </c>
      <c r="G127" s="4">
        <f t="shared" si="5"/>
        <v>0</v>
      </c>
      <c r="H127" s="89">
        <v>21230</v>
      </c>
      <c r="I127" s="3" t="s">
        <v>230</v>
      </c>
      <c r="J127" s="3" t="s">
        <v>364</v>
      </c>
      <c r="K127" s="4">
        <v>-104784619.59999999</v>
      </c>
      <c r="L127" s="4">
        <v>0</v>
      </c>
      <c r="M127" s="4">
        <v>0</v>
      </c>
      <c r="N127" s="4">
        <v>-104784619.59999999</v>
      </c>
      <c r="O127" s="4">
        <f>Tab_02.Fev[[#This Row],[DÉBITO]]-Tab_02.Fev[[#This Row],[CRÉDITO]]</f>
        <v>0</v>
      </c>
    </row>
    <row r="128" spans="2:15" x14ac:dyDescent="0.3">
      <c r="B128" s="2" t="str">
        <f>_xlfn.XLOOKUP($I128,Tab_00.Trial[CONTA],Tab_00.Trial[TP],"",0,1)</f>
        <v>P</v>
      </c>
      <c r="C128" s="2">
        <f>_xlfn.XLOOKUP($I128,Tab_00.Trial[CONTA],Tab_00.Trial[NV],"",0,1)</f>
        <v>5</v>
      </c>
      <c r="D128" s="2" t="str">
        <f>_xlfn.XLOOKUP($I128,Tab_00.Trial[CONTA],Tab_00.Trial[S/A],"",0,1)</f>
        <v>A</v>
      </c>
      <c r="E128" s="2">
        <f>IF($I128="","",COUNTIFS(Tab_00.Trial[CONTA],$I128))</f>
        <v>1</v>
      </c>
      <c r="F128" s="4">
        <f>SUMIFS(Tab_01.Jan[SALDO
ATUAL],Tab_01.Jan[CONTA],$I128)</f>
        <v>-104784619.59999999</v>
      </c>
      <c r="G128" s="4">
        <f t="shared" si="5"/>
        <v>0</v>
      </c>
      <c r="H128" s="89">
        <v>21245</v>
      </c>
      <c r="I128" s="3" t="s">
        <v>193</v>
      </c>
      <c r="J128" s="3" t="s">
        <v>364</v>
      </c>
      <c r="K128" s="4">
        <v>-104784619.59999999</v>
      </c>
      <c r="L128" s="4">
        <v>0</v>
      </c>
      <c r="M128" s="4">
        <v>0</v>
      </c>
      <c r="N128" s="4">
        <v>-104784619.59999999</v>
      </c>
      <c r="O128" s="4">
        <f>Tab_02.Fev[[#This Row],[DÉBITO]]-Tab_02.Fev[[#This Row],[CRÉDITO]]</f>
        <v>0</v>
      </c>
    </row>
    <row r="129" spans="2:15" x14ac:dyDescent="0.3">
      <c r="B129" s="2" t="str">
        <f>_xlfn.XLOOKUP($I129,Tab_00.Trial[CONTA],Tab_00.Trial[TP],"",0,1)</f>
        <v>P</v>
      </c>
      <c r="C129" s="2">
        <f>_xlfn.XLOOKUP($I129,Tab_00.Trial[CONTA],Tab_00.Trial[NV],"",0,1)</f>
        <v>5</v>
      </c>
      <c r="D129" s="2" t="str">
        <f>_xlfn.XLOOKUP($I129,Tab_00.Trial[CONTA],Tab_00.Trial[S/A],"",0,1)</f>
        <v>S</v>
      </c>
      <c r="E129" s="2">
        <f>IF($I129="","",COUNTIFS(Tab_00.Trial[CONTA],$I129))</f>
        <v>1</v>
      </c>
      <c r="F129" s="4">
        <f>SUMIFS(Tab_01.Jan[SALDO
ATUAL],Tab_01.Jan[CONTA],$I129)</f>
        <v>32587250.850000001</v>
      </c>
      <c r="G129" s="4">
        <f t="shared" si="5"/>
        <v>0</v>
      </c>
      <c r="H129" s="89">
        <v>21305</v>
      </c>
      <c r="I129" s="3" t="s">
        <v>568</v>
      </c>
      <c r="J129" s="3" t="s">
        <v>671</v>
      </c>
      <c r="K129" s="4">
        <v>32587250.850000001</v>
      </c>
      <c r="L129" s="4">
        <v>0</v>
      </c>
      <c r="M129" s="4">
        <v>0</v>
      </c>
      <c r="N129" s="4">
        <v>32587250.850000001</v>
      </c>
      <c r="O129" s="4">
        <f>Tab_02.Fev[[#This Row],[DÉBITO]]-Tab_02.Fev[[#This Row],[CRÉDITO]]</f>
        <v>0</v>
      </c>
    </row>
    <row r="130" spans="2:15" x14ac:dyDescent="0.3">
      <c r="B130" s="2" t="str">
        <f>_xlfn.XLOOKUP($I130,Tab_00.Trial[CONTA],Tab_00.Trial[TP],"",0,1)</f>
        <v>P</v>
      </c>
      <c r="C130" s="2">
        <f>_xlfn.XLOOKUP($I130,Tab_00.Trial[CONTA],Tab_00.Trial[NV],"",0,1)</f>
        <v>5</v>
      </c>
      <c r="D130" s="2" t="str">
        <f>_xlfn.XLOOKUP($I130,Tab_00.Trial[CONTA],Tab_00.Trial[S/A],"",0,1)</f>
        <v>A</v>
      </c>
      <c r="E130" s="2">
        <f>IF($I130="","",COUNTIFS(Tab_00.Trial[CONTA],$I130))</f>
        <v>1</v>
      </c>
      <c r="F130" s="4">
        <f>SUMIFS(Tab_01.Jan[SALDO
ATUAL],Tab_01.Jan[CONTA],$I130)</f>
        <v>-827719.82</v>
      </c>
      <c r="G130" s="4">
        <f t="shared" si="5"/>
        <v>0</v>
      </c>
      <c r="H130" s="89">
        <v>21320</v>
      </c>
      <c r="I130" s="3" t="s">
        <v>743</v>
      </c>
      <c r="J130" s="3" t="s">
        <v>744</v>
      </c>
      <c r="K130" s="4">
        <v>-827719.82</v>
      </c>
      <c r="L130" s="4">
        <v>0</v>
      </c>
      <c r="M130" s="4">
        <v>0</v>
      </c>
      <c r="N130" s="4">
        <v>-827719.82</v>
      </c>
      <c r="O130" s="4">
        <f>Tab_02.Fev[[#This Row],[DÉBITO]]-Tab_02.Fev[[#This Row],[CRÉDITO]]</f>
        <v>0</v>
      </c>
    </row>
    <row r="131" spans="2:15" x14ac:dyDescent="0.3">
      <c r="B131" s="2" t="str">
        <f>_xlfn.XLOOKUP($I131,Tab_00.Trial[CONTA],Tab_00.Trial[TP],"",0,1)</f>
        <v>P</v>
      </c>
      <c r="C131" s="2">
        <f>_xlfn.XLOOKUP($I131,Tab_00.Trial[CONTA],Tab_00.Trial[NV],"",0,1)</f>
        <v>5</v>
      </c>
      <c r="D131" s="2" t="str">
        <f>_xlfn.XLOOKUP($I131,Tab_00.Trial[CONTA],Tab_00.Trial[S/A],"",0,1)</f>
        <v>A</v>
      </c>
      <c r="E131" s="2">
        <f>IF($I131="","",COUNTIFS(Tab_00.Trial[CONTA],$I131))</f>
        <v>1</v>
      </c>
      <c r="F131" s="4">
        <f>SUMIFS(Tab_01.Jan[SALDO
ATUAL],Tab_01.Jan[CONTA],$I131)</f>
        <v>33414970.670000002</v>
      </c>
      <c r="G131" s="4">
        <f t="shared" si="5"/>
        <v>0</v>
      </c>
      <c r="H131" s="89">
        <v>21335</v>
      </c>
      <c r="I131" s="3" t="s">
        <v>365</v>
      </c>
      <c r="J131" s="3" t="s">
        <v>366</v>
      </c>
      <c r="K131" s="4">
        <v>33414970.670000002</v>
      </c>
      <c r="L131" s="4">
        <v>0</v>
      </c>
      <c r="M131" s="4">
        <v>0</v>
      </c>
      <c r="N131" s="4">
        <v>33414970.670000002</v>
      </c>
      <c r="O131" s="4">
        <f>Tab_02.Fev[[#This Row],[DÉBITO]]-Tab_02.Fev[[#This Row],[CRÉDITO]]</f>
        <v>0</v>
      </c>
    </row>
    <row r="132" spans="2:15" x14ac:dyDescent="0.3">
      <c r="B132" s="2" t="str">
        <f>_xlfn.XLOOKUP($I132,Tab_00.Trial[CONTA],Tab_00.Trial[TP],"",0,1)</f>
        <v>P</v>
      </c>
      <c r="C132" s="2">
        <f>_xlfn.XLOOKUP($I132,Tab_00.Trial[CONTA],Tab_00.Trial[NV],"",0,1)</f>
        <v>5</v>
      </c>
      <c r="D132" s="2" t="str">
        <f>_xlfn.XLOOKUP($I132,Tab_00.Trial[CONTA],Tab_00.Trial[S/A],"",0,1)</f>
        <v>S</v>
      </c>
      <c r="E132" s="2">
        <f>IF($I132="","",COUNTIFS(Tab_00.Trial[CONTA],$I132))</f>
        <v>1</v>
      </c>
      <c r="F132" s="4">
        <f>SUMIFS(Tab_01.Jan[SALDO
ATUAL],Tab_01.Jan[CONTA],$I132)</f>
        <v>-9890598.9800000004</v>
      </c>
      <c r="G132" s="4">
        <f t="shared" si="5"/>
        <v>0</v>
      </c>
      <c r="H132" s="89">
        <v>21350</v>
      </c>
      <c r="I132" s="3" t="s">
        <v>745</v>
      </c>
      <c r="J132" s="3" t="s">
        <v>746</v>
      </c>
      <c r="K132" s="4">
        <v>-9890598.9800000004</v>
      </c>
      <c r="L132" s="4">
        <v>0</v>
      </c>
      <c r="M132" s="4">
        <v>0</v>
      </c>
      <c r="N132" s="4">
        <v>-9890598.9800000004</v>
      </c>
      <c r="O132" s="4">
        <f>Tab_02.Fev[[#This Row],[DÉBITO]]-Tab_02.Fev[[#This Row],[CRÉDITO]]</f>
        <v>0</v>
      </c>
    </row>
    <row r="133" spans="2:15" x14ac:dyDescent="0.3">
      <c r="B133" s="2" t="str">
        <f>_xlfn.XLOOKUP($I133,Tab_00.Trial[CONTA],Tab_00.Trial[TP],"",0,1)</f>
        <v>P</v>
      </c>
      <c r="C133" s="2">
        <f>_xlfn.XLOOKUP($I133,Tab_00.Trial[CONTA],Tab_00.Trial[NV],"",0,1)</f>
        <v>5</v>
      </c>
      <c r="D133" s="2" t="str">
        <f>_xlfn.XLOOKUP($I133,Tab_00.Trial[CONTA],Tab_00.Trial[S/A],"",0,1)</f>
        <v>A</v>
      </c>
      <c r="E133" s="2">
        <f>IF($I133="","",COUNTIFS(Tab_00.Trial[CONTA],$I133))</f>
        <v>1</v>
      </c>
      <c r="F133" s="4">
        <f>SUMIFS(Tab_01.Jan[SALDO
ATUAL],Tab_01.Jan[CONTA],$I133)</f>
        <v>-9890598.9800000004</v>
      </c>
      <c r="G133" s="4">
        <f t="shared" si="5"/>
        <v>0</v>
      </c>
      <c r="H133" s="89">
        <v>21365</v>
      </c>
      <c r="I133" s="3" t="s">
        <v>747</v>
      </c>
      <c r="J133" s="3" t="s">
        <v>746</v>
      </c>
      <c r="K133" s="4">
        <v>-9890598.9800000004</v>
      </c>
      <c r="L133" s="4">
        <v>0</v>
      </c>
      <c r="M133" s="4">
        <v>0</v>
      </c>
      <c r="N133" s="4">
        <v>-9890598.9800000004</v>
      </c>
      <c r="O133" s="4">
        <f>Tab_02.Fev[[#This Row],[DÉBITO]]-Tab_02.Fev[[#This Row],[CRÉDITO]]</f>
        <v>0</v>
      </c>
    </row>
    <row r="134" spans="2:15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1</v>
      </c>
      <c r="D134" s="2" t="str">
        <f>_xlfn.XLOOKUP($I134,Tab_00.Trial[CONTA],Tab_00.Trial[S/A],"",0,1)</f>
        <v>S</v>
      </c>
      <c r="E134" s="2">
        <f>IF($I134="","",COUNTIFS(Tab_00.Trial[CONTA],$I134))</f>
        <v>1</v>
      </c>
      <c r="F134" s="4">
        <f>SUMIFS(Tab_01.Jan[SALDO
ATUAL],Tab_01.Jan[CONTA],$I134)</f>
        <v>-1152924.6399999999</v>
      </c>
      <c r="G134" s="4">
        <f t="shared" si="5"/>
        <v>0</v>
      </c>
      <c r="H134" s="89">
        <v>30000</v>
      </c>
      <c r="I134" s="3">
        <v>3</v>
      </c>
      <c r="J134" s="3" t="s">
        <v>672</v>
      </c>
      <c r="K134" s="4">
        <v>-1152924.6399999999</v>
      </c>
      <c r="L134" s="4">
        <v>0</v>
      </c>
      <c r="M134" s="4">
        <v>1193936.95</v>
      </c>
      <c r="N134" s="4">
        <v>-2346861.59</v>
      </c>
      <c r="O134" s="4">
        <f>Tab_02.Fev[[#This Row],[DÉBITO]]-Tab_02.Fev[[#This Row],[CRÉDITO]]</f>
        <v>-1193936.95</v>
      </c>
    </row>
    <row r="135" spans="2:15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2</v>
      </c>
      <c r="D135" s="2" t="str">
        <f>_xlfn.XLOOKUP($I135,Tab_00.Trial[CONTA],Tab_00.Trial[S/A],"",0,1)</f>
        <v>S</v>
      </c>
      <c r="E135" s="2">
        <f>IF($I135="","",COUNTIFS(Tab_00.Trial[CONTA],$I135))</f>
        <v>1</v>
      </c>
      <c r="F135" s="4">
        <f>SUMIFS(Tab_01.Jan[SALDO
ATUAL],Tab_01.Jan[CONTA],$I135)</f>
        <v>-528374.13</v>
      </c>
      <c r="G135" s="4">
        <f t="shared" si="5"/>
        <v>0</v>
      </c>
      <c r="H135" s="89">
        <v>30030</v>
      </c>
      <c r="I135" s="3" t="s">
        <v>231</v>
      </c>
      <c r="J135" s="3" t="s">
        <v>673</v>
      </c>
      <c r="K135" s="4">
        <v>-528374.13</v>
      </c>
      <c r="L135" s="4">
        <v>0</v>
      </c>
      <c r="M135" s="4">
        <v>540578.18999999994</v>
      </c>
      <c r="N135" s="4">
        <v>-1068952.32</v>
      </c>
      <c r="O135" s="4">
        <f>Tab_02.Fev[[#This Row],[DÉBITO]]-Tab_02.Fev[[#This Row],[CRÉDITO]]</f>
        <v>-540578.18999999994</v>
      </c>
    </row>
    <row r="136" spans="2:15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S</v>
      </c>
      <c r="E136" s="2">
        <f>IF($I136="","",COUNTIFS(Tab_00.Trial[CONTA],$I136))</f>
        <v>1</v>
      </c>
      <c r="F136" s="4">
        <f>SUMIFS(Tab_01.Jan[SALDO
ATUAL],Tab_01.Jan[CONTA],$I136)</f>
        <v>-309988.61</v>
      </c>
      <c r="G136" s="4">
        <f t="shared" si="5"/>
        <v>0</v>
      </c>
      <c r="H136" s="89">
        <v>30045</v>
      </c>
      <c r="I136" s="3" t="s">
        <v>232</v>
      </c>
      <c r="J136" s="3" t="s">
        <v>674</v>
      </c>
      <c r="K136" s="4">
        <v>-309988.61</v>
      </c>
      <c r="L136" s="4">
        <v>0</v>
      </c>
      <c r="M136" s="4">
        <v>352772.52</v>
      </c>
      <c r="N136" s="4">
        <v>-662761.13</v>
      </c>
      <c r="O136" s="4">
        <f>Tab_02.Fev[[#This Row],[DÉBITO]]-Tab_02.Fev[[#This Row],[CRÉDITO]]</f>
        <v>-352772.52</v>
      </c>
    </row>
    <row r="137" spans="2:15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S</v>
      </c>
      <c r="E137" s="2">
        <f>IF($I137="","",COUNTIFS(Tab_00.Trial[CONTA],$I137))</f>
        <v>1</v>
      </c>
      <c r="F137" s="4">
        <f>SUMIFS(Tab_01.Jan[SALDO
ATUAL],Tab_01.Jan[CONTA],$I137)</f>
        <v>-122569.24</v>
      </c>
      <c r="G137" s="4">
        <f t="shared" si="5"/>
        <v>0</v>
      </c>
      <c r="H137" s="89">
        <v>30470</v>
      </c>
      <c r="I137" s="3" t="s">
        <v>233</v>
      </c>
      <c r="J137" s="3" t="s">
        <v>675</v>
      </c>
      <c r="K137" s="4">
        <v>-122569.24</v>
      </c>
      <c r="L137" s="4">
        <v>0</v>
      </c>
      <c r="M137" s="4">
        <v>105237.96</v>
      </c>
      <c r="N137" s="4">
        <v>-227807.2</v>
      </c>
      <c r="O137" s="4">
        <f>Tab_02.Fev[[#This Row],[DÉBITO]]-Tab_02.Fev[[#This Row],[CRÉDITO]]</f>
        <v>-105237.96</v>
      </c>
    </row>
    <row r="138" spans="2:15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A</v>
      </c>
      <c r="E138" s="2">
        <f>IF($I138="","",COUNTIFS(Tab_00.Trial[CONTA],$I138))</f>
        <v>1</v>
      </c>
      <c r="F138" s="4">
        <f>SUMIFS(Tab_01.Jan[SALDO
ATUAL],Tab_01.Jan[CONTA],$I138)</f>
        <v>-122569.24</v>
      </c>
      <c r="G138" s="4">
        <f t="shared" si="5"/>
        <v>0</v>
      </c>
      <c r="H138" s="89">
        <v>30471</v>
      </c>
      <c r="I138" s="3" t="s">
        <v>194</v>
      </c>
      <c r="J138" s="3" t="s">
        <v>367</v>
      </c>
      <c r="K138" s="4">
        <v>-122569.24</v>
      </c>
      <c r="L138" s="4">
        <v>0</v>
      </c>
      <c r="M138" s="4">
        <v>105237.96</v>
      </c>
      <c r="N138" s="4">
        <v>-227807.2</v>
      </c>
      <c r="O138" s="4">
        <f>Tab_02.Fev[[#This Row],[DÉBITO]]-Tab_02.Fev[[#This Row],[CRÉDITO]]</f>
        <v>-105237.96</v>
      </c>
    </row>
    <row r="139" spans="2:15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S</v>
      </c>
      <c r="E139" s="2">
        <f>IF($I139="","",COUNTIFS(Tab_00.Trial[CONTA],$I139))</f>
        <v>1</v>
      </c>
      <c r="F139" s="4">
        <f>SUMIFS(Tab_01.Jan[SALDO
ATUAL],Tab_01.Jan[CONTA],$I139)</f>
        <v>-187419.37</v>
      </c>
      <c r="G139" s="4">
        <f t="shared" si="5"/>
        <v>0</v>
      </c>
      <c r="H139" s="89">
        <v>30475</v>
      </c>
      <c r="I139" s="3" t="s">
        <v>735</v>
      </c>
      <c r="J139" s="3" t="s">
        <v>736</v>
      </c>
      <c r="K139" s="4">
        <v>-187419.37</v>
      </c>
      <c r="L139" s="4">
        <v>0</v>
      </c>
      <c r="M139" s="4">
        <v>247534.56</v>
      </c>
      <c r="N139" s="4">
        <v>-434953.93</v>
      </c>
      <c r="O139" s="4">
        <f>Tab_02.Fev[[#This Row],[DÉBITO]]-Tab_02.Fev[[#This Row],[CRÉDITO]]</f>
        <v>-247534.56</v>
      </c>
    </row>
    <row r="140" spans="2:15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A</v>
      </c>
      <c r="E140" s="2">
        <f>IF($I140="","",COUNTIFS(Tab_00.Trial[CONTA],$I140))</f>
        <v>1</v>
      </c>
      <c r="F140" s="4">
        <f>SUMIFS(Tab_01.Jan[SALDO
ATUAL],Tab_01.Jan[CONTA],$I140)</f>
        <v>-187419.37</v>
      </c>
      <c r="G140" s="4">
        <f t="shared" si="5"/>
        <v>0</v>
      </c>
      <c r="H140" s="89">
        <v>30476</v>
      </c>
      <c r="I140" s="3" t="s">
        <v>737</v>
      </c>
      <c r="J140" s="3" t="s">
        <v>814</v>
      </c>
      <c r="K140" s="4">
        <v>-187419.37</v>
      </c>
      <c r="L140" s="4">
        <v>0</v>
      </c>
      <c r="M140" s="4">
        <v>247534.56</v>
      </c>
      <c r="N140" s="4">
        <v>-434953.93</v>
      </c>
      <c r="O140" s="4">
        <f>Tab_02.Fev[[#This Row],[DÉBITO]]-Tab_02.Fev[[#This Row],[CRÉDITO]]</f>
        <v>-247534.56</v>
      </c>
    </row>
    <row r="141" spans="2:15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5</v>
      </c>
      <c r="D141" s="2" t="str">
        <f>_xlfn.XLOOKUP($I141,Tab_00.Trial[CONTA],Tab_00.Trial[S/A],"",0,1)</f>
        <v>S</v>
      </c>
      <c r="E141" s="2">
        <f>IF($I141="","",COUNTIFS(Tab_00.Trial[CONTA],$I141))</f>
        <v>1</v>
      </c>
      <c r="F141" s="4">
        <f>SUMIFS(Tab_01.Jan[SALDO
ATUAL],Tab_01.Jan[CONTA],$I141)</f>
        <v>-218385.52</v>
      </c>
      <c r="G141" s="4">
        <f t="shared" si="5"/>
        <v>0</v>
      </c>
      <c r="H141" s="89">
        <v>30645</v>
      </c>
      <c r="I141" s="3" t="s">
        <v>569</v>
      </c>
      <c r="J141" s="3" t="s">
        <v>676</v>
      </c>
      <c r="K141" s="4">
        <v>-218385.52</v>
      </c>
      <c r="L141" s="4">
        <v>0</v>
      </c>
      <c r="M141" s="4">
        <v>187805.67</v>
      </c>
      <c r="N141" s="4">
        <v>-406191.19</v>
      </c>
      <c r="O141" s="4">
        <f>Tab_02.Fev[[#This Row],[DÉBITO]]-Tab_02.Fev[[#This Row],[CRÉDITO]]</f>
        <v>-187805.67</v>
      </c>
    </row>
    <row r="142" spans="2:15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S</v>
      </c>
      <c r="E142" s="2">
        <f>IF($I142="","",COUNTIFS(Tab_00.Trial[CONTA],$I142))</f>
        <v>1</v>
      </c>
      <c r="F142" s="4">
        <f>SUMIFS(Tab_01.Jan[SALDO
ATUAL],Tab_01.Jan[CONTA],$I142)</f>
        <v>-135419.44</v>
      </c>
      <c r="G142" s="4">
        <f t="shared" si="5"/>
        <v>0</v>
      </c>
      <c r="H142" s="89">
        <v>30660</v>
      </c>
      <c r="I142" s="3" t="s">
        <v>570</v>
      </c>
      <c r="J142" s="3" t="s">
        <v>677</v>
      </c>
      <c r="K142" s="4">
        <v>-135419.44</v>
      </c>
      <c r="L142" s="4">
        <v>0</v>
      </c>
      <c r="M142" s="4">
        <v>104839.59</v>
      </c>
      <c r="N142" s="4">
        <v>-240259.03</v>
      </c>
      <c r="O142" s="4">
        <f>Tab_02.Fev[[#This Row],[DÉBITO]]-Tab_02.Fev[[#This Row],[CRÉDITO]]</f>
        <v>-104839.59</v>
      </c>
    </row>
    <row r="143" spans="2:15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A</v>
      </c>
      <c r="E143" s="2">
        <f>IF($I143="","",COUNTIFS(Tab_00.Trial[CONTA],$I143))</f>
        <v>1</v>
      </c>
      <c r="F143" s="4">
        <f>SUMIFS(Tab_01.Jan[SALDO
ATUAL],Tab_01.Jan[CONTA],$I143)</f>
        <v>-52200</v>
      </c>
      <c r="G143" s="4">
        <f t="shared" si="5"/>
        <v>0</v>
      </c>
      <c r="H143" s="89">
        <v>30675</v>
      </c>
      <c r="I143" s="3" t="s">
        <v>368</v>
      </c>
      <c r="J143" s="3" t="s">
        <v>369</v>
      </c>
      <c r="K143" s="4">
        <v>-52200</v>
      </c>
      <c r="L143" s="4">
        <v>0</v>
      </c>
      <c r="M143" s="4">
        <v>32400.240000000002</v>
      </c>
      <c r="N143" s="4">
        <v>-84600.24</v>
      </c>
      <c r="O143" s="4">
        <f>Tab_02.Fev[[#This Row],[DÉBITO]]-Tab_02.Fev[[#This Row],[CRÉDITO]]</f>
        <v>-32400.240000000002</v>
      </c>
    </row>
    <row r="144" spans="2:15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5</v>
      </c>
      <c r="D144" s="2" t="str">
        <f>_xlfn.XLOOKUP($I144,Tab_00.Trial[CONTA],Tab_00.Trial[S/A],"",0,1)</f>
        <v>A</v>
      </c>
      <c r="E144" s="2">
        <f>IF($I144="","",COUNTIFS(Tab_00.Trial[CONTA],$I144))</f>
        <v>1</v>
      </c>
      <c r="F144" s="4">
        <f>SUMIFS(Tab_01.Jan[SALDO
ATUAL],Tab_01.Jan[CONTA],$I144)</f>
        <v>-66574.53</v>
      </c>
      <c r="G144" s="4">
        <f t="shared" si="5"/>
        <v>0</v>
      </c>
      <c r="H144" s="89">
        <v>30690</v>
      </c>
      <c r="I144" s="3" t="s">
        <v>370</v>
      </c>
      <c r="J144" s="3" t="s">
        <v>371</v>
      </c>
      <c r="K144" s="4">
        <v>-66574.53</v>
      </c>
      <c r="L144" s="4">
        <v>0</v>
      </c>
      <c r="M144" s="4">
        <v>54961.84</v>
      </c>
      <c r="N144" s="4">
        <v>-121536.37</v>
      </c>
      <c r="O144" s="4">
        <f>Tab_02.Fev[[#This Row],[DÉBITO]]-Tab_02.Fev[[#This Row],[CRÉDITO]]</f>
        <v>-54961.84</v>
      </c>
    </row>
    <row r="145" spans="2:15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5</v>
      </c>
      <c r="D145" s="2" t="str">
        <f>_xlfn.XLOOKUP($I145,Tab_00.Trial[CONTA],Tab_00.Trial[S/A],"",0,1)</f>
        <v>A</v>
      </c>
      <c r="E145" s="2">
        <f>IF($I145="","",COUNTIFS(Tab_00.Trial[CONTA],$I145))</f>
        <v>1</v>
      </c>
      <c r="F145" s="4">
        <f>SUMIFS(Tab_01.Jan[SALDO
ATUAL],Tab_01.Jan[CONTA],$I145)</f>
        <v>0</v>
      </c>
      <c r="G145" s="4">
        <f t="shared" si="5"/>
        <v>0</v>
      </c>
      <c r="H145" s="89">
        <v>30705</v>
      </c>
      <c r="I145" s="3" t="s">
        <v>372</v>
      </c>
      <c r="J145" s="3" t="s">
        <v>373</v>
      </c>
      <c r="K145" s="4">
        <v>0</v>
      </c>
      <c r="L145" s="4">
        <v>0</v>
      </c>
      <c r="M145" s="4">
        <v>5670.16</v>
      </c>
      <c r="N145" s="4">
        <v>-5670.16</v>
      </c>
      <c r="O145" s="4">
        <f>Tab_02.Fev[[#This Row],[DÉBITO]]-Tab_02.Fev[[#This Row],[CRÉDITO]]</f>
        <v>-5670.16</v>
      </c>
    </row>
    <row r="146" spans="2:15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5</v>
      </c>
      <c r="D146" s="2" t="str">
        <f>_xlfn.XLOOKUP($I146,Tab_00.Trial[CONTA],Tab_00.Trial[S/A],"",0,1)</f>
        <v>A</v>
      </c>
      <c r="E146" s="2">
        <f>IF($I146="","",COUNTIFS(Tab_00.Trial[CONTA],$I146))</f>
        <v>1</v>
      </c>
      <c r="F146" s="4">
        <f>SUMIFS(Tab_01.Jan[SALDO
ATUAL],Tab_01.Jan[CONTA],$I146)</f>
        <v>-16644.91</v>
      </c>
      <c r="G146" s="4">
        <f t="shared" ref="G146:G155" si="6">$F146-$K146</f>
        <v>0</v>
      </c>
      <c r="H146" s="89">
        <v>10895</v>
      </c>
      <c r="I146" s="3" t="s">
        <v>927</v>
      </c>
      <c r="J146" s="3" t="s">
        <v>928</v>
      </c>
      <c r="K146" s="4">
        <v>-16644.91</v>
      </c>
      <c r="L146" s="4">
        <v>0</v>
      </c>
      <c r="M146" s="4">
        <v>11807.35</v>
      </c>
      <c r="N146" s="4">
        <v>-28452.26</v>
      </c>
      <c r="O146" s="4">
        <f>Tab_02.Fev[[#This Row],[DÉBITO]]-Tab_02.Fev[[#This Row],[CRÉDITO]]</f>
        <v>-11807.35</v>
      </c>
    </row>
    <row r="147" spans="2:15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5</v>
      </c>
      <c r="D147" s="2" t="str">
        <f>_xlfn.XLOOKUP($I147,Tab_00.Trial[CONTA],Tab_00.Trial[S/A],"",0,1)</f>
        <v>S</v>
      </c>
      <c r="E147" s="2">
        <f>IF($I147="","",COUNTIFS(Tab_00.Trial[CONTA],$I147))</f>
        <v>1</v>
      </c>
      <c r="F147" s="4">
        <f>SUMIFS(Tab_01.Jan[SALDO
ATUAL],Tab_01.Jan[CONTA],$I147)</f>
        <v>-82966.080000000002</v>
      </c>
      <c r="G147" s="4">
        <f t="shared" si="6"/>
        <v>0</v>
      </c>
      <c r="H147" s="89">
        <v>30720</v>
      </c>
      <c r="I147" s="3" t="s">
        <v>571</v>
      </c>
      <c r="J147" s="3" t="s">
        <v>377</v>
      </c>
      <c r="K147" s="4">
        <v>-82966.080000000002</v>
      </c>
      <c r="L147" s="4">
        <v>0</v>
      </c>
      <c r="M147" s="4">
        <v>82966.080000000002</v>
      </c>
      <c r="N147" s="4">
        <v>-165932.16</v>
      </c>
      <c r="O147" s="4">
        <f>Tab_02.Fev[[#This Row],[DÉBITO]]-Tab_02.Fev[[#This Row],[CRÉDITO]]</f>
        <v>-82966.080000000002</v>
      </c>
    </row>
    <row r="148" spans="2:15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A</v>
      </c>
      <c r="E148" s="2">
        <f>IF($I148="","",COUNTIFS(Tab_00.Trial[CONTA],$I148))</f>
        <v>1</v>
      </c>
      <c r="F148" s="4">
        <f>SUMIFS(Tab_01.Jan[SALDO
ATUAL],Tab_01.Jan[CONTA],$I148)</f>
        <v>-82966.080000000002</v>
      </c>
      <c r="G148" s="4">
        <f t="shared" si="6"/>
        <v>0</v>
      </c>
      <c r="H148" s="89">
        <v>30735</v>
      </c>
      <c r="I148" s="3" t="s">
        <v>376</v>
      </c>
      <c r="J148" s="3" t="s">
        <v>377</v>
      </c>
      <c r="K148" s="4">
        <v>-82966.080000000002</v>
      </c>
      <c r="L148" s="4">
        <v>0</v>
      </c>
      <c r="M148" s="4">
        <v>82966.080000000002</v>
      </c>
      <c r="N148" s="4">
        <v>-165932.16</v>
      </c>
      <c r="O148" s="4">
        <f>Tab_02.Fev[[#This Row],[DÉBITO]]-Tab_02.Fev[[#This Row],[CRÉDITO]]</f>
        <v>-82966.080000000002</v>
      </c>
    </row>
    <row r="149" spans="2:15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2</v>
      </c>
      <c r="D149" s="2" t="str">
        <f>_xlfn.XLOOKUP($I149,Tab_00.Trial[CONTA],Tab_00.Trial[S/A],"",0,1)</f>
        <v>S</v>
      </c>
      <c r="E149" s="2">
        <f>IF($I149="","",COUNTIFS(Tab_00.Trial[CONTA],$I149))</f>
        <v>1</v>
      </c>
      <c r="F149" s="4">
        <f>SUMIFS(Tab_01.Jan[SALDO
ATUAL],Tab_01.Jan[CONTA],$I149)</f>
        <v>-421470.98</v>
      </c>
      <c r="G149" s="4">
        <f t="shared" si="6"/>
        <v>0</v>
      </c>
      <c r="H149" s="89">
        <v>31065</v>
      </c>
      <c r="I149" s="3" t="s">
        <v>574</v>
      </c>
      <c r="J149" s="3" t="s">
        <v>680</v>
      </c>
      <c r="K149" s="4">
        <v>-421470.98</v>
      </c>
      <c r="L149" s="4">
        <v>0</v>
      </c>
      <c r="M149" s="4">
        <v>434107.84</v>
      </c>
      <c r="N149" s="4">
        <v>-855578.82</v>
      </c>
      <c r="O149" s="4">
        <f>Tab_02.Fev[[#This Row],[DÉBITO]]-Tab_02.Fev[[#This Row],[CRÉDITO]]</f>
        <v>-434107.84</v>
      </c>
    </row>
    <row r="150" spans="2:15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5</v>
      </c>
      <c r="D150" s="2" t="str">
        <f>_xlfn.XLOOKUP($I150,Tab_00.Trial[CONTA],Tab_00.Trial[S/A],"",0,1)</f>
        <v>S</v>
      </c>
      <c r="E150" s="2">
        <f>IF($I150="","",COUNTIFS(Tab_00.Trial[CONTA],$I150))</f>
        <v>1</v>
      </c>
      <c r="F150" s="4">
        <f>SUMIFS(Tab_01.Jan[SALDO
ATUAL],Tab_01.Jan[CONTA],$I150)</f>
        <v>-421470.98</v>
      </c>
      <c r="G150" s="4">
        <f t="shared" si="6"/>
        <v>0</v>
      </c>
      <c r="H150" s="89">
        <v>31260</v>
      </c>
      <c r="I150" s="3" t="s">
        <v>580</v>
      </c>
      <c r="J150" s="3" t="s">
        <v>816</v>
      </c>
      <c r="K150" s="4">
        <v>-421470.98</v>
      </c>
      <c r="L150" s="4">
        <v>0</v>
      </c>
      <c r="M150" s="4">
        <v>434107.84</v>
      </c>
      <c r="N150" s="4">
        <v>-855578.82</v>
      </c>
      <c r="O150" s="4">
        <f>Tab_02.Fev[[#This Row],[DÉBITO]]-Tab_02.Fev[[#This Row],[CRÉDITO]]</f>
        <v>-434107.84</v>
      </c>
    </row>
    <row r="151" spans="2:15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5</v>
      </c>
      <c r="D151" s="2" t="str">
        <f>_xlfn.XLOOKUP($I151,Tab_00.Trial[CONTA],Tab_00.Trial[S/A],"",0,1)</f>
        <v>S</v>
      </c>
      <c r="E151" s="2">
        <f>IF($I151="","",COUNTIFS(Tab_00.Trial[CONTA],$I151))</f>
        <v>1</v>
      </c>
      <c r="F151" s="4">
        <f>SUMIFS(Tab_01.Jan[SALDO
ATUAL],Tab_01.Jan[CONTA],$I151)</f>
        <v>-421470.98</v>
      </c>
      <c r="G151" s="4">
        <f t="shared" si="6"/>
        <v>0</v>
      </c>
      <c r="H151" s="89">
        <v>31275</v>
      </c>
      <c r="I151" s="3" t="s">
        <v>581</v>
      </c>
      <c r="J151" s="3" t="s">
        <v>687</v>
      </c>
      <c r="K151" s="4">
        <v>-421470.98</v>
      </c>
      <c r="L151" s="4">
        <v>0</v>
      </c>
      <c r="M151" s="4">
        <v>434107.84</v>
      </c>
      <c r="N151" s="4">
        <v>-855578.82</v>
      </c>
      <c r="O151" s="4">
        <f>Tab_02.Fev[[#This Row],[DÉBITO]]-Tab_02.Fev[[#This Row],[CRÉDITO]]</f>
        <v>-434107.84</v>
      </c>
    </row>
    <row r="152" spans="2:15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5</v>
      </c>
      <c r="D152" s="2" t="str">
        <f>_xlfn.XLOOKUP($I152,Tab_00.Trial[CONTA],Tab_00.Trial[S/A],"",0,1)</f>
        <v>A</v>
      </c>
      <c r="E152" s="2">
        <f>IF($I152="","",COUNTIFS(Tab_00.Trial[CONTA],$I152))</f>
        <v>1</v>
      </c>
      <c r="F152" s="4">
        <f>SUMIFS(Tab_01.Jan[SALDO
ATUAL],Tab_01.Jan[CONTA],$I152)</f>
        <v>-421470.98</v>
      </c>
      <c r="G152" s="4">
        <f t="shared" si="6"/>
        <v>0</v>
      </c>
      <c r="H152" s="89">
        <v>31291</v>
      </c>
      <c r="I152" s="3" t="s">
        <v>387</v>
      </c>
      <c r="J152" s="3" t="s">
        <v>388</v>
      </c>
      <c r="K152" s="4">
        <v>-421470.98</v>
      </c>
      <c r="L152" s="4">
        <v>0</v>
      </c>
      <c r="M152" s="4">
        <v>421470.98</v>
      </c>
      <c r="N152" s="4">
        <v>-842941.96</v>
      </c>
      <c r="O152" s="4">
        <f>Tab_02.Fev[[#This Row],[DÉBITO]]-Tab_02.Fev[[#This Row],[CRÉDITO]]</f>
        <v>-421470.98</v>
      </c>
    </row>
    <row r="153" spans="2:15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5</v>
      </c>
      <c r="D153" s="2" t="str">
        <f>_xlfn.XLOOKUP($I153,Tab_00.Trial[CONTA],Tab_00.Trial[S/A],"",0,1)</f>
        <v>A</v>
      </c>
      <c r="E153" s="2">
        <f>IF($I153="","",COUNTIFS(Tab_00.Trial[CONTA],$I153))</f>
        <v>1</v>
      </c>
      <c r="F153" s="4">
        <f>SUMIFS(Tab_01.Jan[SALDO
ATUAL],Tab_01.Jan[CONTA],$I153)</f>
        <v>0</v>
      </c>
      <c r="G153" s="4">
        <f t="shared" si="6"/>
        <v>0</v>
      </c>
      <c r="H153" s="89">
        <v>31292</v>
      </c>
      <c r="I153" s="3" t="s">
        <v>389</v>
      </c>
      <c r="J153" s="3" t="s">
        <v>390</v>
      </c>
      <c r="K153" s="4">
        <v>0</v>
      </c>
      <c r="L153" s="4">
        <v>0</v>
      </c>
      <c r="M153" s="4">
        <v>12636.86</v>
      </c>
      <c r="N153" s="4">
        <v>-12636.86</v>
      </c>
      <c r="O153" s="4">
        <f>Tab_02.Fev[[#This Row],[DÉBITO]]-Tab_02.Fev[[#This Row],[CRÉDITO]]</f>
        <v>-12636.86</v>
      </c>
    </row>
    <row r="154" spans="2:15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2</v>
      </c>
      <c r="D154" s="2" t="str">
        <f>_xlfn.XLOOKUP($I154,Tab_00.Trial[CONTA],Tab_00.Trial[S/A],"",0,1)</f>
        <v>S</v>
      </c>
      <c r="E154" s="2">
        <f>IF($I154="","",COUNTIFS(Tab_00.Trial[CONTA],$I154))</f>
        <v>1</v>
      </c>
      <c r="F154" s="4">
        <f>SUMIFS(Tab_01.Jan[SALDO
ATUAL],Tab_01.Jan[CONTA],$I154)</f>
        <v>-203029.53</v>
      </c>
      <c r="G154" s="4">
        <f t="shared" si="6"/>
        <v>0</v>
      </c>
      <c r="H154" s="89">
        <v>31470</v>
      </c>
      <c r="I154" s="3" t="s">
        <v>582</v>
      </c>
      <c r="J154" s="3" t="s">
        <v>688</v>
      </c>
      <c r="K154" s="4">
        <v>-203029.53</v>
      </c>
      <c r="L154" s="4">
        <v>0</v>
      </c>
      <c r="M154" s="4">
        <v>218600.92</v>
      </c>
      <c r="N154" s="4">
        <v>-421630.45</v>
      </c>
      <c r="O154" s="4">
        <f>Tab_02.Fev[[#This Row],[DÉBITO]]-Tab_02.Fev[[#This Row],[CRÉDITO]]</f>
        <v>-218600.92</v>
      </c>
    </row>
    <row r="155" spans="2:15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5</v>
      </c>
      <c r="D155" s="2" t="str">
        <f>_xlfn.XLOOKUP($I155,Tab_00.Trial[CONTA],Tab_00.Trial[S/A],"",0,1)</f>
        <v>S</v>
      </c>
      <c r="E155" s="2">
        <f>IF($I155="","",COUNTIFS(Tab_00.Trial[CONTA],$I155))</f>
        <v>1</v>
      </c>
      <c r="F155" s="4">
        <f>SUMIFS(Tab_01.Jan[SALDO
ATUAL],Tab_01.Jan[CONTA],$I155)</f>
        <v>-0.05</v>
      </c>
      <c r="G155" s="4">
        <f t="shared" si="6"/>
        <v>0</v>
      </c>
      <c r="H155" s="89">
        <v>31590</v>
      </c>
      <c r="I155" s="3" t="s">
        <v>583</v>
      </c>
      <c r="J155" s="3" t="s">
        <v>689</v>
      </c>
      <c r="K155" s="4">
        <v>-0.05</v>
      </c>
      <c r="L155" s="4">
        <v>0</v>
      </c>
      <c r="M155" s="4">
        <v>73.22</v>
      </c>
      <c r="N155" s="4">
        <v>-73.27</v>
      </c>
      <c r="O155" s="4">
        <f>Tab_02.Fev[[#This Row],[DÉBITO]]-Tab_02.Fev[[#This Row],[CRÉDITO]]</f>
        <v>-73.22</v>
      </c>
    </row>
    <row r="156" spans="2:15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5</v>
      </c>
      <c r="D156" s="2" t="str">
        <f>_xlfn.XLOOKUP($I156,Tab_00.Trial[CONTA],Tab_00.Trial[S/A],"",0,1)</f>
        <v>S</v>
      </c>
      <c r="E156" s="2">
        <f>IF($I156="","",COUNTIFS(Tab_00.Trial[CONTA],$I156))</f>
        <v>1</v>
      </c>
      <c r="F156" s="4">
        <f>SUMIFS(Tab_01.Jan[SALDO
ATUAL],Tab_01.Jan[CONTA],$I156)</f>
        <v>-0.05</v>
      </c>
      <c r="G156" s="4">
        <f t="shared" ref="G156:G188" si="7">$F156-$K156</f>
        <v>0</v>
      </c>
      <c r="H156" s="89">
        <v>31605</v>
      </c>
      <c r="I156" s="3" t="s">
        <v>584</v>
      </c>
      <c r="J156" s="3" t="s">
        <v>689</v>
      </c>
      <c r="K156" s="4">
        <v>-0.05</v>
      </c>
      <c r="L156" s="4">
        <v>0</v>
      </c>
      <c r="M156" s="4">
        <v>73.22</v>
      </c>
      <c r="N156" s="4">
        <v>-73.27</v>
      </c>
      <c r="O156" s="4">
        <f>Tab_02.Fev[[#This Row],[DÉBITO]]-Tab_02.Fev[[#This Row],[CRÉDITO]]</f>
        <v>-73.22</v>
      </c>
    </row>
    <row r="157" spans="2:15" x14ac:dyDescent="0.3">
      <c r="B157" s="2" t="str">
        <f>_xlfn.XLOOKUP($I157,Tab_00.Trial[CONTA],Tab_00.Trial[TP],"",0,1)</f>
        <v>R</v>
      </c>
      <c r="C157" s="2">
        <f>_xlfn.XLOOKUP($I157,Tab_00.Trial[CONTA],Tab_00.Trial[NV],"",0,1)</f>
        <v>5</v>
      </c>
      <c r="D157" s="2" t="str">
        <f>_xlfn.XLOOKUP($I157,Tab_00.Trial[CONTA],Tab_00.Trial[S/A],"",0,1)</f>
        <v>A</v>
      </c>
      <c r="E157" s="2">
        <f>IF($I157="","",COUNTIFS(Tab_00.Trial[CONTA],$I157))</f>
        <v>1</v>
      </c>
      <c r="F157" s="4">
        <f>SUMIFS(Tab_01.Jan[SALDO
ATUAL],Tab_01.Jan[CONTA],$I157)</f>
        <v>-0.05</v>
      </c>
      <c r="G157" s="4">
        <f t="shared" si="7"/>
        <v>0</v>
      </c>
      <c r="H157" s="89">
        <v>31645</v>
      </c>
      <c r="I157" s="3" t="s">
        <v>391</v>
      </c>
      <c r="J157" s="3" t="s">
        <v>392</v>
      </c>
      <c r="K157" s="4">
        <v>-0.05</v>
      </c>
      <c r="L157" s="4">
        <v>0</v>
      </c>
      <c r="M157" s="4">
        <v>73.22</v>
      </c>
      <c r="N157" s="4">
        <v>-73.27</v>
      </c>
      <c r="O157" s="4">
        <f>Tab_02.Fev[[#This Row],[DÉBITO]]-Tab_02.Fev[[#This Row],[CRÉDITO]]</f>
        <v>-73.22</v>
      </c>
    </row>
    <row r="158" spans="2:15" x14ac:dyDescent="0.3">
      <c r="B158" s="2" t="str">
        <f>_xlfn.XLOOKUP($I158,Tab_00.Trial[CONTA],Tab_00.Trial[TP],"",0,1)</f>
        <v>R</v>
      </c>
      <c r="C158" s="2">
        <f>_xlfn.XLOOKUP($I158,Tab_00.Trial[CONTA],Tab_00.Trial[NV],"",0,1)</f>
        <v>5</v>
      </c>
      <c r="D158" s="2" t="str">
        <f>_xlfn.XLOOKUP($I158,Tab_00.Trial[CONTA],Tab_00.Trial[S/A],"",0,1)</f>
        <v>S</v>
      </c>
      <c r="E158" s="2">
        <f>IF($I158="","",COUNTIFS(Tab_00.Trial[CONTA],$I158))</f>
        <v>1</v>
      </c>
      <c r="F158" s="4">
        <f>SUMIFS(Tab_01.Jan[SALDO
ATUAL],Tab_01.Jan[CONTA],$I158)</f>
        <v>-203029.48</v>
      </c>
      <c r="G158" s="4">
        <f t="shared" si="7"/>
        <v>0</v>
      </c>
      <c r="H158" s="89">
        <v>31650</v>
      </c>
      <c r="I158" s="3" t="s">
        <v>585</v>
      </c>
      <c r="J158" s="3" t="s">
        <v>690</v>
      </c>
      <c r="K158" s="4">
        <v>-203029.48</v>
      </c>
      <c r="L158" s="4">
        <v>0</v>
      </c>
      <c r="M158" s="4">
        <v>218527.7</v>
      </c>
      <c r="N158" s="4">
        <v>-421557.18</v>
      </c>
      <c r="O158" s="4">
        <f>Tab_02.Fev[[#This Row],[DÉBITO]]-Tab_02.Fev[[#This Row],[CRÉDITO]]</f>
        <v>-218527.7</v>
      </c>
    </row>
    <row r="159" spans="2:15" x14ac:dyDescent="0.3">
      <c r="B159" s="2" t="str">
        <f>_xlfn.XLOOKUP($I159,Tab_00.Trial[CONTA],Tab_00.Trial[TP],"",0,1)</f>
        <v>R</v>
      </c>
      <c r="C159" s="2">
        <f>_xlfn.XLOOKUP($I159,Tab_00.Trial[CONTA],Tab_00.Trial[NV],"",0,1)</f>
        <v>5</v>
      </c>
      <c r="D159" s="2" t="str">
        <f>_xlfn.XLOOKUP($I159,Tab_00.Trial[CONTA],Tab_00.Trial[S/A],"",0,1)</f>
        <v>S</v>
      </c>
      <c r="E159" s="2">
        <f>IF($I159="","",COUNTIFS(Tab_00.Trial[CONTA],$I159))</f>
        <v>1</v>
      </c>
      <c r="F159" s="4">
        <f>SUMIFS(Tab_01.Jan[SALDO
ATUAL],Tab_01.Jan[CONTA],$I159)</f>
        <v>-203029.48</v>
      </c>
      <c r="G159" s="4">
        <f t="shared" si="7"/>
        <v>0</v>
      </c>
      <c r="H159" s="89">
        <v>31665</v>
      </c>
      <c r="I159" s="3" t="s">
        <v>586</v>
      </c>
      <c r="J159" s="3" t="s">
        <v>394</v>
      </c>
      <c r="K159" s="4">
        <v>-203029.48</v>
      </c>
      <c r="L159" s="4">
        <v>0</v>
      </c>
      <c r="M159" s="4">
        <v>218527.7</v>
      </c>
      <c r="N159" s="4">
        <v>-421557.18</v>
      </c>
      <c r="O159" s="4">
        <f>Tab_02.Fev[[#This Row],[DÉBITO]]-Tab_02.Fev[[#This Row],[CRÉDITO]]</f>
        <v>-218527.7</v>
      </c>
    </row>
    <row r="160" spans="2:15" x14ac:dyDescent="0.3">
      <c r="B160" s="2" t="str">
        <f>_xlfn.XLOOKUP($I160,Tab_00.Trial[CONTA],Tab_00.Trial[TP],"",0,1)</f>
        <v>R</v>
      </c>
      <c r="C160" s="2">
        <f>_xlfn.XLOOKUP($I160,Tab_00.Trial[CONTA],Tab_00.Trial[NV],"",0,1)</f>
        <v>5</v>
      </c>
      <c r="D160" s="2" t="str">
        <f>_xlfn.XLOOKUP($I160,Tab_00.Trial[CONTA],Tab_00.Trial[S/A],"",0,1)</f>
        <v>A</v>
      </c>
      <c r="E160" s="2">
        <f>IF($I160="","",COUNTIFS(Tab_00.Trial[CONTA],$I160))</f>
        <v>1</v>
      </c>
      <c r="F160" s="4">
        <f>SUMIFS(Tab_01.Jan[SALDO
ATUAL],Tab_01.Jan[CONTA],$I160)</f>
        <v>-203029.48</v>
      </c>
      <c r="G160" s="4">
        <f t="shared" si="7"/>
        <v>0</v>
      </c>
      <c r="H160" s="89">
        <v>31680</v>
      </c>
      <c r="I160" s="3" t="s">
        <v>393</v>
      </c>
      <c r="J160" s="3" t="s">
        <v>394</v>
      </c>
      <c r="K160" s="4">
        <v>-203029.48</v>
      </c>
      <c r="L160" s="4">
        <v>0</v>
      </c>
      <c r="M160" s="4">
        <v>218527.7</v>
      </c>
      <c r="N160" s="4">
        <v>-421557.18</v>
      </c>
      <c r="O160" s="4">
        <f>Tab_02.Fev[[#This Row],[DÉBITO]]-Tab_02.Fev[[#This Row],[CRÉDITO]]</f>
        <v>-218527.7</v>
      </c>
    </row>
    <row r="161" spans="2:15" x14ac:dyDescent="0.3">
      <c r="B161" s="2" t="str">
        <f>_xlfn.XLOOKUP($I161,Tab_00.Trial[CONTA],Tab_00.Trial[TP],"",0,1)</f>
        <v>R</v>
      </c>
      <c r="C161" s="2">
        <f>_xlfn.XLOOKUP($I161,Tab_00.Trial[CONTA],Tab_00.Trial[NV],"",0,1)</f>
        <v>2</v>
      </c>
      <c r="D161" s="2" t="str">
        <f>_xlfn.XLOOKUP($I161,Tab_00.Trial[CONTA],Tab_00.Trial[S/A],"",0,1)</f>
        <v>S</v>
      </c>
      <c r="E161" s="2">
        <f>IF($I161="","",COUNTIFS(Tab_00.Trial[CONTA],$I161))</f>
        <v>1</v>
      </c>
      <c r="F161" s="4">
        <f>SUMIFS(Tab_01.Jan[SALDO
ATUAL],Tab_01.Jan[CONTA],$I161)</f>
        <v>-50</v>
      </c>
      <c r="G161" s="4">
        <f t="shared" si="7"/>
        <v>0</v>
      </c>
      <c r="H161" s="89">
        <v>31725</v>
      </c>
      <c r="I161" s="3" t="s">
        <v>587</v>
      </c>
      <c r="J161" s="3" t="s">
        <v>691</v>
      </c>
      <c r="K161" s="4">
        <v>-50</v>
      </c>
      <c r="L161" s="4">
        <v>0</v>
      </c>
      <c r="M161" s="4">
        <v>650</v>
      </c>
      <c r="N161" s="4">
        <v>-700</v>
      </c>
      <c r="O161" s="4">
        <f>Tab_02.Fev[[#This Row],[DÉBITO]]-Tab_02.Fev[[#This Row],[CRÉDITO]]</f>
        <v>-650</v>
      </c>
    </row>
    <row r="162" spans="2:15" x14ac:dyDescent="0.3">
      <c r="B162" s="2" t="str">
        <f>_xlfn.XLOOKUP($I162,Tab_00.Trial[CONTA],Tab_00.Trial[TP],"",0,1)</f>
        <v>R</v>
      </c>
      <c r="C162" s="2">
        <f>_xlfn.XLOOKUP($I162,Tab_00.Trial[CONTA],Tab_00.Trial[NV],"",0,1)</f>
        <v>5</v>
      </c>
      <c r="D162" s="2" t="str">
        <f>_xlfn.XLOOKUP($I162,Tab_00.Trial[CONTA],Tab_00.Trial[S/A],"",0,1)</f>
        <v>S</v>
      </c>
      <c r="E162" s="2">
        <f>IF($I162="","",COUNTIFS(Tab_00.Trial[CONTA],$I162))</f>
        <v>1</v>
      </c>
      <c r="F162" s="4">
        <f>SUMIFS(Tab_01.Jan[SALDO
ATUAL],Tab_01.Jan[CONTA],$I162)</f>
        <v>-50</v>
      </c>
      <c r="G162" s="4">
        <f t="shared" si="7"/>
        <v>0</v>
      </c>
      <c r="H162" s="89">
        <v>30722</v>
      </c>
      <c r="I162" s="3" t="s">
        <v>588</v>
      </c>
      <c r="J162" s="3" t="s">
        <v>692</v>
      </c>
      <c r="K162" s="4">
        <v>-50</v>
      </c>
      <c r="L162" s="4">
        <v>0</v>
      </c>
      <c r="M162" s="4">
        <v>650</v>
      </c>
      <c r="N162" s="4">
        <v>-700</v>
      </c>
      <c r="O162" s="4">
        <f>Tab_02.Fev[[#This Row],[DÉBITO]]-Tab_02.Fev[[#This Row],[CRÉDITO]]</f>
        <v>-650</v>
      </c>
    </row>
    <row r="163" spans="2:15" x14ac:dyDescent="0.3">
      <c r="B163" s="2" t="str">
        <f>_xlfn.XLOOKUP($I163,Tab_00.Trial[CONTA],Tab_00.Trial[TP],"",0,1)</f>
        <v>R</v>
      </c>
      <c r="C163" s="2">
        <f>_xlfn.XLOOKUP($I163,Tab_00.Trial[CONTA],Tab_00.Trial[NV],"",0,1)</f>
        <v>5</v>
      </c>
      <c r="D163" s="2" t="str">
        <f>_xlfn.XLOOKUP($I163,Tab_00.Trial[CONTA],Tab_00.Trial[S/A],"",0,1)</f>
        <v>S</v>
      </c>
      <c r="E163" s="2">
        <f>IF($I163="","",COUNTIFS(Tab_00.Trial[CONTA],$I163))</f>
        <v>1</v>
      </c>
      <c r="F163" s="4">
        <f>SUMIFS(Tab_01.Jan[SALDO
ATUAL],Tab_01.Jan[CONTA],$I163)</f>
        <v>-50</v>
      </c>
      <c r="G163" s="4">
        <f t="shared" si="7"/>
        <v>0</v>
      </c>
      <c r="H163" s="89">
        <v>30729</v>
      </c>
      <c r="I163" s="3" t="s">
        <v>589</v>
      </c>
      <c r="J163" s="3" t="s">
        <v>692</v>
      </c>
      <c r="K163" s="4">
        <v>-50</v>
      </c>
      <c r="L163" s="4">
        <v>0</v>
      </c>
      <c r="M163" s="4">
        <v>650</v>
      </c>
      <c r="N163" s="4">
        <v>-700</v>
      </c>
      <c r="O163" s="4">
        <f>Tab_02.Fev[[#This Row],[DÉBITO]]-Tab_02.Fev[[#This Row],[CRÉDITO]]</f>
        <v>-650</v>
      </c>
    </row>
    <row r="164" spans="2:15" x14ac:dyDescent="0.3">
      <c r="B164" s="2" t="str">
        <f>_xlfn.XLOOKUP($I164,Tab_00.Trial[CONTA],Tab_00.Trial[TP],"",0,1)</f>
        <v>R</v>
      </c>
      <c r="C164" s="2">
        <f>_xlfn.XLOOKUP($I164,Tab_00.Trial[CONTA],Tab_00.Trial[NV],"",0,1)</f>
        <v>5</v>
      </c>
      <c r="D164" s="2" t="str">
        <f>_xlfn.XLOOKUP($I164,Tab_00.Trial[CONTA],Tab_00.Trial[S/A],"",0,1)</f>
        <v>A</v>
      </c>
      <c r="E164" s="2">
        <f>IF($I164="","",COUNTIFS(Tab_00.Trial[CONTA],$I164))</f>
        <v>1</v>
      </c>
      <c r="F164" s="4">
        <f>SUMIFS(Tab_01.Jan[SALDO
ATUAL],Tab_01.Jan[CONTA],$I164)</f>
        <v>-50</v>
      </c>
      <c r="G164" s="4">
        <f t="shared" si="7"/>
        <v>0</v>
      </c>
      <c r="H164" s="89">
        <v>30736</v>
      </c>
      <c r="I164" s="3" t="s">
        <v>395</v>
      </c>
      <c r="J164" s="3" t="s">
        <v>396</v>
      </c>
      <c r="K164" s="4">
        <v>-50</v>
      </c>
      <c r="L164" s="4">
        <v>0</v>
      </c>
      <c r="M164" s="4">
        <v>650</v>
      </c>
      <c r="N164" s="4">
        <v>-700</v>
      </c>
      <c r="O164" s="4">
        <f>Tab_02.Fev[[#This Row],[DÉBITO]]-Tab_02.Fev[[#This Row],[CRÉDITO]]</f>
        <v>-650</v>
      </c>
    </row>
    <row r="165" spans="2:15" x14ac:dyDescent="0.3">
      <c r="B165" s="2" t="str">
        <f>_xlfn.XLOOKUP($I165,Tab_00.Trial[CONTA],Tab_00.Trial[TP],"",0,1)</f>
        <v>C</v>
      </c>
      <c r="C165" s="2">
        <f>_xlfn.XLOOKUP($I165,Tab_00.Trial[CONTA],Tab_00.Trial[NV],"",0,1)</f>
        <v>1</v>
      </c>
      <c r="D165" s="2" t="str">
        <f>_xlfn.XLOOKUP($I165,Tab_00.Trial[CONTA],Tab_00.Trial[S/A],"",0,1)</f>
        <v>S</v>
      </c>
      <c r="E165" s="2">
        <f>IF($I165="","",COUNTIFS(Tab_00.Trial[CONTA],$I165))</f>
        <v>1</v>
      </c>
      <c r="F165" s="4">
        <f>SUMIFS(Tab_01.Jan[SALDO
ATUAL],Tab_01.Jan[CONTA],$I165)</f>
        <v>994864.81</v>
      </c>
      <c r="G165" s="4">
        <f t="shared" si="7"/>
        <v>0</v>
      </c>
      <c r="H165" s="89">
        <v>40000</v>
      </c>
      <c r="I165" s="3">
        <v>4</v>
      </c>
      <c r="J165" s="3" t="s">
        <v>693</v>
      </c>
      <c r="K165" s="4">
        <v>994864.81</v>
      </c>
      <c r="L165" s="4">
        <v>1217060.71</v>
      </c>
      <c r="M165" s="4">
        <v>54569.81</v>
      </c>
      <c r="N165" s="4">
        <v>2157355.71</v>
      </c>
      <c r="O165" s="4">
        <f>Tab_02.Fev[[#This Row],[DÉBITO]]-Tab_02.Fev[[#This Row],[CRÉDITO]]</f>
        <v>1162490.8999999999</v>
      </c>
    </row>
    <row r="166" spans="2:15" x14ac:dyDescent="0.3">
      <c r="B166" s="2" t="str">
        <f>_xlfn.XLOOKUP($I166,Tab_00.Trial[CONTA],Tab_00.Trial[TP],"",0,1)</f>
        <v>C</v>
      </c>
      <c r="C166" s="2">
        <f>_xlfn.XLOOKUP($I166,Tab_00.Trial[CONTA],Tab_00.Trial[NV],"",0,1)</f>
        <v>2</v>
      </c>
      <c r="D166" s="2" t="str">
        <f>_xlfn.XLOOKUP($I166,Tab_00.Trial[CONTA],Tab_00.Trial[S/A],"",0,1)</f>
        <v>S</v>
      </c>
      <c r="E166" s="2">
        <f>IF($I166="","",COUNTIFS(Tab_00.Trial[CONTA],$I166))</f>
        <v>1</v>
      </c>
      <c r="F166" s="4">
        <f>SUMIFS(Tab_01.Jan[SALDO
ATUAL],Tab_01.Jan[CONTA],$I166)</f>
        <v>994864.81</v>
      </c>
      <c r="G166" s="4">
        <f t="shared" si="7"/>
        <v>0</v>
      </c>
      <c r="H166" s="89">
        <v>40015</v>
      </c>
      <c r="I166" s="3" t="s">
        <v>234</v>
      </c>
      <c r="J166" s="3" t="s">
        <v>817</v>
      </c>
      <c r="K166" s="4">
        <v>994864.81</v>
      </c>
      <c r="L166" s="4">
        <v>1217060.71</v>
      </c>
      <c r="M166" s="4">
        <v>54569.81</v>
      </c>
      <c r="N166" s="4">
        <v>2157355.71</v>
      </c>
      <c r="O166" s="4">
        <f>Tab_02.Fev[[#This Row],[DÉBITO]]-Tab_02.Fev[[#This Row],[CRÉDITO]]</f>
        <v>1162490.8999999999</v>
      </c>
    </row>
    <row r="167" spans="2:15" x14ac:dyDescent="0.3">
      <c r="B167" s="2" t="str">
        <f>_xlfn.XLOOKUP($I167,Tab_00.Trial[CONTA],Tab_00.Trial[TP],"",0,1)</f>
        <v>C</v>
      </c>
      <c r="C167" s="2">
        <f>_xlfn.XLOOKUP($I167,Tab_00.Trial[CONTA],Tab_00.Trial[NV],"",0,1)</f>
        <v>5</v>
      </c>
      <c r="D167" s="2" t="str">
        <f>_xlfn.XLOOKUP($I167,Tab_00.Trial[CONTA],Tab_00.Trial[S/A],"",0,1)</f>
        <v>S</v>
      </c>
      <c r="E167" s="2">
        <f>IF($I167="","",COUNTIFS(Tab_00.Trial[CONTA],$I167))</f>
        <v>1</v>
      </c>
      <c r="F167" s="4">
        <f>SUMIFS(Tab_01.Jan[SALDO
ATUAL],Tab_01.Jan[CONTA],$I167)</f>
        <v>142425.62</v>
      </c>
      <c r="G167" s="4">
        <f t="shared" si="7"/>
        <v>0</v>
      </c>
      <c r="H167" s="89">
        <v>40030</v>
      </c>
      <c r="I167" s="3" t="s">
        <v>235</v>
      </c>
      <c r="J167" s="3" t="s">
        <v>818</v>
      </c>
      <c r="K167" s="4">
        <v>142425.62</v>
      </c>
      <c r="L167" s="4">
        <v>193987.79</v>
      </c>
      <c r="M167" s="4">
        <v>54569.81</v>
      </c>
      <c r="N167" s="4">
        <v>281843.59999999998</v>
      </c>
      <c r="O167" s="4">
        <f>Tab_02.Fev[[#This Row],[DÉBITO]]-Tab_02.Fev[[#This Row],[CRÉDITO]]</f>
        <v>139417.98000000001</v>
      </c>
    </row>
    <row r="168" spans="2:15" x14ac:dyDescent="0.3">
      <c r="B168" s="2" t="str">
        <f>_xlfn.XLOOKUP($I168,Tab_00.Trial[CONTA],Tab_00.Trial[TP],"",0,1)</f>
        <v>C</v>
      </c>
      <c r="C168" s="2">
        <f>_xlfn.XLOOKUP($I168,Tab_00.Trial[CONTA],Tab_00.Trial[NV],"",0,1)</f>
        <v>5</v>
      </c>
      <c r="D168" s="2" t="str">
        <f>_xlfn.XLOOKUP($I168,Tab_00.Trial[CONTA],Tab_00.Trial[S/A],"",0,1)</f>
        <v>S</v>
      </c>
      <c r="E168" s="2">
        <f>IF($I168="","",COUNTIFS(Tab_00.Trial[CONTA],$I168))</f>
        <v>1</v>
      </c>
      <c r="F168" s="4">
        <f>SUMIFS(Tab_01.Jan[SALDO
ATUAL],Tab_01.Jan[CONTA],$I168)</f>
        <v>54534.01</v>
      </c>
      <c r="G168" s="4">
        <f t="shared" si="7"/>
        <v>0</v>
      </c>
      <c r="H168" s="89">
        <v>40045</v>
      </c>
      <c r="I168" s="3" t="s">
        <v>236</v>
      </c>
      <c r="J168" s="3" t="s">
        <v>696</v>
      </c>
      <c r="K168" s="4">
        <v>54534.01</v>
      </c>
      <c r="L168" s="4">
        <v>90611.14</v>
      </c>
      <c r="M168" s="4">
        <v>31779.23</v>
      </c>
      <c r="N168" s="4">
        <v>113365.92</v>
      </c>
      <c r="O168" s="4">
        <f>Tab_02.Fev[[#This Row],[DÉBITO]]-Tab_02.Fev[[#This Row],[CRÉDITO]]</f>
        <v>58831.91</v>
      </c>
    </row>
    <row r="169" spans="2:15" x14ac:dyDescent="0.3">
      <c r="B169" s="2" t="str">
        <f>_xlfn.XLOOKUP($I169,Tab_00.Trial[CONTA],Tab_00.Trial[TP],"",0,1)</f>
        <v>C</v>
      </c>
      <c r="C169" s="2">
        <f>_xlfn.XLOOKUP($I169,Tab_00.Trial[CONTA],Tab_00.Trial[NV],"",0,1)</f>
        <v>5</v>
      </c>
      <c r="D169" s="2" t="str">
        <f>_xlfn.XLOOKUP($I169,Tab_00.Trial[CONTA],Tab_00.Trial[S/A],"",0,1)</f>
        <v>A</v>
      </c>
      <c r="E169" s="2">
        <f>IF($I169="","",COUNTIFS(Tab_00.Trial[CONTA],$I169))</f>
        <v>1</v>
      </c>
      <c r="F169" s="4">
        <f>SUMIFS(Tab_01.Jan[SALDO
ATUAL],Tab_01.Jan[CONTA],$I169)</f>
        <v>-9283.35</v>
      </c>
      <c r="G169" s="4">
        <f t="shared" si="7"/>
        <v>0</v>
      </c>
      <c r="H169" s="89">
        <v>40060</v>
      </c>
      <c r="I169" s="3" t="s">
        <v>195</v>
      </c>
      <c r="J169" s="3" t="s">
        <v>427</v>
      </c>
      <c r="K169" s="4">
        <v>-9283.35</v>
      </c>
      <c r="L169" s="4">
        <v>70554.78</v>
      </c>
      <c r="M169" s="4">
        <v>12828.85</v>
      </c>
      <c r="N169" s="4">
        <v>48442.58</v>
      </c>
      <c r="O169" s="4">
        <f>Tab_02.Fev[[#This Row],[DÉBITO]]-Tab_02.Fev[[#This Row],[CRÉDITO]]</f>
        <v>57725.93</v>
      </c>
    </row>
    <row r="170" spans="2:15" x14ac:dyDescent="0.3">
      <c r="B170" s="2" t="str">
        <f>_xlfn.XLOOKUP($I170,Tab_00.Trial[CONTA],Tab_00.Trial[TP],"",0,1)</f>
        <v>C</v>
      </c>
      <c r="C170" s="2">
        <f>_xlfn.XLOOKUP($I170,Tab_00.Trial[CONTA],Tab_00.Trial[NV],"",0,1)</f>
        <v>5</v>
      </c>
      <c r="D170" s="2" t="str">
        <f>_xlfn.XLOOKUP($I170,Tab_00.Trial[CONTA],Tab_00.Trial[S/A],"",0,1)</f>
        <v>A</v>
      </c>
      <c r="E170" s="2">
        <f>IF($I170="","",COUNTIFS(Tab_00.Trial[CONTA],$I170))</f>
        <v>1</v>
      </c>
      <c r="F170" s="4">
        <f>SUMIFS(Tab_01.Jan[SALDO
ATUAL],Tab_01.Jan[CONTA],$I170)</f>
        <v>7059.76</v>
      </c>
      <c r="G170" s="4">
        <f t="shared" si="7"/>
        <v>0</v>
      </c>
      <c r="H170" s="89">
        <v>40075</v>
      </c>
      <c r="I170" s="3" t="s">
        <v>430</v>
      </c>
      <c r="J170" s="3" t="s">
        <v>431</v>
      </c>
      <c r="K170" s="4">
        <v>7059.76</v>
      </c>
      <c r="L170" s="4">
        <v>9664.2099999999991</v>
      </c>
      <c r="M170" s="4">
        <v>0</v>
      </c>
      <c r="N170" s="4">
        <v>16723.97</v>
      </c>
      <c r="O170" s="4">
        <f>Tab_02.Fev[[#This Row],[DÉBITO]]-Tab_02.Fev[[#This Row],[CRÉDITO]]</f>
        <v>9664.2099999999991</v>
      </c>
    </row>
    <row r="171" spans="2:15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5</v>
      </c>
      <c r="D171" s="2" t="str">
        <f>_xlfn.XLOOKUP($I171,Tab_00.Trial[CONTA],Tab_00.Trial[S/A],"",0,1)</f>
        <v>A</v>
      </c>
      <c r="E171" s="2">
        <f>IF($I171="","",COUNTIFS(Tab_00.Trial[CONTA],$I171))</f>
        <v>1</v>
      </c>
      <c r="F171" s="4">
        <f>SUMIFS(Tab_01.Jan[SALDO
ATUAL],Tab_01.Jan[CONTA],$I171)</f>
        <v>5045.03</v>
      </c>
      <c r="G171" s="4">
        <f t="shared" si="7"/>
        <v>0</v>
      </c>
      <c r="H171" s="89">
        <v>40085</v>
      </c>
      <c r="I171" s="3" t="s">
        <v>432</v>
      </c>
      <c r="J171" s="3" t="s">
        <v>433</v>
      </c>
      <c r="K171" s="4">
        <v>5045.03</v>
      </c>
      <c r="L171" s="4">
        <v>5045.03</v>
      </c>
      <c r="M171" s="4">
        <v>0</v>
      </c>
      <c r="N171" s="4">
        <v>10090.06</v>
      </c>
      <c r="O171" s="4">
        <f>Tab_02.Fev[[#This Row],[DÉBITO]]-Tab_02.Fev[[#This Row],[CRÉDITO]]</f>
        <v>5045.03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5</v>
      </c>
      <c r="D172" s="2" t="str">
        <f>_xlfn.XLOOKUP($I172,Tab_00.Trial[CONTA],Tab_00.Trial[S/A],"",0,1)</f>
        <v>A</v>
      </c>
      <c r="E172" s="2">
        <f>IF($I172="","",COUNTIFS(Tab_00.Trial[CONTA],$I172))</f>
        <v>1</v>
      </c>
      <c r="F172" s="4">
        <f>SUMIFS(Tab_01.Jan[SALDO
ATUAL],Tab_01.Jan[CONTA],$I172)</f>
        <v>49658.59</v>
      </c>
      <c r="G172" s="4">
        <f t="shared" si="7"/>
        <v>0</v>
      </c>
      <c r="H172" s="89">
        <v>10111</v>
      </c>
      <c r="I172" s="3" t="s">
        <v>790</v>
      </c>
      <c r="J172" s="3" t="s">
        <v>791</v>
      </c>
      <c r="K172" s="4">
        <v>49658.59</v>
      </c>
      <c r="L172" s="4">
        <v>2909.39</v>
      </c>
      <c r="M172" s="4">
        <v>18788.830000000002</v>
      </c>
      <c r="N172" s="4">
        <v>33779.15</v>
      </c>
      <c r="O172" s="4">
        <f>Tab_02.Fev[[#This Row],[DÉBITO]]-Tab_02.Fev[[#This Row],[CRÉDITO]]</f>
        <v>-15879.44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A</v>
      </c>
      <c r="E173" s="2">
        <f>IF($I173="","",COUNTIFS(Tab_00.Trial[CONTA],$I173))</f>
        <v>1</v>
      </c>
      <c r="F173" s="4">
        <f>SUMIFS(Tab_01.Jan[SALDO
ATUAL],Tab_01.Jan[CONTA],$I173)</f>
        <v>179.93</v>
      </c>
      <c r="G173" s="4">
        <f t="shared" si="7"/>
        <v>0</v>
      </c>
      <c r="H173" s="89">
        <v>10118</v>
      </c>
      <c r="I173" s="3" t="s">
        <v>792</v>
      </c>
      <c r="J173" s="3" t="s">
        <v>793</v>
      </c>
      <c r="K173" s="4">
        <v>179.93</v>
      </c>
      <c r="L173" s="4">
        <v>523</v>
      </c>
      <c r="M173" s="4">
        <v>30.22</v>
      </c>
      <c r="N173" s="4">
        <v>672.71</v>
      </c>
      <c r="O173" s="4">
        <f>Tab_02.Fev[[#This Row],[DÉBITO]]-Tab_02.Fev[[#This Row],[CRÉDITO]]</f>
        <v>492.78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A</v>
      </c>
      <c r="E174" s="2">
        <f>IF($I174="","",COUNTIFS(Tab_00.Trial[CONTA],$I174))</f>
        <v>1</v>
      </c>
      <c r="F174" s="4">
        <f>SUMIFS(Tab_01.Jan[SALDO
ATUAL],Tab_01.Jan[CONTA],$I174)</f>
        <v>67.97</v>
      </c>
      <c r="G174" s="4">
        <f t="shared" si="7"/>
        <v>0</v>
      </c>
      <c r="H174" s="89">
        <v>10139</v>
      </c>
      <c r="I174" s="3" t="s">
        <v>794</v>
      </c>
      <c r="J174" s="3" t="s">
        <v>795</v>
      </c>
      <c r="K174" s="4">
        <v>67.97</v>
      </c>
      <c r="L174" s="4">
        <v>108.64</v>
      </c>
      <c r="M174" s="4">
        <v>131.33000000000001</v>
      </c>
      <c r="N174" s="4">
        <v>45.28</v>
      </c>
      <c r="O174" s="4">
        <f>Tab_02.Fev[[#This Row],[DÉBITO]]-Tab_02.Fev[[#This Row],[CRÉDITO]]</f>
        <v>-22.69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A</v>
      </c>
      <c r="E175" s="2">
        <f>IF($I175="","",COUNTIFS(Tab_00.Trial[CONTA],$I175))</f>
        <v>1</v>
      </c>
      <c r="F175" s="4">
        <f>SUMIFS(Tab_01.Jan[SALDO
ATUAL],Tab_01.Jan[CONTA],$I175)</f>
        <v>1352.06</v>
      </c>
      <c r="G175" s="4">
        <f t="shared" si="7"/>
        <v>0</v>
      </c>
      <c r="H175" s="89">
        <v>10146</v>
      </c>
      <c r="I175" s="3" t="s">
        <v>796</v>
      </c>
      <c r="J175" s="3" t="s">
        <v>797</v>
      </c>
      <c r="K175" s="4">
        <v>1352.06</v>
      </c>
      <c r="L175" s="4">
        <v>1352.02</v>
      </c>
      <c r="M175" s="4">
        <v>0</v>
      </c>
      <c r="N175" s="4">
        <v>2704.08</v>
      </c>
      <c r="O175" s="4">
        <f>Tab_02.Fev[[#This Row],[DÉBITO]]-Tab_02.Fev[[#This Row],[CRÉDITO]]</f>
        <v>1352.02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A</v>
      </c>
      <c r="E176" s="2">
        <f>IF($I176="","",COUNTIFS(Tab_00.Trial[CONTA],$I176))</f>
        <v>1</v>
      </c>
      <c r="F176" s="4">
        <f>SUMIFS(Tab_01.Jan[SALDO
ATUAL],Tab_01.Jan[CONTA],$I176)</f>
        <v>403.57</v>
      </c>
      <c r="G176" s="4">
        <f t="shared" si="7"/>
        <v>0</v>
      </c>
      <c r="H176" s="89">
        <v>10153</v>
      </c>
      <c r="I176" s="3" t="s">
        <v>798</v>
      </c>
      <c r="J176" s="3" t="s">
        <v>799</v>
      </c>
      <c r="K176" s="4">
        <v>403.57</v>
      </c>
      <c r="L176" s="4">
        <v>403.61</v>
      </c>
      <c r="M176" s="4">
        <v>0</v>
      </c>
      <c r="N176" s="4">
        <v>807.18</v>
      </c>
      <c r="O176" s="4">
        <f>Tab_02.Fev[[#This Row],[DÉBITO]]-Tab_02.Fev[[#This Row],[CRÉDITO]]</f>
        <v>403.61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A</v>
      </c>
      <c r="E177" s="2">
        <f>IF($I177="","",COUNTIFS(Tab_00.Trial[CONTA],$I177))</f>
        <v>1</v>
      </c>
      <c r="F177" s="4">
        <f>SUMIFS(Tab_01.Jan[SALDO
ATUAL],Tab_01.Jan[CONTA],$I177)</f>
        <v>50.45</v>
      </c>
      <c r="G177" s="4">
        <f t="shared" si="7"/>
        <v>0</v>
      </c>
      <c r="H177" s="89">
        <v>10160</v>
      </c>
      <c r="I177" s="3" t="s">
        <v>800</v>
      </c>
      <c r="J177" s="3" t="s">
        <v>801</v>
      </c>
      <c r="K177" s="4">
        <v>50.45</v>
      </c>
      <c r="L177" s="4">
        <v>50.46</v>
      </c>
      <c r="M177" s="4">
        <v>0</v>
      </c>
      <c r="N177" s="4">
        <v>100.91</v>
      </c>
      <c r="O177" s="4">
        <f>Tab_02.Fev[[#This Row],[DÉBITO]]-Tab_02.Fev[[#This Row],[CRÉDITO]]</f>
        <v>50.46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S</v>
      </c>
      <c r="E178" s="2">
        <f>IF($I178="","",COUNTIFS(Tab_00.Trial[CONTA],$I178))</f>
        <v>1</v>
      </c>
      <c r="F178" s="4">
        <f>SUMIFS(Tab_01.Jan[SALDO
ATUAL],Tab_01.Jan[CONTA],$I178)</f>
        <v>16378.13</v>
      </c>
      <c r="G178" s="4">
        <f t="shared" si="7"/>
        <v>0</v>
      </c>
      <c r="H178" s="89">
        <v>40150</v>
      </c>
      <c r="I178" s="3" t="s">
        <v>590</v>
      </c>
      <c r="J178" s="3" t="s">
        <v>697</v>
      </c>
      <c r="K178" s="4">
        <v>16378.13</v>
      </c>
      <c r="L178" s="4">
        <v>19325.21</v>
      </c>
      <c r="M178" s="4">
        <v>1775.65</v>
      </c>
      <c r="N178" s="4">
        <v>33927.69</v>
      </c>
      <c r="O178" s="4">
        <f>Tab_02.Fev[[#This Row],[DÉBITO]]-Tab_02.Fev[[#This Row],[CRÉDITO]]</f>
        <v>17549.560000000001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A</v>
      </c>
      <c r="E179" s="2">
        <f>IF($I179="","",COUNTIFS(Tab_00.Trial[CONTA],$I179))</f>
        <v>1</v>
      </c>
      <c r="F179" s="4">
        <f>SUMIFS(Tab_01.Jan[SALDO
ATUAL],Tab_01.Jan[CONTA],$I179)</f>
        <v>15206.61</v>
      </c>
      <c r="G179" s="4">
        <f t="shared" si="7"/>
        <v>0</v>
      </c>
      <c r="H179" s="89">
        <v>40165</v>
      </c>
      <c r="I179" s="3" t="s">
        <v>434</v>
      </c>
      <c r="J179" s="3" t="s">
        <v>435</v>
      </c>
      <c r="K179" s="4">
        <v>15206.61</v>
      </c>
      <c r="L179" s="4">
        <v>17072.71</v>
      </c>
      <c r="M179" s="4">
        <v>731.6</v>
      </c>
      <c r="N179" s="4">
        <v>31547.72</v>
      </c>
      <c r="O179" s="4">
        <f>Tab_02.Fev[[#This Row],[DÉBITO]]-Tab_02.Fev[[#This Row],[CRÉDITO]]</f>
        <v>16341.11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A</v>
      </c>
      <c r="E180" s="2">
        <f>IF($I180="","",COUNTIFS(Tab_00.Trial[CONTA],$I180))</f>
        <v>1</v>
      </c>
      <c r="F180" s="4">
        <f>SUMIFS(Tab_01.Jan[SALDO
ATUAL],Tab_01.Jan[CONTA],$I180)</f>
        <v>1171.52</v>
      </c>
      <c r="G180" s="4">
        <f t="shared" si="7"/>
        <v>0</v>
      </c>
      <c r="H180" s="89">
        <v>40195</v>
      </c>
      <c r="I180" s="3" t="s">
        <v>750</v>
      </c>
      <c r="J180" s="3" t="s">
        <v>751</v>
      </c>
      <c r="K180" s="4">
        <v>1171.52</v>
      </c>
      <c r="L180" s="4">
        <v>2252.5</v>
      </c>
      <c r="M180" s="4">
        <v>1044.05</v>
      </c>
      <c r="N180" s="4">
        <v>2379.9699999999998</v>
      </c>
      <c r="O180" s="4">
        <f>Tab_02.Fev[[#This Row],[DÉBITO]]-Tab_02.Fev[[#This Row],[CRÉDITO]]</f>
        <v>1208.45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S</v>
      </c>
      <c r="E181" s="2">
        <f>IF($I181="","",COUNTIFS(Tab_00.Trial[CONTA],$I181))</f>
        <v>1</v>
      </c>
      <c r="F181" s="4">
        <f>SUMIFS(Tab_01.Jan[SALDO
ATUAL],Tab_01.Jan[CONTA],$I181)</f>
        <v>16434.849999999999</v>
      </c>
      <c r="G181" s="4">
        <f t="shared" si="7"/>
        <v>0</v>
      </c>
      <c r="H181" s="89">
        <v>40210</v>
      </c>
      <c r="I181" s="3" t="s">
        <v>591</v>
      </c>
      <c r="J181" s="3" t="s">
        <v>698</v>
      </c>
      <c r="K181" s="4">
        <v>16434.849999999999</v>
      </c>
      <c r="L181" s="4">
        <v>41966.34</v>
      </c>
      <c r="M181" s="4">
        <v>21014.93</v>
      </c>
      <c r="N181" s="4">
        <v>37386.26</v>
      </c>
      <c r="O181" s="4">
        <f>Tab_02.Fev[[#This Row],[DÉBITO]]-Tab_02.Fev[[#This Row],[CRÉDITO]]</f>
        <v>20951.41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A</v>
      </c>
      <c r="E182" s="2">
        <f>IF($I182="","",COUNTIFS(Tab_00.Trial[CONTA],$I182))</f>
        <v>1</v>
      </c>
      <c r="F182" s="4">
        <f>SUMIFS(Tab_01.Jan[SALDO
ATUAL],Tab_01.Jan[CONTA],$I182)</f>
        <v>13434.9</v>
      </c>
      <c r="G182" s="4">
        <f t="shared" si="7"/>
        <v>0</v>
      </c>
      <c r="H182" s="89">
        <v>40225</v>
      </c>
      <c r="I182" s="3" t="s">
        <v>436</v>
      </c>
      <c r="J182" s="3" t="s">
        <v>437</v>
      </c>
      <c r="K182" s="4">
        <v>13434.9</v>
      </c>
      <c r="L182" s="4">
        <v>33505.47</v>
      </c>
      <c r="M182" s="4">
        <v>16379.85</v>
      </c>
      <c r="N182" s="4">
        <v>30560.52</v>
      </c>
      <c r="O182" s="4">
        <f>Tab_02.Fev[[#This Row],[DÉBITO]]-Tab_02.Fev[[#This Row],[CRÉDITO]]</f>
        <v>17125.62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A</v>
      </c>
      <c r="E183" s="2">
        <f>IF($I183="","",COUNTIFS(Tab_00.Trial[CONTA],$I183))</f>
        <v>1</v>
      </c>
      <c r="F183" s="4">
        <f>SUMIFS(Tab_01.Jan[SALDO
ATUAL],Tab_01.Jan[CONTA],$I183)</f>
        <v>2354.0700000000002</v>
      </c>
      <c r="G183" s="4">
        <f t="shared" si="7"/>
        <v>0</v>
      </c>
      <c r="H183" s="89">
        <v>40240</v>
      </c>
      <c r="I183" s="3" t="s">
        <v>438</v>
      </c>
      <c r="J183" s="3" t="s">
        <v>196</v>
      </c>
      <c r="K183" s="4">
        <v>2354.0700000000002</v>
      </c>
      <c r="L183" s="4">
        <v>7591.52</v>
      </c>
      <c r="M183" s="4">
        <v>4023.89</v>
      </c>
      <c r="N183" s="4">
        <v>5921.7</v>
      </c>
      <c r="O183" s="4">
        <f>Tab_02.Fev[[#This Row],[DÉBITO]]-Tab_02.Fev[[#This Row],[CRÉDITO]]</f>
        <v>3567.63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A</v>
      </c>
      <c r="E184" s="2">
        <f>IF($I184="","",COUNTIFS(Tab_00.Trial[CONTA],$I184))</f>
        <v>1</v>
      </c>
      <c r="F184" s="4">
        <f>SUMIFS(Tab_01.Jan[SALDO
ATUAL],Tab_01.Jan[CONTA],$I184)</f>
        <v>645.88</v>
      </c>
      <c r="G184" s="4">
        <f t="shared" si="7"/>
        <v>0</v>
      </c>
      <c r="H184" s="89">
        <v>40255</v>
      </c>
      <c r="I184" s="3" t="s">
        <v>439</v>
      </c>
      <c r="J184" s="3" t="s">
        <v>440</v>
      </c>
      <c r="K184" s="4">
        <v>645.88</v>
      </c>
      <c r="L184" s="4">
        <v>869.35</v>
      </c>
      <c r="M184" s="4">
        <v>611.19000000000005</v>
      </c>
      <c r="N184" s="4">
        <v>904.04</v>
      </c>
      <c r="O184" s="4">
        <f>Tab_02.Fev[[#This Row],[DÉBITO]]-Tab_02.Fev[[#This Row],[CRÉDITO]]</f>
        <v>258.16000000000003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S</v>
      </c>
      <c r="E185" s="2">
        <f>IF($I185="","",COUNTIFS(Tab_00.Trial[CONTA],$I185))</f>
        <v>1</v>
      </c>
      <c r="F185" s="4">
        <f>SUMIFS(Tab_01.Jan[SALDO
ATUAL],Tab_01.Jan[CONTA],$I185)</f>
        <v>2235.4699999999998</v>
      </c>
      <c r="G185" s="4">
        <f t="shared" si="7"/>
        <v>0</v>
      </c>
      <c r="H185" s="89">
        <v>40285</v>
      </c>
      <c r="I185" s="3" t="s">
        <v>592</v>
      </c>
      <c r="J185" s="3" t="s">
        <v>699</v>
      </c>
      <c r="K185" s="4">
        <v>2235.4699999999998</v>
      </c>
      <c r="L185" s="4">
        <v>0</v>
      </c>
      <c r="M185" s="4">
        <v>0</v>
      </c>
      <c r="N185" s="4">
        <v>2235.4699999999998</v>
      </c>
      <c r="O185" s="4">
        <f>Tab_02.Fev[[#This Row],[DÉBITO]]-Tab_02.Fev[[#This Row],[CRÉDITO]]</f>
        <v>0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A</v>
      </c>
      <c r="E186" s="2">
        <f>IF($I186="","",COUNTIFS(Tab_00.Trial[CONTA],$I186))</f>
        <v>1</v>
      </c>
      <c r="F186" s="4">
        <f>SUMIFS(Tab_01.Jan[SALDO
ATUAL],Tab_01.Jan[CONTA],$I186)</f>
        <v>2235.4699999999998</v>
      </c>
      <c r="G186" s="4">
        <f t="shared" si="7"/>
        <v>0</v>
      </c>
      <c r="H186" s="89">
        <v>40300</v>
      </c>
      <c r="I186" s="3" t="s">
        <v>397</v>
      </c>
      <c r="J186" s="3" t="s">
        <v>398</v>
      </c>
      <c r="K186" s="4">
        <v>2235.4699999999998</v>
      </c>
      <c r="L186" s="4">
        <v>0</v>
      </c>
      <c r="M186" s="4">
        <v>0</v>
      </c>
      <c r="N186" s="4">
        <v>2235.4699999999998</v>
      </c>
      <c r="O186" s="4">
        <f>Tab_02.Fev[[#This Row],[DÉBITO]]-Tab_02.Fev[[#This Row],[CRÉDITO]]</f>
        <v>0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S</v>
      </c>
      <c r="E187" s="2">
        <f>IF($I187="","",COUNTIFS(Tab_00.Trial[CONTA],$I187))</f>
        <v>1</v>
      </c>
      <c r="F187" s="4">
        <f>SUMIFS(Tab_01.Jan[SALDO
ATUAL],Tab_01.Jan[CONTA],$I187)</f>
        <v>34180.15</v>
      </c>
      <c r="G187" s="4">
        <f t="shared" si="7"/>
        <v>0</v>
      </c>
      <c r="H187" s="89">
        <v>40295</v>
      </c>
      <c r="I187" s="3" t="s">
        <v>593</v>
      </c>
      <c r="J187" s="3" t="s">
        <v>711</v>
      </c>
      <c r="K187" s="4">
        <v>34180.15</v>
      </c>
      <c r="L187" s="4">
        <v>29850.49</v>
      </c>
      <c r="M187" s="4">
        <v>0</v>
      </c>
      <c r="N187" s="4">
        <v>64030.64</v>
      </c>
      <c r="O187" s="4">
        <f>Tab_02.Fev[[#This Row],[DÉBITO]]-Tab_02.Fev[[#This Row],[CRÉDITO]]</f>
        <v>29850.49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A</v>
      </c>
      <c r="E188" s="2">
        <f>IF($I188="","",COUNTIFS(Tab_00.Trial[CONTA],$I188))</f>
        <v>1</v>
      </c>
      <c r="F188" s="4">
        <f>SUMIFS(Tab_01.Jan[SALDO
ATUAL],Tab_01.Jan[CONTA],$I188)</f>
        <v>4135.96</v>
      </c>
      <c r="G188" s="4">
        <f t="shared" si="7"/>
        <v>0</v>
      </c>
      <c r="H188" s="89">
        <v>40339</v>
      </c>
      <c r="I188" s="3" t="s">
        <v>403</v>
      </c>
      <c r="J188" s="3" t="s">
        <v>404</v>
      </c>
      <c r="K188" s="4">
        <v>4135.96</v>
      </c>
      <c r="L188" s="4">
        <v>4135.96</v>
      </c>
      <c r="M188" s="4">
        <v>0</v>
      </c>
      <c r="N188" s="4">
        <v>8271.92</v>
      </c>
      <c r="O188" s="4">
        <f>Tab_02.Fev[[#This Row],[DÉBITO]]-Tab_02.Fev[[#This Row],[CRÉDITO]]</f>
        <v>4135.96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A</v>
      </c>
      <c r="E189" s="2">
        <f>IF($I189="","",COUNTIFS(Tab_00.Trial[CONTA],$I189))</f>
        <v>1</v>
      </c>
      <c r="F189" s="4">
        <f>SUMIFS(Tab_01.Jan[SALDO
ATUAL],Tab_01.Jan[CONTA],$I189)</f>
        <v>27797</v>
      </c>
      <c r="G189" s="4">
        <f t="shared" ref="G189" si="8">$F189-$K189</f>
        <v>0</v>
      </c>
      <c r="H189" s="89">
        <v>40341</v>
      </c>
      <c r="I189" s="3" t="s">
        <v>405</v>
      </c>
      <c r="J189" s="3" t="s">
        <v>406</v>
      </c>
      <c r="K189" s="4">
        <v>27797</v>
      </c>
      <c r="L189" s="4">
        <v>25340</v>
      </c>
      <c r="M189" s="4">
        <v>0</v>
      </c>
      <c r="N189" s="4">
        <v>53137</v>
      </c>
      <c r="O189" s="4">
        <f>Tab_02.Fev[[#This Row],[DÉBITO]]-Tab_02.Fev[[#This Row],[CRÉDITO]]</f>
        <v>25340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A</v>
      </c>
      <c r="E190" s="2">
        <f>IF($I190="","",COUNTIFS(Tab_00.Trial[CONTA],$I190))</f>
        <v>1</v>
      </c>
      <c r="F190" s="4">
        <f>SUMIFS(Tab_01.Jan[SALDO
ATUAL],Tab_01.Jan[CONTA],$I190)</f>
        <v>2247.19</v>
      </c>
      <c r="G190" s="4">
        <f>$F190-$K190</f>
        <v>0</v>
      </c>
      <c r="H190" s="89">
        <v>40350</v>
      </c>
      <c r="I190" s="3" t="s">
        <v>407</v>
      </c>
      <c r="J190" s="3" t="s">
        <v>408</v>
      </c>
      <c r="K190" s="4">
        <v>2247.19</v>
      </c>
      <c r="L190" s="4">
        <v>374.53</v>
      </c>
      <c r="M190" s="4">
        <v>0</v>
      </c>
      <c r="N190" s="4">
        <v>2621.72</v>
      </c>
      <c r="O190" s="4">
        <f>Tab_02.Fev[[#This Row],[DÉBITO]]-Tab_02.Fev[[#This Row],[CRÉDITO]]</f>
        <v>374.53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S</v>
      </c>
      <c r="E191" s="2">
        <f>IF($I191="","",COUNTIFS(Tab_00.Trial[CONTA],$I191))</f>
        <v>1</v>
      </c>
      <c r="F191" s="4">
        <f>SUMIFS(Tab_01.Jan[SALDO
ATUAL],Tab_01.Jan[CONTA],$I191)</f>
        <v>18235.75</v>
      </c>
      <c r="G191" s="4">
        <f>$F191-$K191</f>
        <v>0</v>
      </c>
      <c r="H191" s="89">
        <v>40353</v>
      </c>
      <c r="I191" s="3" t="s">
        <v>594</v>
      </c>
      <c r="J191" s="3" t="s">
        <v>819</v>
      </c>
      <c r="K191" s="4">
        <v>18235.75</v>
      </c>
      <c r="L191" s="4">
        <v>11807.35</v>
      </c>
      <c r="M191" s="4">
        <v>0</v>
      </c>
      <c r="N191" s="4">
        <v>30043.1</v>
      </c>
      <c r="O191" s="4">
        <f>Tab_02.Fev[[#This Row],[DÉBITO]]-Tab_02.Fev[[#This Row],[CRÉDITO]]</f>
        <v>11807.35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A</v>
      </c>
      <c r="E192" s="2">
        <f>IF($I192="","",COUNTIFS(Tab_00.Trial[CONTA],$I192))</f>
        <v>1</v>
      </c>
      <c r="F192" s="4">
        <f>SUMIFS(Tab_01.Jan[SALDO
ATUAL],Tab_01.Jan[CONTA],$I192)</f>
        <v>300</v>
      </c>
      <c r="G192" s="4">
        <f t="shared" ref="G192:G222" si="9">$F192-$K192</f>
        <v>0</v>
      </c>
      <c r="H192" s="89">
        <v>40354</v>
      </c>
      <c r="I192" s="3" t="s">
        <v>411</v>
      </c>
      <c r="J192" s="3" t="s">
        <v>412</v>
      </c>
      <c r="K192" s="4">
        <v>300</v>
      </c>
      <c r="L192" s="4">
        <v>0</v>
      </c>
      <c r="M192" s="4">
        <v>0</v>
      </c>
      <c r="N192" s="4">
        <v>300</v>
      </c>
      <c r="O192" s="4">
        <f>Tab_02.Fev[[#This Row],[DÉBITO]]-Tab_02.Fev[[#This Row],[CRÉDITO]]</f>
        <v>0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5</v>
      </c>
      <c r="D193" s="2" t="str">
        <f>_xlfn.XLOOKUP($I193,Tab_00.Trial[CONTA],Tab_00.Trial[S/A],"",0,1)</f>
        <v>A</v>
      </c>
      <c r="E193" s="2">
        <f>IF($I193="","",COUNTIFS(Tab_00.Trial[CONTA],$I193))</f>
        <v>1</v>
      </c>
      <c r="F193" s="4">
        <f>SUMIFS(Tab_01.Jan[SALDO
ATUAL],Tab_01.Jan[CONTA],$I193)</f>
        <v>17935.75</v>
      </c>
      <c r="G193" s="4">
        <f t="shared" si="9"/>
        <v>0</v>
      </c>
      <c r="H193" s="89">
        <v>40355</v>
      </c>
      <c r="I193" s="3" t="s">
        <v>413</v>
      </c>
      <c r="J193" s="3" t="s">
        <v>414</v>
      </c>
      <c r="K193" s="4">
        <v>17935.75</v>
      </c>
      <c r="L193" s="4">
        <v>11807.35</v>
      </c>
      <c r="M193" s="4">
        <v>0</v>
      </c>
      <c r="N193" s="4">
        <v>29743.1</v>
      </c>
      <c r="O193" s="4">
        <f>Tab_02.Fev[[#This Row],[DÉBITO]]-Tab_02.Fev[[#This Row],[CRÉDITO]]</f>
        <v>11807.35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5</v>
      </c>
      <c r="D194" s="2" t="str">
        <f>_xlfn.XLOOKUP($I194,Tab_00.Trial[CONTA],Tab_00.Trial[S/A],"",0,1)</f>
        <v>S</v>
      </c>
      <c r="E194" s="2">
        <f>IF($I194="","",COUNTIFS(Tab_00.Trial[CONTA],$I194))</f>
        <v>1</v>
      </c>
      <c r="F194" s="4">
        <f>SUMIFS(Tab_01.Jan[SALDO
ATUAL],Tab_01.Jan[CONTA],$I194)</f>
        <v>427.26</v>
      </c>
      <c r="G194" s="4">
        <f t="shared" si="9"/>
        <v>0</v>
      </c>
      <c r="H194" s="89">
        <v>40365</v>
      </c>
      <c r="I194" s="3" t="s">
        <v>595</v>
      </c>
      <c r="J194" s="3" t="s">
        <v>420</v>
      </c>
      <c r="K194" s="4">
        <v>427.26</v>
      </c>
      <c r="L194" s="4">
        <v>427.26</v>
      </c>
      <c r="M194" s="4">
        <v>0</v>
      </c>
      <c r="N194" s="4">
        <v>854.52</v>
      </c>
      <c r="O194" s="4">
        <f>Tab_02.Fev[[#This Row],[DÉBITO]]-Tab_02.Fev[[#This Row],[CRÉDITO]]</f>
        <v>427.26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A</v>
      </c>
      <c r="E195" s="2">
        <f>IF($I195="","",COUNTIFS(Tab_00.Trial[CONTA],$I195))</f>
        <v>1</v>
      </c>
      <c r="F195" s="4">
        <f>SUMIFS(Tab_01.Jan[SALDO
ATUAL],Tab_01.Jan[CONTA],$I195)</f>
        <v>427.26</v>
      </c>
      <c r="G195" s="4">
        <f t="shared" si="9"/>
        <v>0</v>
      </c>
      <c r="H195" s="89">
        <v>40366</v>
      </c>
      <c r="I195" s="3" t="s">
        <v>419</v>
      </c>
      <c r="J195" s="3" t="s">
        <v>420</v>
      </c>
      <c r="K195" s="4">
        <v>427.26</v>
      </c>
      <c r="L195" s="4">
        <v>427.26</v>
      </c>
      <c r="M195" s="4">
        <v>0</v>
      </c>
      <c r="N195" s="4">
        <v>854.52</v>
      </c>
      <c r="O195" s="4">
        <f>Tab_02.Fev[[#This Row],[DÉBITO]]-Tab_02.Fev[[#This Row],[CRÉDITO]]</f>
        <v>427.26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S</v>
      </c>
      <c r="E196" s="2">
        <f>IF($I196="","",COUNTIFS(Tab_00.Trial[CONTA],$I196))</f>
        <v>1</v>
      </c>
      <c r="F196" s="4">
        <f>SUMIFS(Tab_01.Jan[SALDO
ATUAL],Tab_01.Jan[CONTA],$I196)</f>
        <v>852439.19</v>
      </c>
      <c r="G196" s="4">
        <f t="shared" si="9"/>
        <v>0</v>
      </c>
      <c r="H196" s="89">
        <v>40345</v>
      </c>
      <c r="I196" s="3" t="s">
        <v>237</v>
      </c>
      <c r="J196" s="3" t="s">
        <v>702</v>
      </c>
      <c r="K196" s="4">
        <v>852439.19</v>
      </c>
      <c r="L196" s="4">
        <v>1023072.92</v>
      </c>
      <c r="M196" s="4">
        <v>0</v>
      </c>
      <c r="N196" s="4">
        <v>1875512.11</v>
      </c>
      <c r="O196" s="4">
        <f>Tab_02.Fev[[#This Row],[DÉBITO]]-Tab_02.Fev[[#This Row],[CRÉDITO]]</f>
        <v>1023072.92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5</v>
      </c>
      <c r="D197" s="2" t="str">
        <f>_xlfn.XLOOKUP($I197,Tab_00.Trial[CONTA],Tab_00.Trial[S/A],"",0,1)</f>
        <v>S</v>
      </c>
      <c r="E197" s="2">
        <f>IF($I197="","",COUNTIFS(Tab_00.Trial[CONTA],$I197))</f>
        <v>1</v>
      </c>
      <c r="F197" s="4">
        <f>SUMIFS(Tab_01.Jan[SALDO
ATUAL],Tab_01.Jan[CONTA],$I197)</f>
        <v>852439.19</v>
      </c>
      <c r="G197" s="4">
        <f t="shared" si="9"/>
        <v>0</v>
      </c>
      <c r="H197" s="89">
        <v>40360</v>
      </c>
      <c r="I197" s="3" t="s">
        <v>238</v>
      </c>
      <c r="J197" s="3" t="s">
        <v>820</v>
      </c>
      <c r="K197" s="4">
        <v>852439.19</v>
      </c>
      <c r="L197" s="4">
        <v>1023072.92</v>
      </c>
      <c r="M197" s="4">
        <v>0</v>
      </c>
      <c r="N197" s="4">
        <v>1875512.11</v>
      </c>
      <c r="O197" s="4">
        <f>Tab_02.Fev[[#This Row],[DÉBITO]]-Tab_02.Fev[[#This Row],[CRÉDITO]]</f>
        <v>1023072.92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5</v>
      </c>
      <c r="D198" s="2" t="str">
        <f>_xlfn.XLOOKUP($I198,Tab_00.Trial[CONTA],Tab_00.Trial[S/A],"",0,1)</f>
        <v>A</v>
      </c>
      <c r="E198" s="2">
        <f>IF($I198="","",COUNTIFS(Tab_00.Trial[CONTA],$I198))</f>
        <v>1</v>
      </c>
      <c r="F198" s="4">
        <f>SUMIFS(Tab_01.Jan[SALDO
ATUAL],Tab_01.Jan[CONTA],$I198)</f>
        <v>187419.37</v>
      </c>
      <c r="G198" s="4">
        <f t="shared" si="9"/>
        <v>0</v>
      </c>
      <c r="H198" s="89">
        <v>40425</v>
      </c>
      <c r="I198" s="3" t="s">
        <v>421</v>
      </c>
      <c r="J198" s="3" t="s">
        <v>422</v>
      </c>
      <c r="K198" s="4">
        <v>187419.37</v>
      </c>
      <c r="L198" s="4">
        <v>247534.56</v>
      </c>
      <c r="M198" s="4">
        <v>0</v>
      </c>
      <c r="N198" s="4">
        <v>434953.93</v>
      </c>
      <c r="O198" s="4">
        <f>Tab_02.Fev[[#This Row],[DÉBITO]]-Tab_02.Fev[[#This Row],[CRÉDITO]]</f>
        <v>247534.56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5</v>
      </c>
      <c r="D199" s="2" t="str">
        <f>_xlfn.XLOOKUP($I199,Tab_00.Trial[CONTA],Tab_00.Trial[S/A],"",0,1)</f>
        <v>A</v>
      </c>
      <c r="E199" s="2">
        <f>IF($I199="","",COUNTIFS(Tab_00.Trial[CONTA],$I199))</f>
        <v>1</v>
      </c>
      <c r="F199" s="4">
        <f>SUMIFS(Tab_01.Jan[SALDO
ATUAL],Tab_01.Jan[CONTA],$I199)</f>
        <v>122569.24</v>
      </c>
      <c r="G199" s="4">
        <f t="shared" si="9"/>
        <v>0</v>
      </c>
      <c r="H199" s="89">
        <v>40468</v>
      </c>
      <c r="I199" s="3" t="s">
        <v>738</v>
      </c>
      <c r="J199" s="3" t="s">
        <v>367</v>
      </c>
      <c r="K199" s="4">
        <v>122569.24</v>
      </c>
      <c r="L199" s="4">
        <v>105237.96</v>
      </c>
      <c r="M199" s="4">
        <v>0</v>
      </c>
      <c r="N199" s="4">
        <v>227807.2</v>
      </c>
      <c r="O199" s="4">
        <f>Tab_02.Fev[[#This Row],[DÉBITO]]-Tab_02.Fev[[#This Row],[CRÉDITO]]</f>
        <v>105237.96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5</v>
      </c>
      <c r="D200" s="2" t="str">
        <f>_xlfn.XLOOKUP($I200,Tab_00.Trial[CONTA],Tab_00.Trial[S/A],"",0,1)</f>
        <v>A</v>
      </c>
      <c r="E200" s="2">
        <f>IF($I200="","",COUNTIFS(Tab_00.Trial[CONTA],$I200))</f>
        <v>1</v>
      </c>
      <c r="F200" s="4">
        <f>SUMIFS(Tab_01.Jan[SALDO
ATUAL],Tab_01.Jan[CONTA],$I200)</f>
        <v>542450.57999999996</v>
      </c>
      <c r="G200" s="4">
        <f t="shared" si="9"/>
        <v>0</v>
      </c>
      <c r="H200" s="89">
        <v>40469</v>
      </c>
      <c r="I200" s="3" t="s">
        <v>423</v>
      </c>
      <c r="J200" s="3" t="s">
        <v>424</v>
      </c>
      <c r="K200" s="4">
        <v>542450.57999999996</v>
      </c>
      <c r="L200" s="4">
        <v>670300.4</v>
      </c>
      <c r="M200" s="4">
        <v>0</v>
      </c>
      <c r="N200" s="4">
        <v>1212750.98</v>
      </c>
      <c r="O200" s="4">
        <f>Tab_02.Fev[[#This Row],[DÉBITO]]-Tab_02.Fev[[#This Row],[CRÉDITO]]</f>
        <v>670300.4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1</v>
      </c>
      <c r="D201" s="2" t="str">
        <f>_xlfn.XLOOKUP($I201,Tab_00.Trial[CONTA],Tab_00.Trial[S/A],"",0,1)</f>
        <v>S</v>
      </c>
      <c r="E201" s="2">
        <f>IF($I201="","",COUNTIFS(Tab_00.Trial[CONTA],$I201))</f>
        <v>1</v>
      </c>
      <c r="F201" s="4">
        <f>SUMIFS(Tab_01.Jan[SALDO
ATUAL],Tab_01.Jan[CONTA],$I201)</f>
        <v>269324.59000000003</v>
      </c>
      <c r="G201" s="4">
        <f t="shared" si="9"/>
        <v>0</v>
      </c>
      <c r="H201" s="89">
        <v>50000</v>
      </c>
      <c r="I201" s="3">
        <v>5</v>
      </c>
      <c r="J201" s="3" t="s">
        <v>705</v>
      </c>
      <c r="K201" s="4">
        <v>269324.59000000003</v>
      </c>
      <c r="L201" s="4">
        <v>546132.75</v>
      </c>
      <c r="M201" s="4">
        <v>18286.810000000001</v>
      </c>
      <c r="N201" s="4">
        <v>797170.53</v>
      </c>
      <c r="O201" s="4">
        <f>Tab_02.Fev[[#This Row],[DÉBITO]]-Tab_02.Fev[[#This Row],[CRÉDITO]]</f>
        <v>527845.93999999994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2</v>
      </c>
      <c r="D202" s="2" t="str">
        <f>_xlfn.XLOOKUP($I202,Tab_00.Trial[CONTA],Tab_00.Trial[S/A],"",0,1)</f>
        <v>S</v>
      </c>
      <c r="E202" s="2">
        <f>IF($I202="","",COUNTIFS(Tab_00.Trial[CONTA],$I202))</f>
        <v>1</v>
      </c>
      <c r="F202" s="4">
        <f>SUMIFS(Tab_01.Jan[SALDO
ATUAL],Tab_01.Jan[CONTA],$I202)</f>
        <v>269513.59000000003</v>
      </c>
      <c r="G202" s="4">
        <f t="shared" si="9"/>
        <v>0</v>
      </c>
      <c r="H202" s="89">
        <v>50015</v>
      </c>
      <c r="I202" s="3" t="s">
        <v>599</v>
      </c>
      <c r="J202" s="3" t="s">
        <v>821</v>
      </c>
      <c r="K202" s="4">
        <v>269513.59000000003</v>
      </c>
      <c r="L202" s="4">
        <v>545862.75</v>
      </c>
      <c r="M202" s="4">
        <v>18286.810000000001</v>
      </c>
      <c r="N202" s="4">
        <v>797089.53</v>
      </c>
      <c r="O202" s="4">
        <f>Tab_02.Fev[[#This Row],[DÉBITO]]-Tab_02.Fev[[#This Row],[CRÉDITO]]</f>
        <v>527575.93999999994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5</v>
      </c>
      <c r="D203" s="2" t="str">
        <f>_xlfn.XLOOKUP($I203,Tab_00.Trial[CONTA],Tab_00.Trial[S/A],"",0,1)</f>
        <v>S</v>
      </c>
      <c r="E203" s="2">
        <f>IF($I203="","",COUNTIFS(Tab_00.Trial[CONTA],$I203))</f>
        <v>1</v>
      </c>
      <c r="F203" s="4">
        <f>SUMIFS(Tab_01.Jan[SALDO
ATUAL],Tab_01.Jan[CONTA],$I203)</f>
        <v>114421.35</v>
      </c>
      <c r="G203" s="4">
        <f t="shared" si="9"/>
        <v>0</v>
      </c>
      <c r="H203" s="89">
        <v>50030</v>
      </c>
      <c r="I203" s="3" t="s">
        <v>600</v>
      </c>
      <c r="J203" s="3" t="s">
        <v>706</v>
      </c>
      <c r="K203" s="4">
        <v>114421.35</v>
      </c>
      <c r="L203" s="4">
        <v>397794.29</v>
      </c>
      <c r="M203" s="4">
        <v>18286.810000000001</v>
      </c>
      <c r="N203" s="4">
        <v>493928.83</v>
      </c>
      <c r="O203" s="4">
        <f>Tab_02.Fev[[#This Row],[DÉBITO]]-Tab_02.Fev[[#This Row],[CRÉDITO]]</f>
        <v>379507.48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5</v>
      </c>
      <c r="D204" s="2" t="str">
        <f>_xlfn.XLOOKUP($I204,Tab_00.Trial[CONTA],Tab_00.Trial[S/A],"",0,1)</f>
        <v>S</v>
      </c>
      <c r="E204" s="2">
        <f>IF($I204="","",COUNTIFS(Tab_00.Trial[CONTA],$I204))</f>
        <v>1</v>
      </c>
      <c r="F204" s="4">
        <f>SUMIFS(Tab_01.Jan[SALDO
ATUAL],Tab_01.Jan[CONTA],$I204)</f>
        <v>88515.91</v>
      </c>
      <c r="G204" s="4">
        <f t="shared" si="9"/>
        <v>0</v>
      </c>
      <c r="H204" s="89">
        <v>50045</v>
      </c>
      <c r="I204" s="3" t="s">
        <v>601</v>
      </c>
      <c r="J204" s="3" t="s">
        <v>707</v>
      </c>
      <c r="K204" s="4">
        <v>88515.91</v>
      </c>
      <c r="L204" s="4">
        <v>188444.02</v>
      </c>
      <c r="M204" s="4">
        <v>17329.25</v>
      </c>
      <c r="N204" s="4">
        <v>259630.68</v>
      </c>
      <c r="O204" s="4">
        <f>Tab_02.Fev[[#This Row],[DÉBITO]]-Tab_02.Fev[[#This Row],[CRÉDITO]]</f>
        <v>171114.77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5</v>
      </c>
      <c r="D205" s="2" t="str">
        <f>_xlfn.XLOOKUP($I205,Tab_00.Trial[CONTA],Tab_00.Trial[S/A],"",0,1)</f>
        <v>A</v>
      </c>
      <c r="E205" s="2">
        <f>IF($I205="","",COUNTIFS(Tab_00.Trial[CONTA],$I205))</f>
        <v>1</v>
      </c>
      <c r="F205" s="4">
        <f>SUMIFS(Tab_01.Jan[SALDO
ATUAL],Tab_01.Jan[CONTA],$I205)</f>
        <v>54518.48</v>
      </c>
      <c r="G205" s="4">
        <f t="shared" si="9"/>
        <v>0</v>
      </c>
      <c r="H205" s="89">
        <v>50060</v>
      </c>
      <c r="I205" s="3" t="s">
        <v>441</v>
      </c>
      <c r="J205" s="3" t="s">
        <v>427</v>
      </c>
      <c r="K205" s="4">
        <v>54518.48</v>
      </c>
      <c r="L205" s="4">
        <v>73696.899999999994</v>
      </c>
      <c r="M205" s="4">
        <v>11432.48</v>
      </c>
      <c r="N205" s="4">
        <v>116782.9</v>
      </c>
      <c r="O205" s="4">
        <f>Tab_02.Fev[[#This Row],[DÉBITO]]-Tab_02.Fev[[#This Row],[CRÉDITO]]</f>
        <v>62264.42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5</v>
      </c>
      <c r="D206" s="2" t="str">
        <f>_xlfn.XLOOKUP($I206,Tab_00.Trial[CONTA],Tab_00.Trial[S/A],"",0,1)</f>
        <v>A</v>
      </c>
      <c r="E206" s="2">
        <f>IF($I206="","",COUNTIFS(Tab_00.Trial[CONTA],$I206))</f>
        <v>1</v>
      </c>
      <c r="F206" s="4">
        <f>SUMIFS(Tab_01.Jan[SALDO
ATUAL],Tab_01.Jan[CONTA],$I206)</f>
        <v>10254.450000000001</v>
      </c>
      <c r="G206" s="4">
        <f t="shared" si="9"/>
        <v>0</v>
      </c>
      <c r="H206" s="89">
        <v>50090</v>
      </c>
      <c r="I206" s="3" t="s">
        <v>443</v>
      </c>
      <c r="J206" s="3" t="s">
        <v>431</v>
      </c>
      <c r="K206" s="4">
        <v>10254.450000000001</v>
      </c>
      <c r="L206" s="4">
        <v>14021.51</v>
      </c>
      <c r="M206" s="4">
        <v>318.37</v>
      </c>
      <c r="N206" s="4">
        <v>23957.59</v>
      </c>
      <c r="O206" s="4">
        <f>Tab_02.Fev[[#This Row],[DÉBITO]]-Tab_02.Fev[[#This Row],[CRÉDITO]]</f>
        <v>13703.14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5</v>
      </c>
      <c r="D207" s="2" t="str">
        <f>_xlfn.XLOOKUP($I207,Tab_00.Trial[CONTA],Tab_00.Trial[S/A],"",0,1)</f>
        <v>A</v>
      </c>
      <c r="E207" s="2">
        <f>IF($I207="","",COUNTIFS(Tab_00.Trial[CONTA],$I207))</f>
        <v>1</v>
      </c>
      <c r="F207" s="4">
        <f>SUMIFS(Tab_01.Jan[SALDO
ATUAL],Tab_01.Jan[CONTA],$I207)</f>
        <v>6223.05</v>
      </c>
      <c r="G207" s="4">
        <f t="shared" si="9"/>
        <v>0</v>
      </c>
      <c r="H207" s="89">
        <v>50105</v>
      </c>
      <c r="I207" s="3" t="s">
        <v>444</v>
      </c>
      <c r="J207" s="3" t="s">
        <v>433</v>
      </c>
      <c r="K207" s="4">
        <v>6223.05</v>
      </c>
      <c r="L207" s="4">
        <v>12192.51</v>
      </c>
      <c r="M207" s="4">
        <v>0</v>
      </c>
      <c r="N207" s="4">
        <v>18415.560000000001</v>
      </c>
      <c r="O207" s="4">
        <f>Tab_02.Fev[[#This Row],[DÉBITO]]-Tab_02.Fev[[#This Row],[CRÉDITO]]</f>
        <v>12192.51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5</v>
      </c>
      <c r="D208" s="2" t="str">
        <f>_xlfn.XLOOKUP($I208,Tab_00.Trial[CONTA],Tab_00.Trial[S/A],"",0,1)</f>
        <v>A</v>
      </c>
      <c r="E208" s="2">
        <f>IF($I208="","",COUNTIFS(Tab_00.Trial[CONTA],$I208))</f>
        <v>1</v>
      </c>
      <c r="F208" s="4">
        <f>SUMIFS(Tab_01.Jan[SALDO
ATUAL],Tab_01.Jan[CONTA],$I208)</f>
        <v>0</v>
      </c>
      <c r="G208" s="4">
        <f t="shared" si="9"/>
        <v>0</v>
      </c>
      <c r="H208" s="89">
        <v>50120</v>
      </c>
      <c r="I208" s="3" t="s">
        <v>775</v>
      </c>
      <c r="J208" s="3" t="s">
        <v>749</v>
      </c>
      <c r="K208" s="4">
        <v>0</v>
      </c>
      <c r="L208" s="4">
        <v>85959.77</v>
      </c>
      <c r="M208" s="4">
        <v>0</v>
      </c>
      <c r="N208" s="4">
        <v>85959.77</v>
      </c>
      <c r="O208" s="4">
        <f>Tab_02.Fev[[#This Row],[DÉBITO]]-Tab_02.Fev[[#This Row],[CRÉDITO]]</f>
        <v>85959.77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5</v>
      </c>
      <c r="D209" s="2" t="str">
        <f>_xlfn.XLOOKUP($I209,Tab_00.Trial[CONTA],Tab_00.Trial[S/A],"",0,1)</f>
        <v>A</v>
      </c>
      <c r="E209" s="2">
        <f>IF($I209="","",COUNTIFS(Tab_00.Trial[CONTA],$I209))</f>
        <v>1</v>
      </c>
      <c r="F209" s="4">
        <f>SUMIFS(Tab_01.Jan[SALDO
ATUAL],Tab_01.Jan[CONTA],$I209)</f>
        <v>862.74</v>
      </c>
      <c r="G209" s="4">
        <f t="shared" si="9"/>
        <v>0</v>
      </c>
      <c r="H209" s="89">
        <v>10167</v>
      </c>
      <c r="I209" s="3" t="s">
        <v>802</v>
      </c>
      <c r="J209" s="3" t="s">
        <v>791</v>
      </c>
      <c r="K209" s="4">
        <v>862.74</v>
      </c>
      <c r="L209" s="4">
        <v>0</v>
      </c>
      <c r="M209" s="4">
        <v>0</v>
      </c>
      <c r="N209" s="4">
        <v>862.74</v>
      </c>
      <c r="O209" s="4">
        <f>Tab_02.Fev[[#This Row],[DÉBITO]]-Tab_02.Fev[[#This Row],[CRÉDITO]]</f>
        <v>0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5</v>
      </c>
      <c r="D210" s="2" t="str">
        <f>_xlfn.XLOOKUP($I210,Tab_00.Trial[CONTA],Tab_00.Trial[S/A],"",0,1)</f>
        <v>A</v>
      </c>
      <c r="E210" s="2">
        <f>IF($I210="","",COUNTIFS(Tab_00.Trial[CONTA],$I210))</f>
        <v>1</v>
      </c>
      <c r="F210" s="4">
        <f>SUMIFS(Tab_01.Jan[SALDO
ATUAL],Tab_01.Jan[CONTA],$I210)</f>
        <v>14346.41</v>
      </c>
      <c r="G210" s="4">
        <f t="shared" si="9"/>
        <v>0</v>
      </c>
      <c r="H210" s="89">
        <v>10174</v>
      </c>
      <c r="I210" s="3" t="s">
        <v>803</v>
      </c>
      <c r="J210" s="3" t="s">
        <v>793</v>
      </c>
      <c r="K210" s="4">
        <v>14346.41</v>
      </c>
      <c r="L210" s="4">
        <v>345.41</v>
      </c>
      <c r="M210" s="4">
        <v>5578.4</v>
      </c>
      <c r="N210" s="4">
        <v>9113.42</v>
      </c>
      <c r="O210" s="4">
        <f>Tab_02.Fev[[#This Row],[DÉBITO]]-Tab_02.Fev[[#This Row],[CRÉDITO]]</f>
        <v>-5232.99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5</v>
      </c>
      <c r="D211" s="2" t="str">
        <f>_xlfn.XLOOKUP($I211,Tab_00.Trial[CONTA],Tab_00.Trial[S/A],"",0,1)</f>
        <v>A</v>
      </c>
      <c r="E211" s="2">
        <f>IF($I211="","",COUNTIFS(Tab_00.Trial[CONTA],$I211))</f>
        <v>1</v>
      </c>
      <c r="F211" s="4">
        <f>SUMIFS(Tab_01.Jan[SALDO
ATUAL],Tab_01.Jan[CONTA],$I211)</f>
        <v>82.97</v>
      </c>
      <c r="G211" s="4">
        <f t="shared" si="9"/>
        <v>0</v>
      </c>
      <c r="H211" s="89">
        <v>10181</v>
      </c>
      <c r="I211" s="3" t="s">
        <v>804</v>
      </c>
      <c r="J211" s="3" t="s">
        <v>795</v>
      </c>
      <c r="K211" s="4">
        <v>82.97</v>
      </c>
      <c r="L211" s="4">
        <v>0</v>
      </c>
      <c r="M211" s="4">
        <v>0</v>
      </c>
      <c r="N211" s="4">
        <v>82.97</v>
      </c>
      <c r="O211" s="4">
        <f>Tab_02.Fev[[#This Row],[DÉBITO]]-Tab_02.Fev[[#This Row],[CRÉDITO]]</f>
        <v>0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A</v>
      </c>
      <c r="E212" s="2">
        <f>IF($I212="","",COUNTIFS(Tab_00.Trial[CONTA],$I212))</f>
        <v>1</v>
      </c>
      <c r="F212" s="4">
        <f>SUMIFS(Tab_01.Jan[SALDO
ATUAL],Tab_01.Jan[CONTA],$I212)</f>
        <v>1667.78</v>
      </c>
      <c r="G212" s="4">
        <f t="shared" si="9"/>
        <v>0</v>
      </c>
      <c r="H212" s="89">
        <v>10188</v>
      </c>
      <c r="I212" s="3" t="s">
        <v>805</v>
      </c>
      <c r="J212" s="3" t="s">
        <v>797</v>
      </c>
      <c r="K212" s="4">
        <v>1667.78</v>
      </c>
      <c r="L212" s="4">
        <v>1667.83</v>
      </c>
      <c r="M212" s="4">
        <v>0</v>
      </c>
      <c r="N212" s="4">
        <v>3335.61</v>
      </c>
      <c r="O212" s="4">
        <f>Tab_02.Fev[[#This Row],[DÉBITO]]-Tab_02.Fev[[#This Row],[CRÉDITO]]</f>
        <v>1667.83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A</v>
      </c>
      <c r="E213" s="2">
        <f>IF($I213="","",COUNTIFS(Tab_00.Trial[CONTA],$I213))</f>
        <v>1</v>
      </c>
      <c r="F213" s="4">
        <f>SUMIFS(Tab_01.Jan[SALDO
ATUAL],Tab_01.Jan[CONTA],$I213)</f>
        <v>497.81</v>
      </c>
      <c r="G213" s="4">
        <f t="shared" si="9"/>
        <v>0</v>
      </c>
      <c r="H213" s="89">
        <v>10202</v>
      </c>
      <c r="I213" s="3" t="s">
        <v>806</v>
      </c>
      <c r="J213" s="3" t="s">
        <v>799</v>
      </c>
      <c r="K213" s="4">
        <v>497.81</v>
      </c>
      <c r="L213" s="4">
        <v>497.85</v>
      </c>
      <c r="M213" s="4">
        <v>0</v>
      </c>
      <c r="N213" s="4">
        <v>995.66</v>
      </c>
      <c r="O213" s="4">
        <f>Tab_02.Fev[[#This Row],[DÉBITO]]-Tab_02.Fev[[#This Row],[CRÉDITO]]</f>
        <v>497.85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5</v>
      </c>
      <c r="D214" s="2" t="str">
        <f>_xlfn.XLOOKUP($I214,Tab_00.Trial[CONTA],Tab_00.Trial[S/A],"",0,1)</f>
        <v>A</v>
      </c>
      <c r="E214" s="2">
        <f>IF($I214="","",COUNTIFS(Tab_00.Trial[CONTA],$I214))</f>
        <v>1</v>
      </c>
      <c r="F214" s="4">
        <f>SUMIFS(Tab_01.Jan[SALDO
ATUAL],Tab_01.Jan[CONTA],$I214)</f>
        <v>62.22</v>
      </c>
      <c r="G214" s="4">
        <f t="shared" si="9"/>
        <v>0</v>
      </c>
      <c r="H214" s="89">
        <v>10209</v>
      </c>
      <c r="I214" s="3" t="s">
        <v>807</v>
      </c>
      <c r="J214" s="3" t="s">
        <v>801</v>
      </c>
      <c r="K214" s="4">
        <v>62.22</v>
      </c>
      <c r="L214" s="4">
        <v>62.24</v>
      </c>
      <c r="M214" s="4">
        <v>0</v>
      </c>
      <c r="N214" s="4">
        <v>124.46</v>
      </c>
      <c r="O214" s="4">
        <f>Tab_02.Fev[[#This Row],[DÉBITO]]-Tab_02.Fev[[#This Row],[CRÉDITO]]</f>
        <v>62.24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S</v>
      </c>
      <c r="E215" s="2">
        <f>IF($I215="","",COUNTIFS(Tab_00.Trial[CONTA],$I215))</f>
        <v>1</v>
      </c>
      <c r="F215" s="4">
        <f>SUMIFS(Tab_01.Jan[SALDO
ATUAL],Tab_01.Jan[CONTA],$I215)</f>
        <v>1014</v>
      </c>
      <c r="G215" s="4">
        <f t="shared" si="9"/>
        <v>0</v>
      </c>
      <c r="H215" s="89">
        <v>50150</v>
      </c>
      <c r="I215" s="3" t="s">
        <v>602</v>
      </c>
      <c r="J215" s="3" t="s">
        <v>708</v>
      </c>
      <c r="K215" s="4">
        <v>1014</v>
      </c>
      <c r="L215" s="4">
        <v>957.56</v>
      </c>
      <c r="M215" s="4">
        <v>957.56</v>
      </c>
      <c r="N215" s="4">
        <v>1014</v>
      </c>
      <c r="O215" s="4">
        <f>Tab_02.Fev[[#This Row],[DÉBITO]]-Tab_02.Fev[[#This Row],[CRÉDITO]]</f>
        <v>0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A</v>
      </c>
      <c r="E216" s="2">
        <f>IF($I216="","",COUNTIFS(Tab_00.Trial[CONTA],$I216))</f>
        <v>1</v>
      </c>
      <c r="F216" s="4">
        <f>SUMIFS(Tab_01.Jan[SALDO
ATUAL],Tab_01.Jan[CONTA],$I216)</f>
        <v>0</v>
      </c>
      <c r="G216" s="4">
        <f t="shared" si="9"/>
        <v>0</v>
      </c>
      <c r="H216" s="89">
        <v>50165</v>
      </c>
      <c r="I216" s="3" t="s">
        <v>772</v>
      </c>
      <c r="J216" s="3" t="s">
        <v>435</v>
      </c>
      <c r="K216" s="4">
        <v>0</v>
      </c>
      <c r="L216" s="4">
        <v>597.05999999999995</v>
      </c>
      <c r="M216" s="4">
        <v>597.05999999999995</v>
      </c>
      <c r="N216" s="4">
        <v>0</v>
      </c>
      <c r="O216" s="4">
        <f>Tab_02.Fev[[#This Row],[DÉBITO]]-Tab_02.Fev[[#This Row],[CRÉDITO]]</f>
        <v>0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A</v>
      </c>
      <c r="E217" s="2">
        <f>IF($I217="","",COUNTIFS(Tab_00.Trial[CONTA],$I217))</f>
        <v>1</v>
      </c>
      <c r="F217" s="4">
        <f>SUMIFS(Tab_01.Jan[SALDO
ATUAL],Tab_01.Jan[CONTA],$I217)</f>
        <v>0</v>
      </c>
      <c r="G217" s="4">
        <f t="shared" si="9"/>
        <v>0</v>
      </c>
      <c r="H217" s="89">
        <v>50195</v>
      </c>
      <c r="I217" s="3" t="s">
        <v>773</v>
      </c>
      <c r="J217" s="3" t="s">
        <v>751</v>
      </c>
      <c r="K217" s="4">
        <v>0</v>
      </c>
      <c r="L217" s="4">
        <v>360.5</v>
      </c>
      <c r="M217" s="4">
        <v>360.5</v>
      </c>
      <c r="N217" s="4">
        <v>0</v>
      </c>
      <c r="O217" s="4">
        <f>Tab_02.Fev[[#This Row],[DÉBITO]]-Tab_02.Fev[[#This Row],[CRÉDITO]]</f>
        <v>0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A</v>
      </c>
      <c r="E218" s="2">
        <f>IF($I218="","",COUNTIFS(Tab_00.Trial[CONTA],$I218))</f>
        <v>1</v>
      </c>
      <c r="F218" s="4">
        <f>SUMIFS(Tab_01.Jan[SALDO
ATUAL],Tab_01.Jan[CONTA],$I218)</f>
        <v>1014</v>
      </c>
      <c r="G218" s="4">
        <f t="shared" si="9"/>
        <v>0</v>
      </c>
      <c r="H218" s="89">
        <v>50211</v>
      </c>
      <c r="I218" s="3" t="s">
        <v>455</v>
      </c>
      <c r="J218" s="3" t="s">
        <v>456</v>
      </c>
      <c r="K218" s="4">
        <v>1014</v>
      </c>
      <c r="L218" s="4">
        <v>0</v>
      </c>
      <c r="M218" s="4">
        <v>0</v>
      </c>
      <c r="N218" s="4">
        <v>1014</v>
      </c>
      <c r="O218" s="4">
        <f>Tab_02.Fev[[#This Row],[DÉBITO]]-Tab_02.Fev[[#This Row],[CRÉDITO]]</f>
        <v>0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S</v>
      </c>
      <c r="E219" s="2">
        <f>IF($I219="","",COUNTIFS(Tab_00.Trial[CONTA],$I219))</f>
        <v>1</v>
      </c>
      <c r="F219" s="4">
        <f>SUMIFS(Tab_01.Jan[SALDO
ATUAL],Tab_01.Jan[CONTA],$I219)</f>
        <v>24701.439999999999</v>
      </c>
      <c r="G219" s="4">
        <f t="shared" si="9"/>
        <v>0</v>
      </c>
      <c r="H219" s="89">
        <v>50215</v>
      </c>
      <c r="I219" s="3" t="s">
        <v>603</v>
      </c>
      <c r="J219" s="3" t="s">
        <v>709</v>
      </c>
      <c r="K219" s="4">
        <v>24701.439999999999</v>
      </c>
      <c r="L219" s="4">
        <v>208157.71</v>
      </c>
      <c r="M219" s="4">
        <v>0</v>
      </c>
      <c r="N219" s="4">
        <v>232859.15</v>
      </c>
      <c r="O219" s="4">
        <f>Tab_02.Fev[[#This Row],[DÉBITO]]-Tab_02.Fev[[#This Row],[CRÉDITO]]</f>
        <v>208157.71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A</v>
      </c>
      <c r="E220" s="2">
        <f>IF($I220="","",COUNTIFS(Tab_00.Trial[CONTA],$I220))</f>
        <v>1</v>
      </c>
      <c r="F220" s="4">
        <f>SUMIFS(Tab_01.Jan[SALDO
ATUAL],Tab_01.Jan[CONTA],$I220)</f>
        <v>18491.599999999999</v>
      </c>
      <c r="G220" s="4">
        <f t="shared" si="9"/>
        <v>0</v>
      </c>
      <c r="H220" s="89">
        <v>50225</v>
      </c>
      <c r="I220" s="3" t="s">
        <v>451</v>
      </c>
      <c r="J220" s="3" t="s">
        <v>437</v>
      </c>
      <c r="K220" s="4">
        <v>18491.599999999999</v>
      </c>
      <c r="L220" s="4">
        <v>16379.85</v>
      </c>
      <c r="M220" s="4">
        <v>0</v>
      </c>
      <c r="N220" s="4">
        <v>34871.449999999997</v>
      </c>
      <c r="O220" s="4">
        <f>Tab_02.Fev[[#This Row],[DÉBITO]]-Tab_02.Fev[[#This Row],[CRÉDITO]]</f>
        <v>16379.85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A</v>
      </c>
      <c r="E221" s="2">
        <f>IF($I221="","",COUNTIFS(Tab_00.Trial[CONTA],$I221))</f>
        <v>1</v>
      </c>
      <c r="F221" s="4">
        <f>SUMIFS(Tab_01.Jan[SALDO
ATUAL],Tab_01.Jan[CONTA],$I221)</f>
        <v>5519.86</v>
      </c>
      <c r="G221" s="4">
        <f t="shared" si="9"/>
        <v>0</v>
      </c>
      <c r="H221" s="89">
        <v>50240</v>
      </c>
      <c r="I221" s="3" t="s">
        <v>452</v>
      </c>
      <c r="J221" s="3" t="s">
        <v>196</v>
      </c>
      <c r="K221" s="4">
        <v>5519.86</v>
      </c>
      <c r="L221" s="4">
        <v>191166.67</v>
      </c>
      <c r="M221" s="4">
        <v>0</v>
      </c>
      <c r="N221" s="4">
        <v>196686.53</v>
      </c>
      <c r="O221" s="4">
        <f>Tab_02.Fev[[#This Row],[DÉBITO]]-Tab_02.Fev[[#This Row],[CRÉDITO]]</f>
        <v>191166.67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A</v>
      </c>
      <c r="E222" s="2">
        <f>IF($I222="","",COUNTIFS(Tab_00.Trial[CONTA],$I222))</f>
        <v>1</v>
      </c>
      <c r="F222" s="4">
        <f>SUMIFS(Tab_01.Jan[SALDO
ATUAL],Tab_01.Jan[CONTA],$I222)</f>
        <v>689.98</v>
      </c>
      <c r="G222" s="4">
        <f t="shared" si="9"/>
        <v>0</v>
      </c>
      <c r="H222" s="89">
        <v>50255</v>
      </c>
      <c r="I222" s="3" t="s">
        <v>453</v>
      </c>
      <c r="J222" s="3" t="s">
        <v>454</v>
      </c>
      <c r="K222" s="4">
        <v>689.98</v>
      </c>
      <c r="L222" s="4">
        <v>611.19000000000005</v>
      </c>
      <c r="M222" s="4">
        <v>0</v>
      </c>
      <c r="N222" s="4">
        <v>1301.17</v>
      </c>
      <c r="O222" s="4">
        <f>Tab_02.Fev[[#This Row],[DÉBITO]]-Tab_02.Fev[[#This Row],[CRÉDITO]]</f>
        <v>611.19000000000005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S</v>
      </c>
      <c r="E223" s="2">
        <f>IF($I223="","",COUNTIFS(Tab_00.Trial[CONTA],$I223))</f>
        <v>1</v>
      </c>
      <c r="F223" s="4">
        <f>SUMIFS(Tab_01.Jan[SALDO
ATUAL],Tab_01.Jan[CONTA],$I223)</f>
        <v>190</v>
      </c>
      <c r="G223" s="4">
        <f t="shared" ref="G223:G224" si="10">$F223-$K223</f>
        <v>0</v>
      </c>
      <c r="H223" s="89">
        <v>50290</v>
      </c>
      <c r="I223" s="3" t="s">
        <v>604</v>
      </c>
      <c r="J223" s="3" t="s">
        <v>710</v>
      </c>
      <c r="K223" s="4">
        <v>190</v>
      </c>
      <c r="L223" s="4">
        <v>235</v>
      </c>
      <c r="M223" s="4">
        <v>0</v>
      </c>
      <c r="N223" s="4">
        <v>425</v>
      </c>
      <c r="O223" s="4">
        <f>Tab_02.Fev[[#This Row],[DÉBITO]]-Tab_02.Fev[[#This Row],[CRÉDITO]]</f>
        <v>235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A</v>
      </c>
      <c r="E224" s="2">
        <f>IF($I224="","",COUNTIFS(Tab_00.Trial[CONTA],$I224))</f>
        <v>1</v>
      </c>
      <c r="F224" s="4">
        <f>SUMIFS(Tab_01.Jan[SALDO
ATUAL],Tab_01.Jan[CONTA],$I224)</f>
        <v>190</v>
      </c>
      <c r="G224" s="4">
        <f t="shared" si="10"/>
        <v>0</v>
      </c>
      <c r="H224" s="89">
        <v>50295</v>
      </c>
      <c r="I224" s="3" t="s">
        <v>457</v>
      </c>
      <c r="J224" s="3" t="s">
        <v>458</v>
      </c>
      <c r="K224" s="4">
        <v>190</v>
      </c>
      <c r="L224" s="4">
        <v>235</v>
      </c>
      <c r="M224" s="4">
        <v>0</v>
      </c>
      <c r="N224" s="4">
        <v>425</v>
      </c>
      <c r="O224" s="4">
        <f>Tab_02.Fev[[#This Row],[DÉBITO]]-Tab_02.Fev[[#This Row],[CRÉDITO]]</f>
        <v>235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S</v>
      </c>
      <c r="E225" s="2">
        <f>IF($I225="","",COUNTIFS(Tab_00.Trial[CONTA],$I225))</f>
        <v>1</v>
      </c>
      <c r="F225" s="4">
        <f>SUMIFS(Tab_01.Jan[SALDO
ATUAL],Tab_01.Jan[CONTA],$I225)</f>
        <v>128411.32</v>
      </c>
      <c r="G225" s="4">
        <f t="shared" ref="G225:G232" si="11">$F225-$K225</f>
        <v>0</v>
      </c>
      <c r="H225" s="89">
        <v>50285</v>
      </c>
      <c r="I225" s="3" t="s">
        <v>605</v>
      </c>
      <c r="J225" s="3" t="s">
        <v>711</v>
      </c>
      <c r="K225" s="4">
        <v>128411.32</v>
      </c>
      <c r="L225" s="4">
        <v>124829.59</v>
      </c>
      <c r="M225" s="4">
        <v>0</v>
      </c>
      <c r="N225" s="4">
        <v>253240.91</v>
      </c>
      <c r="O225" s="4">
        <f>Tab_02.Fev[[#This Row],[DÉBITO]]-Tab_02.Fev[[#This Row],[CRÉDITO]]</f>
        <v>124829.59</v>
      </c>
    </row>
    <row r="226" spans="2:15" x14ac:dyDescent="0.3">
      <c r="B226" s="2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S</v>
      </c>
      <c r="E226" s="2">
        <f>IF($I226="","",COUNTIFS(Tab_00.Trial[CONTA],$I226))</f>
        <v>1</v>
      </c>
      <c r="F226" s="4">
        <f>SUMIFS(Tab_01.Jan[SALDO
ATUAL],Tab_01.Jan[CONTA],$I226)</f>
        <v>45445.24</v>
      </c>
      <c r="G226" s="4">
        <f t="shared" si="11"/>
        <v>0</v>
      </c>
      <c r="H226" s="89">
        <v>50300</v>
      </c>
      <c r="I226" s="3" t="s">
        <v>606</v>
      </c>
      <c r="J226" s="3" t="s">
        <v>712</v>
      </c>
      <c r="K226" s="4">
        <v>45445.24</v>
      </c>
      <c r="L226" s="4">
        <v>41863.51</v>
      </c>
      <c r="M226" s="4">
        <v>0</v>
      </c>
      <c r="N226" s="4">
        <v>87308.75</v>
      </c>
      <c r="O226" s="4">
        <f>Tab_02.Fev[[#This Row],[DÉBITO]]-Tab_02.Fev[[#This Row],[CRÉDITO]]</f>
        <v>41863.51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A</v>
      </c>
      <c r="E227" s="2">
        <f>IF($I227="","",COUNTIFS(Tab_00.Trial[CONTA],$I227))</f>
        <v>1</v>
      </c>
      <c r="F227" s="4">
        <f>SUMIFS(Tab_01.Jan[SALDO
ATUAL],Tab_01.Jan[CONTA],$I227)</f>
        <v>7634.62</v>
      </c>
      <c r="G227" s="4">
        <f t="shared" si="11"/>
        <v>0</v>
      </c>
      <c r="H227" s="89">
        <v>50315</v>
      </c>
      <c r="I227" s="3" t="s">
        <v>459</v>
      </c>
      <c r="J227" s="3" t="s">
        <v>460</v>
      </c>
      <c r="K227" s="4">
        <v>7634.62</v>
      </c>
      <c r="L227" s="4">
        <v>7634.62</v>
      </c>
      <c r="M227" s="4">
        <v>0</v>
      </c>
      <c r="N227" s="4">
        <v>15269.24</v>
      </c>
      <c r="O227" s="4">
        <f>Tab_02.Fev[[#This Row],[DÉBITO]]-Tab_02.Fev[[#This Row],[CRÉDITO]]</f>
        <v>7634.62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A</v>
      </c>
      <c r="E228" s="2">
        <f>IF($I228="","",COUNTIFS(Tab_00.Trial[CONTA],$I228))</f>
        <v>1</v>
      </c>
      <c r="F228" s="4">
        <f>SUMIFS(Tab_01.Jan[SALDO
ATUAL],Tab_01.Jan[CONTA],$I228)</f>
        <v>17299.38</v>
      </c>
      <c r="G228" s="4">
        <f t="shared" si="11"/>
        <v>0</v>
      </c>
      <c r="H228" s="89">
        <v>50330</v>
      </c>
      <c r="I228" s="3" t="s">
        <v>461</v>
      </c>
      <c r="J228" s="3" t="s">
        <v>462</v>
      </c>
      <c r="K228" s="4">
        <v>17299.38</v>
      </c>
      <c r="L228" s="4">
        <v>13807.65</v>
      </c>
      <c r="M228" s="4">
        <v>0</v>
      </c>
      <c r="N228" s="4">
        <v>31107.03</v>
      </c>
      <c r="O228" s="4">
        <f>Tab_02.Fev[[#This Row],[DÉBITO]]-Tab_02.Fev[[#This Row],[CRÉDITO]]</f>
        <v>13807.65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A</v>
      </c>
      <c r="E229" s="2">
        <f>IF($I229="","",COUNTIFS(Tab_00.Trial[CONTA],$I229))</f>
        <v>1</v>
      </c>
      <c r="F229" s="4">
        <f>SUMIFS(Tab_01.Jan[SALDO
ATUAL],Tab_01.Jan[CONTA],$I229)</f>
        <v>4524.45</v>
      </c>
      <c r="G229" s="4">
        <f t="shared" si="11"/>
        <v>0</v>
      </c>
      <c r="H229" s="89">
        <v>50360</v>
      </c>
      <c r="I229" s="3" t="s">
        <v>465</v>
      </c>
      <c r="J229" s="3" t="s">
        <v>466</v>
      </c>
      <c r="K229" s="4">
        <v>4524.45</v>
      </c>
      <c r="L229" s="4">
        <v>4434.45</v>
      </c>
      <c r="M229" s="4">
        <v>0</v>
      </c>
      <c r="N229" s="4">
        <v>8958.9</v>
      </c>
      <c r="O229" s="4">
        <f>Tab_02.Fev[[#This Row],[DÉBITO]]-Tab_02.Fev[[#This Row],[CRÉDITO]]</f>
        <v>4434.45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A</v>
      </c>
      <c r="E230" s="2">
        <f>IF($I230="","",COUNTIFS(Tab_00.Trial[CONTA],$I230))</f>
        <v>1</v>
      </c>
      <c r="F230" s="4">
        <f>SUMIFS(Tab_01.Jan[SALDO
ATUAL],Tab_01.Jan[CONTA],$I230)</f>
        <v>4500</v>
      </c>
      <c r="G230" s="4">
        <f t="shared" si="11"/>
        <v>0</v>
      </c>
      <c r="H230" s="89">
        <v>50375</v>
      </c>
      <c r="I230" s="3" t="s">
        <v>473</v>
      </c>
      <c r="J230" s="3" t="s">
        <v>474</v>
      </c>
      <c r="K230" s="4">
        <v>4500</v>
      </c>
      <c r="L230" s="4">
        <v>4500</v>
      </c>
      <c r="M230" s="4">
        <v>0</v>
      </c>
      <c r="N230" s="4">
        <v>9000</v>
      </c>
      <c r="O230" s="4">
        <f>Tab_02.Fev[[#This Row],[DÉBITO]]-Tab_02.Fev[[#This Row],[CRÉDITO]]</f>
        <v>4500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A</v>
      </c>
      <c r="E231" s="2">
        <f>IF($I231="","",COUNTIFS(Tab_00.Trial[CONTA],$I231))</f>
        <v>1</v>
      </c>
      <c r="F231" s="4">
        <f>SUMIFS(Tab_01.Jan[SALDO
ATUAL],Tab_01.Jan[CONTA],$I231)</f>
        <v>223.56</v>
      </c>
      <c r="G231" s="4">
        <f t="shared" si="11"/>
        <v>0</v>
      </c>
      <c r="H231" s="89">
        <v>50405</v>
      </c>
      <c r="I231" s="3" t="s">
        <v>467</v>
      </c>
      <c r="J231" s="3" t="s">
        <v>468</v>
      </c>
      <c r="K231" s="4">
        <v>223.56</v>
      </c>
      <c r="L231" s="4">
        <v>223.56</v>
      </c>
      <c r="M231" s="4">
        <v>0</v>
      </c>
      <c r="N231" s="4">
        <v>447.12</v>
      </c>
      <c r="O231" s="4">
        <f>Tab_02.Fev[[#This Row],[DÉBITO]]-Tab_02.Fev[[#This Row],[CRÉDITO]]</f>
        <v>223.56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A</v>
      </c>
      <c r="E232" s="2">
        <f>IF($I232="","",COUNTIFS(Tab_00.Trial[CONTA],$I232))</f>
        <v>1</v>
      </c>
      <c r="F232" s="4">
        <f>SUMIFS(Tab_01.Jan[SALDO
ATUAL],Tab_01.Jan[CONTA],$I232)</f>
        <v>6599.82</v>
      </c>
      <c r="G232" s="4">
        <f t="shared" si="11"/>
        <v>0</v>
      </c>
      <c r="H232" s="89">
        <v>50430</v>
      </c>
      <c r="I232" s="3" t="s">
        <v>469</v>
      </c>
      <c r="J232" s="3" t="s">
        <v>470</v>
      </c>
      <c r="K232" s="4">
        <v>6599.82</v>
      </c>
      <c r="L232" s="4">
        <v>6599.82</v>
      </c>
      <c r="M232" s="4">
        <v>0</v>
      </c>
      <c r="N232" s="4">
        <v>13199.64</v>
      </c>
      <c r="O232" s="4">
        <f>Tab_02.Fev[[#This Row],[DÉBITO]]-Tab_02.Fev[[#This Row],[CRÉDITO]]</f>
        <v>6599.82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A</v>
      </c>
      <c r="E233" s="2">
        <f>IF($I233="","",COUNTIFS(Tab_00.Trial[CONTA],$I233))</f>
        <v>1</v>
      </c>
      <c r="F233" s="4">
        <f>SUMIFS(Tab_01.Jan[SALDO
ATUAL],Tab_01.Jan[CONTA],$I233)</f>
        <v>4663.41</v>
      </c>
      <c r="G233" s="4">
        <f t="shared" ref="G233:G241" si="12">$F233-$K233</f>
        <v>0</v>
      </c>
      <c r="H233" s="89">
        <v>50432</v>
      </c>
      <c r="I233" s="3" t="s">
        <v>471</v>
      </c>
      <c r="J233" s="3" t="s">
        <v>472</v>
      </c>
      <c r="K233" s="4">
        <v>4663.41</v>
      </c>
      <c r="L233" s="4">
        <v>4663.41</v>
      </c>
      <c r="M233" s="4">
        <v>0</v>
      </c>
      <c r="N233" s="4">
        <v>9326.82</v>
      </c>
      <c r="O233" s="4">
        <f>Tab_02.Fev[[#This Row],[DÉBITO]]-Tab_02.Fev[[#This Row],[CRÉDITO]]</f>
        <v>4663.41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S</v>
      </c>
      <c r="E234" s="2">
        <f>IF($I234="","",COUNTIFS(Tab_00.Trial[CONTA],$I234))</f>
        <v>1</v>
      </c>
      <c r="F234" s="4">
        <f>SUMIFS(Tab_01.Jan[SALDO
ATUAL],Tab_01.Jan[CONTA],$I234)</f>
        <v>82966.080000000002</v>
      </c>
      <c r="G234" s="4">
        <f t="shared" si="12"/>
        <v>0</v>
      </c>
      <c r="H234" s="89">
        <v>50465</v>
      </c>
      <c r="I234" s="3" t="s">
        <v>608</v>
      </c>
      <c r="J234" s="3" t="s">
        <v>713</v>
      </c>
      <c r="K234" s="4">
        <v>82966.080000000002</v>
      </c>
      <c r="L234" s="4">
        <v>82966.080000000002</v>
      </c>
      <c r="M234" s="4">
        <v>0</v>
      </c>
      <c r="N234" s="4">
        <v>165932.16</v>
      </c>
      <c r="O234" s="4">
        <f>Tab_02.Fev[[#This Row],[DÉBITO]]-Tab_02.Fev[[#This Row],[CRÉDITO]]</f>
        <v>82966.080000000002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A</v>
      </c>
      <c r="E235" s="2">
        <f>IF($I235="","",COUNTIFS(Tab_00.Trial[CONTA],$I235))</f>
        <v>1</v>
      </c>
      <c r="F235" s="4">
        <f>SUMIFS(Tab_01.Jan[SALDO
ATUAL],Tab_01.Jan[CONTA],$I235)</f>
        <v>17980.080000000002</v>
      </c>
      <c r="G235" s="4">
        <f t="shared" si="12"/>
        <v>0</v>
      </c>
      <c r="H235" s="89">
        <v>50480</v>
      </c>
      <c r="I235" s="3" t="s">
        <v>741</v>
      </c>
      <c r="J235" s="3" t="s">
        <v>742</v>
      </c>
      <c r="K235" s="4">
        <v>17980.080000000002</v>
      </c>
      <c r="L235" s="4">
        <v>17980.080000000002</v>
      </c>
      <c r="M235" s="4">
        <v>0</v>
      </c>
      <c r="N235" s="4">
        <v>35960.160000000003</v>
      </c>
      <c r="O235" s="4">
        <f>Tab_02.Fev[[#This Row],[DÉBITO]]-Tab_02.Fev[[#This Row],[CRÉDITO]]</f>
        <v>17980.080000000002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A</v>
      </c>
      <c r="E236" s="2">
        <f>IF($I236="","",COUNTIFS(Tab_00.Trial[CONTA],$I236))</f>
        <v>1</v>
      </c>
      <c r="F236" s="4">
        <f>SUMIFS(Tab_01.Jan[SALDO
ATUAL],Tab_01.Jan[CONTA],$I236)</f>
        <v>7500</v>
      </c>
      <c r="G236" s="4">
        <f t="shared" si="12"/>
        <v>0</v>
      </c>
      <c r="H236" s="89">
        <v>50495</v>
      </c>
      <c r="I236" s="3" t="s">
        <v>833</v>
      </c>
      <c r="J236" s="3" t="s">
        <v>834</v>
      </c>
      <c r="K236" s="4">
        <v>7500</v>
      </c>
      <c r="L236" s="4">
        <v>7500</v>
      </c>
      <c r="M236" s="4">
        <v>0</v>
      </c>
      <c r="N236" s="4">
        <v>15000</v>
      </c>
      <c r="O236" s="4">
        <f>Tab_02.Fev[[#This Row],[DÉBITO]]-Tab_02.Fev[[#This Row],[CRÉDITO]]</f>
        <v>7500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A</v>
      </c>
      <c r="E237" s="2">
        <f>IF($I237="","",COUNTIFS(Tab_00.Trial[CONTA],$I237))</f>
        <v>1</v>
      </c>
      <c r="F237" s="4">
        <f>SUMIFS(Tab_01.Jan[SALDO
ATUAL],Tab_01.Jan[CONTA],$I237)</f>
        <v>57486</v>
      </c>
      <c r="G237" s="4">
        <f t="shared" si="12"/>
        <v>0</v>
      </c>
      <c r="H237" s="89">
        <v>50500</v>
      </c>
      <c r="I237" s="3" t="s">
        <v>480</v>
      </c>
      <c r="J237" s="3" t="s">
        <v>481</v>
      </c>
      <c r="K237" s="4">
        <v>57486</v>
      </c>
      <c r="L237" s="4">
        <v>57486</v>
      </c>
      <c r="M237" s="4">
        <v>0</v>
      </c>
      <c r="N237" s="4">
        <v>114972</v>
      </c>
      <c r="O237" s="4">
        <f>Tab_02.Fev[[#This Row],[DÉBITO]]-Tab_02.Fev[[#This Row],[CRÉDITO]]</f>
        <v>57486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S</v>
      </c>
      <c r="E238" s="2">
        <f>IF($I238="","",COUNTIFS(Tab_00.Trial[CONTA],$I238))</f>
        <v>1</v>
      </c>
      <c r="F238" s="4">
        <f>SUMIFS(Tab_01.Jan[SALDO
ATUAL],Tab_01.Jan[CONTA],$I238)</f>
        <v>1438.95</v>
      </c>
      <c r="G238" s="4">
        <f t="shared" si="12"/>
        <v>0</v>
      </c>
      <c r="H238" s="89">
        <v>50510</v>
      </c>
      <c r="I238" s="3" t="s">
        <v>609</v>
      </c>
      <c r="J238" s="3" t="s">
        <v>714</v>
      </c>
      <c r="K238" s="4">
        <v>1438.95</v>
      </c>
      <c r="L238" s="4">
        <v>1061.57</v>
      </c>
      <c r="M238" s="4">
        <v>0</v>
      </c>
      <c r="N238" s="4">
        <v>2500.52</v>
      </c>
      <c r="O238" s="4">
        <f>Tab_02.Fev[[#This Row],[DÉBITO]]-Tab_02.Fev[[#This Row],[CRÉDITO]]</f>
        <v>1061.57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S</v>
      </c>
      <c r="E239" s="2">
        <f>IF($I239="","",COUNTIFS(Tab_00.Trial[CONTA],$I239))</f>
        <v>1</v>
      </c>
      <c r="F239" s="4">
        <f>SUMIFS(Tab_01.Jan[SALDO
ATUAL],Tab_01.Jan[CONTA],$I239)</f>
        <v>1438.95</v>
      </c>
      <c r="G239" s="4">
        <f t="shared" si="12"/>
        <v>0</v>
      </c>
      <c r="H239" s="89">
        <v>50525</v>
      </c>
      <c r="I239" s="3" t="s">
        <v>610</v>
      </c>
      <c r="J239" s="3" t="s">
        <v>714</v>
      </c>
      <c r="K239" s="4">
        <v>1438.95</v>
      </c>
      <c r="L239" s="4">
        <v>1061.57</v>
      </c>
      <c r="M239" s="4">
        <v>0</v>
      </c>
      <c r="N239" s="4">
        <v>2500.52</v>
      </c>
      <c r="O239" s="4">
        <f>Tab_02.Fev[[#This Row],[DÉBITO]]-Tab_02.Fev[[#This Row],[CRÉDITO]]</f>
        <v>1061.57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A</v>
      </c>
      <c r="E240" s="2">
        <f>IF($I240="","",COUNTIFS(Tab_00.Trial[CONTA],$I240))</f>
        <v>1</v>
      </c>
      <c r="F240" s="4">
        <f>SUMIFS(Tab_01.Jan[SALDO
ATUAL],Tab_01.Jan[CONTA],$I240)</f>
        <v>236.9</v>
      </c>
      <c r="G240" s="4">
        <f t="shared" si="12"/>
        <v>0</v>
      </c>
      <c r="H240" s="89">
        <v>50540</v>
      </c>
      <c r="I240" s="3" t="s">
        <v>482</v>
      </c>
      <c r="J240" s="3" t="s">
        <v>483</v>
      </c>
      <c r="K240" s="4">
        <v>236.9</v>
      </c>
      <c r="L240" s="4">
        <v>1061.57</v>
      </c>
      <c r="M240" s="4">
        <v>0</v>
      </c>
      <c r="N240" s="4">
        <v>1298.47</v>
      </c>
      <c r="O240" s="4">
        <f>Tab_02.Fev[[#This Row],[DÉBITO]]-Tab_02.Fev[[#This Row],[CRÉDITO]]</f>
        <v>1061.57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A</v>
      </c>
      <c r="E241" s="2">
        <f>IF($I241="","",COUNTIFS(Tab_00.Trial[CONTA],$I241))</f>
        <v>1</v>
      </c>
      <c r="F241" s="4">
        <f>SUMIFS(Tab_01.Jan[SALDO
ATUAL],Tab_01.Jan[CONTA],$I241)</f>
        <v>1202.05</v>
      </c>
      <c r="G241" s="4">
        <f t="shared" si="12"/>
        <v>0</v>
      </c>
      <c r="H241" s="89">
        <v>50570</v>
      </c>
      <c r="I241" s="3" t="s">
        <v>484</v>
      </c>
      <c r="J241" s="3" t="s">
        <v>485</v>
      </c>
      <c r="K241" s="4">
        <v>1202.05</v>
      </c>
      <c r="L241" s="4">
        <v>0</v>
      </c>
      <c r="M241" s="4">
        <v>0</v>
      </c>
      <c r="N241" s="4">
        <v>1202.05</v>
      </c>
      <c r="O241" s="4">
        <f>Tab_02.Fev[[#This Row],[DÉBITO]]-Tab_02.Fev[[#This Row],[CRÉDITO]]</f>
        <v>0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S</v>
      </c>
      <c r="E242" s="2">
        <f>IF($I242="","",COUNTIFS(Tab_00.Trial[CONTA],$I242))</f>
        <v>1</v>
      </c>
      <c r="F242" s="4">
        <f>SUMIFS(Tab_01.Jan[SALDO
ATUAL],Tab_01.Jan[CONTA],$I242)</f>
        <v>11083.2</v>
      </c>
      <c r="G242" s="4">
        <f t="shared" ref="G242:G265" si="13">$F242-$K242</f>
        <v>0</v>
      </c>
      <c r="H242" s="89">
        <v>50660</v>
      </c>
      <c r="I242" s="3" t="s">
        <v>612</v>
      </c>
      <c r="J242" s="3" t="s">
        <v>716</v>
      </c>
      <c r="K242" s="4">
        <v>11083.2</v>
      </c>
      <c r="L242" s="4">
        <v>6398.49</v>
      </c>
      <c r="M242" s="4">
        <v>0</v>
      </c>
      <c r="N242" s="4">
        <v>17481.689999999999</v>
      </c>
      <c r="O242" s="4">
        <f>Tab_02.Fev[[#This Row],[DÉBITO]]-Tab_02.Fev[[#This Row],[CRÉDITO]]</f>
        <v>6398.49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S</v>
      </c>
      <c r="E243" s="2">
        <f>IF($I243="","",COUNTIFS(Tab_00.Trial[CONTA],$I243))</f>
        <v>1</v>
      </c>
      <c r="F243" s="4">
        <f>SUMIFS(Tab_01.Jan[SALDO
ATUAL],Tab_01.Jan[CONTA],$I243)</f>
        <v>8031.73</v>
      </c>
      <c r="G243" s="4">
        <f t="shared" si="13"/>
        <v>0</v>
      </c>
      <c r="H243" s="89">
        <v>50675</v>
      </c>
      <c r="I243" s="3" t="s">
        <v>613</v>
      </c>
      <c r="J243" s="3" t="s">
        <v>717</v>
      </c>
      <c r="K243" s="4">
        <v>8031.73</v>
      </c>
      <c r="L243" s="4">
        <v>5570.63</v>
      </c>
      <c r="M243" s="4">
        <v>0</v>
      </c>
      <c r="N243" s="4">
        <v>13602.36</v>
      </c>
      <c r="O243" s="4">
        <f>Tab_02.Fev[[#This Row],[DÉBITO]]-Tab_02.Fev[[#This Row],[CRÉDITO]]</f>
        <v>5570.63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A</v>
      </c>
      <c r="E244" s="2">
        <f>IF($I244="","",COUNTIFS(Tab_00.Trial[CONTA],$I244))</f>
        <v>1</v>
      </c>
      <c r="F244" s="4">
        <f>SUMIFS(Tab_01.Jan[SALDO
ATUAL],Tab_01.Jan[CONTA],$I244)</f>
        <v>3476.84</v>
      </c>
      <c r="G244" s="4">
        <f t="shared" si="13"/>
        <v>0</v>
      </c>
      <c r="H244" s="89">
        <v>50690</v>
      </c>
      <c r="I244" s="3" t="s">
        <v>491</v>
      </c>
      <c r="J244" s="3" t="s">
        <v>492</v>
      </c>
      <c r="K244" s="4">
        <v>3476.84</v>
      </c>
      <c r="L244" s="4">
        <v>3315.03</v>
      </c>
      <c r="M244" s="4">
        <v>0</v>
      </c>
      <c r="N244" s="4">
        <v>6791.87</v>
      </c>
      <c r="O244" s="4">
        <f>Tab_02.Fev[[#This Row],[DÉBITO]]-Tab_02.Fev[[#This Row],[CRÉDITO]]</f>
        <v>3315.03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A</v>
      </c>
      <c r="E245" s="2">
        <f>IF($I245="","",COUNTIFS(Tab_00.Trial[CONTA],$I245))</f>
        <v>1</v>
      </c>
      <c r="F245" s="4">
        <f>SUMIFS(Tab_01.Jan[SALDO
ATUAL],Tab_01.Jan[CONTA],$I245)</f>
        <v>3157.37</v>
      </c>
      <c r="G245" s="4">
        <f t="shared" si="13"/>
        <v>0</v>
      </c>
      <c r="H245" s="89">
        <v>50705</v>
      </c>
      <c r="I245" s="3" t="s">
        <v>493</v>
      </c>
      <c r="J245" s="3" t="s">
        <v>494</v>
      </c>
      <c r="K245" s="4">
        <v>3157.37</v>
      </c>
      <c r="L245" s="4">
        <v>846.95</v>
      </c>
      <c r="M245" s="4">
        <v>0</v>
      </c>
      <c r="N245" s="4">
        <v>4004.32</v>
      </c>
      <c r="O245" s="4">
        <f>Tab_02.Fev[[#This Row],[DÉBITO]]-Tab_02.Fev[[#This Row],[CRÉDITO]]</f>
        <v>846.95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A</v>
      </c>
      <c r="E246" s="2">
        <f>IF($I246="","",COUNTIFS(Tab_00.Trial[CONTA],$I246))</f>
        <v>1</v>
      </c>
      <c r="F246" s="4">
        <f>SUMIFS(Tab_01.Jan[SALDO
ATUAL],Tab_01.Jan[CONTA],$I246)</f>
        <v>1397.52</v>
      </c>
      <c r="G246" s="4">
        <f t="shared" si="13"/>
        <v>0</v>
      </c>
      <c r="H246" s="89">
        <v>50720</v>
      </c>
      <c r="I246" s="3" t="s">
        <v>495</v>
      </c>
      <c r="J246" s="3" t="s">
        <v>496</v>
      </c>
      <c r="K246" s="4">
        <v>1397.52</v>
      </c>
      <c r="L246" s="4">
        <v>1408.65</v>
      </c>
      <c r="M246" s="4">
        <v>0</v>
      </c>
      <c r="N246" s="4">
        <v>2806.17</v>
      </c>
      <c r="O246" s="4">
        <f>Tab_02.Fev[[#This Row],[DÉBITO]]-Tab_02.Fev[[#This Row],[CRÉDITO]]</f>
        <v>1408.65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S</v>
      </c>
      <c r="E247" s="2">
        <f>IF($I247="","",COUNTIFS(Tab_00.Trial[CONTA],$I247))</f>
        <v>1</v>
      </c>
      <c r="F247" s="4">
        <f>SUMIFS(Tab_01.Jan[SALDO
ATUAL],Tab_01.Jan[CONTA],$I247)</f>
        <v>3051.47</v>
      </c>
      <c r="G247" s="4">
        <f t="shared" si="13"/>
        <v>0</v>
      </c>
      <c r="H247" s="89">
        <v>50750</v>
      </c>
      <c r="I247" s="3" t="s">
        <v>614</v>
      </c>
      <c r="J247" s="3" t="s">
        <v>718</v>
      </c>
      <c r="K247" s="4">
        <v>3051.47</v>
      </c>
      <c r="L247" s="4">
        <v>827.86</v>
      </c>
      <c r="M247" s="4">
        <v>0</v>
      </c>
      <c r="N247" s="4">
        <v>3879.33</v>
      </c>
      <c r="O247" s="4">
        <f>Tab_02.Fev[[#This Row],[DÉBITO]]-Tab_02.Fev[[#This Row],[CRÉDITO]]</f>
        <v>827.86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A</v>
      </c>
      <c r="E248" s="2">
        <f>IF($I248="","",COUNTIFS(Tab_00.Trial[CONTA],$I248))</f>
        <v>1</v>
      </c>
      <c r="F248" s="4">
        <f>SUMIFS(Tab_01.Jan[SALDO
ATUAL],Tab_01.Jan[CONTA],$I248)</f>
        <v>146.94</v>
      </c>
      <c r="G248" s="4">
        <f t="shared" si="13"/>
        <v>0</v>
      </c>
      <c r="H248" s="89">
        <v>50780</v>
      </c>
      <c r="I248" s="3" t="s">
        <v>499</v>
      </c>
      <c r="J248" s="3" t="s">
        <v>500</v>
      </c>
      <c r="K248" s="4">
        <v>146.94</v>
      </c>
      <c r="L248" s="4">
        <v>0</v>
      </c>
      <c r="M248" s="4">
        <v>0</v>
      </c>
      <c r="N248" s="4">
        <v>146.94</v>
      </c>
      <c r="O248" s="4">
        <f>Tab_02.Fev[[#This Row],[DÉBITO]]-Tab_02.Fev[[#This Row],[CRÉDITO]]</f>
        <v>0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A</v>
      </c>
      <c r="E249" s="2">
        <f>IF($I249="","",COUNTIFS(Tab_00.Trial[CONTA],$I249))</f>
        <v>1</v>
      </c>
      <c r="F249" s="4">
        <f>SUMIFS(Tab_01.Jan[SALDO
ATUAL],Tab_01.Jan[CONTA],$I249)</f>
        <v>2241.66</v>
      </c>
      <c r="G249" s="4">
        <f t="shared" si="13"/>
        <v>0</v>
      </c>
      <c r="H249" s="89">
        <v>50795</v>
      </c>
      <c r="I249" s="3" t="s">
        <v>501</v>
      </c>
      <c r="J249" s="3" t="s">
        <v>502</v>
      </c>
      <c r="K249" s="4">
        <v>2241.66</v>
      </c>
      <c r="L249" s="4">
        <v>213.22</v>
      </c>
      <c r="M249" s="4">
        <v>0</v>
      </c>
      <c r="N249" s="4">
        <v>2454.88</v>
      </c>
      <c r="O249" s="4">
        <f>Tab_02.Fev[[#This Row],[DÉBITO]]-Tab_02.Fev[[#This Row],[CRÉDITO]]</f>
        <v>213.22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A</v>
      </c>
      <c r="E250" s="2">
        <f>IF($I250="","",COUNTIFS(Tab_00.Trial[CONTA],$I250))</f>
        <v>1</v>
      </c>
      <c r="F250" s="4">
        <f>SUMIFS(Tab_01.Jan[SALDO
ATUAL],Tab_01.Jan[CONTA],$I250)</f>
        <v>662.87</v>
      </c>
      <c r="G250" s="4">
        <f t="shared" si="13"/>
        <v>0</v>
      </c>
      <c r="H250" s="89">
        <v>50810</v>
      </c>
      <c r="I250" s="3" t="s">
        <v>503</v>
      </c>
      <c r="J250" s="3" t="s">
        <v>504</v>
      </c>
      <c r="K250" s="4">
        <v>662.87</v>
      </c>
      <c r="L250" s="4">
        <v>614.64</v>
      </c>
      <c r="M250" s="4">
        <v>0</v>
      </c>
      <c r="N250" s="4">
        <v>1277.51</v>
      </c>
      <c r="O250" s="4">
        <f>Tab_02.Fev[[#This Row],[DÉBITO]]-Tab_02.Fev[[#This Row],[CRÉDITO]]</f>
        <v>614.64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S</v>
      </c>
      <c r="E251" s="2">
        <f>IF($I251="","",COUNTIFS(Tab_00.Trial[CONTA],$I251))</f>
        <v>1</v>
      </c>
      <c r="F251" s="4">
        <f>SUMIFS(Tab_01.Jan[SALDO
ATUAL],Tab_01.Jan[CONTA],$I251)</f>
        <v>4265.3900000000003</v>
      </c>
      <c r="G251" s="4">
        <f t="shared" si="13"/>
        <v>0</v>
      </c>
      <c r="H251" s="89">
        <v>50870</v>
      </c>
      <c r="I251" s="3" t="s">
        <v>615</v>
      </c>
      <c r="J251" s="3" t="s">
        <v>719</v>
      </c>
      <c r="K251" s="4">
        <v>4265.3900000000003</v>
      </c>
      <c r="L251" s="4">
        <v>4686.1499999999996</v>
      </c>
      <c r="M251" s="4">
        <v>0</v>
      </c>
      <c r="N251" s="4">
        <v>8951.5400000000009</v>
      </c>
      <c r="O251" s="4">
        <f>Tab_02.Fev[[#This Row],[DÉBITO]]-Tab_02.Fev[[#This Row],[CRÉDITO]]</f>
        <v>4686.1499999999996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S</v>
      </c>
      <c r="E252" s="2">
        <f>IF($I252="","",COUNTIFS(Tab_00.Trial[CONTA],$I252))</f>
        <v>1</v>
      </c>
      <c r="F252" s="4">
        <f>SUMIFS(Tab_01.Jan[SALDO
ATUAL],Tab_01.Jan[CONTA],$I252)</f>
        <v>287.74</v>
      </c>
      <c r="G252" s="4">
        <f t="shared" si="13"/>
        <v>0</v>
      </c>
      <c r="H252" s="89">
        <v>50915</v>
      </c>
      <c r="I252" s="3" t="s">
        <v>617</v>
      </c>
      <c r="J252" s="3" t="s">
        <v>721</v>
      </c>
      <c r="K252" s="4">
        <v>287.74</v>
      </c>
      <c r="L252" s="4">
        <v>287.74</v>
      </c>
      <c r="M252" s="4">
        <v>0</v>
      </c>
      <c r="N252" s="4">
        <v>575.48</v>
      </c>
      <c r="O252" s="4">
        <f>Tab_02.Fev[[#This Row],[DÉBITO]]-Tab_02.Fev[[#This Row],[CRÉDITO]]</f>
        <v>287.74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A</v>
      </c>
      <c r="E253" s="2">
        <f>IF($I253="","",COUNTIFS(Tab_00.Trial[CONTA],$I253))</f>
        <v>1</v>
      </c>
      <c r="F253" s="4">
        <f>SUMIFS(Tab_01.Jan[SALDO
ATUAL],Tab_01.Jan[CONTA],$I253)</f>
        <v>287.74</v>
      </c>
      <c r="G253" s="4">
        <f t="shared" si="13"/>
        <v>0</v>
      </c>
      <c r="H253" s="89">
        <v>50945</v>
      </c>
      <c r="I253" s="3" t="s">
        <v>739</v>
      </c>
      <c r="J253" s="3" t="s">
        <v>740</v>
      </c>
      <c r="K253" s="4">
        <v>287.74</v>
      </c>
      <c r="L253" s="4">
        <v>287.74</v>
      </c>
      <c r="M253" s="4">
        <v>0</v>
      </c>
      <c r="N253" s="4">
        <v>575.48</v>
      </c>
      <c r="O253" s="4">
        <f>Tab_02.Fev[[#This Row],[DÉBITO]]-Tab_02.Fev[[#This Row],[CRÉDITO]]</f>
        <v>287.74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S</v>
      </c>
      <c r="E254" s="2">
        <f>IF($I254="","",COUNTIFS(Tab_00.Trial[CONTA],$I254))</f>
        <v>1</v>
      </c>
      <c r="F254" s="4">
        <f>SUMIFS(Tab_01.Jan[SALDO
ATUAL],Tab_01.Jan[CONTA],$I254)</f>
        <v>2260.8200000000002</v>
      </c>
      <c r="G254" s="4">
        <f t="shared" si="13"/>
        <v>0</v>
      </c>
      <c r="H254" s="89">
        <v>50960</v>
      </c>
      <c r="I254" s="3" t="s">
        <v>618</v>
      </c>
      <c r="J254" s="3" t="s">
        <v>722</v>
      </c>
      <c r="K254" s="4">
        <v>2260.8200000000002</v>
      </c>
      <c r="L254" s="4">
        <v>2755.8</v>
      </c>
      <c r="M254" s="4">
        <v>0</v>
      </c>
      <c r="N254" s="4">
        <v>5016.62</v>
      </c>
      <c r="O254" s="4">
        <f>Tab_02.Fev[[#This Row],[DÉBITO]]-Tab_02.Fev[[#This Row],[CRÉDITO]]</f>
        <v>2755.8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A</v>
      </c>
      <c r="E255" s="2">
        <f>IF($I255="","",COUNTIFS(Tab_00.Trial[CONTA],$I255))</f>
        <v>1</v>
      </c>
      <c r="F255" s="4">
        <f>SUMIFS(Tab_01.Jan[SALDO
ATUAL],Tab_01.Jan[CONTA],$I255)</f>
        <v>2260.8200000000002</v>
      </c>
      <c r="G255" s="4">
        <f t="shared" si="13"/>
        <v>0</v>
      </c>
      <c r="H255" s="89">
        <v>50965</v>
      </c>
      <c r="I255" s="3" t="s">
        <v>511</v>
      </c>
      <c r="J255" s="3" t="s">
        <v>512</v>
      </c>
      <c r="K255" s="4">
        <v>2260.8200000000002</v>
      </c>
      <c r="L255" s="4">
        <v>2755.8</v>
      </c>
      <c r="M255" s="4">
        <v>0</v>
      </c>
      <c r="N255" s="4">
        <v>5016.62</v>
      </c>
      <c r="O255" s="4">
        <f>Tab_02.Fev[[#This Row],[DÉBITO]]-Tab_02.Fev[[#This Row],[CRÉDITO]]</f>
        <v>2755.8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S</v>
      </c>
      <c r="E256" s="2">
        <f>IF($I256="","",COUNTIFS(Tab_00.Trial[CONTA],$I256))</f>
        <v>1</v>
      </c>
      <c r="F256" s="4">
        <f>SUMIFS(Tab_01.Jan[SALDO
ATUAL],Tab_01.Jan[CONTA],$I256)</f>
        <v>1716.83</v>
      </c>
      <c r="G256" s="4">
        <f t="shared" si="13"/>
        <v>0</v>
      </c>
      <c r="H256" s="89">
        <v>50970</v>
      </c>
      <c r="I256" s="3" t="s">
        <v>619</v>
      </c>
      <c r="J256" s="3" t="s">
        <v>420</v>
      </c>
      <c r="K256" s="4">
        <v>1716.83</v>
      </c>
      <c r="L256" s="4">
        <v>1642.61</v>
      </c>
      <c r="M256" s="4">
        <v>0</v>
      </c>
      <c r="N256" s="4">
        <v>3359.44</v>
      </c>
      <c r="O256" s="4">
        <f>Tab_02.Fev[[#This Row],[DÉBITO]]-Tab_02.Fev[[#This Row],[CRÉDITO]]</f>
        <v>1642.61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A</v>
      </c>
      <c r="E257" s="2">
        <f>IF($I257="","",COUNTIFS(Tab_00.Trial[CONTA],$I257))</f>
        <v>1</v>
      </c>
      <c r="F257" s="4">
        <f>SUMIFS(Tab_01.Jan[SALDO
ATUAL],Tab_01.Jan[CONTA],$I257)</f>
        <v>1716.83</v>
      </c>
      <c r="G257" s="4">
        <f t="shared" si="13"/>
        <v>0</v>
      </c>
      <c r="H257" s="89">
        <v>50975</v>
      </c>
      <c r="I257" s="3" t="s">
        <v>515</v>
      </c>
      <c r="J257" s="3" t="s">
        <v>420</v>
      </c>
      <c r="K257" s="4">
        <v>1716.83</v>
      </c>
      <c r="L257" s="4">
        <v>1642.61</v>
      </c>
      <c r="M257" s="4">
        <v>0</v>
      </c>
      <c r="N257" s="4">
        <v>3359.44</v>
      </c>
      <c r="O257" s="4">
        <f>Tab_02.Fev[[#This Row],[DÉBITO]]-Tab_02.Fev[[#This Row],[CRÉDITO]]</f>
        <v>1642.61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S</v>
      </c>
      <c r="E258" s="2">
        <f>IF($I258="","",COUNTIFS(Tab_00.Trial[CONTA],$I258))</f>
        <v>1</v>
      </c>
      <c r="F258" s="4">
        <f>SUMIFS(Tab_01.Jan[SALDO
ATUAL],Tab_01.Jan[CONTA],$I258)</f>
        <v>1467.2</v>
      </c>
      <c r="G258" s="4">
        <f t="shared" si="13"/>
        <v>0</v>
      </c>
      <c r="H258" s="89">
        <v>50990</v>
      </c>
      <c r="I258" s="3" t="s">
        <v>621</v>
      </c>
      <c r="J258" s="3" t="s">
        <v>723</v>
      </c>
      <c r="K258" s="4">
        <v>1467.2</v>
      </c>
      <c r="L258" s="4">
        <v>1901.38</v>
      </c>
      <c r="M258" s="4">
        <v>0</v>
      </c>
      <c r="N258" s="4">
        <v>3368.58</v>
      </c>
      <c r="O258" s="4">
        <f>Tab_02.Fev[[#This Row],[DÉBITO]]-Tab_02.Fev[[#This Row],[CRÉDITO]]</f>
        <v>1901.38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S</v>
      </c>
      <c r="E259" s="2">
        <f>IF($I259="","",COUNTIFS(Tab_00.Trial[CONTA],$I259))</f>
        <v>1</v>
      </c>
      <c r="F259" s="4">
        <f>SUMIFS(Tab_01.Jan[SALDO
ATUAL],Tab_01.Jan[CONTA],$I259)</f>
        <v>1467.2</v>
      </c>
      <c r="G259" s="4">
        <f t="shared" si="13"/>
        <v>0</v>
      </c>
      <c r="H259" s="89">
        <v>51005</v>
      </c>
      <c r="I259" s="3" t="s">
        <v>622</v>
      </c>
      <c r="J259" s="3" t="s">
        <v>723</v>
      </c>
      <c r="K259" s="4">
        <v>1467.2</v>
      </c>
      <c r="L259" s="4">
        <v>1901.38</v>
      </c>
      <c r="M259" s="4">
        <v>0</v>
      </c>
      <c r="N259" s="4">
        <v>3368.58</v>
      </c>
      <c r="O259" s="4">
        <f>Tab_02.Fev[[#This Row],[DÉBITO]]-Tab_02.Fev[[#This Row],[CRÉDITO]]</f>
        <v>1901.38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A</v>
      </c>
      <c r="E260" s="2">
        <f>IF($I260="","",COUNTIFS(Tab_00.Trial[CONTA],$I260))</f>
        <v>1</v>
      </c>
      <c r="F260" s="4">
        <f>SUMIFS(Tab_01.Jan[SALDO
ATUAL],Tab_01.Jan[CONTA],$I260)</f>
        <v>1467.2</v>
      </c>
      <c r="G260" s="4">
        <f t="shared" si="13"/>
        <v>0</v>
      </c>
      <c r="H260" s="89">
        <v>51019</v>
      </c>
      <c r="I260" s="3" t="s">
        <v>518</v>
      </c>
      <c r="J260" s="3" t="s">
        <v>519</v>
      </c>
      <c r="K260" s="4">
        <v>1467.2</v>
      </c>
      <c r="L260" s="4">
        <v>1901.38</v>
      </c>
      <c r="M260" s="4">
        <v>0</v>
      </c>
      <c r="N260" s="4">
        <v>3368.58</v>
      </c>
      <c r="O260" s="4">
        <f>Tab_02.Fev[[#This Row],[DÉBITO]]-Tab_02.Fev[[#This Row],[CRÉDITO]]</f>
        <v>1901.38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S</v>
      </c>
      <c r="E261" s="2">
        <f>IF($I261="","",COUNTIFS(Tab_00.Trial[CONTA],$I261))</f>
        <v>1</v>
      </c>
      <c r="F261" s="4">
        <f>SUMIFS(Tab_01.Jan[SALDO
ATUAL],Tab_01.Jan[CONTA],$I261)</f>
        <v>5364.1</v>
      </c>
      <c r="G261" s="4">
        <f t="shared" si="13"/>
        <v>0</v>
      </c>
      <c r="H261" s="89">
        <v>51050</v>
      </c>
      <c r="I261" s="3" t="s">
        <v>623</v>
      </c>
      <c r="J261" s="3" t="s">
        <v>724</v>
      </c>
      <c r="K261" s="4">
        <v>5364.1</v>
      </c>
      <c r="L261" s="4">
        <v>5249.74</v>
      </c>
      <c r="M261" s="4">
        <v>0</v>
      </c>
      <c r="N261" s="4">
        <v>10613.84</v>
      </c>
      <c r="O261" s="4">
        <f>Tab_02.Fev[[#This Row],[DÉBITO]]-Tab_02.Fev[[#This Row],[CRÉDITO]]</f>
        <v>5249.74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S</v>
      </c>
      <c r="E262" s="2">
        <f>IF($I262="","",COUNTIFS(Tab_00.Trial[CONTA],$I262))</f>
        <v>1</v>
      </c>
      <c r="F262" s="4">
        <f>SUMIFS(Tab_01.Jan[SALDO
ATUAL],Tab_01.Jan[CONTA],$I262)</f>
        <v>5364.1</v>
      </c>
      <c r="G262" s="4">
        <f t="shared" si="13"/>
        <v>0</v>
      </c>
      <c r="H262" s="89">
        <v>51065</v>
      </c>
      <c r="I262" s="3" t="s">
        <v>624</v>
      </c>
      <c r="J262" s="3" t="s">
        <v>724</v>
      </c>
      <c r="K262" s="4">
        <v>5364.1</v>
      </c>
      <c r="L262" s="4">
        <v>5249.74</v>
      </c>
      <c r="M262" s="4">
        <v>0</v>
      </c>
      <c r="N262" s="4">
        <v>10613.84</v>
      </c>
      <c r="O262" s="4">
        <f>Tab_02.Fev[[#This Row],[DÉBITO]]-Tab_02.Fev[[#This Row],[CRÉDITO]]</f>
        <v>5249.74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A</v>
      </c>
      <c r="E263" s="2">
        <f>IF($I263="","",COUNTIFS(Tab_00.Trial[CONTA],$I263))</f>
        <v>1</v>
      </c>
      <c r="F263" s="4">
        <f>SUMIFS(Tab_01.Jan[SALDO
ATUAL],Tab_01.Jan[CONTA],$I263)</f>
        <v>5364.1</v>
      </c>
      <c r="G263" s="4">
        <f t="shared" si="13"/>
        <v>0</v>
      </c>
      <c r="H263" s="89">
        <v>51080</v>
      </c>
      <c r="I263" s="3" t="s">
        <v>520</v>
      </c>
      <c r="J263" s="3" t="s">
        <v>521</v>
      </c>
      <c r="K263" s="4">
        <v>5364.1</v>
      </c>
      <c r="L263" s="4">
        <v>5249.74</v>
      </c>
      <c r="M263" s="4">
        <v>0</v>
      </c>
      <c r="N263" s="4">
        <v>10613.84</v>
      </c>
      <c r="O263" s="4">
        <f>Tab_02.Fev[[#This Row],[DÉBITO]]-Tab_02.Fev[[#This Row],[CRÉDITO]]</f>
        <v>5249.74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S</v>
      </c>
      <c r="E264" s="2">
        <f>IF($I264="","",COUNTIFS(Tab_00.Trial[CONTA],$I264))</f>
        <v>1</v>
      </c>
      <c r="F264" s="4">
        <f>SUMIFS(Tab_01.Jan[SALDO
ATUAL],Tab_01.Jan[CONTA],$I264)</f>
        <v>3062.08</v>
      </c>
      <c r="G264" s="4">
        <f t="shared" si="13"/>
        <v>0</v>
      </c>
      <c r="H264" s="89">
        <v>51110</v>
      </c>
      <c r="I264" s="3" t="s">
        <v>625</v>
      </c>
      <c r="J264" s="3" t="s">
        <v>542</v>
      </c>
      <c r="K264" s="4">
        <v>3062.08</v>
      </c>
      <c r="L264" s="4">
        <v>3941.54</v>
      </c>
      <c r="M264" s="4">
        <v>0</v>
      </c>
      <c r="N264" s="4">
        <v>7003.62</v>
      </c>
      <c r="O264" s="4">
        <f>Tab_02.Fev[[#This Row],[DÉBITO]]-Tab_02.Fev[[#This Row],[CRÉDITO]]</f>
        <v>3941.54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S</v>
      </c>
      <c r="E265" s="2">
        <f>IF($I265="","",COUNTIFS(Tab_00.Trial[CONTA],$I265))</f>
        <v>1</v>
      </c>
      <c r="F265" s="4">
        <f>SUMIFS(Tab_01.Jan[SALDO
ATUAL],Tab_01.Jan[CONTA],$I265)</f>
        <v>1075.6099999999999</v>
      </c>
      <c r="G265" s="4">
        <f t="shared" si="13"/>
        <v>0</v>
      </c>
      <c r="H265" s="89">
        <v>51125</v>
      </c>
      <c r="I265" s="3" t="s">
        <v>626</v>
      </c>
      <c r="J265" s="3" t="s">
        <v>725</v>
      </c>
      <c r="K265" s="4">
        <v>1075.6099999999999</v>
      </c>
      <c r="L265" s="4">
        <v>1344.3</v>
      </c>
      <c r="M265" s="4">
        <v>0</v>
      </c>
      <c r="N265" s="4">
        <v>2419.91</v>
      </c>
      <c r="O265" s="4">
        <f>Tab_02.Fev[[#This Row],[DÉBITO]]-Tab_02.Fev[[#This Row],[CRÉDITO]]</f>
        <v>1344.3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A</v>
      </c>
      <c r="E266" s="2">
        <f>IF($I266="","",COUNTIFS(Tab_00.Trial[CONTA],$I266))</f>
        <v>1</v>
      </c>
      <c r="F266" s="4">
        <f>SUMIFS(Tab_01.Jan[SALDO
ATUAL],Tab_01.Jan[CONTA],$I266)</f>
        <v>1075.6099999999999</v>
      </c>
      <c r="G266" s="4">
        <f t="shared" ref="G266:G268" si="14">$F266-$K266</f>
        <v>0</v>
      </c>
      <c r="H266" s="89">
        <v>51200</v>
      </c>
      <c r="I266" s="3" t="s">
        <v>522</v>
      </c>
      <c r="J266" s="3" t="s">
        <v>523</v>
      </c>
      <c r="K266" s="4">
        <v>1075.6099999999999</v>
      </c>
      <c r="L266" s="4">
        <v>1328.97</v>
      </c>
      <c r="M266" s="4">
        <v>0</v>
      </c>
      <c r="N266" s="4">
        <v>2404.58</v>
      </c>
      <c r="O266" s="4">
        <f>Tab_02.Fev[[#This Row],[DÉBITO]]-Tab_02.Fev[[#This Row],[CRÉDITO]]</f>
        <v>1328.97</v>
      </c>
    </row>
    <row r="267" spans="2:15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5</v>
      </c>
      <c r="D267" s="2" t="str">
        <f>_xlfn.XLOOKUP($I267,Tab_00.Trial[CONTA],Tab_00.Trial[S/A],"",0,1)</f>
        <v>A</v>
      </c>
      <c r="E267" s="2">
        <f>IF($I267="","",COUNTIFS(Tab_00.Trial[CONTA],$I267))</f>
        <v>1</v>
      </c>
      <c r="F267" s="4">
        <f>SUMIFS(Tab_01.Jan[SALDO
ATUAL],Tab_01.Jan[CONTA],$I267)</f>
        <v>0</v>
      </c>
      <c r="G267" s="4">
        <f t="shared" si="14"/>
        <v>0</v>
      </c>
      <c r="H267" s="89">
        <v>51220</v>
      </c>
      <c r="I267" s="3" t="s">
        <v>524</v>
      </c>
      <c r="J267" s="3" t="s">
        <v>525</v>
      </c>
      <c r="K267" s="4">
        <v>0</v>
      </c>
      <c r="L267" s="4">
        <v>15.33</v>
      </c>
      <c r="M267" s="4">
        <v>0</v>
      </c>
      <c r="N267" s="4">
        <v>15.33</v>
      </c>
      <c r="O267" s="4">
        <f>Tab_02.Fev[[#This Row],[DÉBITO]]-Tab_02.Fev[[#This Row],[CRÉDITO]]</f>
        <v>15.33</v>
      </c>
    </row>
    <row r="268" spans="2:15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5</v>
      </c>
      <c r="D268" s="2" t="str">
        <f>_xlfn.XLOOKUP($I268,Tab_00.Trial[CONTA],Tab_00.Trial[S/A],"",0,1)</f>
        <v>S</v>
      </c>
      <c r="E268" s="2">
        <f>IF($I268="","",COUNTIFS(Tab_00.Trial[CONTA],$I268))</f>
        <v>1</v>
      </c>
      <c r="F268" s="4">
        <f>SUMIFS(Tab_01.Jan[SALDO
ATUAL],Tab_01.Jan[CONTA],$I268)</f>
        <v>1986.47</v>
      </c>
      <c r="G268" s="4">
        <f t="shared" si="14"/>
        <v>0</v>
      </c>
      <c r="H268" s="89">
        <v>51230</v>
      </c>
      <c r="I268" s="3" t="s">
        <v>627</v>
      </c>
      <c r="J268" s="3" t="s">
        <v>542</v>
      </c>
      <c r="K268" s="4">
        <v>1986.47</v>
      </c>
      <c r="L268" s="4">
        <v>2597.2399999999998</v>
      </c>
      <c r="M268" s="4">
        <v>0</v>
      </c>
      <c r="N268" s="4">
        <v>4583.71</v>
      </c>
      <c r="O268" s="4">
        <f>Tab_02.Fev[[#This Row],[DÉBITO]]-Tab_02.Fev[[#This Row],[CRÉDITO]]</f>
        <v>2597.2399999999998</v>
      </c>
    </row>
    <row r="269" spans="2:15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5</v>
      </c>
      <c r="D269" s="2" t="str">
        <f>_xlfn.XLOOKUP($I269,Tab_00.Trial[CONTA],Tab_00.Trial[S/A],"",0,1)</f>
        <v>A</v>
      </c>
      <c r="E269" s="2">
        <f>IF($I269="","",COUNTIFS(Tab_00.Trial[CONTA],$I269))</f>
        <v>1</v>
      </c>
      <c r="F269" s="4">
        <f>SUMIFS(Tab_01.Jan[SALDO
ATUAL],Tab_01.Jan[CONTA],$I269)</f>
        <v>100.59</v>
      </c>
      <c r="G269" s="4">
        <f t="shared" ref="G269:G271" si="15">$F269-$K269</f>
        <v>0</v>
      </c>
      <c r="H269" s="89">
        <v>51245</v>
      </c>
      <c r="I269" s="3" t="s">
        <v>528</v>
      </c>
      <c r="J269" s="3" t="s">
        <v>416</v>
      </c>
      <c r="K269" s="4">
        <v>100.59</v>
      </c>
      <c r="L269" s="4">
        <v>49.87</v>
      </c>
      <c r="M269" s="4">
        <v>0</v>
      </c>
      <c r="N269" s="4">
        <v>150.46</v>
      </c>
      <c r="O269" s="4">
        <f>Tab_02.Fev[[#This Row],[DÉBITO]]-Tab_02.Fev[[#This Row],[CRÉDITO]]</f>
        <v>49.87</v>
      </c>
    </row>
    <row r="270" spans="2:15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A</v>
      </c>
      <c r="E270" s="2">
        <f>IF($I270="","",COUNTIFS(Tab_00.Trial[CONTA],$I270))</f>
        <v>1</v>
      </c>
      <c r="F270" s="4">
        <f>SUMIFS(Tab_01.Jan[SALDO
ATUAL],Tab_01.Jan[CONTA],$I270)</f>
        <v>114</v>
      </c>
      <c r="G270" s="4">
        <f t="shared" si="15"/>
        <v>0</v>
      </c>
      <c r="H270" s="89">
        <v>51290</v>
      </c>
      <c r="I270" s="3" t="s">
        <v>531</v>
      </c>
      <c r="J270" s="3" t="s">
        <v>532</v>
      </c>
      <c r="K270" s="4">
        <v>114</v>
      </c>
      <c r="L270" s="4">
        <v>62.97</v>
      </c>
      <c r="M270" s="4">
        <v>0</v>
      </c>
      <c r="N270" s="4">
        <v>176.97</v>
      </c>
      <c r="O270" s="4">
        <f>Tab_02.Fev[[#This Row],[DÉBITO]]-Tab_02.Fev[[#This Row],[CRÉDITO]]</f>
        <v>62.97</v>
      </c>
    </row>
    <row r="271" spans="2:15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5</v>
      </c>
      <c r="D271" s="2" t="str">
        <f>_xlfn.XLOOKUP($I271,Tab_00.Trial[CONTA],Tab_00.Trial[S/A],"",0,1)</f>
        <v>A</v>
      </c>
      <c r="E271" s="2">
        <f>IF($I271="","",COUNTIFS(Tab_00.Trial[CONTA],$I271))</f>
        <v>1</v>
      </c>
      <c r="F271" s="4">
        <f>SUMIFS(Tab_01.Jan[SALDO
ATUAL],Tab_01.Jan[CONTA],$I271)</f>
        <v>350</v>
      </c>
      <c r="G271" s="4">
        <f t="shared" si="15"/>
        <v>0</v>
      </c>
      <c r="H271" s="89">
        <v>51305</v>
      </c>
      <c r="I271" s="3" t="s">
        <v>533</v>
      </c>
      <c r="J271" s="3" t="s">
        <v>534</v>
      </c>
      <c r="K271" s="4">
        <v>350</v>
      </c>
      <c r="L271" s="4">
        <v>0</v>
      </c>
      <c r="M271" s="4">
        <v>0</v>
      </c>
      <c r="N271" s="4">
        <v>350</v>
      </c>
      <c r="O271" s="4">
        <f>Tab_02.Fev[[#This Row],[DÉBITO]]-Tab_02.Fev[[#This Row],[CRÉDITO]]</f>
        <v>0</v>
      </c>
    </row>
    <row r="272" spans="2:15" x14ac:dyDescent="0.3">
      <c r="B272" s="2" t="str">
        <f>_xlfn.XLOOKUP($I272,Tab_00.Trial[CONTA],Tab_00.Trial[TP],"",0,1)</f>
        <v>C</v>
      </c>
      <c r="C272" s="2">
        <f>_xlfn.XLOOKUP($I272,Tab_00.Trial[CONTA],Tab_00.Trial[NV],"",0,1)</f>
        <v>5</v>
      </c>
      <c r="D272" s="2" t="str">
        <f>_xlfn.XLOOKUP($I272,Tab_00.Trial[CONTA],Tab_00.Trial[S/A],"",0,1)</f>
        <v>A</v>
      </c>
      <c r="E272" s="2">
        <f>IF($I272="","",COUNTIFS(Tab_00.Trial[CONTA],$I272))</f>
        <v>1</v>
      </c>
      <c r="F272" s="4">
        <f>SUMIFS(Tab_01.Jan[SALDO
ATUAL],Tab_01.Jan[CONTA],$I272)</f>
        <v>1059.06</v>
      </c>
      <c r="G272" s="4">
        <f t="shared" ref="G272:G282" si="16">$F272-$K272</f>
        <v>0</v>
      </c>
      <c r="H272" s="89">
        <v>51335</v>
      </c>
      <c r="I272" s="3" t="s">
        <v>537</v>
      </c>
      <c r="J272" s="3" t="s">
        <v>538</v>
      </c>
      <c r="K272" s="4">
        <v>1059.06</v>
      </c>
      <c r="L272" s="4">
        <v>0</v>
      </c>
      <c r="M272" s="4">
        <v>0</v>
      </c>
      <c r="N272" s="4">
        <v>1059.06</v>
      </c>
      <c r="O272" s="4">
        <f>Tab_02.Fev[[#This Row],[DÉBITO]]-Tab_02.Fev[[#This Row],[CRÉDITO]]</f>
        <v>0</v>
      </c>
    </row>
    <row r="273" spans="2:15" x14ac:dyDescent="0.3">
      <c r="B273" s="2" t="str">
        <f>_xlfn.XLOOKUP($I273,Tab_00.Trial[CONTA],Tab_00.Trial[TP],"",0,1)</f>
        <v>C</v>
      </c>
      <c r="C273" s="2">
        <f>_xlfn.XLOOKUP($I273,Tab_00.Trial[CONTA],Tab_00.Trial[NV],"",0,1)</f>
        <v>5</v>
      </c>
      <c r="D273" s="2" t="str">
        <f>_xlfn.XLOOKUP($I273,Tab_00.Trial[CONTA],Tab_00.Trial[S/A],"",0,1)</f>
        <v>A</v>
      </c>
      <c r="E273" s="2">
        <f>IF($I273="","",COUNTIFS(Tab_00.Trial[CONTA],$I273))</f>
        <v>1</v>
      </c>
      <c r="F273" s="4">
        <f>SUMIFS(Tab_01.Jan[SALDO
ATUAL],Tab_01.Jan[CONTA],$I273)</f>
        <v>0</v>
      </c>
      <c r="G273" s="4">
        <f t="shared" si="16"/>
        <v>0</v>
      </c>
      <c r="H273" s="89">
        <v>51338</v>
      </c>
      <c r="I273" s="3" t="s">
        <v>539</v>
      </c>
      <c r="J273" s="3" t="s">
        <v>540</v>
      </c>
      <c r="K273" s="4">
        <v>0</v>
      </c>
      <c r="L273" s="4">
        <v>2484.4</v>
      </c>
      <c r="M273" s="4">
        <v>0</v>
      </c>
      <c r="N273" s="4">
        <v>2484.4</v>
      </c>
      <c r="O273" s="4">
        <f>Tab_02.Fev[[#This Row],[DÉBITO]]-Tab_02.Fev[[#This Row],[CRÉDITO]]</f>
        <v>2484.4</v>
      </c>
    </row>
    <row r="274" spans="2:15" x14ac:dyDescent="0.3">
      <c r="B274" s="2" t="str">
        <f>_xlfn.XLOOKUP($I274,Tab_00.Trial[CONTA],Tab_00.Trial[TP],"",0,1)</f>
        <v>C</v>
      </c>
      <c r="C274" s="2">
        <f>_xlfn.XLOOKUP($I274,Tab_00.Trial[CONTA],Tab_00.Trial[NV],"",0,1)</f>
        <v>5</v>
      </c>
      <c r="D274" s="2" t="str">
        <f>_xlfn.XLOOKUP($I274,Tab_00.Trial[CONTA],Tab_00.Trial[S/A],"",0,1)</f>
        <v>A</v>
      </c>
      <c r="E274" s="2">
        <f>IF($I274="","",COUNTIFS(Tab_00.Trial[CONTA],$I274))</f>
        <v>1</v>
      </c>
      <c r="F274" s="4">
        <f>SUMIFS(Tab_01.Jan[SALDO
ATUAL],Tab_01.Jan[CONTA],$I274)</f>
        <v>362.82</v>
      </c>
      <c r="G274" s="4">
        <f t="shared" si="16"/>
        <v>0</v>
      </c>
      <c r="H274" s="89">
        <v>51337</v>
      </c>
      <c r="I274" s="3" t="s">
        <v>541</v>
      </c>
      <c r="J274" s="3" t="s">
        <v>542</v>
      </c>
      <c r="K274" s="4">
        <v>362.82</v>
      </c>
      <c r="L274" s="4">
        <v>0</v>
      </c>
      <c r="M274" s="4">
        <v>0</v>
      </c>
      <c r="N274" s="4">
        <v>362.82</v>
      </c>
      <c r="O274" s="4">
        <f>Tab_02.Fev[[#This Row],[DÉBITO]]-Tab_02.Fev[[#This Row],[CRÉDITO]]</f>
        <v>0</v>
      </c>
    </row>
    <row r="275" spans="2:15" x14ac:dyDescent="0.3">
      <c r="B275" s="2" t="str">
        <f>_xlfn.XLOOKUP($I275,Tab_00.Trial[CONTA],Tab_00.Trial[TP],"",0,1)</f>
        <v>C</v>
      </c>
      <c r="C275" s="2">
        <f>_xlfn.XLOOKUP($I275,Tab_00.Trial[CONTA],Tab_00.Trial[NV],"",0,1)</f>
        <v>2</v>
      </c>
      <c r="D275" s="2" t="str">
        <f>_xlfn.XLOOKUP($I275,Tab_00.Trial[CONTA],Tab_00.Trial[S/A],"",0,1)</f>
        <v>S</v>
      </c>
      <c r="E275" s="2">
        <f>IF($I275="","",COUNTIFS(Tab_00.Trial[CONTA],$I275))</f>
        <v>1</v>
      </c>
      <c r="F275" s="4">
        <f>SUMIFS(Tab_01.Jan[SALDO
ATUAL],Tab_01.Jan[CONTA],$I275)</f>
        <v>0</v>
      </c>
      <c r="G275" s="4">
        <f t="shared" si="16"/>
        <v>0</v>
      </c>
      <c r="H275" s="89">
        <v>51500</v>
      </c>
      <c r="I275" s="3" t="s">
        <v>630</v>
      </c>
      <c r="J275" s="3" t="s">
        <v>728</v>
      </c>
      <c r="K275" s="4">
        <v>0</v>
      </c>
      <c r="L275" s="4">
        <v>270</v>
      </c>
      <c r="M275" s="4">
        <v>0</v>
      </c>
      <c r="N275" s="4">
        <v>270</v>
      </c>
      <c r="O275" s="4">
        <f>Tab_02.Fev[[#This Row],[DÉBITO]]-Tab_02.Fev[[#This Row],[CRÉDITO]]</f>
        <v>270</v>
      </c>
    </row>
    <row r="276" spans="2:15" x14ac:dyDescent="0.3">
      <c r="B276" s="2" t="str">
        <f>_xlfn.XLOOKUP($I276,Tab_00.Trial[CONTA],Tab_00.Trial[TP],"",0,1)</f>
        <v>C</v>
      </c>
      <c r="C276" s="2">
        <f>_xlfn.XLOOKUP($I276,Tab_00.Trial[CONTA],Tab_00.Trial[NV],"",0,1)</f>
        <v>5</v>
      </c>
      <c r="D276" s="2" t="str">
        <f>_xlfn.XLOOKUP($I276,Tab_00.Trial[CONTA],Tab_00.Trial[S/A],"",0,1)</f>
        <v>S</v>
      </c>
      <c r="E276" s="2">
        <f>IF($I276="","",COUNTIFS(Tab_00.Trial[CONTA],$I276))</f>
        <v>1</v>
      </c>
      <c r="F276" s="4">
        <f>SUMIFS(Tab_01.Jan[SALDO
ATUAL],Tab_01.Jan[CONTA],$I276)</f>
        <v>0</v>
      </c>
      <c r="G276" s="4">
        <f t="shared" si="16"/>
        <v>0</v>
      </c>
      <c r="H276" s="89">
        <v>51505</v>
      </c>
      <c r="I276" s="3" t="s">
        <v>631</v>
      </c>
      <c r="J276" s="3" t="s">
        <v>728</v>
      </c>
      <c r="K276" s="4">
        <v>0</v>
      </c>
      <c r="L276" s="4">
        <v>270</v>
      </c>
      <c r="M276" s="4">
        <v>0</v>
      </c>
      <c r="N276" s="4">
        <v>270</v>
      </c>
      <c r="O276" s="4">
        <f>Tab_02.Fev[[#This Row],[DÉBITO]]-Tab_02.Fev[[#This Row],[CRÉDITO]]</f>
        <v>270</v>
      </c>
    </row>
    <row r="277" spans="2:15" x14ac:dyDescent="0.3">
      <c r="B277" s="2" t="str">
        <f>_xlfn.XLOOKUP($I277,Tab_00.Trial[CONTA],Tab_00.Trial[TP],"",0,1)</f>
        <v>C</v>
      </c>
      <c r="C277" s="2">
        <f>_xlfn.XLOOKUP($I277,Tab_00.Trial[CONTA],Tab_00.Trial[NV],"",0,1)</f>
        <v>5</v>
      </c>
      <c r="D277" s="2" t="str">
        <f>_xlfn.XLOOKUP($I277,Tab_00.Trial[CONTA],Tab_00.Trial[S/A],"",0,1)</f>
        <v>S</v>
      </c>
      <c r="E277" s="2">
        <f>IF($I277="","",COUNTIFS(Tab_00.Trial[CONTA],$I277))</f>
        <v>1</v>
      </c>
      <c r="F277" s="4">
        <f>SUMIFS(Tab_01.Jan[SALDO
ATUAL],Tab_01.Jan[CONTA],$I277)</f>
        <v>0</v>
      </c>
      <c r="G277" s="4">
        <f t="shared" si="16"/>
        <v>0</v>
      </c>
      <c r="H277" s="89">
        <v>51565</v>
      </c>
      <c r="I277" s="3" t="s">
        <v>633</v>
      </c>
      <c r="J277" s="3" t="s">
        <v>548</v>
      </c>
      <c r="K277" s="4">
        <v>0</v>
      </c>
      <c r="L277" s="4">
        <v>270</v>
      </c>
      <c r="M277" s="4">
        <v>0</v>
      </c>
      <c r="N277" s="4">
        <v>270</v>
      </c>
      <c r="O277" s="4">
        <f>Tab_02.Fev[[#This Row],[DÉBITO]]-Tab_02.Fev[[#This Row],[CRÉDITO]]</f>
        <v>270</v>
      </c>
    </row>
    <row r="278" spans="2:15" x14ac:dyDescent="0.3">
      <c r="B278" s="2" t="str">
        <f>_xlfn.XLOOKUP($I278,Tab_00.Trial[CONTA],Tab_00.Trial[TP],"",0,1)</f>
        <v>C</v>
      </c>
      <c r="C278" s="2">
        <f>_xlfn.XLOOKUP($I278,Tab_00.Trial[CONTA],Tab_00.Trial[NV],"",0,1)</f>
        <v>5</v>
      </c>
      <c r="D278" s="2" t="str">
        <f>_xlfn.XLOOKUP($I278,Tab_00.Trial[CONTA],Tab_00.Trial[S/A],"",0,1)</f>
        <v>A</v>
      </c>
      <c r="E278" s="2">
        <f>IF($I278="","",COUNTIFS(Tab_00.Trial[CONTA],$I278))</f>
        <v>1</v>
      </c>
      <c r="F278" s="4">
        <f>SUMIFS(Tab_01.Jan[SALDO
ATUAL],Tab_01.Jan[CONTA],$I278)</f>
        <v>0</v>
      </c>
      <c r="G278" s="4">
        <f t="shared" si="16"/>
        <v>0</v>
      </c>
      <c r="H278" s="89">
        <v>51570</v>
      </c>
      <c r="I278" s="3" t="s">
        <v>547</v>
      </c>
      <c r="J278" s="3" t="s">
        <v>548</v>
      </c>
      <c r="K278" s="4">
        <v>0</v>
      </c>
      <c r="L278" s="4">
        <v>270</v>
      </c>
      <c r="M278" s="4">
        <v>0</v>
      </c>
      <c r="N278" s="4">
        <v>270</v>
      </c>
      <c r="O278" s="4">
        <f>Tab_02.Fev[[#This Row],[DÉBITO]]-Tab_02.Fev[[#This Row],[CRÉDITO]]</f>
        <v>270</v>
      </c>
    </row>
    <row r="279" spans="2:15" x14ac:dyDescent="0.3">
      <c r="B279" s="2" t="str">
        <f>_xlfn.XLOOKUP($I279,Tab_00.Trial[CONTA],Tab_00.Trial[TP],"",0,1)</f>
        <v>C</v>
      </c>
      <c r="C279" s="2">
        <f>_xlfn.XLOOKUP($I279,Tab_00.Trial[CONTA],Tab_00.Trial[NV],"",0,1)</f>
        <v>2</v>
      </c>
      <c r="D279" s="2" t="str">
        <f>_xlfn.XLOOKUP($I279,Tab_00.Trial[CONTA],Tab_00.Trial[S/A],"",0,1)</f>
        <v>S</v>
      </c>
      <c r="E279" s="2">
        <f>IF($I279="","",COUNTIFS(Tab_00.Trial[CONTA],$I279))</f>
        <v>1</v>
      </c>
      <c r="F279" s="4">
        <f>SUMIFS(Tab_01.Jan[SALDO
ATUAL],Tab_01.Jan[CONTA],$I279)</f>
        <v>-189</v>
      </c>
      <c r="G279" s="4">
        <f t="shared" si="16"/>
        <v>0</v>
      </c>
      <c r="H279" s="89">
        <v>51590</v>
      </c>
      <c r="I279" s="3" t="s">
        <v>634</v>
      </c>
      <c r="J279" s="3" t="s">
        <v>730</v>
      </c>
      <c r="K279" s="4">
        <v>-189</v>
      </c>
      <c r="L279" s="4">
        <v>0</v>
      </c>
      <c r="M279" s="4">
        <v>0</v>
      </c>
      <c r="N279" s="4">
        <v>-189</v>
      </c>
      <c r="O279" s="4">
        <f>Tab_02.Fev[[#This Row],[DÉBITO]]-Tab_02.Fev[[#This Row],[CRÉDITO]]</f>
        <v>0</v>
      </c>
    </row>
    <row r="280" spans="2:15" x14ac:dyDescent="0.3">
      <c r="B280" s="2" t="str">
        <f>_xlfn.XLOOKUP($I280,Tab_00.Trial[CONTA],Tab_00.Trial[TP],"",0,1)</f>
        <v>C</v>
      </c>
      <c r="C280" s="2">
        <f>_xlfn.XLOOKUP($I280,Tab_00.Trial[CONTA],Tab_00.Trial[NV],"",0,1)</f>
        <v>5</v>
      </c>
      <c r="D280" s="2" t="str">
        <f>_xlfn.XLOOKUP($I280,Tab_00.Trial[CONTA],Tab_00.Trial[S/A],"",0,1)</f>
        <v>S</v>
      </c>
      <c r="E280" s="2">
        <f>IF($I280="","",COUNTIFS(Tab_00.Trial[CONTA],$I280))</f>
        <v>1</v>
      </c>
      <c r="F280" s="4">
        <f>SUMIFS(Tab_01.Jan[SALDO
ATUAL],Tab_01.Jan[CONTA],$I280)</f>
        <v>-189</v>
      </c>
      <c r="G280" s="4">
        <f t="shared" si="16"/>
        <v>0</v>
      </c>
      <c r="H280" s="89">
        <v>10216</v>
      </c>
      <c r="I280" s="3" t="s">
        <v>825</v>
      </c>
      <c r="J280" s="3" t="s">
        <v>826</v>
      </c>
      <c r="K280" s="4">
        <v>-189</v>
      </c>
      <c r="L280" s="4">
        <v>0</v>
      </c>
      <c r="M280" s="4">
        <v>0</v>
      </c>
      <c r="N280" s="4">
        <v>-189</v>
      </c>
      <c r="O280" s="4">
        <f>Tab_02.Fev[[#This Row],[DÉBITO]]-Tab_02.Fev[[#This Row],[CRÉDITO]]</f>
        <v>0</v>
      </c>
    </row>
    <row r="281" spans="2:15" x14ac:dyDescent="0.3">
      <c r="B281" s="2" t="str">
        <f>_xlfn.XLOOKUP($I281,Tab_00.Trial[CONTA],Tab_00.Trial[TP],"",0,1)</f>
        <v>C</v>
      </c>
      <c r="C281" s="2">
        <f>_xlfn.XLOOKUP($I281,Tab_00.Trial[CONTA],Tab_00.Trial[NV],"",0,1)</f>
        <v>5</v>
      </c>
      <c r="D281" s="2" t="str">
        <f>_xlfn.XLOOKUP($I281,Tab_00.Trial[CONTA],Tab_00.Trial[S/A],"",0,1)</f>
        <v>S</v>
      </c>
      <c r="E281" s="2">
        <f>IF($I281="","",COUNTIFS(Tab_00.Trial[CONTA],$I281))</f>
        <v>1</v>
      </c>
      <c r="F281" s="4">
        <f>SUMIFS(Tab_01.Jan[SALDO
ATUAL],Tab_01.Jan[CONTA],$I281)</f>
        <v>-189</v>
      </c>
      <c r="G281" s="4">
        <f t="shared" si="16"/>
        <v>0</v>
      </c>
      <c r="H281" s="89">
        <v>10230</v>
      </c>
      <c r="I281" s="3" t="s">
        <v>827</v>
      </c>
      <c r="J281" s="3" t="s">
        <v>826</v>
      </c>
      <c r="K281" s="4">
        <v>-189</v>
      </c>
      <c r="L281" s="4">
        <v>0</v>
      </c>
      <c r="M281" s="4">
        <v>0</v>
      </c>
      <c r="N281" s="4">
        <v>-189</v>
      </c>
      <c r="O281" s="4">
        <f>Tab_02.Fev[[#This Row],[DÉBITO]]-Tab_02.Fev[[#This Row],[CRÉDITO]]</f>
        <v>0</v>
      </c>
    </row>
    <row r="282" spans="2:15" x14ac:dyDescent="0.3">
      <c r="B282" s="2" t="str">
        <f>_xlfn.XLOOKUP($I282,Tab_00.Trial[CONTA],Tab_00.Trial[TP],"",0,1)</f>
        <v>C</v>
      </c>
      <c r="C282" s="2">
        <f>_xlfn.XLOOKUP($I282,Tab_00.Trial[CONTA],Tab_00.Trial[NV],"",0,1)</f>
        <v>5</v>
      </c>
      <c r="D282" s="2" t="str">
        <f>_xlfn.XLOOKUP($I282,Tab_00.Trial[CONTA],Tab_00.Trial[S/A],"",0,1)</f>
        <v>A</v>
      </c>
      <c r="E282" s="2">
        <f>IF($I282="","",COUNTIFS(Tab_00.Trial[CONTA],$I282))</f>
        <v>1</v>
      </c>
      <c r="F282" s="4">
        <f>SUMIFS(Tab_01.Jan[SALDO
ATUAL],Tab_01.Jan[CONTA],$I282)</f>
        <v>-189</v>
      </c>
      <c r="G282" s="4">
        <f t="shared" si="16"/>
        <v>0</v>
      </c>
      <c r="H282" s="89">
        <v>10237</v>
      </c>
      <c r="I282" s="3" t="s">
        <v>828</v>
      </c>
      <c r="J282" s="3" t="s">
        <v>829</v>
      </c>
      <c r="K282" s="4">
        <v>-189</v>
      </c>
      <c r="L282" s="4">
        <v>0</v>
      </c>
      <c r="M282" s="4">
        <v>0</v>
      </c>
      <c r="N282" s="4">
        <v>-189</v>
      </c>
      <c r="O282" s="4">
        <f>Tab_02.Fev[[#This Row],[DÉBITO]]-Tab_02.Fev[[#This Row],[CRÉDITO]]</f>
        <v>0</v>
      </c>
    </row>
    <row r="283" spans="2:15" x14ac:dyDescent="0.3">
      <c r="B283" s="2" t="str">
        <f>_xlfn.XLOOKUP($I283,Tab_00.Trial[CONTA],Tab_00.Trial[TP],"",0,1)</f>
        <v/>
      </c>
      <c r="C283" s="2" t="str">
        <f>_xlfn.XLOOKUP($I283,Tab_00.Trial[CONTA],Tab_00.Trial[NV],"",0,1)</f>
        <v/>
      </c>
      <c r="D283" s="2" t="str">
        <f>_xlfn.XLOOKUP($I283,Tab_00.Trial[CONTA],Tab_00.Trial[S/A],"",0,1)</f>
        <v/>
      </c>
      <c r="E283" s="2" t="str">
        <f>IF($I283="","",COUNTIFS(Tab_00.Trial[CONTA],$I283))</f>
        <v/>
      </c>
      <c r="F283" s="4">
        <f>SUMIFS(Tab_01.Jan[SALDO
ATUAL],Tab_01.Jan[CONTA],$I283)</f>
        <v>0</v>
      </c>
      <c r="G283" s="4">
        <f t="shared" ref="G283:G293" si="17">$F283-$K283</f>
        <v>0</v>
      </c>
      <c r="H283" s="89"/>
      <c r="K283" s="4"/>
      <c r="O283" s="4">
        <f>Tab_02.Fev[[#This Row],[DÉBITO]]-Tab_02.Fev[[#This Row],[CRÉDITO]]</f>
        <v>0</v>
      </c>
    </row>
    <row r="284" spans="2:15" x14ac:dyDescent="0.3">
      <c r="B284" s="2" t="str">
        <f>_xlfn.XLOOKUP($I284,Tab_00.Trial[CONTA],Tab_00.Trial[TP],"",0,1)</f>
        <v/>
      </c>
      <c r="C284" s="2" t="str">
        <f>_xlfn.XLOOKUP($I284,Tab_00.Trial[CONTA],Tab_00.Trial[NV],"",0,1)</f>
        <v/>
      </c>
      <c r="D284" s="2" t="str">
        <f>_xlfn.XLOOKUP($I284,Tab_00.Trial[CONTA],Tab_00.Trial[S/A],"",0,1)</f>
        <v/>
      </c>
      <c r="E284" s="2" t="str">
        <f>IF($I284="","",COUNTIFS(Tab_00.Trial[CONTA],$I284))</f>
        <v/>
      </c>
      <c r="F284" s="4">
        <f>SUMIFS(Tab_01.Jan[SALDO
ATUAL],Tab_01.Jan[CONTA],$I284)</f>
        <v>0</v>
      </c>
      <c r="G284" s="4">
        <f t="shared" si="17"/>
        <v>0</v>
      </c>
      <c r="H284" s="89"/>
      <c r="K284" s="4"/>
      <c r="O284" s="4">
        <f>Tab_02.Fev[[#This Row],[DÉBITO]]-Tab_02.Fev[[#This Row],[CRÉDITO]]</f>
        <v>0</v>
      </c>
    </row>
    <row r="285" spans="2:15" x14ac:dyDescent="0.3">
      <c r="B285" s="2" t="str">
        <f>_xlfn.XLOOKUP($I285,Tab_00.Trial[CONTA],Tab_00.Trial[TP],"",0,1)</f>
        <v/>
      </c>
      <c r="C285" s="2" t="str">
        <f>_xlfn.XLOOKUP($I285,Tab_00.Trial[CONTA],Tab_00.Trial[NV],"",0,1)</f>
        <v/>
      </c>
      <c r="D285" s="2" t="str">
        <f>_xlfn.XLOOKUP($I285,Tab_00.Trial[CONTA],Tab_00.Trial[S/A],"",0,1)</f>
        <v/>
      </c>
      <c r="E285" s="2" t="str">
        <f>IF($I285="","",COUNTIFS(Tab_00.Trial[CONTA],$I285))</f>
        <v/>
      </c>
      <c r="F285" s="4">
        <f>SUMIFS(Tab_01.Jan[SALDO
ATUAL],Tab_01.Jan[CONTA],$I285)</f>
        <v>0</v>
      </c>
      <c r="G285" s="4">
        <f t="shared" si="17"/>
        <v>0</v>
      </c>
      <c r="H285" s="89"/>
      <c r="K285" s="4"/>
      <c r="O285" s="4">
        <f>Tab_02.Fev[[#This Row],[DÉBITO]]-Tab_02.Fev[[#This Row],[CRÉDITO]]</f>
        <v>0</v>
      </c>
    </row>
    <row r="286" spans="2:15" x14ac:dyDescent="0.3">
      <c r="B286" s="2" t="str">
        <f>_xlfn.XLOOKUP($I286,Tab_00.Trial[CONTA],Tab_00.Trial[TP],"",0,1)</f>
        <v/>
      </c>
      <c r="C286" s="2" t="str">
        <f>_xlfn.XLOOKUP($I286,Tab_00.Trial[CONTA],Tab_00.Trial[NV],"",0,1)</f>
        <v/>
      </c>
      <c r="D286" s="2" t="str">
        <f>_xlfn.XLOOKUP($I286,Tab_00.Trial[CONTA],Tab_00.Trial[S/A],"",0,1)</f>
        <v/>
      </c>
      <c r="E286" s="2" t="str">
        <f>IF($I286="","",COUNTIFS(Tab_00.Trial[CONTA],$I286))</f>
        <v/>
      </c>
      <c r="F286" s="4">
        <f>SUMIFS(Tab_01.Jan[SALDO
ATUAL],Tab_01.Jan[CONTA],$I286)</f>
        <v>0</v>
      </c>
      <c r="G286" s="4">
        <f t="shared" si="17"/>
        <v>0</v>
      </c>
      <c r="H286" s="89"/>
      <c r="K286" s="4"/>
      <c r="O286" s="4">
        <f>Tab_02.Fev[[#This Row],[DÉBITO]]-Tab_02.Fev[[#This Row],[CRÉDITO]]</f>
        <v>0</v>
      </c>
    </row>
    <row r="287" spans="2:15" x14ac:dyDescent="0.3">
      <c r="B287" s="2" t="str">
        <f>_xlfn.XLOOKUP($I287,Tab_00.Trial[CONTA],Tab_00.Trial[TP],"",0,1)</f>
        <v/>
      </c>
      <c r="C287" s="2" t="str">
        <f>_xlfn.XLOOKUP($I287,Tab_00.Trial[CONTA],Tab_00.Trial[NV],"",0,1)</f>
        <v/>
      </c>
      <c r="D287" s="2" t="str">
        <f>_xlfn.XLOOKUP($I287,Tab_00.Trial[CONTA],Tab_00.Trial[S/A],"",0,1)</f>
        <v/>
      </c>
      <c r="E287" s="2" t="str">
        <f>IF($I287="","",COUNTIFS(Tab_00.Trial[CONTA],$I287))</f>
        <v/>
      </c>
      <c r="F287" s="4">
        <f>SUMIFS(Tab_01.Jan[SALDO
ATUAL],Tab_01.Jan[CONTA],$I287)</f>
        <v>0</v>
      </c>
      <c r="G287" s="4">
        <f t="shared" si="17"/>
        <v>0</v>
      </c>
      <c r="H287" s="89"/>
      <c r="K287" s="4"/>
      <c r="O287" s="4">
        <f>Tab_02.Fev[[#This Row],[DÉBITO]]-Tab_02.Fev[[#This Row],[CRÉDITO]]</f>
        <v>0</v>
      </c>
    </row>
    <row r="288" spans="2:15" x14ac:dyDescent="0.3">
      <c r="B288" s="2" t="str">
        <f>_xlfn.XLOOKUP($I288,Tab_00.Trial[CONTA],Tab_00.Trial[TP],"",0,1)</f>
        <v/>
      </c>
      <c r="C288" s="2" t="str">
        <f>_xlfn.XLOOKUP($I288,Tab_00.Trial[CONTA],Tab_00.Trial[NV],"",0,1)</f>
        <v/>
      </c>
      <c r="D288" s="2" t="str">
        <f>_xlfn.XLOOKUP($I288,Tab_00.Trial[CONTA],Tab_00.Trial[S/A],"",0,1)</f>
        <v/>
      </c>
      <c r="E288" s="2" t="str">
        <f>IF($I288="","",COUNTIFS(Tab_00.Trial[CONTA],$I288))</f>
        <v/>
      </c>
      <c r="F288" s="4">
        <f>SUMIFS(Tab_01.Jan[SALDO
ATUAL],Tab_01.Jan[CONTA],$I288)</f>
        <v>0</v>
      </c>
      <c r="G288" s="4">
        <f t="shared" si="17"/>
        <v>0</v>
      </c>
      <c r="H288" s="89"/>
      <c r="K288" s="4"/>
      <c r="O288" s="4">
        <f>Tab_02.Fev[[#This Row],[DÉBITO]]-Tab_02.Fev[[#This Row],[CRÉDITO]]</f>
        <v>0</v>
      </c>
    </row>
    <row r="289" spans="2:15" x14ac:dyDescent="0.3">
      <c r="B289" s="2" t="str">
        <f>_xlfn.XLOOKUP($I289,Tab_00.Trial[CONTA],Tab_00.Trial[TP],"",0,1)</f>
        <v/>
      </c>
      <c r="C289" s="2" t="str">
        <f>_xlfn.XLOOKUP($I289,Tab_00.Trial[CONTA],Tab_00.Trial[NV],"",0,1)</f>
        <v/>
      </c>
      <c r="D289" s="2" t="str">
        <f>_xlfn.XLOOKUP($I289,Tab_00.Trial[CONTA],Tab_00.Trial[S/A],"",0,1)</f>
        <v/>
      </c>
      <c r="E289" s="2" t="str">
        <f>IF($I289="","",COUNTIFS(Tab_00.Trial[CONTA],$I289))</f>
        <v/>
      </c>
      <c r="F289" s="4">
        <f>SUMIFS(Tab_01.Jan[SALDO
ATUAL],Tab_01.Jan[CONTA],$I289)</f>
        <v>0</v>
      </c>
      <c r="G289" s="4">
        <f t="shared" si="17"/>
        <v>0</v>
      </c>
      <c r="H289" s="89"/>
      <c r="K289" s="4"/>
      <c r="O289" s="4">
        <f>Tab_02.Fev[[#This Row],[DÉBITO]]-Tab_02.Fev[[#This Row],[CRÉDITO]]</f>
        <v>0</v>
      </c>
    </row>
    <row r="290" spans="2:15" x14ac:dyDescent="0.3">
      <c r="B290" s="2" t="str">
        <f>_xlfn.XLOOKUP($I290,Tab_00.Trial[CONTA],Tab_00.Trial[TP],"",0,1)</f>
        <v/>
      </c>
      <c r="C290" s="2" t="str">
        <f>_xlfn.XLOOKUP($I290,Tab_00.Trial[CONTA],Tab_00.Trial[NV],"",0,1)</f>
        <v/>
      </c>
      <c r="D290" s="2" t="str">
        <f>_xlfn.XLOOKUP($I290,Tab_00.Trial[CONTA],Tab_00.Trial[S/A],"",0,1)</f>
        <v/>
      </c>
      <c r="E290" s="2" t="str">
        <f>IF($I290="","",COUNTIFS(Tab_00.Trial[CONTA],$I290))</f>
        <v/>
      </c>
      <c r="F290" s="4">
        <f>SUMIFS(Tab_01.Jan[SALDO
ATUAL],Tab_01.Jan[CONTA],$I290)</f>
        <v>0</v>
      </c>
      <c r="G290" s="4">
        <f t="shared" si="17"/>
        <v>0</v>
      </c>
      <c r="H290" s="89"/>
      <c r="K290" s="4"/>
      <c r="O290" s="4">
        <f>Tab_02.Fev[[#This Row],[DÉBITO]]-Tab_02.Fev[[#This Row],[CRÉDITO]]</f>
        <v>0</v>
      </c>
    </row>
    <row r="291" spans="2:15" x14ac:dyDescent="0.3">
      <c r="B291" s="2" t="str">
        <f>_xlfn.XLOOKUP($I291,Tab_00.Trial[CONTA],Tab_00.Trial[TP],"",0,1)</f>
        <v/>
      </c>
      <c r="C291" s="2" t="str">
        <f>_xlfn.XLOOKUP($I291,Tab_00.Trial[CONTA],Tab_00.Trial[NV],"",0,1)</f>
        <v/>
      </c>
      <c r="D291" s="2" t="str">
        <f>_xlfn.XLOOKUP($I291,Tab_00.Trial[CONTA],Tab_00.Trial[S/A],"",0,1)</f>
        <v/>
      </c>
      <c r="E291" s="2" t="str">
        <f>IF($I291="","",COUNTIFS(Tab_00.Trial[CONTA],$I291))</f>
        <v/>
      </c>
      <c r="F291" s="4">
        <f>SUMIFS(Tab_01.Jan[SALDO
ATUAL],Tab_01.Jan[CONTA],$I291)</f>
        <v>0</v>
      </c>
      <c r="G291" s="4">
        <f t="shared" si="17"/>
        <v>0</v>
      </c>
      <c r="H291" s="89"/>
      <c r="K291" s="4"/>
      <c r="O291" s="4">
        <f>Tab_02.Fev[[#This Row],[DÉBITO]]-Tab_02.Fev[[#This Row],[CRÉDITO]]</f>
        <v>0</v>
      </c>
    </row>
    <row r="292" spans="2:15" x14ac:dyDescent="0.3">
      <c r="B292" s="2" t="str">
        <f>_xlfn.XLOOKUP($I292,Tab_00.Trial[CONTA],Tab_00.Trial[TP],"",0,1)</f>
        <v/>
      </c>
      <c r="C292" s="2" t="str">
        <f>_xlfn.XLOOKUP($I292,Tab_00.Trial[CONTA],Tab_00.Trial[NV],"",0,1)</f>
        <v/>
      </c>
      <c r="D292" s="2" t="str">
        <f>_xlfn.XLOOKUP($I292,Tab_00.Trial[CONTA],Tab_00.Trial[S/A],"",0,1)</f>
        <v/>
      </c>
      <c r="E292" s="2" t="str">
        <f>IF($I292="","",COUNTIFS(Tab_00.Trial[CONTA],$I292))</f>
        <v/>
      </c>
      <c r="F292" s="4">
        <f>SUMIFS(Tab_01.Jan[SALDO
ATUAL],Tab_01.Jan[CONTA],$I292)</f>
        <v>0</v>
      </c>
      <c r="G292" s="4">
        <f t="shared" si="17"/>
        <v>0</v>
      </c>
      <c r="H292" s="89"/>
      <c r="K292" s="4"/>
      <c r="O292" s="4">
        <f>Tab_02.Fev[[#This Row],[DÉBITO]]-Tab_02.Fev[[#This Row],[CRÉDITO]]</f>
        <v>0</v>
      </c>
    </row>
    <row r="293" spans="2:15" x14ac:dyDescent="0.3">
      <c r="B293" s="2" t="str">
        <f>_xlfn.XLOOKUP($I293,Tab_00.Trial[CONTA],Tab_00.Trial[TP],"",0,1)</f>
        <v/>
      </c>
      <c r="C293" s="2" t="str">
        <f>_xlfn.XLOOKUP($I293,Tab_00.Trial[CONTA],Tab_00.Trial[NV],"",0,1)</f>
        <v/>
      </c>
      <c r="D293" s="2" t="str">
        <f>_xlfn.XLOOKUP($I293,Tab_00.Trial[CONTA],Tab_00.Trial[S/A],"",0,1)</f>
        <v/>
      </c>
      <c r="E293" s="2" t="str">
        <f>IF($I293="","",COUNTIFS(Tab_00.Trial[CONTA],$I293))</f>
        <v/>
      </c>
      <c r="F293" s="4">
        <f>SUMIFS(Tab_01.Jan[SALDO
ATUAL],Tab_01.Jan[CONTA],$I293)</f>
        <v>0</v>
      </c>
      <c r="G293" s="4">
        <f t="shared" si="17"/>
        <v>0</v>
      </c>
      <c r="H293" s="89"/>
      <c r="K293" s="4"/>
      <c r="O293" s="4">
        <f>Tab_02.Fev[[#This Row],[DÉBITO]]-Tab_02.Fev[[#This Row],[CRÉDITO]]</f>
        <v>0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BA933-AC73-40A6-BF4D-4CD99B5AA64E}">
  <sheetPr codeName="Planilha13"/>
  <dimension ref="B1:O280"/>
  <sheetViews>
    <sheetView showGridLines="0" zoomScale="85" zoomScaleNormal="85" workbookViewId="0">
      <pane xSplit="7" ySplit="14" topLeftCell="J15" activePane="bottomRight" state="frozen"/>
      <selection activeCell="J28" sqref="J28"/>
      <selection pane="topRight" activeCell="J28" sqref="J28"/>
      <selection pane="bottomLeft" activeCell="J28" sqref="J28"/>
      <selection pane="bottomRight" activeCell="N16" sqref="N16"/>
    </sheetView>
  </sheetViews>
  <sheetFormatPr defaultColWidth="8.88671875" defaultRowHeight="13.8" outlineLevelRow="1" x14ac:dyDescent="0.3"/>
  <cols>
    <col min="1" max="1" width="2.6640625" style="1" customWidth="1"/>
    <col min="2" max="2" width="4.6640625" customWidth="1"/>
    <col min="3" max="5" width="4.6640625" style="2" customWidth="1"/>
    <col min="6" max="7" width="20.6640625" style="4" customWidth="1"/>
    <col min="8" max="8" width="15.6640625" customWidth="1"/>
    <col min="9" max="9" width="17.6640625" customWidth="1"/>
    <col min="10" max="10" width="75.6640625" customWidth="1"/>
    <col min="11" max="11" width="20.6640625" style="2" customWidth="1"/>
    <col min="12" max="13" width="20.6640625" style="3" customWidth="1"/>
    <col min="14" max="15" width="20.6640625" style="4" customWidth="1"/>
    <col min="16" max="16384" width="8.88671875" style="1"/>
  </cols>
  <sheetData>
    <row r="1" spans="2:15" x14ac:dyDescent="0.3">
      <c r="B1" s="2"/>
      <c r="H1" s="3"/>
      <c r="I1" s="3"/>
      <c r="J1" s="3"/>
      <c r="K1" s="4"/>
      <c r="L1" s="4"/>
      <c r="M1" s="4"/>
    </row>
    <row r="2" spans="2:15" outlineLevel="1" x14ac:dyDescent="0.3">
      <c r="B2" s="2" t="s">
        <v>16</v>
      </c>
      <c r="F2" s="7">
        <f ca="1">SUMIFS(INDIRECT("Tab_03.Mar["&amp;F$14&amp;"]"),Tab_03.Mar[TP],$B2,Tab_03.Mar[NV],"A")</f>
        <v>0</v>
      </c>
      <c r="G2" s="7">
        <f ca="1">SUMIFS(INDIRECT("Tab_03.Mar["&amp;G$14&amp;"]"),Tab_03.Mar[TP],$B2,Tab_03.Mar[NV],"A")</f>
        <v>0</v>
      </c>
      <c r="H2" s="3"/>
      <c r="I2" s="3"/>
      <c r="J2" s="88" t="s">
        <v>15</v>
      </c>
      <c r="K2" s="7">
        <f ca="1">SUMIFS(INDIRECT("Tab_03.Mar["&amp;K$14&amp;"]"),Tab_03.Mar[TP],$B2,Tab_03.Mar[S/A],"A")</f>
        <v>83183649.450000003</v>
      </c>
      <c r="L2" s="7">
        <f ca="1">SUMIFS(INDIRECT("Tab_03.Mar["&amp;L$14&amp;"]"),Tab_03.Mar[TP],$B2,Tab_03.Mar[S/A],"A")</f>
        <v>2029405.94</v>
      </c>
      <c r="M2" s="7">
        <f ca="1">SUMIFS(INDIRECT("Tab_03.Mar["&amp;M$14&amp;"]"),Tab_03.Mar[TP],$B2,Tab_03.Mar[S/A],"A")</f>
        <v>1946286.7</v>
      </c>
      <c r="N2" s="7">
        <f ca="1">SUMIFS(INDIRECT("Tab_03.Mar["&amp;N$14&amp;"]"),Tab_03.Mar[TP],$B2,Tab_03.Mar[S/A],"A")</f>
        <v>83266768.689999998</v>
      </c>
      <c r="O2" s="7">
        <f ca="1">SUMIFS(INDIRECT("Tab_03.Mar["&amp;O$14&amp;"]"),Tab_03.Mar[TP],$B2,Tab_03.Mar[S/A],"A")</f>
        <v>83119.240000000005</v>
      </c>
    </row>
    <row r="3" spans="2:15" outlineLevel="1" x14ac:dyDescent="0.3">
      <c r="B3" s="2" t="s">
        <v>116</v>
      </c>
      <c r="F3" s="7">
        <f ca="1">SUMIFS(INDIRECT("Tab_03.Mar["&amp;F$14&amp;"]"),Tab_03.Mar[TP],$B3,Tab_03.Mar[NV],"A")</f>
        <v>0</v>
      </c>
      <c r="G3" s="7">
        <f ca="1">SUMIFS(INDIRECT("Tab_03.Mar["&amp;G$14&amp;"]"),Tab_03.Mar[TP],$B3,Tab_03.Mar[NV],"A")</f>
        <v>0</v>
      </c>
      <c r="H3" s="3"/>
      <c r="I3" s="3"/>
      <c r="J3" s="88" t="s">
        <v>110</v>
      </c>
      <c r="K3" s="7">
        <f ca="1">SUMIFS(INDIRECT("Tab_03.Mar["&amp;K$14&amp;"]"),Tab_03.Mar[TP],$B3,Tab_03.Mar[S/A],"A")</f>
        <v>-83791314.099999994</v>
      </c>
      <c r="L3" s="7">
        <f ca="1">SUMIFS(INDIRECT("Tab_03.Mar["&amp;L$14&amp;"]"),Tab_03.Mar[TP],$B3,Tab_03.Mar[S/A],"A")</f>
        <v>776610.08</v>
      </c>
      <c r="M3" s="7">
        <f ca="1">SUMIFS(INDIRECT("Tab_03.Mar["&amp;M$14&amp;"]"),Tab_03.Mar[TP],$B3,Tab_03.Mar[S/A],"A")</f>
        <v>324413.45</v>
      </c>
      <c r="N3" s="7">
        <f ca="1">SUMIFS(INDIRECT("Tab_03.Mar["&amp;N$14&amp;"]"),Tab_03.Mar[TP],$B3,Tab_03.Mar[S/A],"A")</f>
        <v>-83339117.469999999</v>
      </c>
      <c r="O3" s="7">
        <f ca="1">SUMIFS(INDIRECT("Tab_03.Mar["&amp;O$14&amp;"]"),Tab_03.Mar[TP],$B3,Tab_03.Mar[S/A],"A")</f>
        <v>452196.63</v>
      </c>
    </row>
    <row r="4" spans="2:15" outlineLevel="1" x14ac:dyDescent="0.3">
      <c r="B4" s="2"/>
      <c r="F4" s="8">
        <f ca="1">SUM(F$2:F$3)</f>
        <v>0</v>
      </c>
      <c r="G4" s="8">
        <f ca="1">SUM(G$2:G$3)</f>
        <v>0</v>
      </c>
      <c r="H4" s="3"/>
      <c r="I4" s="3"/>
      <c r="J4" s="88"/>
      <c r="K4" s="8">
        <f t="shared" ref="K4:O4" ca="1" si="0">SUM(K$2:K$3)</f>
        <v>-607664.65</v>
      </c>
      <c r="L4" s="8">
        <f t="shared" ca="1" si="0"/>
        <v>2806016.02</v>
      </c>
      <c r="M4" s="8">
        <f t="shared" ca="1" si="0"/>
        <v>2270700.15</v>
      </c>
      <c r="N4" s="8">
        <f ca="1">SUM(N$2:N$3)</f>
        <v>-72348.78</v>
      </c>
      <c r="O4" s="8">
        <f t="shared" ca="1" si="0"/>
        <v>535315.87</v>
      </c>
    </row>
    <row r="5" spans="2:15" ht="5.0999999999999996" customHeight="1" outlineLevel="1" x14ac:dyDescent="0.3">
      <c r="B5" s="2"/>
      <c r="H5" s="3"/>
      <c r="I5" s="3"/>
      <c r="J5" s="89"/>
      <c r="K5" s="4"/>
      <c r="L5" s="4"/>
      <c r="M5" s="4"/>
    </row>
    <row r="6" spans="2:15" outlineLevel="1" x14ac:dyDescent="0.3">
      <c r="B6" s="2" t="s">
        <v>19</v>
      </c>
      <c r="F6" s="7">
        <f ca="1">SUMIFS(INDIRECT("Tab_03.Mar["&amp;F$14&amp;"]"),Tab_03.Mar[TP],$B6,Tab_03.Mar[NV],"A")</f>
        <v>0</v>
      </c>
      <c r="G6" s="7">
        <f ca="1">SUMIFS(INDIRECT("Tab_03.Mar["&amp;G$14&amp;"]"),Tab_03.Mar[TP],$B6,Tab_03.Mar[NV],"A")</f>
        <v>0</v>
      </c>
      <c r="H6" s="3"/>
      <c r="I6" s="3"/>
      <c r="J6" s="88" t="s">
        <v>18</v>
      </c>
      <c r="K6" s="7">
        <f ca="1">SUMIFS(INDIRECT("Tab_03.Mar["&amp;K$14&amp;"]"),Tab_03.Mar[TP],$B6,Tab_03.Mar[S/A],"A")</f>
        <v>-2346861.59</v>
      </c>
      <c r="L6" s="7">
        <f ca="1">SUMIFS(INDIRECT("Tab_03.Mar["&amp;L$14&amp;"]"),Tab_03.Mar[TP],$B6,Tab_03.Mar[S/A],"A")</f>
        <v>0</v>
      </c>
      <c r="M6" s="7">
        <f ca="1">SUMIFS(INDIRECT("Tab_03.Mar["&amp;M$14&amp;"]"),Tab_03.Mar[TP],$B6,Tab_03.Mar[S/A],"A")</f>
        <v>1357483.78</v>
      </c>
      <c r="N6" s="7">
        <f ca="1">SUMIFS(INDIRECT("Tab_03.Mar["&amp;N$14&amp;"]"),Tab_03.Mar[TP],$B6,Tab_03.Mar[S/A],"A")</f>
        <v>-3704345.37</v>
      </c>
      <c r="O6" s="7">
        <f ca="1">SUMIFS(INDIRECT("Tab_03.Mar["&amp;O$14&amp;"]"),Tab_03.Mar[TP],$B6,Tab_03.Mar[S/A],"A")</f>
        <v>-1357483.78</v>
      </c>
    </row>
    <row r="7" spans="2:15" outlineLevel="1" x14ac:dyDescent="0.3">
      <c r="B7" s="2" t="s">
        <v>20</v>
      </c>
      <c r="F7" s="7">
        <f ca="1">SUMIFS(INDIRECT("Tab_03.Mar["&amp;F$14&amp;"]"),Tab_03.Mar[TP],$B7,Tab_03.Mar[NV],"A")</f>
        <v>0</v>
      </c>
      <c r="G7" s="7">
        <f ca="1">SUMIFS(INDIRECT("Tab_03.Mar["&amp;G$14&amp;"]"),Tab_03.Mar[TP],$B7,Tab_03.Mar[NV],"A")</f>
        <v>0</v>
      </c>
      <c r="H7" s="3"/>
      <c r="I7" s="3"/>
      <c r="J7" s="88" t="s">
        <v>111</v>
      </c>
      <c r="K7" s="7">
        <f ca="1">SUMIFS(INDIRECT("Tab_03.Mar["&amp;K$14&amp;"]"),Tab_03.Mar[TP],$B7,Tab_03.Mar[S/A],"A")</f>
        <v>2954526.24</v>
      </c>
      <c r="L7" s="7">
        <f ca="1">SUMIFS(INDIRECT("Tab_03.Mar["&amp;L$14&amp;"]"),Tab_03.Mar[TP],$B7,Tab_03.Mar[S/A],"A")</f>
        <v>863143.35</v>
      </c>
      <c r="M7" s="7">
        <f ca="1">SUMIFS(INDIRECT("Tab_03.Mar["&amp;M$14&amp;"]"),Tab_03.Mar[TP],$B7,Tab_03.Mar[S/A],"A")</f>
        <v>40975.440000000002</v>
      </c>
      <c r="N7" s="7">
        <f ca="1">SUMIFS(INDIRECT("Tab_03.Mar["&amp;N$14&amp;"]"),Tab_03.Mar[TP],$B7,Tab_03.Mar[S/A],"A")</f>
        <v>3776694.15</v>
      </c>
      <c r="O7" s="7">
        <f ca="1">SUMIFS(INDIRECT("Tab_03.Mar["&amp;O$14&amp;"]"),Tab_03.Mar[TP],$B7,Tab_03.Mar[S/A],"A")</f>
        <v>822167.91</v>
      </c>
    </row>
    <row r="8" spans="2:15" outlineLevel="1" x14ac:dyDescent="0.3">
      <c r="B8" s="2"/>
      <c r="F8" s="8">
        <f ca="1">SUM(F$6:F$7)</f>
        <v>0</v>
      </c>
      <c r="G8" s="8">
        <f ca="1">SUM(G$6:G$7)</f>
        <v>0</v>
      </c>
      <c r="H8" s="3"/>
      <c r="I8" s="3"/>
      <c r="J8" s="88"/>
      <c r="K8" s="8">
        <f ca="1">SUM(K$6:K$7)</f>
        <v>607664.65</v>
      </c>
      <c r="L8" s="8">
        <f ca="1">SUM(L$6:L$7)</f>
        <v>863143.35</v>
      </c>
      <c r="M8" s="8">
        <f ca="1">SUM(M$6:M$7)</f>
        <v>1398459.22</v>
      </c>
      <c r="N8" s="8">
        <f ca="1">SUM(N$6:N$7)</f>
        <v>72348.78</v>
      </c>
      <c r="O8" s="8">
        <f ca="1">SUM(O$6:O$7)</f>
        <v>-535315.87</v>
      </c>
    </row>
    <row r="9" spans="2:15" ht="5.0999999999999996" customHeight="1" outlineLevel="1" x14ac:dyDescent="0.3">
      <c r="B9" s="2"/>
      <c r="H9" s="3"/>
      <c r="I9" s="3"/>
      <c r="J9" s="89"/>
      <c r="K9" s="4"/>
      <c r="L9" s="4"/>
      <c r="M9" s="4"/>
    </row>
    <row r="10" spans="2:15" x14ac:dyDescent="0.3">
      <c r="B10" s="2"/>
      <c r="F10" s="11">
        <f ca="1">SUM(F$4,F$8)</f>
        <v>0</v>
      </c>
      <c r="G10" s="11">
        <f ca="1">SUM(G$4,G$8)</f>
        <v>0</v>
      </c>
      <c r="H10" s="3"/>
      <c r="I10" s="3"/>
      <c r="J10" s="88" t="s">
        <v>22</v>
      </c>
      <c r="K10" s="11">
        <f t="shared" ref="K10:O10" ca="1" si="1">SUM(K$4,K$8)</f>
        <v>0</v>
      </c>
      <c r="L10" s="11">
        <f t="shared" ca="1" si="1"/>
        <v>3669159.37</v>
      </c>
      <c r="M10" s="11">
        <f t="shared" ca="1" si="1"/>
        <v>3669159.37</v>
      </c>
      <c r="N10" s="11">
        <f ca="1">SUM(N$4,N$8)</f>
        <v>0</v>
      </c>
      <c r="O10" s="11">
        <f t="shared" ca="1" si="1"/>
        <v>0</v>
      </c>
    </row>
    <row r="11" spans="2:15" ht="5.0999999999999996" customHeight="1" x14ac:dyDescent="0.3">
      <c r="B11" s="2"/>
      <c r="H11" s="3"/>
      <c r="I11" s="3"/>
      <c r="J11" s="3"/>
      <c r="K11" s="4"/>
      <c r="L11" s="4"/>
      <c r="M11" s="4"/>
    </row>
    <row r="12" spans="2:15" x14ac:dyDescent="0.3">
      <c r="B12" s="2"/>
      <c r="F12" s="7">
        <f>SUBTOTAL(9,Tab_03.Mar[SALDO FINAL
ANTERIOR])</f>
        <v>0</v>
      </c>
      <c r="G12" s="7">
        <f>SUBTOTAL(9,Tab_03.Mar[DIFERENÇA])</f>
        <v>0</v>
      </c>
      <c r="H12" s="3"/>
      <c r="I12" s="3"/>
      <c r="J12" s="3"/>
      <c r="K12" s="7">
        <f>SUBTOTAL(9,Tab_03.Mar[SALDO
ANTERIOR])</f>
        <v>0</v>
      </c>
      <c r="L12" s="7">
        <f>SUBTOTAL(9,Tab_03.Mar[DÉBITO])</f>
        <v>18345796.850000001</v>
      </c>
      <c r="M12" s="7">
        <f>SUBTOTAL(9,Tab_03.Mar[CRÉDITO])</f>
        <v>18345796.850000001</v>
      </c>
      <c r="N12" s="7">
        <f>SUBTOTAL(9,Tab_03.Mar[SALDO
ATUAL])</f>
        <v>0</v>
      </c>
      <c r="O12" s="7">
        <f>SUBTOTAL(9,Tab_03.Mar[MOVIMENTO])</f>
        <v>0</v>
      </c>
    </row>
    <row r="13" spans="2:15" ht="5.0999999999999996" customHeight="1" x14ac:dyDescent="0.3">
      <c r="B13" s="2"/>
      <c r="H13" s="3"/>
      <c r="I13" s="3"/>
      <c r="J13" s="3"/>
      <c r="K13" s="4"/>
      <c r="L13" s="4"/>
      <c r="M13" s="4"/>
    </row>
    <row r="14" spans="2:15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5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SUMIFS(Tab_02.Fev[SALDO
ATUAL],Tab_02.Fev[CONTA],$I15)</f>
        <v>83183649.450000003</v>
      </c>
      <c r="G15" s="4">
        <f t="shared" ref="G15:G78" si="2">$F15-$K15</f>
        <v>0</v>
      </c>
      <c r="H15" s="89">
        <v>10000</v>
      </c>
      <c r="I15" s="3">
        <v>1</v>
      </c>
      <c r="J15" s="3" t="s">
        <v>637</v>
      </c>
      <c r="K15" s="4">
        <v>83183649.450000003</v>
      </c>
      <c r="L15" s="4">
        <v>2029405.94</v>
      </c>
      <c r="M15" s="4">
        <v>1946286.7</v>
      </c>
      <c r="N15" s="4">
        <v>83266768.689999998</v>
      </c>
      <c r="O15" s="4">
        <f>Tab_03.Mar[[#This Row],[DÉBITO]]-Tab_03.Mar[[#This Row],[CRÉDITO]]</f>
        <v>83119.240000000005</v>
      </c>
    </row>
    <row r="16" spans="2:15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SUMIFS(Tab_02.Fev[SALDO
ATUAL],Tab_02.Fev[CONTA],$I16)</f>
        <v>10426264.02</v>
      </c>
      <c r="G16" s="4">
        <f t="shared" si="2"/>
        <v>0</v>
      </c>
      <c r="H16" s="89">
        <v>10015</v>
      </c>
      <c r="I16" s="3" t="s">
        <v>197</v>
      </c>
      <c r="J16" s="3" t="s">
        <v>247</v>
      </c>
      <c r="K16" s="4">
        <v>10426264.02</v>
      </c>
      <c r="L16" s="4">
        <v>1792002.93</v>
      </c>
      <c r="M16" s="4">
        <v>1942619.65</v>
      </c>
      <c r="N16" s="4">
        <v>10275647.300000001</v>
      </c>
      <c r="O16" s="4">
        <f>Tab_03.Mar[[#This Row],[DÉBITO]]-Tab_03.Mar[[#This Row],[CRÉDITO]]</f>
        <v>-150616.72</v>
      </c>
    </row>
    <row r="17" spans="2:15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SUMIFS(Tab_02.Fev[SALDO
ATUAL],Tab_02.Fev[CONTA],$I17)</f>
        <v>10087617.880000001</v>
      </c>
      <c r="G17" s="4">
        <f t="shared" si="2"/>
        <v>0</v>
      </c>
      <c r="H17" s="89">
        <v>10030</v>
      </c>
      <c r="I17" s="3" t="s">
        <v>199</v>
      </c>
      <c r="J17" s="3" t="s">
        <v>638</v>
      </c>
      <c r="K17" s="4">
        <v>10087617.880000001</v>
      </c>
      <c r="L17" s="4">
        <v>1776814.84</v>
      </c>
      <c r="M17" s="4">
        <v>1926915.82</v>
      </c>
      <c r="N17" s="4">
        <v>9937516.9000000004</v>
      </c>
      <c r="O17" s="4">
        <f>Tab_03.Mar[[#This Row],[DÉBITO]]-Tab_03.Mar[[#This Row],[CRÉDITO]]</f>
        <v>-150100.98000000001</v>
      </c>
    </row>
    <row r="18" spans="2:15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SUMIFS(Tab_02.Fev[SALDO
ATUAL],Tab_02.Fev[CONTA],$I18)</f>
        <v>3805.89</v>
      </c>
      <c r="G18" s="4">
        <f t="shared" si="2"/>
        <v>0</v>
      </c>
      <c r="H18" s="137">
        <v>10045</v>
      </c>
      <c r="I18" s="3" t="s">
        <v>201</v>
      </c>
      <c r="J18" s="3" t="s">
        <v>639</v>
      </c>
      <c r="K18" s="4">
        <v>3805.89</v>
      </c>
      <c r="L18" s="4">
        <v>0</v>
      </c>
      <c r="M18" s="4">
        <v>394.22</v>
      </c>
      <c r="N18" s="4">
        <v>3411.67</v>
      </c>
      <c r="O18" s="4">
        <f>Tab_03.Mar[[#This Row],[DÉBITO]]-Tab_03.Mar[[#This Row],[CRÉDITO]]</f>
        <v>-394.22</v>
      </c>
    </row>
    <row r="19" spans="2:15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SUMIFS(Tab_02.Fev[SALDO
ATUAL],Tab_02.Fev[CONTA],$I19)</f>
        <v>3805.89</v>
      </c>
      <c r="G19" s="4">
        <f t="shared" si="2"/>
        <v>0</v>
      </c>
      <c r="H19" s="137">
        <v>10075</v>
      </c>
      <c r="I19" s="3" t="s">
        <v>176</v>
      </c>
      <c r="J19" s="3" t="s">
        <v>274</v>
      </c>
      <c r="K19" s="4">
        <v>3805.89</v>
      </c>
      <c r="L19" s="4">
        <v>0</v>
      </c>
      <c r="M19" s="4">
        <v>394.22</v>
      </c>
      <c r="N19" s="4">
        <v>3411.67</v>
      </c>
      <c r="O19" s="4">
        <f>Tab_03.Mar[[#This Row],[DÉBITO]]-Tab_03.Mar[[#This Row],[CRÉDITO]]</f>
        <v>-394.22</v>
      </c>
    </row>
    <row r="20" spans="2:15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SUMIFS(Tab_02.Fev[SALDO
ATUAL],Tab_02.Fev[CONTA],$I20)</f>
        <v>32191.98</v>
      </c>
      <c r="G20" s="4">
        <f t="shared" si="2"/>
        <v>0</v>
      </c>
      <c r="H20" s="137">
        <v>10090</v>
      </c>
      <c r="I20" s="3" t="s">
        <v>202</v>
      </c>
      <c r="J20" s="3" t="s">
        <v>640</v>
      </c>
      <c r="K20" s="4">
        <v>32191.98</v>
      </c>
      <c r="L20" s="4">
        <v>1238529.77</v>
      </c>
      <c r="M20" s="4">
        <v>1241092.3500000001</v>
      </c>
      <c r="N20" s="4">
        <v>29629.4</v>
      </c>
      <c r="O20" s="4">
        <f>Tab_03.Mar[[#This Row],[DÉBITO]]-Tab_03.Mar[[#This Row],[CRÉDITO]]</f>
        <v>-2562.58</v>
      </c>
    </row>
    <row r="21" spans="2:15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SUMIFS(Tab_02.Fev[SALDO
ATUAL],Tab_02.Fev[CONTA],$I21)</f>
        <v>1</v>
      </c>
      <c r="G21" s="4">
        <f t="shared" si="2"/>
        <v>0</v>
      </c>
      <c r="H21" s="137">
        <v>10110</v>
      </c>
      <c r="I21" s="3" t="s">
        <v>277</v>
      </c>
      <c r="J21" s="3" t="s">
        <v>278</v>
      </c>
      <c r="K21" s="4">
        <v>1</v>
      </c>
      <c r="L21" s="4">
        <v>1228201.1100000001</v>
      </c>
      <c r="M21" s="4">
        <v>1228201.1200000001</v>
      </c>
      <c r="N21" s="4">
        <v>0.99</v>
      </c>
      <c r="O21" s="4">
        <f>Tab_03.Mar[[#This Row],[DÉBITO]]-Tab_03.Mar[[#This Row],[CRÉDITO]]</f>
        <v>-0.01</v>
      </c>
    </row>
    <row r="22" spans="2:15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SUMIFS(Tab_02.Fev[SALDO
ATUAL],Tab_02.Fev[CONTA],$I22)</f>
        <v>22873.22</v>
      </c>
      <c r="G22" s="4">
        <f t="shared" si="2"/>
        <v>0</v>
      </c>
      <c r="H22" s="137">
        <v>10131</v>
      </c>
      <c r="I22" s="3" t="s">
        <v>177</v>
      </c>
      <c r="J22" s="3" t="s">
        <v>279</v>
      </c>
      <c r="K22" s="4">
        <v>22873.22</v>
      </c>
      <c r="L22" s="4">
        <v>10328.66</v>
      </c>
      <c r="M22" s="4">
        <v>12483.33</v>
      </c>
      <c r="N22" s="4">
        <v>20718.55</v>
      </c>
      <c r="O22" s="4">
        <f>Tab_03.Mar[[#This Row],[DÉBITO]]-Tab_03.Mar[[#This Row],[CRÉDITO]]</f>
        <v>-2154.67</v>
      </c>
    </row>
    <row r="23" spans="2:15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SUMIFS(Tab_02.Fev[SALDO
ATUAL],Tab_02.Fev[CONTA],$I23)</f>
        <v>4246.91</v>
      </c>
      <c r="G23" s="4">
        <f t="shared" si="2"/>
        <v>0</v>
      </c>
      <c r="H23" s="137">
        <v>10132</v>
      </c>
      <c r="I23" s="3" t="s">
        <v>280</v>
      </c>
      <c r="J23" s="3" t="s">
        <v>281</v>
      </c>
      <c r="K23" s="4">
        <v>4246.91</v>
      </c>
      <c r="L23" s="4">
        <v>0</v>
      </c>
      <c r="M23" s="4">
        <v>0</v>
      </c>
      <c r="N23" s="4">
        <v>4246.91</v>
      </c>
      <c r="O23" s="4">
        <f>Tab_03.Mar[[#This Row],[DÉBITO]]-Tab_03.Mar[[#This Row],[CRÉDITO]]</f>
        <v>0</v>
      </c>
    </row>
    <row r="24" spans="2:15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A</v>
      </c>
      <c r="E24" s="2">
        <f>IF($I24="","",COUNTIFS(Tab_00.Trial[CONTA],$I24))</f>
        <v>1</v>
      </c>
      <c r="F24" s="4">
        <f>SUMIFS(Tab_02.Fev[SALDO
ATUAL],Tab_02.Fev[CONTA],$I24)</f>
        <v>5070.8500000000004</v>
      </c>
      <c r="G24" s="4">
        <f t="shared" si="2"/>
        <v>0</v>
      </c>
      <c r="H24" s="137">
        <v>10133</v>
      </c>
      <c r="I24" s="3" t="s">
        <v>282</v>
      </c>
      <c r="J24" s="3" t="s">
        <v>283</v>
      </c>
      <c r="K24" s="4">
        <v>5070.8500000000004</v>
      </c>
      <c r="L24" s="4">
        <v>0</v>
      </c>
      <c r="M24" s="4">
        <v>407.9</v>
      </c>
      <c r="N24" s="4">
        <v>4662.95</v>
      </c>
      <c r="O24" s="4">
        <f>Tab_03.Mar[[#This Row],[DÉBITO]]-Tab_03.Mar[[#This Row],[CRÉDITO]]</f>
        <v>-407.9</v>
      </c>
    </row>
    <row r="25" spans="2:15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S</v>
      </c>
      <c r="E25" s="2">
        <f>IF($I25="","",COUNTIFS(Tab_00.Trial[CONTA],$I25))</f>
        <v>1</v>
      </c>
      <c r="F25" s="4">
        <f>SUMIFS(Tab_02.Fev[SALDO
ATUAL],Tab_02.Fev[CONTA],$I25)</f>
        <v>10051620.01</v>
      </c>
      <c r="G25" s="4">
        <f t="shared" si="2"/>
        <v>0</v>
      </c>
      <c r="H25" s="137">
        <v>10180</v>
      </c>
      <c r="I25" s="3" t="s">
        <v>203</v>
      </c>
      <c r="J25" s="3" t="s">
        <v>641</v>
      </c>
      <c r="K25" s="4">
        <v>10051620.01</v>
      </c>
      <c r="L25" s="4">
        <v>538285.06999999995</v>
      </c>
      <c r="M25" s="4">
        <v>685429.25</v>
      </c>
      <c r="N25" s="4">
        <v>9904475.8300000001</v>
      </c>
      <c r="O25" s="4">
        <f>Tab_03.Mar[[#This Row],[DÉBITO]]-Tab_03.Mar[[#This Row],[CRÉDITO]]</f>
        <v>-147144.18</v>
      </c>
    </row>
    <row r="26" spans="2:15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SUMIFS(Tab_02.Fev[SALDO
ATUAL],Tab_02.Fev[CONTA],$I26)</f>
        <v>4573765.12</v>
      </c>
      <c r="G26" s="4">
        <f t="shared" si="2"/>
        <v>0</v>
      </c>
      <c r="H26" s="137">
        <v>10200</v>
      </c>
      <c r="I26" s="3" t="s">
        <v>178</v>
      </c>
      <c r="J26" s="3" t="s">
        <v>284</v>
      </c>
      <c r="K26" s="4">
        <v>4573765.12</v>
      </c>
      <c r="L26" s="4">
        <v>493099.01</v>
      </c>
      <c r="M26" s="4">
        <v>685429.25</v>
      </c>
      <c r="N26" s="4">
        <v>4381434.88</v>
      </c>
      <c r="O26" s="4">
        <f>Tab_03.Mar[[#This Row],[DÉBITO]]-Tab_03.Mar[[#This Row],[CRÉDITO]]</f>
        <v>-192330.23999999999</v>
      </c>
    </row>
    <row r="27" spans="2:15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A</v>
      </c>
      <c r="E27" s="2">
        <f>IF($I27="","",COUNTIFS(Tab_00.Trial[CONTA],$I27))</f>
        <v>1</v>
      </c>
      <c r="F27" s="4">
        <f>SUMIFS(Tab_02.Fev[SALDO
ATUAL],Tab_02.Fev[CONTA],$I27)</f>
        <v>5477854.8899999997</v>
      </c>
      <c r="G27" s="4">
        <f t="shared" si="2"/>
        <v>0</v>
      </c>
      <c r="H27" s="137">
        <v>10223</v>
      </c>
      <c r="I27" s="3" t="s">
        <v>287</v>
      </c>
      <c r="J27" s="3" t="s">
        <v>288</v>
      </c>
      <c r="K27" s="4">
        <v>5477854.8899999997</v>
      </c>
      <c r="L27" s="4">
        <v>45186.06</v>
      </c>
      <c r="M27" s="4">
        <v>0</v>
      </c>
      <c r="N27" s="4">
        <v>5523040.9500000002</v>
      </c>
      <c r="O27" s="4">
        <f>Tab_03.Mar[[#This Row],[DÉBITO]]-Tab_03.Mar[[#This Row],[CRÉDITO]]</f>
        <v>45186.06</v>
      </c>
    </row>
    <row r="28" spans="2:15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SUMIFS(Tab_02.Fev[SALDO
ATUAL],Tab_02.Fev[CONTA],$I28)</f>
        <v>99274.97</v>
      </c>
      <c r="G28" s="4">
        <f t="shared" si="2"/>
        <v>0</v>
      </c>
      <c r="H28" s="137">
        <v>10270</v>
      </c>
      <c r="I28" s="3" t="s">
        <v>204</v>
      </c>
      <c r="J28" s="3" t="s">
        <v>642</v>
      </c>
      <c r="K28" s="4">
        <v>99274.97</v>
      </c>
      <c r="L28" s="4">
        <v>0</v>
      </c>
      <c r="M28" s="4">
        <v>0</v>
      </c>
      <c r="N28" s="4">
        <v>99274.97</v>
      </c>
      <c r="O28" s="4">
        <f>Tab_03.Mar[[#This Row],[DÉBITO]]-Tab_03.Mar[[#This Row],[CRÉDITO]]</f>
        <v>0</v>
      </c>
    </row>
    <row r="29" spans="2:15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S</v>
      </c>
      <c r="E29" s="2">
        <f>IF($I29="","",COUNTIFS(Tab_00.Trial[CONTA],$I29))</f>
        <v>1</v>
      </c>
      <c r="F29" s="4">
        <f>SUMIFS(Tab_02.Fev[SALDO
ATUAL],Tab_02.Fev[CONTA],$I29)</f>
        <v>99274.97</v>
      </c>
      <c r="G29" s="4">
        <f t="shared" si="2"/>
        <v>0</v>
      </c>
      <c r="H29" s="137">
        <v>10345</v>
      </c>
      <c r="I29" s="3" t="s">
        <v>205</v>
      </c>
      <c r="J29" s="3" t="s">
        <v>643</v>
      </c>
      <c r="K29" s="4">
        <v>99274.97</v>
      </c>
      <c r="L29" s="4">
        <v>0</v>
      </c>
      <c r="M29" s="4">
        <v>0</v>
      </c>
      <c r="N29" s="4">
        <v>99274.97</v>
      </c>
      <c r="O29" s="4">
        <f>Tab_03.Mar[[#This Row],[DÉBITO]]-Tab_03.Mar[[#This Row],[CRÉDITO]]</f>
        <v>0</v>
      </c>
    </row>
    <row r="30" spans="2:15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A</v>
      </c>
      <c r="E30" s="2">
        <f>IF($I30="","",COUNTIFS(Tab_00.Trial[CONTA],$I30))</f>
        <v>1</v>
      </c>
      <c r="F30" s="4">
        <f>SUMIFS(Tab_02.Fev[SALDO
ATUAL],Tab_02.Fev[CONTA],$I30)</f>
        <v>99274.97</v>
      </c>
      <c r="G30" s="4">
        <f t="shared" si="2"/>
        <v>0</v>
      </c>
      <c r="H30" s="137">
        <v>10377</v>
      </c>
      <c r="I30" s="3" t="s">
        <v>291</v>
      </c>
      <c r="J30" s="3" t="s">
        <v>292</v>
      </c>
      <c r="K30" s="4">
        <v>99274.97</v>
      </c>
      <c r="L30" s="4">
        <v>0</v>
      </c>
      <c r="M30" s="4">
        <v>0</v>
      </c>
      <c r="N30" s="4">
        <v>99274.97</v>
      </c>
      <c r="O30" s="4">
        <f>Tab_03.Mar[[#This Row],[DÉBITO]]-Tab_03.Mar[[#This Row],[CRÉDITO]]</f>
        <v>0</v>
      </c>
    </row>
    <row r="31" spans="2:15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S</v>
      </c>
      <c r="E31" s="2">
        <f>IF($I31="","",COUNTIFS(Tab_00.Trial[CONTA],$I31))</f>
        <v>1</v>
      </c>
      <c r="F31" s="4">
        <f>SUMIFS(Tab_02.Fev[SALDO
ATUAL],Tab_02.Fev[CONTA],$I31)</f>
        <v>4932.34</v>
      </c>
      <c r="G31" s="4">
        <f t="shared" si="2"/>
        <v>0</v>
      </c>
      <c r="H31" s="137">
        <v>10630</v>
      </c>
      <c r="I31" s="3" t="s">
        <v>206</v>
      </c>
      <c r="J31" s="3" t="s">
        <v>644</v>
      </c>
      <c r="K31" s="4">
        <v>4932.34</v>
      </c>
      <c r="L31" s="4">
        <v>2531.36</v>
      </c>
      <c r="M31" s="4">
        <v>2759.36</v>
      </c>
      <c r="N31" s="4">
        <v>4704.34</v>
      </c>
      <c r="O31" s="4">
        <f>Tab_03.Mar[[#This Row],[DÉBITO]]-Tab_03.Mar[[#This Row],[CRÉDITO]]</f>
        <v>-228</v>
      </c>
    </row>
    <row r="32" spans="2:15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S</v>
      </c>
      <c r="E32" s="2">
        <f>IF($I32="","",COUNTIFS(Tab_00.Trial[CONTA],$I32))</f>
        <v>1</v>
      </c>
      <c r="F32" s="4">
        <f>SUMIFS(Tab_02.Fev[SALDO
ATUAL],Tab_02.Fev[CONTA],$I32)</f>
        <v>450.6</v>
      </c>
      <c r="G32" s="4">
        <f t="shared" si="2"/>
        <v>0</v>
      </c>
      <c r="H32" s="137">
        <v>10645</v>
      </c>
      <c r="I32" s="3" t="s">
        <v>208</v>
      </c>
      <c r="J32" s="3" t="s">
        <v>139</v>
      </c>
      <c r="K32" s="4">
        <v>450.6</v>
      </c>
      <c r="L32" s="4">
        <v>2531.36</v>
      </c>
      <c r="M32" s="4">
        <v>2759.36</v>
      </c>
      <c r="N32" s="4">
        <v>222.6</v>
      </c>
      <c r="O32" s="4">
        <f>Tab_03.Mar[[#This Row],[DÉBITO]]-Tab_03.Mar[[#This Row],[CRÉDITO]]</f>
        <v>-228</v>
      </c>
    </row>
    <row r="33" spans="2:15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A</v>
      </c>
      <c r="E33" s="2">
        <f>IF($I33="","",COUNTIFS(Tab_00.Trial[CONTA],$I33))</f>
        <v>1</v>
      </c>
      <c r="F33" s="4">
        <f>SUMIFS(Tab_02.Fev[SALDO
ATUAL],Tab_02.Fev[CONTA],$I33)</f>
        <v>44.58</v>
      </c>
      <c r="G33" s="4">
        <f t="shared" si="2"/>
        <v>0</v>
      </c>
      <c r="H33" s="137">
        <v>10660</v>
      </c>
      <c r="I33" s="3" t="s">
        <v>179</v>
      </c>
      <c r="J33" s="3" t="s">
        <v>293</v>
      </c>
      <c r="K33" s="4">
        <v>44.58</v>
      </c>
      <c r="L33" s="4">
        <v>0</v>
      </c>
      <c r="M33" s="4">
        <v>0</v>
      </c>
      <c r="N33" s="4">
        <v>44.58</v>
      </c>
      <c r="O33" s="4">
        <f>Tab_03.Mar[[#This Row],[DÉBITO]]-Tab_03.Mar[[#This Row],[CRÉDITO]]</f>
        <v>0</v>
      </c>
    </row>
    <row r="34" spans="2:15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A</v>
      </c>
      <c r="E34" s="2">
        <f>IF($I34="","",COUNTIFS(Tab_00.Trial[CONTA],$I34))</f>
        <v>1</v>
      </c>
      <c r="F34" s="4">
        <f>SUMIFS(Tab_02.Fev[SALDO
ATUAL],Tab_02.Fev[CONTA],$I34)</f>
        <v>406.02</v>
      </c>
      <c r="G34" s="4">
        <f t="shared" si="2"/>
        <v>0</v>
      </c>
      <c r="H34" s="137">
        <v>10735</v>
      </c>
      <c r="I34" s="3" t="s">
        <v>294</v>
      </c>
      <c r="J34" s="3" t="s">
        <v>295</v>
      </c>
      <c r="K34" s="4">
        <v>406.02</v>
      </c>
      <c r="L34" s="4">
        <v>2531.36</v>
      </c>
      <c r="M34" s="4">
        <v>2759.36</v>
      </c>
      <c r="N34" s="4">
        <v>178.02</v>
      </c>
      <c r="O34" s="4">
        <f>Tab_03.Mar[[#This Row],[DÉBITO]]-Tab_03.Mar[[#This Row],[CRÉDITO]]</f>
        <v>-228</v>
      </c>
    </row>
    <row r="35" spans="2:15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S</v>
      </c>
      <c r="E35" s="2">
        <f>IF($I35="","",COUNTIFS(Tab_00.Trial[CONTA],$I35))</f>
        <v>1</v>
      </c>
      <c r="F35" s="4">
        <f>SUMIFS(Tab_02.Fev[SALDO
ATUAL],Tab_02.Fev[CONTA],$I35)</f>
        <v>4481.74</v>
      </c>
      <c r="G35" s="4">
        <f t="shared" si="2"/>
        <v>0</v>
      </c>
      <c r="H35" s="137">
        <v>10765</v>
      </c>
      <c r="I35" s="3" t="s">
        <v>551</v>
      </c>
      <c r="J35" s="3" t="s">
        <v>645</v>
      </c>
      <c r="K35" s="4">
        <v>4481.74</v>
      </c>
      <c r="L35" s="4">
        <v>0</v>
      </c>
      <c r="M35" s="4">
        <v>0</v>
      </c>
      <c r="N35" s="4">
        <v>4481.74</v>
      </c>
      <c r="O35" s="4">
        <f>Tab_03.Mar[[#This Row],[DÉBITO]]-Tab_03.Mar[[#This Row],[CRÉDITO]]</f>
        <v>0</v>
      </c>
    </row>
    <row r="36" spans="2:15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A</v>
      </c>
      <c r="E36" s="2">
        <f>IF($I36="","",COUNTIFS(Tab_00.Trial[CONTA],$I36))</f>
        <v>1</v>
      </c>
      <c r="F36" s="4">
        <f>SUMIFS(Tab_02.Fev[SALDO
ATUAL],Tab_02.Fev[CONTA],$I36)</f>
        <v>4481.74</v>
      </c>
      <c r="G36" s="4">
        <f t="shared" si="2"/>
        <v>0</v>
      </c>
      <c r="H36" s="137">
        <v>10867</v>
      </c>
      <c r="I36" s="3" t="s">
        <v>831</v>
      </c>
      <c r="J36" s="3" t="s">
        <v>832</v>
      </c>
      <c r="K36" s="4">
        <v>4481.74</v>
      </c>
      <c r="L36" s="4">
        <v>0</v>
      </c>
      <c r="M36" s="4">
        <v>0</v>
      </c>
      <c r="N36" s="4">
        <v>4481.74</v>
      </c>
      <c r="O36" s="4">
        <f>Tab_03.Mar[[#This Row],[DÉBITO]]-Tab_03.Mar[[#This Row],[CRÉDITO]]</f>
        <v>0</v>
      </c>
    </row>
    <row r="37" spans="2:15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S</v>
      </c>
      <c r="E37" s="2">
        <f>IF($I37="","",COUNTIFS(Tab_00.Trial[CONTA],$I37))</f>
        <v>1</v>
      </c>
      <c r="F37" s="4">
        <f>SUMIFS(Tab_02.Fev[SALDO
ATUAL],Tab_02.Fev[CONTA],$I37)</f>
        <v>232437.24</v>
      </c>
      <c r="G37" s="4">
        <f t="shared" si="2"/>
        <v>0</v>
      </c>
      <c r="H37" s="137">
        <v>10840</v>
      </c>
      <c r="I37" s="3" t="s">
        <v>840</v>
      </c>
      <c r="J37" s="3" t="s">
        <v>841</v>
      </c>
      <c r="K37" s="4">
        <v>232437.24</v>
      </c>
      <c r="L37" s="4">
        <v>12656.73</v>
      </c>
      <c r="M37" s="4">
        <v>12656.73</v>
      </c>
      <c r="N37" s="4">
        <v>232437.24</v>
      </c>
      <c r="O37" s="4">
        <f>Tab_03.Mar[[#This Row],[DÉBITO]]-Tab_03.Mar[[#This Row],[CRÉDITO]]</f>
        <v>0</v>
      </c>
    </row>
    <row r="38" spans="2:15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S</v>
      </c>
      <c r="E38" s="2">
        <f>IF($I38="","",COUNTIFS(Tab_00.Trial[CONTA],$I38))</f>
        <v>1</v>
      </c>
      <c r="F38" s="4">
        <f>SUMIFS(Tab_02.Fev[SALDO
ATUAL],Tab_02.Fev[CONTA],$I38)</f>
        <v>232437.24</v>
      </c>
      <c r="G38" s="4">
        <f t="shared" si="2"/>
        <v>0</v>
      </c>
      <c r="H38" s="137">
        <v>10965</v>
      </c>
      <c r="I38" s="3" t="s">
        <v>842</v>
      </c>
      <c r="J38" s="3" t="s">
        <v>843</v>
      </c>
      <c r="K38" s="4">
        <v>232437.24</v>
      </c>
      <c r="L38" s="4">
        <v>0</v>
      </c>
      <c r="M38" s="4">
        <v>0</v>
      </c>
      <c r="N38" s="4">
        <v>232437.24</v>
      </c>
      <c r="O38" s="4">
        <f>Tab_03.Mar[[#This Row],[DÉBITO]]-Tab_03.Mar[[#This Row],[CRÉDITO]]</f>
        <v>0</v>
      </c>
    </row>
    <row r="39" spans="2:15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A</v>
      </c>
      <c r="E39" s="2">
        <f>IF($I39="","",COUNTIFS(Tab_00.Trial[CONTA],$I39))</f>
        <v>1</v>
      </c>
      <c r="F39" s="4">
        <f>SUMIFS(Tab_02.Fev[SALDO
ATUAL],Tab_02.Fev[CONTA],$I39)</f>
        <v>232437.24</v>
      </c>
      <c r="G39" s="4">
        <f t="shared" si="2"/>
        <v>0</v>
      </c>
      <c r="H39" s="137">
        <v>10874</v>
      </c>
      <c r="I39" s="3" t="s">
        <v>844</v>
      </c>
      <c r="J39" s="3" t="s">
        <v>843</v>
      </c>
      <c r="K39" s="4">
        <v>232437.24</v>
      </c>
      <c r="L39" s="4">
        <v>0</v>
      </c>
      <c r="M39" s="4">
        <v>0</v>
      </c>
      <c r="N39" s="4">
        <v>232437.24</v>
      </c>
      <c r="O39" s="4">
        <f>Tab_03.Mar[[#This Row],[DÉBITO]]-Tab_03.Mar[[#This Row],[CRÉDITO]]</f>
        <v>0</v>
      </c>
    </row>
    <row r="40" spans="2:15" x14ac:dyDescent="0.3">
      <c r="B40" s="2" t="str">
        <f>_xlfn.XLOOKUP($I40,Tab_00.Trial[CONTA],Tab_00.Trial[TP],"",0,1)</f>
        <v>A</v>
      </c>
      <c r="C40" s="2">
        <f>_xlfn.XLOOKUP($I40,Tab_00.Trial[CONTA],Tab_00.Trial[NV],"",0,1)</f>
        <v>5</v>
      </c>
      <c r="D40" s="2" t="str">
        <f>_xlfn.XLOOKUP($I40,Tab_00.Trial[CONTA],Tab_00.Trial[S/A],"",0,1)</f>
        <v>S</v>
      </c>
      <c r="E40" s="2">
        <f>IF($I40="","",COUNTIFS(Tab_00.Trial[CONTA],$I40))</f>
        <v>1</v>
      </c>
      <c r="F40" s="4">
        <f>SUMIFS(Tab_02.Fev[SALDO
ATUAL],Tab_02.Fev[CONTA],$I40)</f>
        <v>0</v>
      </c>
      <c r="G40" s="4">
        <f t="shared" si="2"/>
        <v>0</v>
      </c>
      <c r="H40" s="137">
        <v>10881</v>
      </c>
      <c r="I40" s="3" t="s">
        <v>864</v>
      </c>
      <c r="J40" s="3" t="s">
        <v>865</v>
      </c>
      <c r="K40" s="4">
        <v>0</v>
      </c>
      <c r="L40" s="4">
        <v>12656.73</v>
      </c>
      <c r="M40" s="4">
        <v>12656.73</v>
      </c>
      <c r="N40" s="4">
        <v>0</v>
      </c>
      <c r="O40" s="4">
        <f>Tab_03.Mar[[#This Row],[DÉBITO]]-Tab_03.Mar[[#This Row],[CRÉDITO]]</f>
        <v>0</v>
      </c>
    </row>
    <row r="41" spans="2:15" x14ac:dyDescent="0.3">
      <c r="B41" s="2" t="str">
        <f>_xlfn.XLOOKUP($I41,Tab_00.Trial[CONTA],Tab_00.Trial[TP],"",0,1)</f>
        <v>A</v>
      </c>
      <c r="C41" s="2">
        <f>_xlfn.XLOOKUP($I41,Tab_00.Trial[CONTA],Tab_00.Trial[NV],"",0,1)</f>
        <v>5</v>
      </c>
      <c r="D41" s="2" t="str">
        <f>_xlfn.XLOOKUP($I41,Tab_00.Trial[CONTA],Tab_00.Trial[S/A],"",0,1)</f>
        <v>A</v>
      </c>
      <c r="E41" s="2">
        <f>IF($I41="","",COUNTIFS(Tab_00.Trial[CONTA],$I41))</f>
        <v>1</v>
      </c>
      <c r="F41" s="4">
        <f>SUMIFS(Tab_02.Fev[SALDO
ATUAL],Tab_02.Fev[CONTA],$I41)</f>
        <v>0</v>
      </c>
      <c r="G41" s="4">
        <f t="shared" si="2"/>
        <v>0</v>
      </c>
      <c r="H41" s="137">
        <v>10888</v>
      </c>
      <c r="I41" s="3" t="s">
        <v>867</v>
      </c>
      <c r="J41" s="3" t="s">
        <v>868</v>
      </c>
      <c r="K41" s="4">
        <v>0</v>
      </c>
      <c r="L41" s="4">
        <v>12656.73</v>
      </c>
      <c r="M41" s="4">
        <v>12656.73</v>
      </c>
      <c r="N41" s="4">
        <v>0</v>
      </c>
      <c r="O41" s="4">
        <f>Tab_03.Mar[[#This Row],[DÉBITO]]-Tab_03.Mar[[#This Row],[CRÉDITO]]</f>
        <v>0</v>
      </c>
    </row>
    <row r="42" spans="2:15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S</v>
      </c>
      <c r="E42" s="2">
        <f>IF($I42="","",COUNTIFS(Tab_00.Trial[CONTA],$I42))</f>
        <v>1</v>
      </c>
      <c r="F42" s="4">
        <f>SUMIFS(Tab_02.Fev[SALDO
ATUAL],Tab_02.Fev[CONTA],$I42)</f>
        <v>2001.59</v>
      </c>
      <c r="G42" s="4">
        <f t="shared" si="2"/>
        <v>0</v>
      </c>
      <c r="H42" s="137">
        <v>10975</v>
      </c>
      <c r="I42" s="3" t="s">
        <v>209</v>
      </c>
      <c r="J42" s="3" t="s">
        <v>646</v>
      </c>
      <c r="K42" s="4">
        <v>2001.59</v>
      </c>
      <c r="L42" s="4">
        <v>0</v>
      </c>
      <c r="M42" s="4">
        <v>287.74</v>
      </c>
      <c r="N42" s="4">
        <v>1713.85</v>
      </c>
      <c r="O42" s="4">
        <f>Tab_03.Mar[[#This Row],[DÉBITO]]-Tab_03.Mar[[#This Row],[CRÉDITO]]</f>
        <v>-287.74</v>
      </c>
    </row>
    <row r="43" spans="2:15" x14ac:dyDescent="0.3">
      <c r="B43" s="2" t="str">
        <f>_xlfn.XLOOKUP($I43,Tab_00.Trial[CONTA],Tab_00.Trial[TP],"",0,1)</f>
        <v>A</v>
      </c>
      <c r="C43" s="2">
        <f>_xlfn.XLOOKUP($I43,Tab_00.Trial[CONTA],Tab_00.Trial[NV],"",0,1)</f>
        <v>5</v>
      </c>
      <c r="D43" s="2" t="str">
        <f>_xlfn.XLOOKUP($I43,Tab_00.Trial[CONTA],Tab_00.Trial[S/A],"",0,1)</f>
        <v>S</v>
      </c>
      <c r="E43" s="2">
        <f>IF($I43="","",COUNTIFS(Tab_00.Trial[CONTA],$I43))</f>
        <v>1</v>
      </c>
      <c r="F43" s="4">
        <f>SUMIFS(Tab_02.Fev[SALDO
ATUAL],Tab_02.Fev[CONTA],$I43)</f>
        <v>2001.59</v>
      </c>
      <c r="G43" s="4">
        <f t="shared" si="2"/>
        <v>0</v>
      </c>
      <c r="H43" s="137">
        <v>10990</v>
      </c>
      <c r="I43" s="3" t="s">
        <v>210</v>
      </c>
      <c r="J43" s="3" t="s">
        <v>646</v>
      </c>
      <c r="K43" s="4">
        <v>2001.59</v>
      </c>
      <c r="L43" s="4">
        <v>0</v>
      </c>
      <c r="M43" s="4">
        <v>287.74</v>
      </c>
      <c r="N43" s="4">
        <v>1713.85</v>
      </c>
      <c r="O43" s="4">
        <f>Tab_03.Mar[[#This Row],[DÉBITO]]-Tab_03.Mar[[#This Row],[CRÉDITO]]</f>
        <v>-287.74</v>
      </c>
    </row>
    <row r="44" spans="2:15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A</v>
      </c>
      <c r="E44" s="2">
        <f>IF($I44="","",COUNTIFS(Tab_00.Trial[CONTA],$I44))</f>
        <v>1</v>
      </c>
      <c r="F44" s="4">
        <f>SUMIFS(Tab_02.Fev[SALDO
ATUAL],Tab_02.Fev[CONTA],$I44)</f>
        <v>2001.59</v>
      </c>
      <c r="G44" s="4">
        <f t="shared" si="2"/>
        <v>0</v>
      </c>
      <c r="H44" s="137">
        <v>11005</v>
      </c>
      <c r="I44" s="3" t="s">
        <v>298</v>
      </c>
      <c r="J44" s="3" t="s">
        <v>299</v>
      </c>
      <c r="K44" s="4">
        <v>2001.59</v>
      </c>
      <c r="L44" s="4">
        <v>0</v>
      </c>
      <c r="M44" s="4">
        <v>287.74</v>
      </c>
      <c r="N44" s="4">
        <v>1713.85</v>
      </c>
      <c r="O44" s="4">
        <f>Tab_03.Mar[[#This Row],[DÉBITO]]-Tab_03.Mar[[#This Row],[CRÉDITO]]</f>
        <v>-287.74</v>
      </c>
    </row>
    <row r="45" spans="2:15" x14ac:dyDescent="0.3">
      <c r="B45" s="2" t="str">
        <f>_xlfn.XLOOKUP($I45,Tab_00.Trial[CONTA],Tab_00.Trial[TP],"",0,1)</f>
        <v>A</v>
      </c>
      <c r="C45" s="2">
        <f>_xlfn.XLOOKUP($I45,Tab_00.Trial[CONTA],Tab_00.Trial[NV],"",0,1)</f>
        <v>2</v>
      </c>
      <c r="D45" s="2" t="str">
        <f>_xlfn.XLOOKUP($I45,Tab_00.Trial[CONTA],Tab_00.Trial[S/A],"",0,1)</f>
        <v>S</v>
      </c>
      <c r="E45" s="2">
        <f>IF($I45="","",COUNTIFS(Tab_00.Trial[CONTA],$I45))</f>
        <v>1</v>
      </c>
      <c r="F45" s="4">
        <f>SUMIFS(Tab_02.Fev[SALDO
ATUAL],Tab_02.Fev[CONTA],$I45)</f>
        <v>72757385.430000007</v>
      </c>
      <c r="G45" s="4">
        <f t="shared" si="2"/>
        <v>0</v>
      </c>
      <c r="H45" s="137">
        <v>11065</v>
      </c>
      <c r="I45" s="3" t="s">
        <v>211</v>
      </c>
      <c r="J45" s="3" t="s">
        <v>76</v>
      </c>
      <c r="K45" s="4">
        <v>72757385.430000007</v>
      </c>
      <c r="L45" s="4">
        <v>237403.01</v>
      </c>
      <c r="M45" s="4">
        <v>3667.05</v>
      </c>
      <c r="N45" s="4">
        <v>72991121.390000001</v>
      </c>
      <c r="O45" s="4">
        <f>Tab_03.Mar[[#This Row],[DÉBITO]]-Tab_03.Mar[[#This Row],[CRÉDITO]]</f>
        <v>233735.96</v>
      </c>
    </row>
    <row r="46" spans="2:15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S</v>
      </c>
      <c r="E46" s="2">
        <f>IF($I46="","",COUNTIFS(Tab_00.Trial[CONTA],$I46))</f>
        <v>1</v>
      </c>
      <c r="F46" s="4">
        <f>SUMIFS(Tab_02.Fev[SALDO
ATUAL],Tab_02.Fev[CONTA],$I46)</f>
        <v>253043.39</v>
      </c>
      <c r="G46" s="4">
        <f t="shared" si="2"/>
        <v>0</v>
      </c>
      <c r="H46" s="137">
        <v>11080</v>
      </c>
      <c r="I46" s="3" t="s">
        <v>552</v>
      </c>
      <c r="J46" s="3" t="s">
        <v>647</v>
      </c>
      <c r="K46" s="4">
        <v>253043.39</v>
      </c>
      <c r="L46" s="4">
        <v>444.51</v>
      </c>
      <c r="M46" s="4">
        <v>0</v>
      </c>
      <c r="N46" s="4">
        <v>253487.9</v>
      </c>
      <c r="O46" s="4">
        <f>Tab_03.Mar[[#This Row],[DÉBITO]]-Tab_03.Mar[[#This Row],[CRÉDITO]]</f>
        <v>444.51</v>
      </c>
    </row>
    <row r="47" spans="2:15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S</v>
      </c>
      <c r="E47" s="2">
        <f>IF($I47="","",COUNTIFS(Tab_00.Trial[CONTA],$I47))</f>
        <v>1</v>
      </c>
      <c r="F47" s="4">
        <f>SUMIFS(Tab_02.Fev[SALDO
ATUAL],Tab_02.Fev[CONTA],$I47)</f>
        <v>253043.39</v>
      </c>
      <c r="G47" s="4">
        <f t="shared" si="2"/>
        <v>0</v>
      </c>
      <c r="H47" s="137">
        <v>11125</v>
      </c>
      <c r="I47" s="3" t="s">
        <v>553</v>
      </c>
      <c r="J47" s="3" t="s">
        <v>301</v>
      </c>
      <c r="K47" s="4">
        <v>253043.39</v>
      </c>
      <c r="L47" s="4">
        <v>444.51</v>
      </c>
      <c r="M47" s="4">
        <v>0</v>
      </c>
      <c r="N47" s="4">
        <v>253487.9</v>
      </c>
      <c r="O47" s="4">
        <f>Tab_03.Mar[[#This Row],[DÉBITO]]-Tab_03.Mar[[#This Row],[CRÉDITO]]</f>
        <v>444.51</v>
      </c>
    </row>
    <row r="48" spans="2:15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A</v>
      </c>
      <c r="E48" s="2">
        <f>IF($I48="","",COUNTIFS(Tab_00.Trial[CONTA],$I48))</f>
        <v>1</v>
      </c>
      <c r="F48" s="4">
        <f>SUMIFS(Tab_02.Fev[SALDO
ATUAL],Tab_02.Fev[CONTA],$I48)</f>
        <v>253043.39</v>
      </c>
      <c r="G48" s="4">
        <f t="shared" si="2"/>
        <v>0</v>
      </c>
      <c r="H48" s="137">
        <v>11140</v>
      </c>
      <c r="I48" s="3" t="s">
        <v>300</v>
      </c>
      <c r="J48" s="3" t="s">
        <v>301</v>
      </c>
      <c r="K48" s="4">
        <v>253043.39</v>
      </c>
      <c r="L48" s="4">
        <v>444.51</v>
      </c>
      <c r="M48" s="4">
        <v>0</v>
      </c>
      <c r="N48" s="4">
        <v>253487.9</v>
      </c>
      <c r="O48" s="4">
        <f>Tab_03.Mar[[#This Row],[DÉBITO]]-Tab_03.Mar[[#This Row],[CRÉDITO]]</f>
        <v>444.51</v>
      </c>
    </row>
    <row r="49" spans="2:15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S</v>
      </c>
      <c r="E49" s="2">
        <f>IF($I49="","",COUNTIFS(Tab_00.Trial[CONTA],$I49))</f>
        <v>1</v>
      </c>
      <c r="F49" s="4">
        <f>SUMIFS(Tab_02.Fev[SALDO
ATUAL],Tab_02.Fev[CONTA],$I49)</f>
        <v>70179274.329999998</v>
      </c>
      <c r="G49" s="4">
        <f t="shared" si="2"/>
        <v>0</v>
      </c>
      <c r="H49" s="137">
        <v>11170</v>
      </c>
      <c r="I49" s="3" t="s">
        <v>554</v>
      </c>
      <c r="J49" s="3" t="s">
        <v>648</v>
      </c>
      <c r="K49" s="4">
        <v>70179274.329999998</v>
      </c>
      <c r="L49" s="4">
        <v>218369.61</v>
      </c>
      <c r="M49" s="4">
        <v>0</v>
      </c>
      <c r="N49" s="4">
        <v>70397643.939999998</v>
      </c>
      <c r="O49" s="4">
        <f>Tab_03.Mar[[#This Row],[DÉBITO]]-Tab_03.Mar[[#This Row],[CRÉDITO]]</f>
        <v>218369.61</v>
      </c>
    </row>
    <row r="50" spans="2:15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S</v>
      </c>
      <c r="E50" s="2">
        <f>IF($I50="","",COUNTIFS(Tab_00.Trial[CONTA],$I50))</f>
        <v>1</v>
      </c>
      <c r="F50" s="4">
        <f>SUMIFS(Tab_02.Fev[SALDO
ATUAL],Tab_02.Fev[CONTA],$I50)</f>
        <v>45344232.229999997</v>
      </c>
      <c r="G50" s="4">
        <f t="shared" si="2"/>
        <v>0</v>
      </c>
      <c r="H50" s="137">
        <v>11185</v>
      </c>
      <c r="I50" s="3" t="s">
        <v>555</v>
      </c>
      <c r="J50" s="3" t="s">
        <v>649</v>
      </c>
      <c r="K50" s="4">
        <v>45344232.229999997</v>
      </c>
      <c r="L50" s="4">
        <v>0</v>
      </c>
      <c r="M50" s="4">
        <v>0</v>
      </c>
      <c r="N50" s="4">
        <v>45344232.229999997</v>
      </c>
      <c r="O50" s="4">
        <f>Tab_03.Mar[[#This Row],[DÉBITO]]-Tab_03.Mar[[#This Row],[CRÉDITO]]</f>
        <v>0</v>
      </c>
    </row>
    <row r="51" spans="2:15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A</v>
      </c>
      <c r="E51" s="2">
        <f>IF($I51="","",COUNTIFS(Tab_00.Trial[CONTA],$I51))</f>
        <v>1</v>
      </c>
      <c r="F51" s="4">
        <f>SUMIFS(Tab_02.Fev[SALDO
ATUAL],Tab_02.Fev[CONTA],$I51)</f>
        <v>42477392.43</v>
      </c>
      <c r="G51" s="4">
        <f t="shared" si="2"/>
        <v>0</v>
      </c>
      <c r="H51" s="137">
        <v>11205</v>
      </c>
      <c r="I51" s="3" t="s">
        <v>302</v>
      </c>
      <c r="J51" s="3" t="s">
        <v>303</v>
      </c>
      <c r="K51" s="4">
        <v>42477392.43</v>
      </c>
      <c r="L51" s="4">
        <v>0</v>
      </c>
      <c r="M51" s="4">
        <v>0</v>
      </c>
      <c r="N51" s="4">
        <v>42477392.43</v>
      </c>
      <c r="O51" s="4">
        <f>Tab_03.Mar[[#This Row],[DÉBITO]]-Tab_03.Mar[[#This Row],[CRÉDITO]]</f>
        <v>0</v>
      </c>
    </row>
    <row r="52" spans="2:15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A</v>
      </c>
      <c r="E52" s="2">
        <f>IF($I52="","",COUNTIFS(Tab_00.Trial[CONTA],$I52))</f>
        <v>1</v>
      </c>
      <c r="F52" s="4">
        <f>SUMIFS(Tab_02.Fev[SALDO
ATUAL],Tab_02.Fev[CONTA],$I52)</f>
        <v>2866839.8</v>
      </c>
      <c r="G52" s="4">
        <f t="shared" si="2"/>
        <v>0</v>
      </c>
      <c r="H52" s="137">
        <v>11210</v>
      </c>
      <c r="I52" s="3" t="s">
        <v>304</v>
      </c>
      <c r="J52" s="3" t="s">
        <v>305</v>
      </c>
      <c r="K52" s="4">
        <v>2866839.8</v>
      </c>
      <c r="L52" s="4">
        <v>0</v>
      </c>
      <c r="M52" s="4">
        <v>0</v>
      </c>
      <c r="N52" s="4">
        <v>2866839.8</v>
      </c>
      <c r="O52" s="4">
        <f>Tab_03.Mar[[#This Row],[DÉBITO]]-Tab_03.Mar[[#This Row],[CRÉDITO]]</f>
        <v>0</v>
      </c>
    </row>
    <row r="53" spans="2:15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S</v>
      </c>
      <c r="E53" s="2">
        <f>IF($I53="","",COUNTIFS(Tab_00.Trial[CONTA],$I53))</f>
        <v>1</v>
      </c>
      <c r="F53" s="4">
        <f>SUMIFS(Tab_02.Fev[SALDO
ATUAL],Tab_02.Fev[CONTA],$I53)</f>
        <v>4760.84</v>
      </c>
      <c r="G53" s="4">
        <f t="shared" si="2"/>
        <v>0</v>
      </c>
      <c r="H53" s="137">
        <v>11215</v>
      </c>
      <c r="I53" s="3" t="s">
        <v>556</v>
      </c>
      <c r="J53" s="3" t="s">
        <v>650</v>
      </c>
      <c r="K53" s="4">
        <v>4760.84</v>
      </c>
      <c r="L53" s="4">
        <v>0</v>
      </c>
      <c r="M53" s="4">
        <v>0</v>
      </c>
      <c r="N53" s="4">
        <v>4760.84</v>
      </c>
      <c r="O53" s="4">
        <f>Tab_03.Mar[[#This Row],[DÉBITO]]-Tab_03.Mar[[#This Row],[CRÉDITO]]</f>
        <v>0</v>
      </c>
    </row>
    <row r="54" spans="2:15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A</v>
      </c>
      <c r="E54" s="2">
        <f>IF($I54="","",COUNTIFS(Tab_00.Trial[CONTA],$I54))</f>
        <v>1</v>
      </c>
      <c r="F54" s="4">
        <f>SUMIFS(Tab_02.Fev[SALDO
ATUAL],Tab_02.Fev[CONTA],$I54)</f>
        <v>4760.84</v>
      </c>
      <c r="G54" s="4">
        <f t="shared" si="2"/>
        <v>0</v>
      </c>
      <c r="H54" s="137">
        <v>11230</v>
      </c>
      <c r="I54" s="3" t="s">
        <v>306</v>
      </c>
      <c r="J54" s="3" t="s">
        <v>307</v>
      </c>
      <c r="K54" s="4">
        <v>4760.84</v>
      </c>
      <c r="L54" s="4">
        <v>0</v>
      </c>
      <c r="M54" s="4">
        <v>0</v>
      </c>
      <c r="N54" s="4">
        <v>4760.84</v>
      </c>
      <c r="O54" s="4">
        <f>Tab_03.Mar[[#This Row],[DÉBITO]]-Tab_03.Mar[[#This Row],[CRÉDITO]]</f>
        <v>0</v>
      </c>
    </row>
    <row r="55" spans="2:15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S</v>
      </c>
      <c r="E55" s="2">
        <f>IF($I55="","",COUNTIFS(Tab_00.Trial[CONTA],$I55))</f>
        <v>1</v>
      </c>
      <c r="F55" s="4">
        <f>SUMIFS(Tab_02.Fev[SALDO
ATUAL],Tab_02.Fev[CONTA],$I55)</f>
        <v>24830281.260000002</v>
      </c>
      <c r="G55" s="4">
        <f t="shared" si="2"/>
        <v>0</v>
      </c>
      <c r="H55" s="137">
        <v>11235</v>
      </c>
      <c r="I55" s="3" t="s">
        <v>557</v>
      </c>
      <c r="J55" s="3" t="s">
        <v>309</v>
      </c>
      <c r="K55" s="4">
        <v>24830281.260000002</v>
      </c>
      <c r="L55" s="4">
        <v>218369.61</v>
      </c>
      <c r="M55" s="4">
        <v>0</v>
      </c>
      <c r="N55" s="4">
        <v>25048650.870000001</v>
      </c>
      <c r="O55" s="4">
        <f>Tab_03.Mar[[#This Row],[DÉBITO]]-Tab_03.Mar[[#This Row],[CRÉDITO]]</f>
        <v>218369.61</v>
      </c>
    </row>
    <row r="56" spans="2:15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A</v>
      </c>
      <c r="E56" s="2">
        <f>IF($I56="","",COUNTIFS(Tab_00.Trial[CONTA],$I56))</f>
        <v>1</v>
      </c>
      <c r="F56" s="4">
        <f>SUMIFS(Tab_02.Fev[SALDO
ATUAL],Tab_02.Fev[CONTA],$I56)</f>
        <v>24830281.260000002</v>
      </c>
      <c r="G56" s="4">
        <f t="shared" si="2"/>
        <v>0</v>
      </c>
      <c r="H56" s="137">
        <v>11240</v>
      </c>
      <c r="I56" s="3" t="s">
        <v>308</v>
      </c>
      <c r="J56" s="3" t="s">
        <v>309</v>
      </c>
      <c r="K56" s="4">
        <v>24830281.260000002</v>
      </c>
      <c r="L56" s="4">
        <v>218369.61</v>
      </c>
      <c r="M56" s="4">
        <v>0</v>
      </c>
      <c r="N56" s="4">
        <v>25048650.870000001</v>
      </c>
      <c r="O56" s="4">
        <f>Tab_03.Mar[[#This Row],[DÉBITO]]-Tab_03.Mar[[#This Row],[CRÉDITO]]</f>
        <v>218369.61</v>
      </c>
    </row>
    <row r="57" spans="2:15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S</v>
      </c>
      <c r="E57" s="2">
        <f>IF($I57="","",COUNTIFS(Tab_00.Trial[CONTA],$I57))</f>
        <v>1</v>
      </c>
      <c r="F57" s="4">
        <f>SUMIFS(Tab_02.Fev[SALDO
ATUAL],Tab_02.Fev[CONTA],$I57)</f>
        <v>2325067.71</v>
      </c>
      <c r="G57" s="4">
        <f t="shared" si="2"/>
        <v>0</v>
      </c>
      <c r="H57" s="137">
        <v>11245</v>
      </c>
      <c r="I57" s="3" t="s">
        <v>213</v>
      </c>
      <c r="J57" s="3" t="s">
        <v>35</v>
      </c>
      <c r="K57" s="4">
        <v>2325067.71</v>
      </c>
      <c r="L57" s="4">
        <v>18588.89</v>
      </c>
      <c r="M57" s="4">
        <v>3667.05</v>
      </c>
      <c r="N57" s="4">
        <v>2339989.5499999998</v>
      </c>
      <c r="O57" s="4">
        <f>Tab_03.Mar[[#This Row],[DÉBITO]]-Tab_03.Mar[[#This Row],[CRÉDITO]]</f>
        <v>14921.84</v>
      </c>
    </row>
    <row r="58" spans="2:15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S</v>
      </c>
      <c r="E58" s="2">
        <f>IF($I58="","",COUNTIFS(Tab_00.Trial[CONTA],$I58))</f>
        <v>1</v>
      </c>
      <c r="F58" s="4">
        <f>SUMIFS(Tab_02.Fev[SALDO
ATUAL],Tab_02.Fev[CONTA],$I58)</f>
        <v>3487455.56</v>
      </c>
      <c r="G58" s="4">
        <f t="shared" si="2"/>
        <v>0</v>
      </c>
      <c r="H58" s="137">
        <v>11260</v>
      </c>
      <c r="I58" s="3" t="s">
        <v>214</v>
      </c>
      <c r="J58" s="3" t="s">
        <v>651</v>
      </c>
      <c r="K58" s="4">
        <v>3487455.56</v>
      </c>
      <c r="L58" s="4">
        <v>18588.89</v>
      </c>
      <c r="M58" s="4">
        <v>0</v>
      </c>
      <c r="N58" s="4">
        <v>3506044.45</v>
      </c>
      <c r="O58" s="4">
        <f>Tab_03.Mar[[#This Row],[DÉBITO]]-Tab_03.Mar[[#This Row],[CRÉDITO]]</f>
        <v>18588.89</v>
      </c>
    </row>
    <row r="59" spans="2:15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A</v>
      </c>
      <c r="E59" s="2">
        <f>IF($I59="","",COUNTIFS(Tab_00.Trial[CONTA],$I59))</f>
        <v>1</v>
      </c>
      <c r="F59" s="4">
        <f>SUMIFS(Tab_02.Fev[SALDO
ATUAL],Tab_02.Fev[CONTA],$I59)</f>
        <v>1379260.84</v>
      </c>
      <c r="G59" s="4">
        <f t="shared" si="2"/>
        <v>0</v>
      </c>
      <c r="H59" s="137">
        <v>11275</v>
      </c>
      <c r="I59" s="3" t="s">
        <v>310</v>
      </c>
      <c r="J59" s="3" t="s">
        <v>311</v>
      </c>
      <c r="K59" s="4">
        <v>1379260.84</v>
      </c>
      <c r="L59" s="4">
        <v>0</v>
      </c>
      <c r="M59" s="4">
        <v>0</v>
      </c>
      <c r="N59" s="4">
        <v>1379260.84</v>
      </c>
      <c r="O59" s="4">
        <f>Tab_03.Mar[[#This Row],[DÉBITO]]-Tab_03.Mar[[#This Row],[CRÉDITO]]</f>
        <v>0</v>
      </c>
    </row>
    <row r="60" spans="2:15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A</v>
      </c>
      <c r="E60" s="2">
        <f>IF($I60="","",COUNTIFS(Tab_00.Trial[CONTA],$I60))</f>
        <v>1</v>
      </c>
      <c r="F60" s="4">
        <f>SUMIFS(Tab_02.Fev[SALDO
ATUAL],Tab_02.Fev[CONTA],$I60)</f>
        <v>1233996.98</v>
      </c>
      <c r="G60" s="4">
        <f t="shared" si="2"/>
        <v>0</v>
      </c>
      <c r="H60" s="137">
        <v>11290</v>
      </c>
      <c r="I60" s="3" t="s">
        <v>312</v>
      </c>
      <c r="J60" s="3" t="s">
        <v>313</v>
      </c>
      <c r="K60" s="4">
        <v>1233996.98</v>
      </c>
      <c r="L60" s="4">
        <v>18588.89</v>
      </c>
      <c r="M60" s="4">
        <v>0</v>
      </c>
      <c r="N60" s="4">
        <v>1252585.8700000001</v>
      </c>
      <c r="O60" s="4">
        <f>Tab_03.Mar[[#This Row],[DÉBITO]]-Tab_03.Mar[[#This Row],[CRÉDITO]]</f>
        <v>18588.89</v>
      </c>
    </row>
    <row r="61" spans="2:15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SUMIFS(Tab_02.Fev[SALDO
ATUAL],Tab_02.Fev[CONTA],$I61)</f>
        <v>23000</v>
      </c>
      <c r="G61" s="4">
        <f t="shared" si="2"/>
        <v>0</v>
      </c>
      <c r="H61" s="137">
        <v>11320</v>
      </c>
      <c r="I61" s="3" t="s">
        <v>181</v>
      </c>
      <c r="J61" s="3" t="s">
        <v>314</v>
      </c>
      <c r="K61" s="4">
        <v>23000</v>
      </c>
      <c r="L61" s="4">
        <v>0</v>
      </c>
      <c r="M61" s="4">
        <v>0</v>
      </c>
      <c r="N61" s="4">
        <v>23000</v>
      </c>
      <c r="O61" s="4">
        <f>Tab_03.Mar[[#This Row],[DÉBITO]]-Tab_03.Mar[[#This Row],[CRÉDITO]]</f>
        <v>0</v>
      </c>
    </row>
    <row r="62" spans="2:15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SUMIFS(Tab_02.Fev[SALDO
ATUAL],Tab_02.Fev[CONTA],$I62)</f>
        <v>12594</v>
      </c>
      <c r="G62" s="4">
        <f t="shared" si="2"/>
        <v>0</v>
      </c>
      <c r="H62" s="137">
        <v>11335</v>
      </c>
      <c r="I62" s="3" t="s">
        <v>182</v>
      </c>
      <c r="J62" s="3" t="s">
        <v>315</v>
      </c>
      <c r="K62" s="4">
        <v>12594</v>
      </c>
      <c r="L62" s="4">
        <v>0</v>
      </c>
      <c r="M62" s="4">
        <v>0</v>
      </c>
      <c r="N62" s="4">
        <v>12594</v>
      </c>
      <c r="O62" s="4">
        <f>Tab_03.Mar[[#This Row],[DÉBITO]]-Tab_03.Mar[[#This Row],[CRÉDITO]]</f>
        <v>0</v>
      </c>
    </row>
    <row r="63" spans="2:15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A</v>
      </c>
      <c r="E63" s="2">
        <f>IF($I63="","",COUNTIFS(Tab_00.Trial[CONTA],$I63))</f>
        <v>1</v>
      </c>
      <c r="F63" s="4">
        <f>SUMIFS(Tab_02.Fev[SALDO
ATUAL],Tab_02.Fev[CONTA],$I63)</f>
        <v>223690.57</v>
      </c>
      <c r="G63" s="4">
        <f t="shared" si="2"/>
        <v>0</v>
      </c>
      <c r="H63" s="137">
        <v>11350</v>
      </c>
      <c r="I63" s="3" t="s">
        <v>183</v>
      </c>
      <c r="J63" s="3" t="s">
        <v>316</v>
      </c>
      <c r="K63" s="4">
        <v>223690.57</v>
      </c>
      <c r="L63" s="4">
        <v>0</v>
      </c>
      <c r="M63" s="4">
        <v>0</v>
      </c>
      <c r="N63" s="4">
        <v>223690.57</v>
      </c>
      <c r="O63" s="4">
        <f>Tab_03.Mar[[#This Row],[DÉBITO]]-Tab_03.Mar[[#This Row],[CRÉDITO]]</f>
        <v>0</v>
      </c>
    </row>
    <row r="64" spans="2:15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A</v>
      </c>
      <c r="E64" s="2">
        <f>IF($I64="","",COUNTIFS(Tab_00.Trial[CONTA],$I64))</f>
        <v>1</v>
      </c>
      <c r="F64" s="4">
        <f>SUMIFS(Tab_02.Fev[SALDO
ATUAL],Tab_02.Fev[CONTA],$I64)</f>
        <v>7349.9</v>
      </c>
      <c r="G64" s="4">
        <f t="shared" si="2"/>
        <v>0</v>
      </c>
      <c r="H64" s="137">
        <v>11365</v>
      </c>
      <c r="I64" s="3" t="s">
        <v>317</v>
      </c>
      <c r="J64" s="3" t="s">
        <v>318</v>
      </c>
      <c r="K64" s="4">
        <v>7349.9</v>
      </c>
      <c r="L64" s="4">
        <v>0</v>
      </c>
      <c r="M64" s="4">
        <v>0</v>
      </c>
      <c r="N64" s="4">
        <v>7349.9</v>
      </c>
      <c r="O64" s="4">
        <f>Tab_03.Mar[[#This Row],[DÉBITO]]-Tab_03.Mar[[#This Row],[CRÉDITO]]</f>
        <v>0</v>
      </c>
    </row>
    <row r="65" spans="2:15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SUMIFS(Tab_02.Fev[SALDO
ATUAL],Tab_02.Fev[CONTA],$I65)</f>
        <v>128697.03</v>
      </c>
      <c r="G65" s="4">
        <f t="shared" si="2"/>
        <v>0</v>
      </c>
      <c r="H65" s="137">
        <v>11380</v>
      </c>
      <c r="I65" s="3" t="s">
        <v>184</v>
      </c>
      <c r="J65" s="3" t="s">
        <v>319</v>
      </c>
      <c r="K65" s="4">
        <v>128697.03</v>
      </c>
      <c r="L65" s="4">
        <v>0</v>
      </c>
      <c r="M65" s="4">
        <v>0</v>
      </c>
      <c r="N65" s="4">
        <v>128697.03</v>
      </c>
      <c r="O65" s="4">
        <f>Tab_03.Mar[[#This Row],[DÉBITO]]-Tab_03.Mar[[#This Row],[CRÉDITO]]</f>
        <v>0</v>
      </c>
    </row>
    <row r="66" spans="2:15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A</v>
      </c>
      <c r="E66" s="2">
        <f>IF($I66="","",COUNTIFS(Tab_00.Trial[CONTA],$I66))</f>
        <v>1</v>
      </c>
      <c r="F66" s="4">
        <f>SUMIFS(Tab_02.Fev[SALDO
ATUAL],Tab_02.Fev[CONTA],$I66)</f>
        <v>15029.74</v>
      </c>
      <c r="G66" s="4">
        <f t="shared" si="2"/>
        <v>0</v>
      </c>
      <c r="H66" s="137">
        <v>11410</v>
      </c>
      <c r="I66" s="3" t="s">
        <v>185</v>
      </c>
      <c r="J66" s="3" t="s">
        <v>320</v>
      </c>
      <c r="K66" s="4">
        <v>15029.74</v>
      </c>
      <c r="L66" s="4">
        <v>0</v>
      </c>
      <c r="M66" s="4">
        <v>0</v>
      </c>
      <c r="N66" s="4">
        <v>15029.74</v>
      </c>
      <c r="O66" s="4">
        <f>Tab_03.Mar[[#This Row],[DÉBITO]]-Tab_03.Mar[[#This Row],[CRÉDITO]]</f>
        <v>0</v>
      </c>
    </row>
    <row r="67" spans="2:15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SUMIFS(Tab_02.Fev[SALDO
ATUAL],Tab_02.Fev[CONTA],$I67)</f>
        <v>463836.5</v>
      </c>
      <c r="G67" s="4">
        <f t="shared" si="2"/>
        <v>0</v>
      </c>
      <c r="H67" s="137">
        <v>11415</v>
      </c>
      <c r="I67" s="3" t="s">
        <v>321</v>
      </c>
      <c r="J67" s="3" t="s">
        <v>322</v>
      </c>
      <c r="K67" s="4">
        <v>463836.5</v>
      </c>
      <c r="L67" s="4">
        <v>0</v>
      </c>
      <c r="M67" s="4">
        <v>0</v>
      </c>
      <c r="N67" s="4">
        <v>463836.5</v>
      </c>
      <c r="O67" s="4">
        <f>Tab_03.Mar[[#This Row],[DÉBITO]]-Tab_03.Mar[[#This Row],[CRÉDITO]]</f>
        <v>0</v>
      </c>
    </row>
    <row r="68" spans="2:15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S</v>
      </c>
      <c r="E68" s="2">
        <f>IF($I68="","",COUNTIFS(Tab_00.Trial[CONTA],$I68))</f>
        <v>1</v>
      </c>
      <c r="F68" s="4">
        <f>SUMIFS(Tab_02.Fev[SALDO
ATUAL],Tab_02.Fev[CONTA],$I68)</f>
        <v>-1162387.8500000001</v>
      </c>
      <c r="G68" s="4">
        <f t="shared" si="2"/>
        <v>0</v>
      </c>
      <c r="H68" s="137">
        <v>11425</v>
      </c>
      <c r="I68" s="3" t="s">
        <v>215</v>
      </c>
      <c r="J68" s="3" t="s">
        <v>652</v>
      </c>
      <c r="K68" s="4">
        <v>-1162387.8500000001</v>
      </c>
      <c r="L68" s="4">
        <v>0</v>
      </c>
      <c r="M68" s="4">
        <v>3667.05</v>
      </c>
      <c r="N68" s="4">
        <v>-1166054.8999999999</v>
      </c>
      <c r="O68" s="4">
        <f>Tab_03.Mar[[#This Row],[DÉBITO]]-Tab_03.Mar[[#This Row],[CRÉDITO]]</f>
        <v>-3667.05</v>
      </c>
    </row>
    <row r="69" spans="2:15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SUMIFS(Tab_02.Fev[SALDO
ATUAL],Tab_02.Fev[CONTA],$I69)</f>
        <v>-652874.9</v>
      </c>
      <c r="G69" s="4">
        <f t="shared" si="2"/>
        <v>0</v>
      </c>
      <c r="H69" s="137">
        <v>11440</v>
      </c>
      <c r="I69" s="3" t="s">
        <v>186</v>
      </c>
      <c r="J69" s="3" t="s">
        <v>313</v>
      </c>
      <c r="K69" s="4">
        <v>-652874.9</v>
      </c>
      <c r="L69" s="4">
        <v>0</v>
      </c>
      <c r="M69" s="4">
        <v>2997.93</v>
      </c>
      <c r="N69" s="4">
        <v>-655872.82999999996</v>
      </c>
      <c r="O69" s="4">
        <f>Tab_03.Mar[[#This Row],[DÉBITO]]-Tab_03.Mar[[#This Row],[CRÉDITO]]</f>
        <v>-2997.93</v>
      </c>
    </row>
    <row r="70" spans="2:15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SUMIFS(Tab_02.Fev[SALDO
ATUAL],Tab_02.Fev[CONTA],$I70)</f>
        <v>-17250.27</v>
      </c>
      <c r="G70" s="4">
        <f t="shared" si="2"/>
        <v>0</v>
      </c>
      <c r="H70" s="137">
        <v>11470</v>
      </c>
      <c r="I70" s="3" t="s">
        <v>187</v>
      </c>
      <c r="J70" s="3" t="s">
        <v>314</v>
      </c>
      <c r="K70" s="4">
        <v>-17250.27</v>
      </c>
      <c r="L70" s="4">
        <v>0</v>
      </c>
      <c r="M70" s="4">
        <v>191.67</v>
      </c>
      <c r="N70" s="4">
        <v>-17441.939999999999</v>
      </c>
      <c r="O70" s="4">
        <f>Tab_03.Mar[[#This Row],[DÉBITO]]-Tab_03.Mar[[#This Row],[CRÉDITO]]</f>
        <v>-191.67</v>
      </c>
    </row>
    <row r="71" spans="2:15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SUMIFS(Tab_02.Fev[SALDO
ATUAL],Tab_02.Fev[CONTA],$I71)</f>
        <v>-6264.01</v>
      </c>
      <c r="G71" s="4">
        <f t="shared" si="2"/>
        <v>0</v>
      </c>
      <c r="H71" s="137">
        <v>11485</v>
      </c>
      <c r="I71" s="3" t="s">
        <v>188</v>
      </c>
      <c r="J71" s="3" t="s">
        <v>315</v>
      </c>
      <c r="K71" s="4">
        <v>-6264.01</v>
      </c>
      <c r="L71" s="4">
        <v>0</v>
      </c>
      <c r="M71" s="4">
        <v>104.95</v>
      </c>
      <c r="N71" s="4">
        <v>-6368.96</v>
      </c>
      <c r="O71" s="4">
        <f>Tab_03.Mar[[#This Row],[DÉBITO]]-Tab_03.Mar[[#This Row],[CRÉDITO]]</f>
        <v>-104.95</v>
      </c>
    </row>
    <row r="72" spans="2:15" x14ac:dyDescent="0.3">
      <c r="B72" s="2" t="str">
        <f>_xlfn.XLOOKUP($I72,Tab_00.Trial[CONTA],Tab_00.Trial[TP],"",0,1)</f>
        <v>A</v>
      </c>
      <c r="C72" s="2">
        <f>_xlfn.XLOOKUP($I72,Tab_00.Trial[CONTA],Tab_00.Trial[NV],"",0,1)</f>
        <v>5</v>
      </c>
      <c r="D72" s="2" t="str">
        <f>_xlfn.XLOOKUP($I72,Tab_00.Trial[CONTA],Tab_00.Trial[S/A],"",0,1)</f>
        <v>A</v>
      </c>
      <c r="E72" s="2">
        <f>IF($I72="","",COUNTIFS(Tab_00.Trial[CONTA],$I72))</f>
        <v>1</v>
      </c>
      <c r="F72" s="4">
        <f>SUMIFS(Tab_02.Fev[SALDO
ATUAL],Tab_02.Fev[CONTA],$I72)</f>
        <v>-224642.85</v>
      </c>
      <c r="G72" s="4">
        <f t="shared" si="2"/>
        <v>0</v>
      </c>
      <c r="H72" s="137">
        <v>11500</v>
      </c>
      <c r="I72" s="3" t="s">
        <v>189</v>
      </c>
      <c r="J72" s="3" t="s">
        <v>316</v>
      </c>
      <c r="K72" s="4">
        <v>-224642.85</v>
      </c>
      <c r="L72" s="4">
        <v>0</v>
      </c>
      <c r="M72" s="4">
        <v>0</v>
      </c>
      <c r="N72" s="4">
        <v>-224642.85</v>
      </c>
      <c r="O72" s="4">
        <f>Tab_03.Mar[[#This Row],[DÉBITO]]-Tab_03.Mar[[#This Row],[CRÉDITO]]</f>
        <v>0</v>
      </c>
    </row>
    <row r="73" spans="2:15" x14ac:dyDescent="0.3">
      <c r="B73" s="2" t="str">
        <f>_xlfn.XLOOKUP($I73,Tab_00.Trial[CONTA],Tab_00.Trial[TP],"",0,1)</f>
        <v>A</v>
      </c>
      <c r="C73" s="2">
        <f>_xlfn.XLOOKUP($I73,Tab_00.Trial[CONTA],Tab_00.Trial[NV],"",0,1)</f>
        <v>5</v>
      </c>
      <c r="D73" s="2" t="str">
        <f>_xlfn.XLOOKUP($I73,Tab_00.Trial[CONTA],Tab_00.Trial[S/A],"",0,1)</f>
        <v>A</v>
      </c>
      <c r="E73" s="2">
        <f>IF($I73="","",COUNTIFS(Tab_00.Trial[CONTA],$I73))</f>
        <v>1</v>
      </c>
      <c r="F73" s="4">
        <f>SUMIFS(Tab_02.Fev[SALDO
ATUAL],Tab_02.Fev[CONTA],$I73)</f>
        <v>-3697.34</v>
      </c>
      <c r="G73" s="4">
        <f t="shared" si="2"/>
        <v>0</v>
      </c>
      <c r="H73" s="137">
        <v>11515</v>
      </c>
      <c r="I73" s="3" t="s">
        <v>190</v>
      </c>
      <c r="J73" s="3" t="s">
        <v>318</v>
      </c>
      <c r="K73" s="4">
        <v>-3697.34</v>
      </c>
      <c r="L73" s="4">
        <v>0</v>
      </c>
      <c r="M73" s="4">
        <v>122.5</v>
      </c>
      <c r="N73" s="4">
        <v>-3819.84</v>
      </c>
      <c r="O73" s="4">
        <f>Tab_03.Mar[[#This Row],[DÉBITO]]-Tab_03.Mar[[#This Row],[CRÉDITO]]</f>
        <v>-122.5</v>
      </c>
    </row>
    <row r="74" spans="2:15" x14ac:dyDescent="0.3">
      <c r="B74" s="2" t="str">
        <f>_xlfn.XLOOKUP($I74,Tab_00.Trial[CONTA],Tab_00.Trial[TP],"",0,1)</f>
        <v>A</v>
      </c>
      <c r="C74" s="2">
        <f>_xlfn.XLOOKUP($I74,Tab_00.Trial[CONTA],Tab_00.Trial[NV],"",0,1)</f>
        <v>5</v>
      </c>
      <c r="D74" s="2" t="str">
        <f>_xlfn.XLOOKUP($I74,Tab_00.Trial[CONTA],Tab_00.Trial[S/A],"",0,1)</f>
        <v>A</v>
      </c>
      <c r="E74" s="2">
        <f>IF($I74="","",COUNTIFS(Tab_00.Trial[CONTA],$I74))</f>
        <v>1</v>
      </c>
      <c r="F74" s="4">
        <f>SUMIFS(Tab_02.Fev[SALDO
ATUAL],Tab_02.Fev[CONTA],$I74)</f>
        <v>-128697.03</v>
      </c>
      <c r="G74" s="4">
        <f t="shared" si="2"/>
        <v>0</v>
      </c>
      <c r="H74" s="137">
        <v>11530</v>
      </c>
      <c r="I74" s="3" t="s">
        <v>323</v>
      </c>
      <c r="J74" s="3" t="s">
        <v>319</v>
      </c>
      <c r="K74" s="4">
        <v>-128697.03</v>
      </c>
      <c r="L74" s="4">
        <v>0</v>
      </c>
      <c r="M74" s="4">
        <v>0</v>
      </c>
      <c r="N74" s="4">
        <v>-128697.03</v>
      </c>
      <c r="O74" s="4">
        <f>Tab_03.Mar[[#This Row],[DÉBITO]]-Tab_03.Mar[[#This Row],[CRÉDITO]]</f>
        <v>0</v>
      </c>
    </row>
    <row r="75" spans="2:15" x14ac:dyDescent="0.3">
      <c r="B75" s="2" t="str">
        <f>_xlfn.XLOOKUP($I75,Tab_00.Trial[CONTA],Tab_00.Trial[TP],"",0,1)</f>
        <v>A</v>
      </c>
      <c r="C75" s="2">
        <f>_xlfn.XLOOKUP($I75,Tab_00.Trial[CONTA],Tab_00.Trial[NV],"",0,1)</f>
        <v>5</v>
      </c>
      <c r="D75" s="2" t="str">
        <f>_xlfn.XLOOKUP($I75,Tab_00.Trial[CONTA],Tab_00.Trial[S/A],"",0,1)</f>
        <v>A</v>
      </c>
      <c r="E75" s="2">
        <f>IF($I75="","",COUNTIFS(Tab_00.Trial[CONTA],$I75))</f>
        <v>1</v>
      </c>
      <c r="F75" s="4">
        <f>SUMIFS(Tab_02.Fev[SALDO
ATUAL],Tab_02.Fev[CONTA],$I75)</f>
        <v>-15029.74</v>
      </c>
      <c r="G75" s="4">
        <f t="shared" si="2"/>
        <v>0</v>
      </c>
      <c r="H75" s="137">
        <v>11560</v>
      </c>
      <c r="I75" s="3" t="s">
        <v>324</v>
      </c>
      <c r="J75" s="3" t="s">
        <v>320</v>
      </c>
      <c r="K75" s="4">
        <v>-15029.74</v>
      </c>
      <c r="L75" s="4">
        <v>0</v>
      </c>
      <c r="M75" s="4">
        <v>0</v>
      </c>
      <c r="N75" s="4">
        <v>-15029.74</v>
      </c>
      <c r="O75" s="4">
        <f>Tab_03.Mar[[#This Row],[DÉBITO]]-Tab_03.Mar[[#This Row],[CRÉDITO]]</f>
        <v>0</v>
      </c>
    </row>
    <row r="76" spans="2:15" x14ac:dyDescent="0.3">
      <c r="B76" s="2" t="str">
        <f>_xlfn.XLOOKUP($I76,Tab_00.Trial[CONTA],Tab_00.Trial[TP],"",0,1)</f>
        <v>A</v>
      </c>
      <c r="C76" s="2">
        <f>_xlfn.XLOOKUP($I76,Tab_00.Trial[CONTA],Tab_00.Trial[NV],"",0,1)</f>
        <v>5</v>
      </c>
      <c r="D76" s="2" t="str">
        <f>_xlfn.XLOOKUP($I76,Tab_00.Trial[CONTA],Tab_00.Trial[S/A],"",0,1)</f>
        <v>A</v>
      </c>
      <c r="E76" s="2">
        <f>IF($I76="","",COUNTIFS(Tab_00.Trial[CONTA],$I76))</f>
        <v>1</v>
      </c>
      <c r="F76" s="4">
        <f>SUMIFS(Tab_02.Fev[SALDO
ATUAL],Tab_02.Fev[CONTA],$I76)</f>
        <v>-113931.71</v>
      </c>
      <c r="G76" s="4">
        <f t="shared" si="2"/>
        <v>0</v>
      </c>
      <c r="H76" s="137">
        <v>11565</v>
      </c>
      <c r="I76" s="3" t="s">
        <v>325</v>
      </c>
      <c r="J76" s="3" t="s">
        <v>322</v>
      </c>
      <c r="K76" s="4">
        <v>-113931.71</v>
      </c>
      <c r="L76" s="4">
        <v>0</v>
      </c>
      <c r="M76" s="4">
        <v>250</v>
      </c>
      <c r="N76" s="4">
        <v>-114181.71</v>
      </c>
      <c r="O76" s="4">
        <f>Tab_03.Mar[[#This Row],[DÉBITO]]-Tab_03.Mar[[#This Row],[CRÉDITO]]</f>
        <v>-250</v>
      </c>
    </row>
    <row r="77" spans="2:15" x14ac:dyDescent="0.3">
      <c r="B77" s="2" t="str">
        <f>_xlfn.XLOOKUP($I77,Tab_00.Trial[CONTA],Tab_00.Trial[TP],"",0,1)</f>
        <v>P</v>
      </c>
      <c r="C77" s="2">
        <f>_xlfn.XLOOKUP($I77,Tab_00.Trial[CONTA],Tab_00.Trial[NV],"",0,1)</f>
        <v>1</v>
      </c>
      <c r="D77" s="2" t="str">
        <f>_xlfn.XLOOKUP($I77,Tab_00.Trial[CONTA],Tab_00.Trial[S/A],"",0,1)</f>
        <v>S</v>
      </c>
      <c r="E77" s="2">
        <f>IF($I77="","",COUNTIFS(Tab_00.Trial[CONTA],$I77))</f>
        <v>1</v>
      </c>
      <c r="F77" s="4">
        <f>SUMIFS(Tab_02.Fev[SALDO
ATUAL],Tab_02.Fev[CONTA],$I77)</f>
        <v>-83791314.099999994</v>
      </c>
      <c r="G77" s="4">
        <f t="shared" si="2"/>
        <v>0</v>
      </c>
      <c r="H77" s="137">
        <v>20000</v>
      </c>
      <c r="I77" s="3">
        <v>2</v>
      </c>
      <c r="J77" s="3" t="s">
        <v>653</v>
      </c>
      <c r="K77" s="4">
        <v>-83791314.099999994</v>
      </c>
      <c r="L77" s="4">
        <v>776610.08</v>
      </c>
      <c r="M77" s="4">
        <v>324413.45</v>
      </c>
      <c r="N77" s="4">
        <v>-83339117.469999999</v>
      </c>
      <c r="O77" s="4">
        <f>Tab_03.Mar[[#This Row],[DÉBITO]]-Tab_03.Mar[[#This Row],[CRÉDITO]]</f>
        <v>452196.63</v>
      </c>
    </row>
    <row r="78" spans="2:15" x14ac:dyDescent="0.3">
      <c r="B78" s="2" t="str">
        <f>_xlfn.XLOOKUP($I78,Tab_00.Trial[CONTA],Tab_00.Trial[TP],"",0,1)</f>
        <v>P</v>
      </c>
      <c r="C78" s="2">
        <f>_xlfn.XLOOKUP($I78,Tab_00.Trial[CONTA],Tab_00.Trial[NV],"",0,1)</f>
        <v>2</v>
      </c>
      <c r="D78" s="2" t="str">
        <f>_xlfn.XLOOKUP($I78,Tab_00.Trial[CONTA],Tab_00.Trial[S/A],"",0,1)</f>
        <v>S</v>
      </c>
      <c r="E78" s="2">
        <f>IF($I78="","",COUNTIFS(Tab_00.Trial[CONTA],$I78))</f>
        <v>1</v>
      </c>
      <c r="F78" s="4">
        <f>SUMIFS(Tab_02.Fev[SALDO
ATUAL],Tab_02.Fev[CONTA],$I78)</f>
        <v>-1656412.33</v>
      </c>
      <c r="G78" s="4">
        <f t="shared" si="2"/>
        <v>0</v>
      </c>
      <c r="H78" s="137">
        <v>20015</v>
      </c>
      <c r="I78" s="3" t="s">
        <v>216</v>
      </c>
      <c r="J78" s="3" t="s">
        <v>31</v>
      </c>
      <c r="K78" s="4">
        <v>-1656412.33</v>
      </c>
      <c r="L78" s="4">
        <v>776610.08</v>
      </c>
      <c r="M78" s="4">
        <v>324413.45</v>
      </c>
      <c r="N78" s="4">
        <v>-1204215.7</v>
      </c>
      <c r="O78" s="4">
        <f>Tab_03.Mar[[#This Row],[DÉBITO]]-Tab_03.Mar[[#This Row],[CRÉDITO]]</f>
        <v>452196.63</v>
      </c>
    </row>
    <row r="79" spans="2:15" x14ac:dyDescent="0.3">
      <c r="B79" s="2" t="str">
        <f>_xlfn.XLOOKUP($I79,Tab_00.Trial[CONTA],Tab_00.Trial[TP],"",0,1)</f>
        <v>P</v>
      </c>
      <c r="C79" s="2">
        <f>_xlfn.XLOOKUP($I79,Tab_00.Trial[CONTA],Tab_00.Trial[NV],"",0,1)</f>
        <v>5</v>
      </c>
      <c r="D79" s="2" t="str">
        <f>_xlfn.XLOOKUP($I79,Tab_00.Trial[CONTA],Tab_00.Trial[S/A],"",0,1)</f>
        <v>S</v>
      </c>
      <c r="E79" s="2">
        <f>IF($I79="","",COUNTIFS(Tab_00.Trial[CONTA],$I79))</f>
        <v>1</v>
      </c>
      <c r="F79" s="4">
        <f>SUMIFS(Tab_02.Fev[SALDO
ATUAL],Tab_02.Fev[CONTA],$I79)</f>
        <v>-282591.61</v>
      </c>
      <c r="G79" s="4">
        <f t="shared" ref="G79:G142" si="3">$F79-$K79</f>
        <v>0</v>
      </c>
      <c r="H79" s="137">
        <v>20030</v>
      </c>
      <c r="I79" s="3" t="s">
        <v>558</v>
      </c>
      <c r="J79" s="3" t="s">
        <v>654</v>
      </c>
      <c r="K79" s="4">
        <v>-282591.61</v>
      </c>
      <c r="L79" s="4">
        <v>166548.13</v>
      </c>
      <c r="M79" s="4">
        <v>177879.66</v>
      </c>
      <c r="N79" s="4">
        <v>-293923.14</v>
      </c>
      <c r="O79" s="4">
        <f>Tab_03.Mar[[#This Row],[DÉBITO]]-Tab_03.Mar[[#This Row],[CRÉDITO]]</f>
        <v>-11331.53</v>
      </c>
    </row>
    <row r="80" spans="2:15" x14ac:dyDescent="0.3">
      <c r="B80" s="2" t="str">
        <f>_xlfn.XLOOKUP($I80,Tab_00.Trial[CONTA],Tab_00.Trial[TP],"",0,1)</f>
        <v>P</v>
      </c>
      <c r="C80" s="2">
        <f>_xlfn.XLOOKUP($I80,Tab_00.Trial[CONTA],Tab_00.Trial[NV],"",0,1)</f>
        <v>5</v>
      </c>
      <c r="D80" s="2" t="str">
        <f>_xlfn.XLOOKUP($I80,Tab_00.Trial[CONTA],Tab_00.Trial[S/A],"",0,1)</f>
        <v>S</v>
      </c>
      <c r="E80" s="2">
        <f>IF($I80="","",COUNTIFS(Tab_00.Trial[CONTA],$I80))</f>
        <v>1</v>
      </c>
      <c r="F80" s="4">
        <f>SUMIFS(Tab_02.Fev[SALDO
ATUAL],Tab_02.Fev[CONTA],$I80)</f>
        <v>0</v>
      </c>
      <c r="G80" s="4">
        <f t="shared" si="3"/>
        <v>0</v>
      </c>
      <c r="H80" s="137">
        <v>20045</v>
      </c>
      <c r="I80" s="3" t="s">
        <v>559</v>
      </c>
      <c r="J80" s="3" t="s">
        <v>655</v>
      </c>
      <c r="K80" s="4">
        <v>0</v>
      </c>
      <c r="L80" s="4">
        <v>83045.95</v>
      </c>
      <c r="M80" s="4">
        <v>83045.95</v>
      </c>
      <c r="N80" s="4">
        <v>0</v>
      </c>
      <c r="O80" s="4">
        <f>Tab_03.Mar[[#This Row],[DÉBITO]]-Tab_03.Mar[[#This Row],[CRÉDITO]]</f>
        <v>0</v>
      </c>
    </row>
    <row r="81" spans="2:15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A</v>
      </c>
      <c r="E81" s="2">
        <f>IF($I81="","",COUNTIFS(Tab_00.Trial[CONTA],$I81))</f>
        <v>1</v>
      </c>
      <c r="F81" s="4">
        <f>SUMIFS(Tab_02.Fev[SALDO
ATUAL],Tab_02.Fev[CONTA],$I81)</f>
        <v>0</v>
      </c>
      <c r="G81" s="4">
        <f t="shared" si="3"/>
        <v>0</v>
      </c>
      <c r="H81" s="137">
        <v>20060</v>
      </c>
      <c r="I81" s="3" t="s">
        <v>326</v>
      </c>
      <c r="J81" s="3" t="s">
        <v>327</v>
      </c>
      <c r="K81" s="4">
        <v>0</v>
      </c>
      <c r="L81" s="4">
        <v>81856.820000000007</v>
      </c>
      <c r="M81" s="4">
        <v>81856.820000000007</v>
      </c>
      <c r="N81" s="4">
        <v>0</v>
      </c>
      <c r="O81" s="4">
        <f>Tab_03.Mar[[#This Row],[DÉBITO]]-Tab_03.Mar[[#This Row],[CRÉDITO]]</f>
        <v>0</v>
      </c>
    </row>
    <row r="82" spans="2:15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A</v>
      </c>
      <c r="E82" s="2">
        <f>IF($I82="","",COUNTIFS(Tab_00.Trial[CONTA],$I82))</f>
        <v>1</v>
      </c>
      <c r="F82" s="4">
        <f>SUMIFS(Tab_02.Fev[SALDO
ATUAL],Tab_02.Fev[CONTA],$I82)</f>
        <v>0</v>
      </c>
      <c r="G82" s="4">
        <f t="shared" si="3"/>
        <v>0</v>
      </c>
      <c r="H82" s="137">
        <v>20105</v>
      </c>
      <c r="I82" s="3" t="s">
        <v>330</v>
      </c>
      <c r="J82" s="3" t="s">
        <v>331</v>
      </c>
      <c r="K82" s="4">
        <v>0</v>
      </c>
      <c r="L82" s="4">
        <v>1189.1300000000001</v>
      </c>
      <c r="M82" s="4">
        <v>1189.1300000000001</v>
      </c>
      <c r="N82" s="4">
        <v>0</v>
      </c>
      <c r="O82" s="4">
        <f>Tab_03.Mar[[#This Row],[DÉBITO]]-Tab_03.Mar[[#This Row],[CRÉDITO]]</f>
        <v>0</v>
      </c>
    </row>
    <row r="83" spans="2:15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S</v>
      </c>
      <c r="E83" s="2">
        <f>IF($I83="","",COUNTIFS(Tab_00.Trial[CONTA],$I83))</f>
        <v>1</v>
      </c>
      <c r="F83" s="4">
        <f>SUMIFS(Tab_02.Fev[SALDO
ATUAL],Tab_02.Fev[CONTA],$I83)</f>
        <v>-22497.62</v>
      </c>
      <c r="G83" s="4">
        <f t="shared" si="3"/>
        <v>0</v>
      </c>
      <c r="H83" s="137">
        <v>20120</v>
      </c>
      <c r="I83" s="3" t="s">
        <v>560</v>
      </c>
      <c r="J83" s="3" t="s">
        <v>656</v>
      </c>
      <c r="K83" s="4">
        <v>-22497.62</v>
      </c>
      <c r="L83" s="4">
        <v>0</v>
      </c>
      <c r="M83" s="4">
        <v>11248.83</v>
      </c>
      <c r="N83" s="4">
        <v>-33746.449999999997</v>
      </c>
      <c r="O83" s="4">
        <f>Tab_03.Mar[[#This Row],[DÉBITO]]-Tab_03.Mar[[#This Row],[CRÉDITO]]</f>
        <v>-11248.83</v>
      </c>
    </row>
    <row r="84" spans="2:15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A</v>
      </c>
      <c r="E84" s="2">
        <f>IF($I84="","",COUNTIFS(Tab_00.Trial[CONTA],$I84))</f>
        <v>1</v>
      </c>
      <c r="F84" s="4">
        <f>SUMIFS(Tab_02.Fev[SALDO
ATUAL],Tab_02.Fev[CONTA],$I84)</f>
        <v>-16566.759999999998</v>
      </c>
      <c r="G84" s="4">
        <f t="shared" si="3"/>
        <v>0</v>
      </c>
      <c r="H84" s="137">
        <v>20135</v>
      </c>
      <c r="I84" s="3" t="s">
        <v>332</v>
      </c>
      <c r="J84" s="3" t="s">
        <v>333</v>
      </c>
      <c r="K84" s="4">
        <v>-16566.759999999998</v>
      </c>
      <c r="L84" s="4">
        <v>0</v>
      </c>
      <c r="M84" s="4">
        <v>8283.3700000000008</v>
      </c>
      <c r="N84" s="4">
        <v>-24850.13</v>
      </c>
      <c r="O84" s="4">
        <f>Tab_03.Mar[[#This Row],[DÉBITO]]-Tab_03.Mar[[#This Row],[CRÉDITO]]</f>
        <v>-8283.3700000000008</v>
      </c>
    </row>
    <row r="85" spans="2:15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A</v>
      </c>
      <c r="E85" s="2">
        <f>IF($I85="","",COUNTIFS(Tab_00.Trial[CONTA],$I85))</f>
        <v>1</v>
      </c>
      <c r="F85" s="4">
        <f>SUMIFS(Tab_02.Fev[SALDO
ATUAL],Tab_02.Fev[CONTA],$I85)</f>
        <v>-1325.29</v>
      </c>
      <c r="G85" s="4">
        <f t="shared" si="3"/>
        <v>0</v>
      </c>
      <c r="H85" s="137">
        <v>20150</v>
      </c>
      <c r="I85" s="3" t="s">
        <v>778</v>
      </c>
      <c r="J85" s="3" t="s">
        <v>779</v>
      </c>
      <c r="K85" s="4">
        <v>-1325.29</v>
      </c>
      <c r="L85" s="4">
        <v>0</v>
      </c>
      <c r="M85" s="4">
        <v>662.68</v>
      </c>
      <c r="N85" s="4">
        <v>-1987.97</v>
      </c>
      <c r="O85" s="4">
        <f>Tab_03.Mar[[#This Row],[DÉBITO]]-Tab_03.Mar[[#This Row],[CRÉDITO]]</f>
        <v>-662.68</v>
      </c>
    </row>
    <row r="86" spans="2:15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A</v>
      </c>
      <c r="E86" s="2">
        <f>IF($I86="","",COUNTIFS(Tab_00.Trial[CONTA],$I86))</f>
        <v>1</v>
      </c>
      <c r="F86" s="4">
        <f>SUMIFS(Tab_02.Fev[SALDO
ATUAL],Tab_02.Fev[CONTA],$I86)</f>
        <v>-165.68</v>
      </c>
      <c r="G86" s="4">
        <f t="shared" si="3"/>
        <v>0</v>
      </c>
      <c r="H86" s="137">
        <v>20165</v>
      </c>
      <c r="I86" s="3" t="s">
        <v>780</v>
      </c>
      <c r="J86" s="3" t="s">
        <v>781</v>
      </c>
      <c r="K86" s="4">
        <v>-165.68</v>
      </c>
      <c r="L86" s="4">
        <v>0</v>
      </c>
      <c r="M86" s="4">
        <v>82.82</v>
      </c>
      <c r="N86" s="4">
        <v>-248.5</v>
      </c>
      <c r="O86" s="4">
        <f>Tab_03.Mar[[#This Row],[DÉBITO]]-Tab_03.Mar[[#This Row],[CRÉDITO]]</f>
        <v>-82.82</v>
      </c>
    </row>
    <row r="87" spans="2:15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A</v>
      </c>
      <c r="E87" s="2">
        <f>IF($I87="","",COUNTIFS(Tab_00.Trial[CONTA],$I87))</f>
        <v>1</v>
      </c>
      <c r="F87" s="4">
        <f>SUMIFS(Tab_02.Fev[SALDO
ATUAL],Tab_02.Fev[CONTA],$I87)</f>
        <v>-4439.8900000000003</v>
      </c>
      <c r="G87" s="4">
        <f t="shared" si="3"/>
        <v>0</v>
      </c>
      <c r="H87" s="137">
        <v>10097</v>
      </c>
      <c r="I87" s="3" t="s">
        <v>782</v>
      </c>
      <c r="J87" s="3" t="s">
        <v>783</v>
      </c>
      <c r="K87" s="4">
        <v>-4439.8900000000003</v>
      </c>
      <c r="L87" s="4">
        <v>0</v>
      </c>
      <c r="M87" s="4">
        <v>2219.96</v>
      </c>
      <c r="N87" s="4">
        <v>-6659.85</v>
      </c>
      <c r="O87" s="4">
        <f>Tab_03.Mar[[#This Row],[DÉBITO]]-Tab_03.Mar[[#This Row],[CRÉDITO]]</f>
        <v>-2219.96</v>
      </c>
    </row>
    <row r="88" spans="2:15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S</v>
      </c>
      <c r="E88" s="2">
        <f>IF($I88="","",COUNTIFS(Tab_00.Trial[CONTA],$I88))</f>
        <v>1</v>
      </c>
      <c r="F88" s="4">
        <f>SUMIFS(Tab_02.Fev[SALDO
ATUAL],Tab_02.Fev[CONTA],$I88)</f>
        <v>-195619.86</v>
      </c>
      <c r="G88" s="4">
        <f t="shared" si="3"/>
        <v>0</v>
      </c>
      <c r="H88" s="137">
        <v>20180</v>
      </c>
      <c r="I88" s="3" t="s">
        <v>561</v>
      </c>
      <c r="J88" s="3" t="s">
        <v>657</v>
      </c>
      <c r="K88" s="4">
        <v>-195619.86</v>
      </c>
      <c r="L88" s="4">
        <v>3974.37</v>
      </c>
      <c r="M88" s="4">
        <v>15380.04</v>
      </c>
      <c r="N88" s="4">
        <v>-207025.53</v>
      </c>
      <c r="O88" s="4">
        <f>Tab_03.Mar[[#This Row],[DÉBITO]]-Tab_03.Mar[[#This Row],[CRÉDITO]]</f>
        <v>-11405.67</v>
      </c>
    </row>
    <row r="89" spans="2:15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A</v>
      </c>
      <c r="E89" s="2">
        <f>IF($I89="","",COUNTIFS(Tab_00.Trial[CONTA],$I89))</f>
        <v>1</v>
      </c>
      <c r="F89" s="4">
        <f>SUMIFS(Tab_02.Fev[SALDO
ATUAL],Tab_02.Fev[CONTA],$I89)</f>
        <v>-143964.95000000001</v>
      </c>
      <c r="G89" s="4">
        <f t="shared" si="3"/>
        <v>0</v>
      </c>
      <c r="H89" s="137">
        <v>20195</v>
      </c>
      <c r="I89" s="3" t="s">
        <v>334</v>
      </c>
      <c r="J89" s="3" t="s">
        <v>335</v>
      </c>
      <c r="K89" s="4">
        <v>-143964.95000000001</v>
      </c>
      <c r="L89" s="4">
        <v>2903.51</v>
      </c>
      <c r="M89" s="4">
        <v>11358.45</v>
      </c>
      <c r="N89" s="4">
        <v>-152419.89000000001</v>
      </c>
      <c r="O89" s="4">
        <f>Tab_03.Mar[[#This Row],[DÉBITO]]-Tab_03.Mar[[#This Row],[CRÉDITO]]</f>
        <v>-8454.94</v>
      </c>
    </row>
    <row r="90" spans="2:15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A</v>
      </c>
      <c r="E90" s="2">
        <f>IF($I90="","",COUNTIFS(Tab_00.Trial[CONTA],$I90))</f>
        <v>1</v>
      </c>
      <c r="F90" s="4">
        <f>SUMIFS(Tab_02.Fev[SALDO
ATUAL],Tab_02.Fev[CONTA],$I90)</f>
        <v>-11473.03</v>
      </c>
      <c r="G90" s="4">
        <f t="shared" si="3"/>
        <v>0</v>
      </c>
      <c r="H90" s="137">
        <v>20210</v>
      </c>
      <c r="I90" s="3" t="s">
        <v>784</v>
      </c>
      <c r="J90" s="3" t="s">
        <v>785</v>
      </c>
      <c r="K90" s="4">
        <v>-11473.03</v>
      </c>
      <c r="L90" s="4">
        <v>229.6</v>
      </c>
      <c r="M90" s="4">
        <v>898.69</v>
      </c>
      <c r="N90" s="4">
        <v>-12142.12</v>
      </c>
      <c r="O90" s="4">
        <f>Tab_03.Mar[[#This Row],[DÉBITO]]-Tab_03.Mar[[#This Row],[CRÉDITO]]</f>
        <v>-669.09</v>
      </c>
    </row>
    <row r="91" spans="2:15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A</v>
      </c>
      <c r="E91" s="2">
        <f>IF($I91="","",COUNTIFS(Tab_00.Trial[CONTA],$I91))</f>
        <v>1</v>
      </c>
      <c r="F91" s="4">
        <f>SUMIFS(Tab_02.Fev[SALDO
ATUAL],Tab_02.Fev[CONTA],$I91)</f>
        <v>-1746.64</v>
      </c>
      <c r="G91" s="4">
        <f t="shared" si="3"/>
        <v>0</v>
      </c>
      <c r="H91" s="137">
        <v>20225</v>
      </c>
      <c r="I91" s="3" t="s">
        <v>786</v>
      </c>
      <c r="J91" s="3" t="s">
        <v>787</v>
      </c>
      <c r="K91" s="4">
        <v>-1746.64</v>
      </c>
      <c r="L91" s="4">
        <v>72.12</v>
      </c>
      <c r="M91" s="4">
        <v>112.34</v>
      </c>
      <c r="N91" s="4">
        <v>-1786.86</v>
      </c>
      <c r="O91" s="4">
        <f>Tab_03.Mar[[#This Row],[DÉBITO]]-Tab_03.Mar[[#This Row],[CRÉDITO]]</f>
        <v>-40.22</v>
      </c>
    </row>
    <row r="92" spans="2:15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A</v>
      </c>
      <c r="E92" s="2">
        <f>IF($I92="","",COUNTIFS(Tab_00.Trial[CONTA],$I92))</f>
        <v>1</v>
      </c>
      <c r="F92" s="4">
        <f>SUMIFS(Tab_02.Fev[SALDO
ATUAL],Tab_02.Fev[CONTA],$I92)</f>
        <v>-38435.24</v>
      </c>
      <c r="G92" s="4">
        <f t="shared" si="3"/>
        <v>0</v>
      </c>
      <c r="H92" s="137">
        <v>10104</v>
      </c>
      <c r="I92" s="3" t="s">
        <v>788</v>
      </c>
      <c r="J92" s="3" t="s">
        <v>789</v>
      </c>
      <c r="K92" s="4">
        <v>-38435.24</v>
      </c>
      <c r="L92" s="4">
        <v>769.14</v>
      </c>
      <c r="M92" s="4">
        <v>3010.56</v>
      </c>
      <c r="N92" s="4">
        <v>-40676.660000000003</v>
      </c>
      <c r="O92" s="4">
        <f>Tab_03.Mar[[#This Row],[DÉBITO]]-Tab_03.Mar[[#This Row],[CRÉDITO]]</f>
        <v>-2241.42</v>
      </c>
    </row>
    <row r="93" spans="2:15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S</v>
      </c>
      <c r="E93" s="2">
        <f>IF($I93="","",COUNTIFS(Tab_00.Trial[CONTA],$I93))</f>
        <v>1</v>
      </c>
      <c r="F93" s="4">
        <f>SUMIFS(Tab_02.Fev[SALDO
ATUAL],Tab_02.Fev[CONTA],$I93)</f>
        <v>-46092.78</v>
      </c>
      <c r="G93" s="4">
        <f t="shared" si="3"/>
        <v>0</v>
      </c>
      <c r="H93" s="137">
        <v>20240</v>
      </c>
      <c r="I93" s="3" t="s">
        <v>562</v>
      </c>
      <c r="J93" s="3" t="s">
        <v>658</v>
      </c>
      <c r="K93" s="4">
        <v>-46092.78</v>
      </c>
      <c r="L93" s="4">
        <v>68249.08</v>
      </c>
      <c r="M93" s="4">
        <v>58801.84</v>
      </c>
      <c r="N93" s="4">
        <v>-36645.54</v>
      </c>
      <c r="O93" s="4">
        <f>Tab_03.Mar[[#This Row],[DÉBITO]]-Tab_03.Mar[[#This Row],[CRÉDITO]]</f>
        <v>9447.24</v>
      </c>
    </row>
    <row r="94" spans="2:15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A</v>
      </c>
      <c r="E94" s="2">
        <f>IF($I94="","",COUNTIFS(Tab_00.Trial[CONTA],$I94))</f>
        <v>1</v>
      </c>
      <c r="F94" s="4">
        <f>SUMIFS(Tab_02.Fev[SALDO
ATUAL],Tab_02.Fev[CONTA],$I94)</f>
        <v>-45066.84</v>
      </c>
      <c r="G94" s="4">
        <f t="shared" si="3"/>
        <v>0</v>
      </c>
      <c r="H94" s="137">
        <v>20255</v>
      </c>
      <c r="I94" s="3" t="s">
        <v>336</v>
      </c>
      <c r="J94" s="3" t="s">
        <v>337</v>
      </c>
      <c r="K94" s="4">
        <v>-45066.84</v>
      </c>
      <c r="L94" s="4">
        <v>67223.14</v>
      </c>
      <c r="M94" s="4">
        <v>58288.86</v>
      </c>
      <c r="N94" s="4">
        <v>-36132.559999999998</v>
      </c>
      <c r="O94" s="4">
        <f>Tab_03.Mar[[#This Row],[DÉBITO]]-Tab_03.Mar[[#This Row],[CRÉDITO]]</f>
        <v>8934.2800000000007</v>
      </c>
    </row>
    <row r="95" spans="2:15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A</v>
      </c>
      <c r="E95" s="2">
        <f>IF($I95="","",COUNTIFS(Tab_00.Trial[CONTA],$I95))</f>
        <v>1</v>
      </c>
      <c r="F95" s="4">
        <f>SUMIFS(Tab_02.Fev[SALDO
ATUAL],Tab_02.Fev[CONTA],$I95)</f>
        <v>-1025.94</v>
      </c>
      <c r="G95" s="4">
        <f t="shared" si="3"/>
        <v>0</v>
      </c>
      <c r="H95" s="137">
        <v>20270</v>
      </c>
      <c r="I95" s="3" t="s">
        <v>338</v>
      </c>
      <c r="J95" s="3" t="s">
        <v>339</v>
      </c>
      <c r="K95" s="4">
        <v>-1025.94</v>
      </c>
      <c r="L95" s="4">
        <v>1025.94</v>
      </c>
      <c r="M95" s="4">
        <v>512.98</v>
      </c>
      <c r="N95" s="4">
        <v>-512.98</v>
      </c>
      <c r="O95" s="4">
        <f>Tab_03.Mar[[#This Row],[DÉBITO]]-Tab_03.Mar[[#This Row],[CRÉDITO]]</f>
        <v>512.96</v>
      </c>
    </row>
    <row r="96" spans="2:15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S</v>
      </c>
      <c r="E96" s="2">
        <f>IF($I96="","",COUNTIFS(Tab_00.Trial[CONTA],$I96))</f>
        <v>1</v>
      </c>
      <c r="F96" s="4">
        <f>SUMIFS(Tab_02.Fev[SALDO
ATUAL],Tab_02.Fev[CONTA],$I96)</f>
        <v>-18381.349999999999</v>
      </c>
      <c r="G96" s="4">
        <f t="shared" si="3"/>
        <v>0</v>
      </c>
      <c r="H96" s="137">
        <v>20345</v>
      </c>
      <c r="I96" s="3" t="s">
        <v>563</v>
      </c>
      <c r="J96" s="3" t="s">
        <v>659</v>
      </c>
      <c r="K96" s="4">
        <v>-18381.349999999999</v>
      </c>
      <c r="L96" s="4">
        <v>11278.73</v>
      </c>
      <c r="M96" s="4">
        <v>9403</v>
      </c>
      <c r="N96" s="4">
        <v>-16505.62</v>
      </c>
      <c r="O96" s="4">
        <f>Tab_03.Mar[[#This Row],[DÉBITO]]-Tab_03.Mar[[#This Row],[CRÉDITO]]</f>
        <v>1875.73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A</v>
      </c>
      <c r="E97" s="2">
        <f>IF($I97="","",COUNTIFS(Tab_00.Trial[CONTA],$I97))</f>
        <v>1</v>
      </c>
      <c r="F97" s="4">
        <f>SUMIFS(Tab_02.Fev[SALDO
ATUAL],Tab_02.Fev[CONTA],$I97)</f>
        <v>-17091.669999999998</v>
      </c>
      <c r="G97" s="4">
        <f t="shared" si="3"/>
        <v>0</v>
      </c>
      <c r="H97" s="137">
        <v>20360</v>
      </c>
      <c r="I97" s="3" t="s">
        <v>340</v>
      </c>
      <c r="J97" s="3" t="s">
        <v>341</v>
      </c>
      <c r="K97" s="4">
        <v>-17091.669999999998</v>
      </c>
      <c r="L97" s="4">
        <v>9929.36</v>
      </c>
      <c r="M97" s="4">
        <v>8358.2099999999991</v>
      </c>
      <c r="N97" s="4">
        <v>-15520.52</v>
      </c>
      <c r="O97" s="4">
        <f>Tab_03.Mar[[#This Row],[DÉBITO]]-Tab_03.Mar[[#This Row],[CRÉDITO]]</f>
        <v>1571.15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A</v>
      </c>
      <c r="E98" s="2">
        <f>IF($I98="","",COUNTIFS(Tab_00.Trial[CONTA],$I98))</f>
        <v>1</v>
      </c>
      <c r="F98" s="4">
        <f>SUMIFS(Tab_02.Fev[SALDO
ATUAL],Tab_02.Fev[CONTA],$I98)</f>
        <v>-1289.68</v>
      </c>
      <c r="G98" s="4">
        <f t="shared" si="3"/>
        <v>0</v>
      </c>
      <c r="H98" s="137">
        <v>20375</v>
      </c>
      <c r="I98" s="3" t="s">
        <v>342</v>
      </c>
      <c r="J98" s="3" t="s">
        <v>343</v>
      </c>
      <c r="K98" s="4">
        <v>-1289.68</v>
      </c>
      <c r="L98" s="4">
        <v>1349.37</v>
      </c>
      <c r="M98" s="4">
        <v>1044.79</v>
      </c>
      <c r="N98" s="4">
        <v>-985.1</v>
      </c>
      <c r="O98" s="4">
        <f>Tab_03.Mar[[#This Row],[DÉBITO]]-Tab_03.Mar[[#This Row],[CRÉDITO]]</f>
        <v>304.58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S</v>
      </c>
      <c r="E99" s="2">
        <f>IF($I99="","",COUNTIFS(Tab_00.Trial[CONTA],$I99))</f>
        <v>1</v>
      </c>
      <c r="F99" s="4">
        <f>SUMIFS(Tab_02.Fev[SALDO
ATUAL],Tab_02.Fev[CONTA],$I99)</f>
        <v>-1324687.06</v>
      </c>
      <c r="G99" s="4">
        <f t="shared" si="3"/>
        <v>0</v>
      </c>
      <c r="H99" s="137">
        <v>20390</v>
      </c>
      <c r="I99" s="3" t="s">
        <v>218</v>
      </c>
      <c r="J99" s="3" t="s">
        <v>660</v>
      </c>
      <c r="K99" s="4">
        <v>-1324687.06</v>
      </c>
      <c r="L99" s="4">
        <v>586144.11</v>
      </c>
      <c r="M99" s="4">
        <v>127748.4</v>
      </c>
      <c r="N99" s="4">
        <v>-866291.35</v>
      </c>
      <c r="O99" s="4">
        <f>Tab_03.Mar[[#This Row],[DÉBITO]]-Tab_03.Mar[[#This Row],[CRÉDITO]]</f>
        <v>458395.71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S</v>
      </c>
      <c r="E100" s="2">
        <f>IF($I100="","",COUNTIFS(Tab_00.Trial[CONTA],$I100))</f>
        <v>1</v>
      </c>
      <c r="F100" s="4">
        <f>SUMIFS(Tab_02.Fev[SALDO
ATUAL],Tab_02.Fev[CONTA],$I100)</f>
        <v>-575338.47</v>
      </c>
      <c r="G100" s="4">
        <f t="shared" si="3"/>
        <v>0</v>
      </c>
      <c r="H100" s="137">
        <v>20405</v>
      </c>
      <c r="I100" s="3" t="s">
        <v>219</v>
      </c>
      <c r="J100" s="3" t="s">
        <v>56</v>
      </c>
      <c r="K100" s="4">
        <v>-575338.47</v>
      </c>
      <c r="L100" s="4">
        <v>586144.11</v>
      </c>
      <c r="M100" s="4">
        <v>127748.4</v>
      </c>
      <c r="N100" s="4">
        <v>-116942.76</v>
      </c>
      <c r="O100" s="4">
        <f>Tab_03.Mar[[#This Row],[DÉBITO]]-Tab_03.Mar[[#This Row],[CRÉDITO]]</f>
        <v>458395.71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A</v>
      </c>
      <c r="E101" s="2">
        <f>IF($I101="","",COUNTIFS(Tab_00.Trial[CONTA],$I101))</f>
        <v>1</v>
      </c>
      <c r="F101" s="4">
        <f>SUMIFS(Tab_02.Fev[SALDO
ATUAL],Tab_02.Fev[CONTA],$I101)</f>
        <v>-575338.47</v>
      </c>
      <c r="G101" s="4">
        <f t="shared" si="3"/>
        <v>0</v>
      </c>
      <c r="H101" s="137">
        <v>20420</v>
      </c>
      <c r="I101" s="3" t="s">
        <v>344</v>
      </c>
      <c r="J101" s="3" t="s">
        <v>56</v>
      </c>
      <c r="K101" s="4">
        <v>-575338.47</v>
      </c>
      <c r="L101" s="4">
        <v>586144.11</v>
      </c>
      <c r="M101" s="4">
        <v>127748.4</v>
      </c>
      <c r="N101" s="4">
        <v>-116942.76</v>
      </c>
      <c r="O101" s="4">
        <f>Tab_03.Mar[[#This Row],[DÉBITO]]-Tab_03.Mar[[#This Row],[CRÉDITO]]</f>
        <v>458395.71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S</v>
      </c>
      <c r="E102" s="2">
        <f>IF($I102="","",COUNTIFS(Tab_00.Trial[CONTA],$I102))</f>
        <v>1</v>
      </c>
      <c r="F102" s="4">
        <f>SUMIFS(Tab_02.Fev[SALDO
ATUAL],Tab_02.Fev[CONTA],$I102)</f>
        <v>-749348.59</v>
      </c>
      <c r="G102" s="4">
        <f t="shared" si="3"/>
        <v>0</v>
      </c>
      <c r="H102" s="137">
        <v>20455</v>
      </c>
      <c r="I102" s="3" t="s">
        <v>220</v>
      </c>
      <c r="J102" s="3" t="s">
        <v>346</v>
      </c>
      <c r="K102" s="4">
        <v>-749348.59</v>
      </c>
      <c r="L102" s="4">
        <v>0</v>
      </c>
      <c r="M102" s="4">
        <v>0</v>
      </c>
      <c r="N102" s="4">
        <v>-749348.59</v>
      </c>
      <c r="O102" s="4">
        <f>Tab_03.Mar[[#This Row],[DÉBITO]]-Tab_03.Mar[[#This Row],[CRÉDITO]]</f>
        <v>0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A</v>
      </c>
      <c r="E103" s="2">
        <f>IF($I103="","",COUNTIFS(Tab_00.Trial[CONTA],$I103))</f>
        <v>1</v>
      </c>
      <c r="F103" s="4">
        <f>SUMIFS(Tab_02.Fev[SALDO
ATUAL],Tab_02.Fev[CONTA],$I103)</f>
        <v>-749348.59</v>
      </c>
      <c r="G103" s="4">
        <f t="shared" si="3"/>
        <v>0</v>
      </c>
      <c r="H103" s="137">
        <v>20460</v>
      </c>
      <c r="I103" s="3" t="s">
        <v>345</v>
      </c>
      <c r="J103" s="3" t="s">
        <v>346</v>
      </c>
      <c r="K103" s="4">
        <v>-749348.59</v>
      </c>
      <c r="L103" s="4">
        <v>0</v>
      </c>
      <c r="M103" s="4">
        <v>0</v>
      </c>
      <c r="N103" s="4">
        <v>-749348.59</v>
      </c>
      <c r="O103" s="4">
        <f>Tab_03.Mar[[#This Row],[DÉBITO]]-Tab_03.Mar[[#This Row],[CRÉDITO]]</f>
        <v>0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S</v>
      </c>
      <c r="E104" s="2">
        <f>IF($I104="","",COUNTIFS(Tab_00.Trial[CONTA],$I104))</f>
        <v>1</v>
      </c>
      <c r="F104" s="4">
        <f>SUMIFS(Tab_02.Fev[SALDO
ATUAL],Tab_02.Fev[CONTA],$I104)</f>
        <v>-22777.77</v>
      </c>
      <c r="G104" s="4">
        <f t="shared" si="3"/>
        <v>0</v>
      </c>
      <c r="H104" s="137">
        <v>20465</v>
      </c>
      <c r="I104" s="3" t="s">
        <v>221</v>
      </c>
      <c r="J104" s="3" t="s">
        <v>661</v>
      </c>
      <c r="K104" s="4">
        <v>-22777.77</v>
      </c>
      <c r="L104" s="4">
        <v>23292.93</v>
      </c>
      <c r="M104" s="4">
        <v>18179.060000000001</v>
      </c>
      <c r="N104" s="4">
        <v>-17663.900000000001</v>
      </c>
      <c r="O104" s="4">
        <f>Tab_03.Mar[[#This Row],[DÉBITO]]-Tab_03.Mar[[#This Row],[CRÉDITO]]</f>
        <v>5113.87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S</v>
      </c>
      <c r="E105" s="2">
        <f>IF($I105="","",COUNTIFS(Tab_00.Trial[CONTA],$I105))</f>
        <v>1</v>
      </c>
      <c r="F105" s="4">
        <f>SUMIFS(Tab_02.Fev[SALDO
ATUAL],Tab_02.Fev[CONTA],$I105)</f>
        <v>-22293.59</v>
      </c>
      <c r="G105" s="4">
        <f t="shared" si="3"/>
        <v>0</v>
      </c>
      <c r="H105" s="137">
        <v>20480</v>
      </c>
      <c r="I105" s="3" t="s">
        <v>222</v>
      </c>
      <c r="J105" s="3" t="s">
        <v>662</v>
      </c>
      <c r="K105" s="4">
        <v>-22293.59</v>
      </c>
      <c r="L105" s="4">
        <v>23292.93</v>
      </c>
      <c r="M105" s="4">
        <v>18179.060000000001</v>
      </c>
      <c r="N105" s="4">
        <v>-17179.72</v>
      </c>
      <c r="O105" s="4">
        <f>Tab_03.Mar[[#This Row],[DÉBITO]]-Tab_03.Mar[[#This Row],[CRÉDITO]]</f>
        <v>5113.87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A</v>
      </c>
      <c r="E106" s="2">
        <f>IF($I106="","",COUNTIFS(Tab_00.Trial[CONTA],$I106))</f>
        <v>1</v>
      </c>
      <c r="F106" s="4">
        <f>SUMIFS(Tab_02.Fev[SALDO
ATUAL],Tab_02.Fev[CONTA],$I106)</f>
        <v>-418.31</v>
      </c>
      <c r="G106" s="4">
        <f t="shared" si="3"/>
        <v>0</v>
      </c>
      <c r="H106" s="137">
        <v>20495</v>
      </c>
      <c r="I106" s="3" t="s">
        <v>191</v>
      </c>
      <c r="J106" s="3" t="s">
        <v>347</v>
      </c>
      <c r="K106" s="4">
        <v>-418.31</v>
      </c>
      <c r="L106" s="4">
        <v>584.57000000000005</v>
      </c>
      <c r="M106" s="4">
        <v>570.44000000000005</v>
      </c>
      <c r="N106" s="4">
        <v>-404.18</v>
      </c>
      <c r="O106" s="4">
        <f>Tab_03.Mar[[#This Row],[DÉBITO]]-Tab_03.Mar[[#This Row],[CRÉDITO]]</f>
        <v>14.13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A</v>
      </c>
      <c r="E107" s="2">
        <f>IF($I107="","",COUNTIFS(Tab_00.Trial[CONTA],$I107))</f>
        <v>1</v>
      </c>
      <c r="F107" s="4">
        <f>SUMIFS(Tab_02.Fev[SALDO
ATUAL],Tab_02.Fev[CONTA],$I107)</f>
        <v>-20806.93</v>
      </c>
      <c r="G107" s="4">
        <f t="shared" si="3"/>
        <v>0</v>
      </c>
      <c r="H107" s="137">
        <v>20510</v>
      </c>
      <c r="I107" s="3" t="s">
        <v>192</v>
      </c>
      <c r="J107" s="3" t="s">
        <v>348</v>
      </c>
      <c r="K107" s="4">
        <v>-20806.93</v>
      </c>
      <c r="L107" s="4">
        <v>20806.93</v>
      </c>
      <c r="M107" s="4">
        <v>15479.24</v>
      </c>
      <c r="N107" s="4">
        <v>-15479.24</v>
      </c>
      <c r="O107" s="4">
        <f>Tab_03.Mar[[#This Row],[DÉBITO]]-Tab_03.Mar[[#This Row],[CRÉDITO]]</f>
        <v>5327.69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A</v>
      </c>
      <c r="E108" s="2">
        <f>IF($I108="","",COUNTIFS(Tab_00.Trial[CONTA],$I108))</f>
        <v>1</v>
      </c>
      <c r="F108" s="4">
        <f>SUMIFS(Tab_02.Fev[SALDO
ATUAL],Tab_02.Fev[CONTA],$I108)</f>
        <v>-120.94</v>
      </c>
      <c r="G108" s="4">
        <f t="shared" si="3"/>
        <v>0</v>
      </c>
      <c r="H108" s="137">
        <v>20515</v>
      </c>
      <c r="I108" s="3" t="s">
        <v>264</v>
      </c>
      <c r="J108" s="3" t="s">
        <v>349</v>
      </c>
      <c r="K108" s="4">
        <v>-120.94</v>
      </c>
      <c r="L108" s="4">
        <v>0</v>
      </c>
      <c r="M108" s="4">
        <v>13.2</v>
      </c>
      <c r="N108" s="4">
        <v>-134.13999999999999</v>
      </c>
      <c r="O108" s="4">
        <f>Tab_03.Mar[[#This Row],[DÉBITO]]-Tab_03.Mar[[#This Row],[CRÉDITO]]</f>
        <v>-13.2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A</v>
      </c>
      <c r="E109" s="2">
        <f>IF($I109="","",COUNTIFS(Tab_00.Trial[CONTA],$I109))</f>
        <v>1</v>
      </c>
      <c r="F109" s="4">
        <f>SUMIFS(Tab_02.Fev[SALDO
ATUAL],Tab_02.Fev[CONTA],$I109)</f>
        <v>-924.96</v>
      </c>
      <c r="G109" s="4">
        <f t="shared" si="3"/>
        <v>0</v>
      </c>
      <c r="H109" s="137">
        <v>20525</v>
      </c>
      <c r="I109" s="3" t="s">
        <v>350</v>
      </c>
      <c r="J109" s="3" t="s">
        <v>351</v>
      </c>
      <c r="K109" s="4">
        <v>-924.96</v>
      </c>
      <c r="L109" s="4">
        <v>1890.26</v>
      </c>
      <c r="M109" s="4">
        <v>2105.0100000000002</v>
      </c>
      <c r="N109" s="4">
        <v>-1139.71</v>
      </c>
      <c r="O109" s="4">
        <f>Tab_03.Mar[[#This Row],[DÉBITO]]-Tab_03.Mar[[#This Row],[CRÉDITO]]</f>
        <v>-214.75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A</v>
      </c>
      <c r="E110" s="2">
        <f>IF($I110="","",COUNTIFS(Tab_00.Trial[CONTA],$I110))</f>
        <v>1</v>
      </c>
      <c r="F110" s="4">
        <f>SUMIFS(Tab_02.Fev[SALDO
ATUAL],Tab_02.Fev[CONTA],$I110)</f>
        <v>-22.45</v>
      </c>
      <c r="G110" s="4">
        <f t="shared" si="3"/>
        <v>0</v>
      </c>
      <c r="H110" s="137">
        <v>20540</v>
      </c>
      <c r="I110" s="3" t="s">
        <v>352</v>
      </c>
      <c r="J110" s="3" t="s">
        <v>353</v>
      </c>
      <c r="K110" s="4">
        <v>-22.45</v>
      </c>
      <c r="L110" s="4">
        <v>11.17</v>
      </c>
      <c r="M110" s="4">
        <v>11.17</v>
      </c>
      <c r="N110" s="4">
        <v>-22.45</v>
      </c>
      <c r="O110" s="4">
        <f>Tab_03.Mar[[#This Row],[DÉBITO]]-Tab_03.Mar[[#This Row],[CRÉDITO]]</f>
        <v>0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S</v>
      </c>
      <c r="E111" s="2">
        <f>IF($I111="","",COUNTIFS(Tab_00.Trial[CONTA],$I111))</f>
        <v>1</v>
      </c>
      <c r="F111" s="4">
        <f>SUMIFS(Tab_02.Fev[SALDO
ATUAL],Tab_02.Fev[CONTA],$I111)</f>
        <v>-484.18</v>
      </c>
      <c r="G111" s="4">
        <f t="shared" si="3"/>
        <v>0</v>
      </c>
      <c r="H111" s="137">
        <v>20565</v>
      </c>
      <c r="I111" s="3" t="s">
        <v>223</v>
      </c>
      <c r="J111" s="3" t="s">
        <v>663</v>
      </c>
      <c r="K111" s="4">
        <v>-484.18</v>
      </c>
      <c r="L111" s="4">
        <v>0</v>
      </c>
      <c r="M111" s="4">
        <v>0</v>
      </c>
      <c r="N111" s="4">
        <v>-484.18</v>
      </c>
      <c r="O111" s="4">
        <f>Tab_03.Mar[[#This Row],[DÉBITO]]-Tab_03.Mar[[#This Row],[CRÉDITO]]</f>
        <v>0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A</v>
      </c>
      <c r="E112" s="2">
        <f>IF($I112="","",COUNTIFS(Tab_00.Trial[CONTA],$I112))</f>
        <v>1</v>
      </c>
      <c r="F112" s="4">
        <f>SUMIFS(Tab_02.Fev[SALDO
ATUAL],Tab_02.Fev[CONTA],$I112)</f>
        <v>-484.18</v>
      </c>
      <c r="G112" s="4">
        <f t="shared" si="3"/>
        <v>0</v>
      </c>
      <c r="H112" s="137">
        <v>20576</v>
      </c>
      <c r="I112" s="3" t="s">
        <v>354</v>
      </c>
      <c r="J112" s="3" t="s">
        <v>355</v>
      </c>
      <c r="K112" s="4">
        <v>-484.18</v>
      </c>
      <c r="L112" s="4">
        <v>0</v>
      </c>
      <c r="M112" s="4">
        <v>0</v>
      </c>
      <c r="N112" s="4">
        <v>-484.18</v>
      </c>
      <c r="O112" s="4">
        <f>Tab_03.Mar[[#This Row],[DÉBITO]]-Tab_03.Mar[[#This Row],[CRÉDITO]]</f>
        <v>0</v>
      </c>
    </row>
    <row r="113" spans="2:15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S</v>
      </c>
      <c r="E113" s="2">
        <f>IF($I113="","",COUNTIFS(Tab_00.Trial[CONTA],$I113))</f>
        <v>1</v>
      </c>
      <c r="F113" s="4">
        <f>SUMIFS(Tab_02.Fev[SALDO
ATUAL],Tab_02.Fev[CONTA],$I113)</f>
        <v>-22506.69</v>
      </c>
      <c r="G113" s="4">
        <f t="shared" si="3"/>
        <v>0</v>
      </c>
      <c r="H113" s="137">
        <v>20690</v>
      </c>
      <c r="I113" s="3" t="s">
        <v>224</v>
      </c>
      <c r="J113" s="3" t="s">
        <v>664</v>
      </c>
      <c r="K113" s="4">
        <v>-22506.69</v>
      </c>
      <c r="L113" s="4">
        <v>624.91</v>
      </c>
      <c r="M113" s="4">
        <v>606.33000000000004</v>
      </c>
      <c r="N113" s="4">
        <v>-22488.11</v>
      </c>
      <c r="O113" s="4">
        <f>Tab_03.Mar[[#This Row],[DÉBITO]]-Tab_03.Mar[[#This Row],[CRÉDITO]]</f>
        <v>18.579999999999998</v>
      </c>
    </row>
    <row r="114" spans="2:15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5</v>
      </c>
      <c r="D114" s="2" t="str">
        <f>_xlfn.XLOOKUP($I114,Tab_00.Trial[CONTA],Tab_00.Trial[S/A],"",0,1)</f>
        <v>S</v>
      </c>
      <c r="E114" s="2">
        <f>IF($I114="","",COUNTIFS(Tab_00.Trial[CONTA],$I114))</f>
        <v>1</v>
      </c>
      <c r="F114" s="4">
        <f>SUMIFS(Tab_02.Fev[SALDO
ATUAL],Tab_02.Fev[CONTA],$I114)</f>
        <v>-22506.69</v>
      </c>
      <c r="G114" s="4">
        <f t="shared" si="3"/>
        <v>0</v>
      </c>
      <c r="H114" s="137">
        <v>20705</v>
      </c>
      <c r="I114" s="3" t="s">
        <v>225</v>
      </c>
      <c r="J114" s="3" t="s">
        <v>665</v>
      </c>
      <c r="K114" s="4">
        <v>-22506.69</v>
      </c>
      <c r="L114" s="4">
        <v>624.91</v>
      </c>
      <c r="M114" s="4">
        <v>606.33000000000004</v>
      </c>
      <c r="N114" s="4">
        <v>-22488.11</v>
      </c>
      <c r="O114" s="4">
        <f>Tab_03.Mar[[#This Row],[DÉBITO]]-Tab_03.Mar[[#This Row],[CRÉDITO]]</f>
        <v>18.579999999999998</v>
      </c>
    </row>
    <row r="115" spans="2:15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5</v>
      </c>
      <c r="D115" s="2" t="str">
        <f>_xlfn.XLOOKUP($I115,Tab_00.Trial[CONTA],Tab_00.Trial[S/A],"",0,1)</f>
        <v>A</v>
      </c>
      <c r="E115" s="2">
        <f>IF($I115="","",COUNTIFS(Tab_00.Trial[CONTA],$I115))</f>
        <v>1</v>
      </c>
      <c r="F115" s="4">
        <f>SUMIFS(Tab_02.Fev[SALDO
ATUAL],Tab_02.Fev[CONTA],$I115)</f>
        <v>-22506.69</v>
      </c>
      <c r="G115" s="4">
        <f t="shared" si="3"/>
        <v>0</v>
      </c>
      <c r="H115" s="137">
        <v>20750</v>
      </c>
      <c r="I115" s="3" t="s">
        <v>356</v>
      </c>
      <c r="J115" s="3" t="s">
        <v>357</v>
      </c>
      <c r="K115" s="4">
        <v>-22506.69</v>
      </c>
      <c r="L115" s="4">
        <v>624.91</v>
      </c>
      <c r="M115" s="4">
        <v>606.33000000000004</v>
      </c>
      <c r="N115" s="4">
        <v>-22488.11</v>
      </c>
      <c r="O115" s="4">
        <f>Tab_03.Mar[[#This Row],[DÉBITO]]-Tab_03.Mar[[#This Row],[CRÉDITO]]</f>
        <v>18.579999999999998</v>
      </c>
    </row>
    <row r="116" spans="2:15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5</v>
      </c>
      <c r="D116" s="2" t="str">
        <f>_xlfn.XLOOKUP($I116,Tab_00.Trial[CONTA],Tab_00.Trial[S/A],"",0,1)</f>
        <v>S</v>
      </c>
      <c r="E116" s="2">
        <f>IF($I116="","",COUNTIFS(Tab_00.Trial[CONTA],$I116))</f>
        <v>1</v>
      </c>
      <c r="F116" s="4">
        <f>SUMIFS(Tab_02.Fev[SALDO
ATUAL],Tab_02.Fev[CONTA],$I116)</f>
        <v>-3849.2</v>
      </c>
      <c r="G116" s="4">
        <f t="shared" si="3"/>
        <v>0</v>
      </c>
      <c r="H116" s="137">
        <v>20765</v>
      </c>
      <c r="I116" s="3" t="s">
        <v>564</v>
      </c>
      <c r="J116" s="3" t="s">
        <v>666</v>
      </c>
      <c r="K116" s="4">
        <v>-3849.2</v>
      </c>
      <c r="L116" s="4">
        <v>0</v>
      </c>
      <c r="M116" s="4">
        <v>0</v>
      </c>
      <c r="N116" s="4">
        <v>-3849.2</v>
      </c>
      <c r="O116" s="4">
        <f>Tab_03.Mar[[#This Row],[DÉBITO]]-Tab_03.Mar[[#This Row],[CRÉDITO]]</f>
        <v>0</v>
      </c>
    </row>
    <row r="117" spans="2:15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5</v>
      </c>
      <c r="D117" s="2" t="str">
        <f>_xlfn.XLOOKUP($I117,Tab_00.Trial[CONTA],Tab_00.Trial[S/A],"",0,1)</f>
        <v>S</v>
      </c>
      <c r="E117" s="2">
        <f>IF($I117="","",COUNTIFS(Tab_00.Trial[CONTA],$I117))</f>
        <v>1</v>
      </c>
      <c r="F117" s="4">
        <f>SUMIFS(Tab_02.Fev[SALDO
ATUAL],Tab_02.Fev[CONTA],$I117)</f>
        <v>-3849.2</v>
      </c>
      <c r="G117" s="4">
        <f t="shared" si="3"/>
        <v>0</v>
      </c>
      <c r="H117" s="137">
        <v>20780</v>
      </c>
      <c r="I117" s="3" t="s">
        <v>565</v>
      </c>
      <c r="J117" s="3" t="s">
        <v>667</v>
      </c>
      <c r="K117" s="4">
        <v>-3849.2</v>
      </c>
      <c r="L117" s="4">
        <v>0</v>
      </c>
      <c r="M117" s="4">
        <v>0</v>
      </c>
      <c r="N117" s="4">
        <v>-3849.2</v>
      </c>
      <c r="O117" s="4">
        <f>Tab_03.Mar[[#This Row],[DÉBITO]]-Tab_03.Mar[[#This Row],[CRÉDITO]]</f>
        <v>0</v>
      </c>
    </row>
    <row r="118" spans="2:15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5</v>
      </c>
      <c r="D118" s="2" t="str">
        <f>_xlfn.XLOOKUP($I118,Tab_00.Trial[CONTA],Tab_00.Trial[S/A],"",0,1)</f>
        <v>A</v>
      </c>
      <c r="E118" s="2">
        <f>IF($I118="","",COUNTIFS(Tab_00.Trial[CONTA],$I118))</f>
        <v>1</v>
      </c>
      <c r="F118" s="4">
        <f>SUMIFS(Tab_02.Fev[SALDO
ATUAL],Tab_02.Fev[CONTA],$I118)</f>
        <v>-3849.2</v>
      </c>
      <c r="G118" s="4">
        <f t="shared" si="3"/>
        <v>0</v>
      </c>
      <c r="H118" s="137">
        <v>20790</v>
      </c>
      <c r="I118" s="3" t="s">
        <v>358</v>
      </c>
      <c r="J118" s="3" t="s">
        <v>359</v>
      </c>
      <c r="K118" s="4">
        <v>-3849.2</v>
      </c>
      <c r="L118" s="4">
        <v>0</v>
      </c>
      <c r="M118" s="4">
        <v>0</v>
      </c>
      <c r="N118" s="4">
        <v>-3849.2</v>
      </c>
      <c r="O118" s="4">
        <f>Tab_03.Mar[[#This Row],[DÉBITO]]-Tab_03.Mar[[#This Row],[CRÉDITO]]</f>
        <v>0</v>
      </c>
    </row>
    <row r="119" spans="2:15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2</v>
      </c>
      <c r="D119" s="2" t="str">
        <f>_xlfn.XLOOKUP($I119,Tab_00.Trial[CONTA],Tab_00.Trial[S/A],"",0,1)</f>
        <v>S</v>
      </c>
      <c r="E119" s="2">
        <f>IF($I119="","",COUNTIFS(Tab_00.Trial[CONTA],$I119))</f>
        <v>1</v>
      </c>
      <c r="F119" s="4">
        <f>SUMIFS(Tab_02.Fev[SALDO
ATUAL],Tab_02.Fev[CONTA],$I119)</f>
        <v>-46934.04</v>
      </c>
      <c r="G119" s="4">
        <f t="shared" si="3"/>
        <v>0</v>
      </c>
      <c r="H119" s="137">
        <v>20885</v>
      </c>
      <c r="I119" s="3" t="s">
        <v>226</v>
      </c>
      <c r="J119" s="3" t="s">
        <v>76</v>
      </c>
      <c r="K119" s="4">
        <v>-46934.04</v>
      </c>
      <c r="L119" s="4">
        <v>0</v>
      </c>
      <c r="M119" s="4">
        <v>0</v>
      </c>
      <c r="N119" s="4">
        <v>-46934.04</v>
      </c>
      <c r="O119" s="4">
        <f>Tab_03.Mar[[#This Row],[DÉBITO]]-Tab_03.Mar[[#This Row],[CRÉDITO]]</f>
        <v>0</v>
      </c>
    </row>
    <row r="120" spans="2:15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5</v>
      </c>
      <c r="D120" s="2" t="str">
        <f>_xlfn.XLOOKUP($I120,Tab_00.Trial[CONTA],Tab_00.Trial[S/A],"",0,1)</f>
        <v>S</v>
      </c>
      <c r="E120" s="2">
        <f>IF($I120="","",COUNTIFS(Tab_00.Trial[CONTA],$I120))</f>
        <v>1</v>
      </c>
      <c r="F120" s="4">
        <f>SUMIFS(Tab_02.Fev[SALDO
ATUAL],Tab_02.Fev[CONTA],$I120)</f>
        <v>-46934.04</v>
      </c>
      <c r="G120" s="4">
        <f t="shared" si="3"/>
        <v>0</v>
      </c>
      <c r="H120" s="137">
        <v>21110</v>
      </c>
      <c r="I120" s="3" t="s">
        <v>566</v>
      </c>
      <c r="J120" s="3" t="s">
        <v>668</v>
      </c>
      <c r="K120" s="4">
        <v>-46934.04</v>
      </c>
      <c r="L120" s="4">
        <v>0</v>
      </c>
      <c r="M120" s="4">
        <v>0</v>
      </c>
      <c r="N120" s="4">
        <v>-46934.04</v>
      </c>
      <c r="O120" s="4">
        <f>Tab_03.Mar[[#This Row],[DÉBITO]]-Tab_03.Mar[[#This Row],[CRÉDITO]]</f>
        <v>0</v>
      </c>
    </row>
    <row r="121" spans="2:15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5</v>
      </c>
      <c r="D121" s="2" t="str">
        <f>_xlfn.XLOOKUP($I121,Tab_00.Trial[CONTA],Tab_00.Trial[S/A],"",0,1)</f>
        <v>S</v>
      </c>
      <c r="E121" s="2">
        <f>IF($I121="","",COUNTIFS(Tab_00.Trial[CONTA],$I121))</f>
        <v>1</v>
      </c>
      <c r="F121" s="4">
        <f>SUMIFS(Tab_02.Fev[SALDO
ATUAL],Tab_02.Fev[CONTA],$I121)</f>
        <v>-46934.04</v>
      </c>
      <c r="G121" s="4">
        <f t="shared" si="3"/>
        <v>0</v>
      </c>
      <c r="H121" s="137">
        <v>21125</v>
      </c>
      <c r="I121" s="3" t="s">
        <v>567</v>
      </c>
      <c r="J121" s="3" t="s">
        <v>669</v>
      </c>
      <c r="K121" s="4">
        <v>-46934.04</v>
      </c>
      <c r="L121" s="4">
        <v>0</v>
      </c>
      <c r="M121" s="4">
        <v>0</v>
      </c>
      <c r="N121" s="4">
        <v>-46934.04</v>
      </c>
      <c r="O121" s="4">
        <f>Tab_03.Mar[[#This Row],[DÉBITO]]-Tab_03.Mar[[#This Row],[CRÉDITO]]</f>
        <v>0</v>
      </c>
    </row>
    <row r="122" spans="2:15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5</v>
      </c>
      <c r="D122" s="2" t="str">
        <f>_xlfn.XLOOKUP($I122,Tab_00.Trial[CONTA],Tab_00.Trial[S/A],"",0,1)</f>
        <v>A</v>
      </c>
      <c r="E122" s="2">
        <f>IF($I122="","",COUNTIFS(Tab_00.Trial[CONTA],$I122))</f>
        <v>1</v>
      </c>
      <c r="F122" s="4">
        <f>SUMIFS(Tab_02.Fev[SALDO
ATUAL],Tab_02.Fev[CONTA],$I122)</f>
        <v>-31934.04</v>
      </c>
      <c r="G122" s="4">
        <f t="shared" si="3"/>
        <v>0</v>
      </c>
      <c r="H122" s="137">
        <v>21170</v>
      </c>
      <c r="I122" s="3" t="s">
        <v>360</v>
      </c>
      <c r="J122" s="3" t="s">
        <v>361</v>
      </c>
      <c r="K122" s="4">
        <v>-31934.04</v>
      </c>
      <c r="L122" s="4">
        <v>0</v>
      </c>
      <c r="M122" s="4">
        <v>0</v>
      </c>
      <c r="N122" s="4">
        <v>-31934.04</v>
      </c>
      <c r="O122" s="4">
        <f>Tab_03.Mar[[#This Row],[DÉBITO]]-Tab_03.Mar[[#This Row],[CRÉDITO]]</f>
        <v>0</v>
      </c>
    </row>
    <row r="123" spans="2:15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A</v>
      </c>
      <c r="E123" s="2">
        <f>IF($I123="","",COUNTIFS(Tab_00.Trial[CONTA],$I123))</f>
        <v>1</v>
      </c>
      <c r="F123" s="4">
        <f>SUMIFS(Tab_02.Fev[SALDO
ATUAL],Tab_02.Fev[CONTA],$I123)</f>
        <v>-15000</v>
      </c>
      <c r="G123" s="4">
        <f t="shared" si="3"/>
        <v>0</v>
      </c>
      <c r="H123" s="137">
        <v>21185</v>
      </c>
      <c r="I123" s="3" t="s">
        <v>362</v>
      </c>
      <c r="J123" s="3" t="s">
        <v>363</v>
      </c>
      <c r="K123" s="4">
        <v>-15000</v>
      </c>
      <c r="L123" s="4">
        <v>0</v>
      </c>
      <c r="M123" s="4">
        <v>0</v>
      </c>
      <c r="N123" s="4">
        <v>-15000</v>
      </c>
      <c r="O123" s="4">
        <f>Tab_03.Mar[[#This Row],[DÉBITO]]-Tab_03.Mar[[#This Row],[CRÉDITO]]</f>
        <v>0</v>
      </c>
    </row>
    <row r="124" spans="2:15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2</v>
      </c>
      <c r="D124" s="2" t="str">
        <f>_xlfn.XLOOKUP($I124,Tab_00.Trial[CONTA],Tab_00.Trial[S/A],"",0,1)</f>
        <v>S</v>
      </c>
      <c r="E124" s="2">
        <f>IF($I124="","",COUNTIFS(Tab_00.Trial[CONTA],$I124))</f>
        <v>1</v>
      </c>
      <c r="F124" s="4">
        <f>SUMIFS(Tab_02.Fev[SALDO
ATUAL],Tab_02.Fev[CONTA],$I124)</f>
        <v>-82087967.730000004</v>
      </c>
      <c r="G124" s="4">
        <f t="shared" si="3"/>
        <v>0</v>
      </c>
      <c r="H124" s="137">
        <v>21200</v>
      </c>
      <c r="I124" s="3" t="s">
        <v>228</v>
      </c>
      <c r="J124" s="3" t="s">
        <v>670</v>
      </c>
      <c r="K124" s="4">
        <v>-82087967.730000004</v>
      </c>
      <c r="L124" s="4">
        <v>0</v>
      </c>
      <c r="M124" s="4">
        <v>0</v>
      </c>
      <c r="N124" s="4">
        <v>-82087967.730000004</v>
      </c>
      <c r="O124" s="4">
        <f>Tab_03.Mar[[#This Row],[DÉBITO]]-Tab_03.Mar[[#This Row],[CRÉDITO]]</f>
        <v>0</v>
      </c>
    </row>
    <row r="125" spans="2:15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5</v>
      </c>
      <c r="D125" s="2" t="str">
        <f>_xlfn.XLOOKUP($I125,Tab_00.Trial[CONTA],Tab_00.Trial[S/A],"",0,1)</f>
        <v>S</v>
      </c>
      <c r="E125" s="2">
        <f>IF($I125="","",COUNTIFS(Tab_00.Trial[CONTA],$I125))</f>
        <v>1</v>
      </c>
      <c r="F125" s="4">
        <f>SUMIFS(Tab_02.Fev[SALDO
ATUAL],Tab_02.Fev[CONTA],$I125)</f>
        <v>-82087967.730000004</v>
      </c>
      <c r="G125" s="4">
        <f t="shared" si="3"/>
        <v>0</v>
      </c>
      <c r="H125" s="137">
        <v>21215</v>
      </c>
      <c r="I125" s="3" t="s">
        <v>229</v>
      </c>
      <c r="J125" s="3" t="s">
        <v>670</v>
      </c>
      <c r="K125" s="4">
        <v>-82087967.730000004</v>
      </c>
      <c r="L125" s="4">
        <v>0</v>
      </c>
      <c r="M125" s="4">
        <v>0</v>
      </c>
      <c r="N125" s="4">
        <v>-82087967.730000004</v>
      </c>
      <c r="O125" s="4">
        <f>Tab_03.Mar[[#This Row],[DÉBITO]]-Tab_03.Mar[[#This Row],[CRÉDITO]]</f>
        <v>0</v>
      </c>
    </row>
    <row r="126" spans="2:15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S</v>
      </c>
      <c r="E126" s="2">
        <f>IF($I126="","",COUNTIFS(Tab_00.Trial[CONTA],$I126))</f>
        <v>1</v>
      </c>
      <c r="F126" s="4">
        <f>SUMIFS(Tab_02.Fev[SALDO
ATUAL],Tab_02.Fev[CONTA],$I126)</f>
        <v>-104784619.59999999</v>
      </c>
      <c r="G126" s="4">
        <f t="shared" si="3"/>
        <v>0</v>
      </c>
      <c r="H126" s="137">
        <v>21230</v>
      </c>
      <c r="I126" s="3" t="s">
        <v>230</v>
      </c>
      <c r="J126" s="3" t="s">
        <v>364</v>
      </c>
      <c r="K126" s="4">
        <v>-104784619.59999999</v>
      </c>
      <c r="L126" s="4">
        <v>0</v>
      </c>
      <c r="M126" s="4">
        <v>0</v>
      </c>
      <c r="N126" s="4">
        <v>-104784619.59999999</v>
      </c>
      <c r="O126" s="4">
        <f>Tab_03.Mar[[#This Row],[DÉBITO]]-Tab_03.Mar[[#This Row],[CRÉDITO]]</f>
        <v>0</v>
      </c>
    </row>
    <row r="127" spans="2:15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A</v>
      </c>
      <c r="E127" s="2">
        <f>IF($I127="","",COUNTIFS(Tab_00.Trial[CONTA],$I127))</f>
        <v>1</v>
      </c>
      <c r="F127" s="4">
        <f>SUMIFS(Tab_02.Fev[SALDO
ATUAL],Tab_02.Fev[CONTA],$I127)</f>
        <v>-104784619.59999999</v>
      </c>
      <c r="G127" s="4">
        <f t="shared" si="3"/>
        <v>0</v>
      </c>
      <c r="H127" s="137">
        <v>21245</v>
      </c>
      <c r="I127" s="3" t="s">
        <v>193</v>
      </c>
      <c r="J127" s="3" t="s">
        <v>364</v>
      </c>
      <c r="K127" s="4">
        <v>-104784619.59999999</v>
      </c>
      <c r="L127" s="4">
        <v>0</v>
      </c>
      <c r="M127" s="4">
        <v>0</v>
      </c>
      <c r="N127" s="4">
        <v>-104784619.59999999</v>
      </c>
      <c r="O127" s="4">
        <f>Tab_03.Mar[[#This Row],[DÉBITO]]-Tab_03.Mar[[#This Row],[CRÉDITO]]</f>
        <v>0</v>
      </c>
    </row>
    <row r="128" spans="2:15" x14ac:dyDescent="0.3">
      <c r="B128" s="2" t="str">
        <f>_xlfn.XLOOKUP($I128,Tab_00.Trial[CONTA],Tab_00.Trial[TP],"",0,1)</f>
        <v>P</v>
      </c>
      <c r="C128" s="2">
        <f>_xlfn.XLOOKUP($I128,Tab_00.Trial[CONTA],Tab_00.Trial[NV],"",0,1)</f>
        <v>5</v>
      </c>
      <c r="D128" s="2" t="str">
        <f>_xlfn.XLOOKUP($I128,Tab_00.Trial[CONTA],Tab_00.Trial[S/A],"",0,1)</f>
        <v>S</v>
      </c>
      <c r="E128" s="2">
        <f>IF($I128="","",COUNTIFS(Tab_00.Trial[CONTA],$I128))</f>
        <v>1</v>
      </c>
      <c r="F128" s="4">
        <f>SUMIFS(Tab_02.Fev[SALDO
ATUAL],Tab_02.Fev[CONTA],$I128)</f>
        <v>32587250.850000001</v>
      </c>
      <c r="G128" s="4">
        <f t="shared" si="3"/>
        <v>0</v>
      </c>
      <c r="H128" s="137">
        <v>21305</v>
      </c>
      <c r="I128" s="3" t="s">
        <v>568</v>
      </c>
      <c r="J128" s="3" t="s">
        <v>671</v>
      </c>
      <c r="K128" s="4">
        <v>32587250.850000001</v>
      </c>
      <c r="L128" s="4">
        <v>0</v>
      </c>
      <c r="M128" s="4">
        <v>0</v>
      </c>
      <c r="N128" s="4">
        <v>32587250.850000001</v>
      </c>
      <c r="O128" s="4">
        <f>Tab_03.Mar[[#This Row],[DÉBITO]]-Tab_03.Mar[[#This Row],[CRÉDITO]]</f>
        <v>0</v>
      </c>
    </row>
    <row r="129" spans="2:15" x14ac:dyDescent="0.3">
      <c r="B129" s="2" t="str">
        <f>_xlfn.XLOOKUP($I129,Tab_00.Trial[CONTA],Tab_00.Trial[TP],"",0,1)</f>
        <v>P</v>
      </c>
      <c r="C129" s="2">
        <f>_xlfn.XLOOKUP($I129,Tab_00.Trial[CONTA],Tab_00.Trial[NV],"",0,1)</f>
        <v>5</v>
      </c>
      <c r="D129" s="2" t="str">
        <f>_xlfn.XLOOKUP($I129,Tab_00.Trial[CONTA],Tab_00.Trial[S/A],"",0,1)</f>
        <v>A</v>
      </c>
      <c r="E129" s="2">
        <f>IF($I129="","",COUNTIFS(Tab_00.Trial[CONTA],$I129))</f>
        <v>1</v>
      </c>
      <c r="F129" s="4">
        <f>SUMIFS(Tab_02.Fev[SALDO
ATUAL],Tab_02.Fev[CONTA],$I129)</f>
        <v>-827719.82</v>
      </c>
      <c r="G129" s="4">
        <f t="shared" si="3"/>
        <v>0</v>
      </c>
      <c r="H129" s="137">
        <v>21320</v>
      </c>
      <c r="I129" s="3" t="s">
        <v>743</v>
      </c>
      <c r="J129" s="3" t="s">
        <v>744</v>
      </c>
      <c r="K129" s="4">
        <v>-827719.82</v>
      </c>
      <c r="L129" s="4">
        <v>0</v>
      </c>
      <c r="M129" s="4">
        <v>0</v>
      </c>
      <c r="N129" s="4">
        <v>-827719.82</v>
      </c>
      <c r="O129" s="4">
        <f>Tab_03.Mar[[#This Row],[DÉBITO]]-Tab_03.Mar[[#This Row],[CRÉDITO]]</f>
        <v>0</v>
      </c>
    </row>
    <row r="130" spans="2:15" x14ac:dyDescent="0.3">
      <c r="B130" s="2" t="str">
        <f>_xlfn.XLOOKUP($I130,Tab_00.Trial[CONTA],Tab_00.Trial[TP],"",0,1)</f>
        <v>P</v>
      </c>
      <c r="C130" s="2">
        <f>_xlfn.XLOOKUP($I130,Tab_00.Trial[CONTA],Tab_00.Trial[NV],"",0,1)</f>
        <v>5</v>
      </c>
      <c r="D130" s="2" t="str">
        <f>_xlfn.XLOOKUP($I130,Tab_00.Trial[CONTA],Tab_00.Trial[S/A],"",0,1)</f>
        <v>A</v>
      </c>
      <c r="E130" s="2">
        <f>IF($I130="","",COUNTIFS(Tab_00.Trial[CONTA],$I130))</f>
        <v>1</v>
      </c>
      <c r="F130" s="4">
        <f>SUMIFS(Tab_02.Fev[SALDO
ATUAL],Tab_02.Fev[CONTA],$I130)</f>
        <v>33414970.670000002</v>
      </c>
      <c r="G130" s="4">
        <f t="shared" si="3"/>
        <v>0</v>
      </c>
      <c r="H130" s="137">
        <v>21335</v>
      </c>
      <c r="I130" s="3" t="s">
        <v>365</v>
      </c>
      <c r="J130" s="3" t="s">
        <v>366</v>
      </c>
      <c r="K130" s="4">
        <v>33414970.670000002</v>
      </c>
      <c r="L130" s="4">
        <v>0</v>
      </c>
      <c r="M130" s="4">
        <v>0</v>
      </c>
      <c r="N130" s="4">
        <v>33414970.670000002</v>
      </c>
      <c r="O130" s="4">
        <f>Tab_03.Mar[[#This Row],[DÉBITO]]-Tab_03.Mar[[#This Row],[CRÉDITO]]</f>
        <v>0</v>
      </c>
    </row>
    <row r="131" spans="2:15" x14ac:dyDescent="0.3">
      <c r="B131" s="2" t="str">
        <f>_xlfn.XLOOKUP($I131,Tab_00.Trial[CONTA],Tab_00.Trial[TP],"",0,1)</f>
        <v>P</v>
      </c>
      <c r="C131" s="2">
        <f>_xlfn.XLOOKUP($I131,Tab_00.Trial[CONTA],Tab_00.Trial[NV],"",0,1)</f>
        <v>5</v>
      </c>
      <c r="D131" s="2" t="str">
        <f>_xlfn.XLOOKUP($I131,Tab_00.Trial[CONTA],Tab_00.Trial[S/A],"",0,1)</f>
        <v>S</v>
      </c>
      <c r="E131" s="2">
        <f>IF($I131="","",COUNTIFS(Tab_00.Trial[CONTA],$I131))</f>
        <v>1</v>
      </c>
      <c r="F131" s="4">
        <f>SUMIFS(Tab_02.Fev[SALDO
ATUAL],Tab_02.Fev[CONTA],$I131)</f>
        <v>-9890598.9800000004</v>
      </c>
      <c r="G131" s="4">
        <f t="shared" si="3"/>
        <v>0</v>
      </c>
      <c r="H131" s="137">
        <v>21350</v>
      </c>
      <c r="I131" s="3" t="s">
        <v>745</v>
      </c>
      <c r="J131" s="3" t="s">
        <v>746</v>
      </c>
      <c r="K131" s="4">
        <v>-9890598.9800000004</v>
      </c>
      <c r="L131" s="4">
        <v>0</v>
      </c>
      <c r="M131" s="4">
        <v>0</v>
      </c>
      <c r="N131" s="4">
        <v>-9890598.9800000004</v>
      </c>
      <c r="O131" s="4">
        <f>Tab_03.Mar[[#This Row],[DÉBITO]]-Tab_03.Mar[[#This Row],[CRÉDITO]]</f>
        <v>0</v>
      </c>
    </row>
    <row r="132" spans="2:15" x14ac:dyDescent="0.3">
      <c r="B132" s="2" t="str">
        <f>_xlfn.XLOOKUP($I132,Tab_00.Trial[CONTA],Tab_00.Trial[TP],"",0,1)</f>
        <v>P</v>
      </c>
      <c r="C132" s="2">
        <f>_xlfn.XLOOKUP($I132,Tab_00.Trial[CONTA],Tab_00.Trial[NV],"",0,1)</f>
        <v>5</v>
      </c>
      <c r="D132" s="2" t="str">
        <f>_xlfn.XLOOKUP($I132,Tab_00.Trial[CONTA],Tab_00.Trial[S/A],"",0,1)</f>
        <v>A</v>
      </c>
      <c r="E132" s="2">
        <f>IF($I132="","",COUNTIFS(Tab_00.Trial[CONTA],$I132))</f>
        <v>1</v>
      </c>
      <c r="F132" s="4">
        <f>SUMIFS(Tab_02.Fev[SALDO
ATUAL],Tab_02.Fev[CONTA],$I132)</f>
        <v>-9890598.9800000004</v>
      </c>
      <c r="G132" s="4">
        <f t="shared" si="3"/>
        <v>0</v>
      </c>
      <c r="H132" s="137">
        <v>21365</v>
      </c>
      <c r="I132" s="3" t="s">
        <v>747</v>
      </c>
      <c r="J132" s="3" t="s">
        <v>746</v>
      </c>
      <c r="K132" s="4">
        <v>-9890598.9800000004</v>
      </c>
      <c r="L132" s="4">
        <v>0</v>
      </c>
      <c r="M132" s="4">
        <v>0</v>
      </c>
      <c r="N132" s="4">
        <v>-9890598.9800000004</v>
      </c>
      <c r="O132" s="4">
        <f>Tab_03.Mar[[#This Row],[DÉBITO]]-Tab_03.Mar[[#This Row],[CRÉDITO]]</f>
        <v>0</v>
      </c>
    </row>
    <row r="133" spans="2:15" x14ac:dyDescent="0.3">
      <c r="B133" s="2" t="str">
        <f>_xlfn.XLOOKUP($I133,Tab_00.Trial[CONTA],Tab_00.Trial[TP],"",0,1)</f>
        <v>R</v>
      </c>
      <c r="C133" s="2">
        <f>_xlfn.XLOOKUP($I133,Tab_00.Trial[CONTA],Tab_00.Trial[NV],"",0,1)</f>
        <v>1</v>
      </c>
      <c r="D133" s="2" t="str">
        <f>_xlfn.XLOOKUP($I133,Tab_00.Trial[CONTA],Tab_00.Trial[S/A],"",0,1)</f>
        <v>S</v>
      </c>
      <c r="E133" s="2">
        <f>IF($I133="","",COUNTIFS(Tab_00.Trial[CONTA],$I133))</f>
        <v>1</v>
      </c>
      <c r="F133" s="4">
        <f>SUMIFS(Tab_02.Fev[SALDO
ATUAL],Tab_02.Fev[CONTA],$I133)</f>
        <v>-2346861.59</v>
      </c>
      <c r="G133" s="4">
        <f t="shared" si="3"/>
        <v>0</v>
      </c>
      <c r="H133" s="137">
        <v>30000</v>
      </c>
      <c r="I133" s="3">
        <v>3</v>
      </c>
      <c r="J133" s="3" t="s">
        <v>672</v>
      </c>
      <c r="K133" s="4">
        <v>-2346861.59</v>
      </c>
      <c r="L133" s="4">
        <v>0</v>
      </c>
      <c r="M133" s="4">
        <v>1357483.78</v>
      </c>
      <c r="N133" s="4">
        <v>-3704345.37</v>
      </c>
      <c r="O133" s="4">
        <f>Tab_03.Mar[[#This Row],[DÉBITO]]-Tab_03.Mar[[#This Row],[CRÉDITO]]</f>
        <v>-1357483.78</v>
      </c>
    </row>
    <row r="134" spans="2:15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2</v>
      </c>
      <c r="D134" s="2" t="str">
        <f>_xlfn.XLOOKUP($I134,Tab_00.Trial[CONTA],Tab_00.Trial[S/A],"",0,1)</f>
        <v>S</v>
      </c>
      <c r="E134" s="2">
        <f>IF($I134="","",COUNTIFS(Tab_00.Trial[CONTA],$I134))</f>
        <v>1</v>
      </c>
      <c r="F134" s="4">
        <f>SUMIFS(Tab_02.Fev[SALDO
ATUAL],Tab_02.Fev[CONTA],$I134)</f>
        <v>-1068952.32</v>
      </c>
      <c r="G134" s="4">
        <f t="shared" si="3"/>
        <v>0</v>
      </c>
      <c r="H134" s="137">
        <v>30030</v>
      </c>
      <c r="I134" s="3" t="s">
        <v>231</v>
      </c>
      <c r="J134" s="3" t="s">
        <v>673</v>
      </c>
      <c r="K134" s="4">
        <v>-1068952.32</v>
      </c>
      <c r="L134" s="4">
        <v>0</v>
      </c>
      <c r="M134" s="4">
        <v>606776.81000000006</v>
      </c>
      <c r="N134" s="4">
        <v>-1675729.13</v>
      </c>
      <c r="O134" s="4">
        <f>Tab_03.Mar[[#This Row],[DÉBITO]]-Tab_03.Mar[[#This Row],[CRÉDITO]]</f>
        <v>-606776.81000000006</v>
      </c>
    </row>
    <row r="135" spans="2:15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5</v>
      </c>
      <c r="D135" s="2" t="str">
        <f>_xlfn.XLOOKUP($I135,Tab_00.Trial[CONTA],Tab_00.Trial[S/A],"",0,1)</f>
        <v>S</v>
      </c>
      <c r="E135" s="2">
        <f>IF($I135="","",COUNTIFS(Tab_00.Trial[CONTA],$I135))</f>
        <v>1</v>
      </c>
      <c r="F135" s="4">
        <f>SUMIFS(Tab_02.Fev[SALDO
ATUAL],Tab_02.Fev[CONTA],$I135)</f>
        <v>-662761.13</v>
      </c>
      <c r="G135" s="4">
        <f t="shared" si="3"/>
        <v>0</v>
      </c>
      <c r="H135" s="137">
        <v>30045</v>
      </c>
      <c r="I135" s="3" t="s">
        <v>232</v>
      </c>
      <c r="J135" s="3" t="s">
        <v>674</v>
      </c>
      <c r="K135" s="4">
        <v>-662761.13</v>
      </c>
      <c r="L135" s="4">
        <v>0</v>
      </c>
      <c r="M135" s="4">
        <v>402105.77</v>
      </c>
      <c r="N135" s="4">
        <v>-1064866.8999999999</v>
      </c>
      <c r="O135" s="4">
        <f>Tab_03.Mar[[#This Row],[DÉBITO]]-Tab_03.Mar[[#This Row],[CRÉDITO]]</f>
        <v>-402105.77</v>
      </c>
    </row>
    <row r="136" spans="2:15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S</v>
      </c>
      <c r="E136" s="2">
        <f>IF($I136="","",COUNTIFS(Tab_00.Trial[CONTA],$I136))</f>
        <v>1</v>
      </c>
      <c r="F136" s="4">
        <f>SUMIFS(Tab_02.Fev[SALDO
ATUAL],Tab_02.Fev[CONTA],$I136)</f>
        <v>-227807.2</v>
      </c>
      <c r="G136" s="4">
        <f t="shared" si="3"/>
        <v>0</v>
      </c>
      <c r="H136" s="137">
        <v>30470</v>
      </c>
      <c r="I136" s="3" t="s">
        <v>233</v>
      </c>
      <c r="J136" s="3" t="s">
        <v>675</v>
      </c>
      <c r="K136" s="4">
        <v>-227807.2</v>
      </c>
      <c r="L136" s="4">
        <v>0</v>
      </c>
      <c r="M136" s="4">
        <v>154690.84</v>
      </c>
      <c r="N136" s="4">
        <v>-382498.04</v>
      </c>
      <c r="O136" s="4">
        <f>Tab_03.Mar[[#This Row],[DÉBITO]]-Tab_03.Mar[[#This Row],[CRÉDITO]]</f>
        <v>-154690.84</v>
      </c>
    </row>
    <row r="137" spans="2:15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A</v>
      </c>
      <c r="E137" s="2">
        <f>IF($I137="","",COUNTIFS(Tab_00.Trial[CONTA],$I137))</f>
        <v>1</v>
      </c>
      <c r="F137" s="4">
        <f>SUMIFS(Tab_02.Fev[SALDO
ATUAL],Tab_02.Fev[CONTA],$I137)</f>
        <v>-227807.2</v>
      </c>
      <c r="G137" s="4">
        <f t="shared" si="3"/>
        <v>0</v>
      </c>
      <c r="H137" s="137">
        <v>30471</v>
      </c>
      <c r="I137" s="3" t="s">
        <v>194</v>
      </c>
      <c r="J137" s="3" t="s">
        <v>367</v>
      </c>
      <c r="K137" s="4">
        <v>-227807.2</v>
      </c>
      <c r="L137" s="4">
        <v>0</v>
      </c>
      <c r="M137" s="4">
        <v>154690.84</v>
      </c>
      <c r="N137" s="4">
        <v>-382498.04</v>
      </c>
      <c r="O137" s="4">
        <f>Tab_03.Mar[[#This Row],[DÉBITO]]-Tab_03.Mar[[#This Row],[CRÉDITO]]</f>
        <v>-154690.84</v>
      </c>
    </row>
    <row r="138" spans="2:15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S</v>
      </c>
      <c r="E138" s="2">
        <f>IF($I138="","",COUNTIFS(Tab_00.Trial[CONTA],$I138))</f>
        <v>1</v>
      </c>
      <c r="F138" s="4">
        <f>SUMIFS(Tab_02.Fev[SALDO
ATUAL],Tab_02.Fev[CONTA],$I138)</f>
        <v>-434953.93</v>
      </c>
      <c r="G138" s="4">
        <f t="shared" si="3"/>
        <v>0</v>
      </c>
      <c r="H138" s="137">
        <v>30475</v>
      </c>
      <c r="I138" s="3" t="s">
        <v>735</v>
      </c>
      <c r="J138" s="3" t="s">
        <v>736</v>
      </c>
      <c r="K138" s="4">
        <v>-434953.93</v>
      </c>
      <c r="L138" s="4">
        <v>0</v>
      </c>
      <c r="M138" s="4">
        <v>247414.93</v>
      </c>
      <c r="N138" s="4">
        <v>-682368.86</v>
      </c>
      <c r="O138" s="4">
        <f>Tab_03.Mar[[#This Row],[DÉBITO]]-Tab_03.Mar[[#This Row],[CRÉDITO]]</f>
        <v>-247414.93</v>
      </c>
    </row>
    <row r="139" spans="2:15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A</v>
      </c>
      <c r="E139" s="2">
        <f>IF($I139="","",COUNTIFS(Tab_00.Trial[CONTA],$I139))</f>
        <v>1</v>
      </c>
      <c r="F139" s="4">
        <f>SUMIFS(Tab_02.Fev[SALDO
ATUAL],Tab_02.Fev[CONTA],$I139)</f>
        <v>-434953.93</v>
      </c>
      <c r="G139" s="4">
        <f t="shared" si="3"/>
        <v>0</v>
      </c>
      <c r="H139" s="137">
        <v>30476</v>
      </c>
      <c r="I139" s="3" t="s">
        <v>737</v>
      </c>
      <c r="J139" s="3" t="s">
        <v>814</v>
      </c>
      <c r="K139" s="4">
        <v>-434953.93</v>
      </c>
      <c r="L139" s="4">
        <v>0</v>
      </c>
      <c r="M139" s="4">
        <v>247414.93</v>
      </c>
      <c r="N139" s="4">
        <v>-682368.86</v>
      </c>
      <c r="O139" s="4">
        <f>Tab_03.Mar[[#This Row],[DÉBITO]]-Tab_03.Mar[[#This Row],[CRÉDITO]]</f>
        <v>-247414.93</v>
      </c>
    </row>
    <row r="140" spans="2:15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S</v>
      </c>
      <c r="E140" s="2">
        <f>IF($I140="","",COUNTIFS(Tab_00.Trial[CONTA],$I140))</f>
        <v>1</v>
      </c>
      <c r="F140" s="4">
        <f>SUMIFS(Tab_02.Fev[SALDO
ATUAL],Tab_02.Fev[CONTA],$I140)</f>
        <v>-406191.19</v>
      </c>
      <c r="G140" s="4">
        <f t="shared" si="3"/>
        <v>0</v>
      </c>
      <c r="H140" s="137">
        <v>30645</v>
      </c>
      <c r="I140" s="3" t="s">
        <v>569</v>
      </c>
      <c r="J140" s="3" t="s">
        <v>676</v>
      </c>
      <c r="K140" s="4">
        <v>-406191.19</v>
      </c>
      <c r="L140" s="4">
        <v>0</v>
      </c>
      <c r="M140" s="4">
        <v>204671.04</v>
      </c>
      <c r="N140" s="4">
        <v>-610862.23</v>
      </c>
      <c r="O140" s="4">
        <f>Tab_03.Mar[[#This Row],[DÉBITO]]-Tab_03.Mar[[#This Row],[CRÉDITO]]</f>
        <v>-204671.04</v>
      </c>
    </row>
    <row r="141" spans="2:15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5</v>
      </c>
      <c r="D141" s="2" t="str">
        <f>_xlfn.XLOOKUP($I141,Tab_00.Trial[CONTA],Tab_00.Trial[S/A],"",0,1)</f>
        <v>S</v>
      </c>
      <c r="E141" s="2">
        <f>IF($I141="","",COUNTIFS(Tab_00.Trial[CONTA],$I141))</f>
        <v>1</v>
      </c>
      <c r="F141" s="4">
        <f>SUMIFS(Tab_02.Fev[SALDO
ATUAL],Tab_02.Fev[CONTA],$I141)</f>
        <v>-240259.03</v>
      </c>
      <c r="G141" s="4">
        <f t="shared" si="3"/>
        <v>0</v>
      </c>
      <c r="H141" s="137">
        <v>30660</v>
      </c>
      <c r="I141" s="3" t="s">
        <v>570</v>
      </c>
      <c r="J141" s="3" t="s">
        <v>677</v>
      </c>
      <c r="K141" s="4">
        <v>-240259.03</v>
      </c>
      <c r="L141" s="4">
        <v>0</v>
      </c>
      <c r="M141" s="4">
        <v>121704.96000000001</v>
      </c>
      <c r="N141" s="4">
        <v>-361963.99</v>
      </c>
      <c r="O141" s="4">
        <f>Tab_03.Mar[[#This Row],[DÉBITO]]-Tab_03.Mar[[#This Row],[CRÉDITO]]</f>
        <v>-121704.96000000001</v>
      </c>
    </row>
    <row r="142" spans="2:15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A</v>
      </c>
      <c r="E142" s="2">
        <f>IF($I142="","",COUNTIFS(Tab_00.Trial[CONTA],$I142))</f>
        <v>1</v>
      </c>
      <c r="F142" s="4">
        <f>SUMIFS(Tab_02.Fev[SALDO
ATUAL],Tab_02.Fev[CONTA],$I142)</f>
        <v>-84600.24</v>
      </c>
      <c r="G142" s="4">
        <f t="shared" si="3"/>
        <v>0</v>
      </c>
      <c r="H142" s="137">
        <v>30675</v>
      </c>
      <c r="I142" s="3" t="s">
        <v>368</v>
      </c>
      <c r="J142" s="3" t="s">
        <v>369</v>
      </c>
      <c r="K142" s="4">
        <v>-84600.24</v>
      </c>
      <c r="L142" s="4">
        <v>0</v>
      </c>
      <c r="M142" s="4">
        <v>31162.82</v>
      </c>
      <c r="N142" s="4">
        <v>-115763.06</v>
      </c>
      <c r="O142" s="4">
        <f>Tab_03.Mar[[#This Row],[DÉBITO]]-Tab_03.Mar[[#This Row],[CRÉDITO]]</f>
        <v>-31162.82</v>
      </c>
    </row>
    <row r="143" spans="2:15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A</v>
      </c>
      <c r="E143" s="2">
        <f>IF($I143="","",COUNTIFS(Tab_00.Trial[CONTA],$I143))</f>
        <v>1</v>
      </c>
      <c r="F143" s="4">
        <f>SUMIFS(Tab_02.Fev[SALDO
ATUAL],Tab_02.Fev[CONTA],$I143)</f>
        <v>-121536.37</v>
      </c>
      <c r="G143" s="4">
        <f t="shared" ref="G143:G206" si="4">$F143-$K143</f>
        <v>0</v>
      </c>
      <c r="H143" s="137">
        <v>30690</v>
      </c>
      <c r="I143" s="3" t="s">
        <v>370</v>
      </c>
      <c r="J143" s="3" t="s">
        <v>371</v>
      </c>
      <c r="K143" s="4">
        <v>-121536.37</v>
      </c>
      <c r="L143" s="4">
        <v>0</v>
      </c>
      <c r="M143" s="4">
        <v>77885.41</v>
      </c>
      <c r="N143" s="4">
        <v>-199421.78</v>
      </c>
      <c r="O143" s="4">
        <f>Tab_03.Mar[[#This Row],[DÉBITO]]-Tab_03.Mar[[#This Row],[CRÉDITO]]</f>
        <v>-77885.41</v>
      </c>
    </row>
    <row r="144" spans="2:15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5</v>
      </c>
      <c r="D144" s="2" t="str">
        <f>_xlfn.XLOOKUP($I144,Tab_00.Trial[CONTA],Tab_00.Trial[S/A],"",0,1)</f>
        <v>A</v>
      </c>
      <c r="E144" s="2">
        <f>IF($I144="","",COUNTIFS(Tab_00.Trial[CONTA],$I144))</f>
        <v>1</v>
      </c>
      <c r="F144" s="4">
        <f>SUMIFS(Tab_02.Fev[SALDO
ATUAL],Tab_02.Fev[CONTA],$I144)</f>
        <v>-5670.16</v>
      </c>
      <c r="G144" s="4">
        <f t="shared" si="4"/>
        <v>0</v>
      </c>
      <c r="H144" s="137">
        <v>30705</v>
      </c>
      <c r="I144" s="3" t="s">
        <v>372</v>
      </c>
      <c r="J144" s="3" t="s">
        <v>373</v>
      </c>
      <c r="K144" s="4">
        <v>-5670.16</v>
      </c>
      <c r="L144" s="4">
        <v>0</v>
      </c>
      <c r="M144" s="4">
        <v>0</v>
      </c>
      <c r="N144" s="4">
        <v>-5670.16</v>
      </c>
      <c r="O144" s="4">
        <f>Tab_03.Mar[[#This Row],[DÉBITO]]-Tab_03.Mar[[#This Row],[CRÉDITO]]</f>
        <v>0</v>
      </c>
    </row>
    <row r="145" spans="2:15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5</v>
      </c>
      <c r="D145" s="2" t="str">
        <f>_xlfn.XLOOKUP($I145,Tab_00.Trial[CONTA],Tab_00.Trial[S/A],"",0,1)</f>
        <v>A</v>
      </c>
      <c r="E145" s="2">
        <f>IF($I145="","",COUNTIFS(Tab_00.Trial[CONTA],$I145))</f>
        <v>1</v>
      </c>
      <c r="F145" s="4">
        <f>SUMIFS(Tab_02.Fev[SALDO
ATUAL],Tab_02.Fev[CONTA],$I145)</f>
        <v>-28452.26</v>
      </c>
      <c r="G145" s="4">
        <f t="shared" si="4"/>
        <v>0</v>
      </c>
      <c r="H145" s="137">
        <v>10895</v>
      </c>
      <c r="I145" s="3" t="s">
        <v>927</v>
      </c>
      <c r="J145" s="3" t="s">
        <v>928</v>
      </c>
      <c r="K145" s="4">
        <v>-28452.26</v>
      </c>
      <c r="L145" s="4">
        <v>0</v>
      </c>
      <c r="M145" s="4">
        <v>12656.73</v>
      </c>
      <c r="N145" s="4">
        <v>-41108.99</v>
      </c>
      <c r="O145" s="4">
        <f>Tab_03.Mar[[#This Row],[DÉBITO]]-Tab_03.Mar[[#This Row],[CRÉDITO]]</f>
        <v>-12656.73</v>
      </c>
    </row>
    <row r="146" spans="2:15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5</v>
      </c>
      <c r="D146" s="2" t="str">
        <f>_xlfn.XLOOKUP($I146,Tab_00.Trial[CONTA],Tab_00.Trial[S/A],"",0,1)</f>
        <v>S</v>
      </c>
      <c r="E146" s="2">
        <f>IF($I146="","",COUNTIFS(Tab_00.Trial[CONTA],$I146))</f>
        <v>1</v>
      </c>
      <c r="F146" s="4">
        <f>SUMIFS(Tab_02.Fev[SALDO
ATUAL],Tab_02.Fev[CONTA],$I146)</f>
        <v>-165932.16</v>
      </c>
      <c r="G146" s="4">
        <f t="shared" si="4"/>
        <v>0</v>
      </c>
      <c r="H146" s="137">
        <v>30720</v>
      </c>
      <c r="I146" s="3" t="s">
        <v>571</v>
      </c>
      <c r="J146" s="3" t="s">
        <v>377</v>
      </c>
      <c r="K146" s="4">
        <v>-165932.16</v>
      </c>
      <c r="L146" s="4">
        <v>0</v>
      </c>
      <c r="M146" s="4">
        <v>82966.080000000002</v>
      </c>
      <c r="N146" s="4">
        <v>-248898.24</v>
      </c>
      <c r="O146" s="4">
        <f>Tab_03.Mar[[#This Row],[DÉBITO]]-Tab_03.Mar[[#This Row],[CRÉDITO]]</f>
        <v>-82966.080000000002</v>
      </c>
    </row>
    <row r="147" spans="2:15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5</v>
      </c>
      <c r="D147" s="2" t="str">
        <f>_xlfn.XLOOKUP($I147,Tab_00.Trial[CONTA],Tab_00.Trial[S/A],"",0,1)</f>
        <v>A</v>
      </c>
      <c r="E147" s="2">
        <f>IF($I147="","",COUNTIFS(Tab_00.Trial[CONTA],$I147))</f>
        <v>1</v>
      </c>
      <c r="F147" s="4">
        <f>SUMIFS(Tab_02.Fev[SALDO
ATUAL],Tab_02.Fev[CONTA],$I147)</f>
        <v>-165932.16</v>
      </c>
      <c r="G147" s="4">
        <f t="shared" si="4"/>
        <v>0</v>
      </c>
      <c r="H147" s="137">
        <v>30735</v>
      </c>
      <c r="I147" s="3" t="s">
        <v>376</v>
      </c>
      <c r="J147" s="3" t="s">
        <v>377</v>
      </c>
      <c r="K147" s="4">
        <v>-165932.16</v>
      </c>
      <c r="L147" s="4">
        <v>0</v>
      </c>
      <c r="M147" s="4">
        <v>82966.080000000002</v>
      </c>
      <c r="N147" s="4">
        <v>-248898.24</v>
      </c>
      <c r="O147" s="4">
        <f>Tab_03.Mar[[#This Row],[DÉBITO]]-Tab_03.Mar[[#This Row],[CRÉDITO]]</f>
        <v>-82966.080000000002</v>
      </c>
    </row>
    <row r="148" spans="2:15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2</v>
      </c>
      <c r="D148" s="2" t="str">
        <f>_xlfn.XLOOKUP($I148,Tab_00.Trial[CONTA],Tab_00.Trial[S/A],"",0,1)</f>
        <v>S</v>
      </c>
      <c r="E148" s="2">
        <f>IF($I148="","",COUNTIFS(Tab_00.Trial[CONTA],$I148))</f>
        <v>1</v>
      </c>
      <c r="F148" s="4">
        <f>SUMIFS(Tab_02.Fev[SALDO
ATUAL],Tab_02.Fev[CONTA],$I148)</f>
        <v>-855578.82</v>
      </c>
      <c r="G148" s="4">
        <f t="shared" si="4"/>
        <v>0</v>
      </c>
      <c r="H148" s="137">
        <v>31065</v>
      </c>
      <c r="I148" s="3" t="s">
        <v>574</v>
      </c>
      <c r="J148" s="3" t="s">
        <v>680</v>
      </c>
      <c r="K148" s="4">
        <v>-855578.82</v>
      </c>
      <c r="L148" s="4">
        <v>0</v>
      </c>
      <c r="M148" s="4">
        <v>442052.26</v>
      </c>
      <c r="N148" s="4">
        <v>-1297631.08</v>
      </c>
      <c r="O148" s="4">
        <f>Tab_03.Mar[[#This Row],[DÉBITO]]-Tab_03.Mar[[#This Row],[CRÉDITO]]</f>
        <v>-442052.26</v>
      </c>
    </row>
    <row r="149" spans="2:15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5</v>
      </c>
      <c r="D149" s="2" t="str">
        <f>_xlfn.XLOOKUP($I149,Tab_00.Trial[CONTA],Tab_00.Trial[S/A],"",0,1)</f>
        <v>S</v>
      </c>
      <c r="E149" s="2">
        <f>IF($I149="","",COUNTIFS(Tab_00.Trial[CONTA],$I149))</f>
        <v>1</v>
      </c>
      <c r="F149" s="4">
        <f>SUMIFS(Tab_02.Fev[SALDO
ATUAL],Tab_02.Fev[CONTA],$I149)</f>
        <v>-855578.82</v>
      </c>
      <c r="G149" s="4">
        <f t="shared" si="4"/>
        <v>0</v>
      </c>
      <c r="H149" s="137">
        <v>31260</v>
      </c>
      <c r="I149" s="3" t="s">
        <v>580</v>
      </c>
      <c r="J149" s="3" t="s">
        <v>816</v>
      </c>
      <c r="K149" s="4">
        <v>-855578.82</v>
      </c>
      <c r="L149" s="4">
        <v>0</v>
      </c>
      <c r="M149" s="4">
        <v>442052.26</v>
      </c>
      <c r="N149" s="4">
        <v>-1297631.08</v>
      </c>
      <c r="O149" s="4">
        <f>Tab_03.Mar[[#This Row],[DÉBITO]]-Tab_03.Mar[[#This Row],[CRÉDITO]]</f>
        <v>-442052.26</v>
      </c>
    </row>
    <row r="150" spans="2:15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5</v>
      </c>
      <c r="D150" s="2" t="str">
        <f>_xlfn.XLOOKUP($I150,Tab_00.Trial[CONTA],Tab_00.Trial[S/A],"",0,1)</f>
        <v>S</v>
      </c>
      <c r="E150" s="2">
        <f>IF($I150="","",COUNTIFS(Tab_00.Trial[CONTA],$I150))</f>
        <v>1</v>
      </c>
      <c r="F150" s="4">
        <f>SUMIFS(Tab_02.Fev[SALDO
ATUAL],Tab_02.Fev[CONTA],$I150)</f>
        <v>-855578.82</v>
      </c>
      <c r="G150" s="4">
        <f t="shared" si="4"/>
        <v>0</v>
      </c>
      <c r="H150" s="137">
        <v>31275</v>
      </c>
      <c r="I150" s="3" t="s">
        <v>581</v>
      </c>
      <c r="J150" s="3" t="s">
        <v>687</v>
      </c>
      <c r="K150" s="4">
        <v>-855578.82</v>
      </c>
      <c r="L150" s="4">
        <v>0</v>
      </c>
      <c r="M150" s="4">
        <v>442052.26</v>
      </c>
      <c r="N150" s="4">
        <v>-1297631.08</v>
      </c>
      <c r="O150" s="4">
        <f>Tab_03.Mar[[#This Row],[DÉBITO]]-Tab_03.Mar[[#This Row],[CRÉDITO]]</f>
        <v>-442052.26</v>
      </c>
    </row>
    <row r="151" spans="2:15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5</v>
      </c>
      <c r="D151" s="2" t="str">
        <f>_xlfn.XLOOKUP($I151,Tab_00.Trial[CONTA],Tab_00.Trial[S/A],"",0,1)</f>
        <v>A</v>
      </c>
      <c r="E151" s="2">
        <f>IF($I151="","",COUNTIFS(Tab_00.Trial[CONTA],$I151))</f>
        <v>1</v>
      </c>
      <c r="F151" s="4">
        <f>SUMIFS(Tab_02.Fev[SALDO
ATUAL],Tab_02.Fev[CONTA],$I151)</f>
        <v>-842941.96</v>
      </c>
      <c r="G151" s="4">
        <f t="shared" si="4"/>
        <v>0</v>
      </c>
      <c r="H151" s="137">
        <v>31291</v>
      </c>
      <c r="I151" s="3" t="s">
        <v>387</v>
      </c>
      <c r="J151" s="3" t="s">
        <v>388</v>
      </c>
      <c r="K151" s="4">
        <v>-842941.96</v>
      </c>
      <c r="L151" s="4">
        <v>0</v>
      </c>
      <c r="M151" s="4">
        <v>421470.98</v>
      </c>
      <c r="N151" s="4">
        <v>-1264412.94</v>
      </c>
      <c r="O151" s="4">
        <f>Tab_03.Mar[[#This Row],[DÉBITO]]-Tab_03.Mar[[#This Row],[CRÉDITO]]</f>
        <v>-421470.98</v>
      </c>
    </row>
    <row r="152" spans="2:15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5</v>
      </c>
      <c r="D152" s="2" t="str">
        <f>_xlfn.XLOOKUP($I152,Tab_00.Trial[CONTA],Tab_00.Trial[S/A],"",0,1)</f>
        <v>A</v>
      </c>
      <c r="E152" s="2">
        <f>IF($I152="","",COUNTIFS(Tab_00.Trial[CONTA],$I152))</f>
        <v>1</v>
      </c>
      <c r="F152" s="4">
        <f>SUMIFS(Tab_02.Fev[SALDO
ATUAL],Tab_02.Fev[CONTA],$I152)</f>
        <v>-12636.86</v>
      </c>
      <c r="G152" s="4">
        <f t="shared" si="4"/>
        <v>0</v>
      </c>
      <c r="H152" s="137">
        <v>31292</v>
      </c>
      <c r="I152" s="3" t="s">
        <v>389</v>
      </c>
      <c r="J152" s="3" t="s">
        <v>390</v>
      </c>
      <c r="K152" s="4">
        <v>-12636.86</v>
      </c>
      <c r="L152" s="4">
        <v>0</v>
      </c>
      <c r="M152" s="4">
        <v>20581.28</v>
      </c>
      <c r="N152" s="4">
        <v>-33218.14</v>
      </c>
      <c r="O152" s="4">
        <f>Tab_03.Mar[[#This Row],[DÉBITO]]-Tab_03.Mar[[#This Row],[CRÉDITO]]</f>
        <v>-20581.28</v>
      </c>
    </row>
    <row r="153" spans="2:15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2</v>
      </c>
      <c r="D153" s="2" t="str">
        <f>_xlfn.XLOOKUP($I153,Tab_00.Trial[CONTA],Tab_00.Trial[S/A],"",0,1)</f>
        <v>S</v>
      </c>
      <c r="E153" s="2">
        <f>IF($I153="","",COUNTIFS(Tab_00.Trial[CONTA],$I153))</f>
        <v>1</v>
      </c>
      <c r="F153" s="4">
        <f>SUMIFS(Tab_02.Fev[SALDO
ATUAL],Tab_02.Fev[CONTA],$I153)</f>
        <v>-421630.45</v>
      </c>
      <c r="G153" s="4">
        <f t="shared" si="4"/>
        <v>0</v>
      </c>
      <c r="H153" s="137">
        <v>31470</v>
      </c>
      <c r="I153" s="3" t="s">
        <v>582</v>
      </c>
      <c r="J153" s="3" t="s">
        <v>688</v>
      </c>
      <c r="K153" s="4">
        <v>-421630.45</v>
      </c>
      <c r="L153" s="4">
        <v>0</v>
      </c>
      <c r="M153" s="4">
        <v>306654.71000000002</v>
      </c>
      <c r="N153" s="4">
        <v>-728285.16</v>
      </c>
      <c r="O153" s="4">
        <f>Tab_03.Mar[[#This Row],[DÉBITO]]-Tab_03.Mar[[#This Row],[CRÉDITO]]</f>
        <v>-306654.71000000002</v>
      </c>
    </row>
    <row r="154" spans="2:15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5</v>
      </c>
      <c r="D154" s="2" t="str">
        <f>_xlfn.XLOOKUP($I154,Tab_00.Trial[CONTA],Tab_00.Trial[S/A],"",0,1)</f>
        <v>S</v>
      </c>
      <c r="E154" s="2">
        <f>IF($I154="","",COUNTIFS(Tab_00.Trial[CONTA],$I154))</f>
        <v>1</v>
      </c>
      <c r="F154" s="4">
        <f>SUMIFS(Tab_02.Fev[SALDO
ATUAL],Tab_02.Fev[CONTA],$I154)</f>
        <v>-73.27</v>
      </c>
      <c r="G154" s="4">
        <f t="shared" si="4"/>
        <v>0</v>
      </c>
      <c r="H154" s="137">
        <v>31590</v>
      </c>
      <c r="I154" s="3" t="s">
        <v>583</v>
      </c>
      <c r="J154" s="3" t="s">
        <v>689</v>
      </c>
      <c r="K154" s="4">
        <v>-73.27</v>
      </c>
      <c r="L154" s="4">
        <v>0</v>
      </c>
      <c r="M154" s="4">
        <v>0.03</v>
      </c>
      <c r="N154" s="4">
        <v>-73.3</v>
      </c>
      <c r="O154" s="4">
        <f>Tab_03.Mar[[#This Row],[DÉBITO]]-Tab_03.Mar[[#This Row],[CRÉDITO]]</f>
        <v>-0.03</v>
      </c>
    </row>
    <row r="155" spans="2:15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5</v>
      </c>
      <c r="D155" s="2" t="str">
        <f>_xlfn.XLOOKUP($I155,Tab_00.Trial[CONTA],Tab_00.Trial[S/A],"",0,1)</f>
        <v>S</v>
      </c>
      <c r="E155" s="2">
        <f>IF($I155="","",COUNTIFS(Tab_00.Trial[CONTA],$I155))</f>
        <v>1</v>
      </c>
      <c r="F155" s="4">
        <f>SUMIFS(Tab_02.Fev[SALDO
ATUAL],Tab_02.Fev[CONTA],$I155)</f>
        <v>-73.27</v>
      </c>
      <c r="G155" s="4">
        <f t="shared" si="4"/>
        <v>0</v>
      </c>
      <c r="H155" s="137">
        <v>31605</v>
      </c>
      <c r="I155" s="3" t="s">
        <v>584</v>
      </c>
      <c r="J155" s="3" t="s">
        <v>689</v>
      </c>
      <c r="K155" s="4">
        <v>-73.27</v>
      </c>
      <c r="L155" s="4">
        <v>0</v>
      </c>
      <c r="M155" s="4">
        <v>0.03</v>
      </c>
      <c r="N155" s="4">
        <v>-73.3</v>
      </c>
      <c r="O155" s="4">
        <f>Tab_03.Mar[[#This Row],[DÉBITO]]-Tab_03.Mar[[#This Row],[CRÉDITO]]</f>
        <v>-0.03</v>
      </c>
    </row>
    <row r="156" spans="2:15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5</v>
      </c>
      <c r="D156" s="2" t="str">
        <f>_xlfn.XLOOKUP($I156,Tab_00.Trial[CONTA],Tab_00.Trial[S/A],"",0,1)</f>
        <v>A</v>
      </c>
      <c r="E156" s="2">
        <f>IF($I156="","",COUNTIFS(Tab_00.Trial[CONTA],$I156))</f>
        <v>1</v>
      </c>
      <c r="F156" s="4">
        <f>SUMIFS(Tab_02.Fev[SALDO
ATUAL],Tab_02.Fev[CONTA],$I156)</f>
        <v>-73.27</v>
      </c>
      <c r="G156" s="4">
        <f t="shared" si="4"/>
        <v>0</v>
      </c>
      <c r="H156" s="137">
        <v>31645</v>
      </c>
      <c r="I156" s="3" t="s">
        <v>391</v>
      </c>
      <c r="J156" s="3" t="s">
        <v>392</v>
      </c>
      <c r="K156" s="4">
        <v>-73.27</v>
      </c>
      <c r="L156" s="4">
        <v>0</v>
      </c>
      <c r="M156" s="4">
        <v>0.03</v>
      </c>
      <c r="N156" s="4">
        <v>-73.3</v>
      </c>
      <c r="O156" s="4">
        <f>Tab_03.Mar[[#This Row],[DÉBITO]]-Tab_03.Mar[[#This Row],[CRÉDITO]]</f>
        <v>-0.03</v>
      </c>
    </row>
    <row r="157" spans="2:15" x14ac:dyDescent="0.3">
      <c r="B157" s="2" t="str">
        <f>_xlfn.XLOOKUP($I157,Tab_00.Trial[CONTA],Tab_00.Trial[TP],"",0,1)</f>
        <v>R</v>
      </c>
      <c r="C157" s="2">
        <f>_xlfn.XLOOKUP($I157,Tab_00.Trial[CONTA],Tab_00.Trial[NV],"",0,1)</f>
        <v>5</v>
      </c>
      <c r="D157" s="2" t="str">
        <f>_xlfn.XLOOKUP($I157,Tab_00.Trial[CONTA],Tab_00.Trial[S/A],"",0,1)</f>
        <v>S</v>
      </c>
      <c r="E157" s="2">
        <f>IF($I157="","",COUNTIFS(Tab_00.Trial[CONTA],$I157))</f>
        <v>1</v>
      </c>
      <c r="F157" s="4">
        <f>SUMIFS(Tab_02.Fev[SALDO
ATUAL],Tab_02.Fev[CONTA],$I157)</f>
        <v>-421557.18</v>
      </c>
      <c r="G157" s="4">
        <f t="shared" si="4"/>
        <v>0</v>
      </c>
      <c r="H157" s="137">
        <v>31650</v>
      </c>
      <c r="I157" s="3" t="s">
        <v>585</v>
      </c>
      <c r="J157" s="3" t="s">
        <v>690</v>
      </c>
      <c r="K157" s="4">
        <v>-421557.18</v>
      </c>
      <c r="L157" s="4">
        <v>0</v>
      </c>
      <c r="M157" s="4">
        <v>306654.68</v>
      </c>
      <c r="N157" s="4">
        <v>-728211.86</v>
      </c>
      <c r="O157" s="4">
        <f>Tab_03.Mar[[#This Row],[DÉBITO]]-Tab_03.Mar[[#This Row],[CRÉDITO]]</f>
        <v>-306654.68</v>
      </c>
    </row>
    <row r="158" spans="2:15" x14ac:dyDescent="0.3">
      <c r="B158" s="2" t="str">
        <f>_xlfn.XLOOKUP($I158,Tab_00.Trial[CONTA],Tab_00.Trial[TP],"",0,1)</f>
        <v>R</v>
      </c>
      <c r="C158" s="2">
        <f>_xlfn.XLOOKUP($I158,Tab_00.Trial[CONTA],Tab_00.Trial[NV],"",0,1)</f>
        <v>5</v>
      </c>
      <c r="D158" s="2" t="str">
        <f>_xlfn.XLOOKUP($I158,Tab_00.Trial[CONTA],Tab_00.Trial[S/A],"",0,1)</f>
        <v>S</v>
      </c>
      <c r="E158" s="2">
        <f>IF($I158="","",COUNTIFS(Tab_00.Trial[CONTA],$I158))</f>
        <v>1</v>
      </c>
      <c r="F158" s="4">
        <f>SUMIFS(Tab_02.Fev[SALDO
ATUAL],Tab_02.Fev[CONTA],$I158)</f>
        <v>-421557.18</v>
      </c>
      <c r="G158" s="4">
        <f t="shared" si="4"/>
        <v>0</v>
      </c>
      <c r="H158" s="137">
        <v>31665</v>
      </c>
      <c r="I158" s="3" t="s">
        <v>586</v>
      </c>
      <c r="J158" s="3" t="s">
        <v>394</v>
      </c>
      <c r="K158" s="4">
        <v>-421557.18</v>
      </c>
      <c r="L158" s="4">
        <v>0</v>
      </c>
      <c r="M158" s="4">
        <v>306654.68</v>
      </c>
      <c r="N158" s="4">
        <v>-728211.86</v>
      </c>
      <c r="O158" s="4">
        <f>Tab_03.Mar[[#This Row],[DÉBITO]]-Tab_03.Mar[[#This Row],[CRÉDITO]]</f>
        <v>-306654.68</v>
      </c>
    </row>
    <row r="159" spans="2:15" x14ac:dyDescent="0.3">
      <c r="B159" s="2" t="str">
        <f>_xlfn.XLOOKUP($I159,Tab_00.Trial[CONTA],Tab_00.Trial[TP],"",0,1)</f>
        <v>R</v>
      </c>
      <c r="C159" s="2">
        <f>_xlfn.XLOOKUP($I159,Tab_00.Trial[CONTA],Tab_00.Trial[NV],"",0,1)</f>
        <v>5</v>
      </c>
      <c r="D159" s="2" t="str">
        <f>_xlfn.XLOOKUP($I159,Tab_00.Trial[CONTA],Tab_00.Trial[S/A],"",0,1)</f>
        <v>A</v>
      </c>
      <c r="E159" s="2">
        <f>IF($I159="","",COUNTIFS(Tab_00.Trial[CONTA],$I159))</f>
        <v>1</v>
      </c>
      <c r="F159" s="4">
        <f>SUMIFS(Tab_02.Fev[SALDO
ATUAL],Tab_02.Fev[CONTA],$I159)</f>
        <v>-421557.18</v>
      </c>
      <c r="G159" s="4">
        <f t="shared" si="4"/>
        <v>0</v>
      </c>
      <c r="H159" s="137">
        <v>31680</v>
      </c>
      <c r="I159" s="3" t="s">
        <v>393</v>
      </c>
      <c r="J159" s="3" t="s">
        <v>394</v>
      </c>
      <c r="K159" s="4">
        <v>-421557.18</v>
      </c>
      <c r="L159" s="4">
        <v>0</v>
      </c>
      <c r="M159" s="4">
        <v>306654.68</v>
      </c>
      <c r="N159" s="4">
        <v>-728211.86</v>
      </c>
      <c r="O159" s="4">
        <f>Tab_03.Mar[[#This Row],[DÉBITO]]-Tab_03.Mar[[#This Row],[CRÉDITO]]</f>
        <v>-306654.68</v>
      </c>
    </row>
    <row r="160" spans="2:15" x14ac:dyDescent="0.3">
      <c r="B160" s="2" t="str">
        <f>_xlfn.XLOOKUP($I160,Tab_00.Trial[CONTA],Tab_00.Trial[TP],"",0,1)</f>
        <v>R</v>
      </c>
      <c r="C160" s="2">
        <f>_xlfn.XLOOKUP($I160,Tab_00.Trial[CONTA],Tab_00.Trial[NV],"",0,1)</f>
        <v>2</v>
      </c>
      <c r="D160" s="2" t="str">
        <f>_xlfn.XLOOKUP($I160,Tab_00.Trial[CONTA],Tab_00.Trial[S/A],"",0,1)</f>
        <v>S</v>
      </c>
      <c r="E160" s="2">
        <f>IF($I160="","",COUNTIFS(Tab_00.Trial[CONTA],$I160))</f>
        <v>1</v>
      </c>
      <c r="F160" s="4">
        <f>SUMIFS(Tab_02.Fev[SALDO
ATUAL],Tab_02.Fev[CONTA],$I160)</f>
        <v>-700</v>
      </c>
      <c r="G160" s="4">
        <f t="shared" si="4"/>
        <v>0</v>
      </c>
      <c r="H160" s="137">
        <v>31725</v>
      </c>
      <c r="I160" s="3" t="s">
        <v>587</v>
      </c>
      <c r="J160" s="3" t="s">
        <v>691</v>
      </c>
      <c r="K160" s="4">
        <v>-700</v>
      </c>
      <c r="L160" s="4">
        <v>0</v>
      </c>
      <c r="M160" s="4">
        <v>2000</v>
      </c>
      <c r="N160" s="4">
        <v>-2700</v>
      </c>
      <c r="O160" s="4">
        <f>Tab_03.Mar[[#This Row],[DÉBITO]]-Tab_03.Mar[[#This Row],[CRÉDITO]]</f>
        <v>-2000</v>
      </c>
    </row>
    <row r="161" spans="2:15" x14ac:dyDescent="0.3">
      <c r="B161" s="2" t="str">
        <f>_xlfn.XLOOKUP($I161,Tab_00.Trial[CONTA],Tab_00.Trial[TP],"",0,1)</f>
        <v>R</v>
      </c>
      <c r="C161" s="2">
        <f>_xlfn.XLOOKUP($I161,Tab_00.Trial[CONTA],Tab_00.Trial[NV],"",0,1)</f>
        <v>5</v>
      </c>
      <c r="D161" s="2" t="str">
        <f>_xlfn.XLOOKUP($I161,Tab_00.Trial[CONTA],Tab_00.Trial[S/A],"",0,1)</f>
        <v>S</v>
      </c>
      <c r="E161" s="2">
        <f>IF($I161="","",COUNTIFS(Tab_00.Trial[CONTA],$I161))</f>
        <v>1</v>
      </c>
      <c r="F161" s="4">
        <f>SUMIFS(Tab_02.Fev[SALDO
ATUAL],Tab_02.Fev[CONTA],$I161)</f>
        <v>-700</v>
      </c>
      <c r="G161" s="4">
        <f t="shared" si="4"/>
        <v>0</v>
      </c>
      <c r="H161" s="137">
        <v>30722</v>
      </c>
      <c r="I161" s="3" t="s">
        <v>588</v>
      </c>
      <c r="J161" s="3" t="s">
        <v>692</v>
      </c>
      <c r="K161" s="4">
        <v>-700</v>
      </c>
      <c r="L161" s="4">
        <v>0</v>
      </c>
      <c r="M161" s="4">
        <v>2000</v>
      </c>
      <c r="N161" s="4">
        <v>-2700</v>
      </c>
      <c r="O161" s="4">
        <f>Tab_03.Mar[[#This Row],[DÉBITO]]-Tab_03.Mar[[#This Row],[CRÉDITO]]</f>
        <v>-2000</v>
      </c>
    </row>
    <row r="162" spans="2:15" x14ac:dyDescent="0.3">
      <c r="B162" s="2" t="str">
        <f>_xlfn.XLOOKUP($I162,Tab_00.Trial[CONTA],Tab_00.Trial[TP],"",0,1)</f>
        <v>R</v>
      </c>
      <c r="C162" s="2">
        <f>_xlfn.XLOOKUP($I162,Tab_00.Trial[CONTA],Tab_00.Trial[NV],"",0,1)</f>
        <v>5</v>
      </c>
      <c r="D162" s="2" t="str">
        <f>_xlfn.XLOOKUP($I162,Tab_00.Trial[CONTA],Tab_00.Trial[S/A],"",0,1)</f>
        <v>S</v>
      </c>
      <c r="E162" s="2">
        <f>IF($I162="","",COUNTIFS(Tab_00.Trial[CONTA],$I162))</f>
        <v>1</v>
      </c>
      <c r="F162" s="4">
        <f>SUMIFS(Tab_02.Fev[SALDO
ATUAL],Tab_02.Fev[CONTA],$I162)</f>
        <v>-700</v>
      </c>
      <c r="G162" s="4">
        <f t="shared" si="4"/>
        <v>0</v>
      </c>
      <c r="H162" s="137">
        <v>30729</v>
      </c>
      <c r="I162" s="3" t="s">
        <v>589</v>
      </c>
      <c r="J162" s="3" t="s">
        <v>692</v>
      </c>
      <c r="K162" s="4">
        <v>-700</v>
      </c>
      <c r="L162" s="4">
        <v>0</v>
      </c>
      <c r="M162" s="4">
        <v>2000</v>
      </c>
      <c r="N162" s="4">
        <v>-2700</v>
      </c>
      <c r="O162" s="4">
        <f>Tab_03.Mar[[#This Row],[DÉBITO]]-Tab_03.Mar[[#This Row],[CRÉDITO]]</f>
        <v>-2000</v>
      </c>
    </row>
    <row r="163" spans="2:15" x14ac:dyDescent="0.3">
      <c r="B163" s="2" t="str">
        <f>_xlfn.XLOOKUP($I163,Tab_00.Trial[CONTA],Tab_00.Trial[TP],"",0,1)</f>
        <v>R</v>
      </c>
      <c r="C163" s="2">
        <f>_xlfn.XLOOKUP($I163,Tab_00.Trial[CONTA],Tab_00.Trial[NV],"",0,1)</f>
        <v>5</v>
      </c>
      <c r="D163" s="2" t="str">
        <f>_xlfn.XLOOKUP($I163,Tab_00.Trial[CONTA],Tab_00.Trial[S/A],"",0,1)</f>
        <v>A</v>
      </c>
      <c r="E163" s="2">
        <f>IF($I163="","",COUNTIFS(Tab_00.Trial[CONTA],$I163))</f>
        <v>1</v>
      </c>
      <c r="F163" s="4">
        <f>SUMIFS(Tab_02.Fev[SALDO
ATUAL],Tab_02.Fev[CONTA],$I163)</f>
        <v>-700</v>
      </c>
      <c r="G163" s="4">
        <f t="shared" si="4"/>
        <v>0</v>
      </c>
      <c r="H163" s="137">
        <v>30736</v>
      </c>
      <c r="I163" s="3" t="s">
        <v>395</v>
      </c>
      <c r="J163" s="3" t="s">
        <v>396</v>
      </c>
      <c r="K163" s="4">
        <v>-700</v>
      </c>
      <c r="L163" s="4">
        <v>0</v>
      </c>
      <c r="M163" s="4">
        <v>2000</v>
      </c>
      <c r="N163" s="4">
        <v>-2700</v>
      </c>
      <c r="O163" s="4">
        <f>Tab_03.Mar[[#This Row],[DÉBITO]]-Tab_03.Mar[[#This Row],[CRÉDITO]]</f>
        <v>-2000</v>
      </c>
    </row>
    <row r="164" spans="2:15" x14ac:dyDescent="0.3">
      <c r="B164" s="2" t="str">
        <f>_xlfn.XLOOKUP($I164,Tab_00.Trial[CONTA],Tab_00.Trial[TP],"",0,1)</f>
        <v>C</v>
      </c>
      <c r="C164" s="2">
        <f>_xlfn.XLOOKUP($I164,Tab_00.Trial[CONTA],Tab_00.Trial[NV],"",0,1)</f>
        <v>1</v>
      </c>
      <c r="D164" s="2" t="str">
        <f>_xlfn.XLOOKUP($I164,Tab_00.Trial[CONTA],Tab_00.Trial[S/A],"",0,1)</f>
        <v>S</v>
      </c>
      <c r="E164" s="2">
        <f>IF($I164="","",COUNTIFS(Tab_00.Trial[CONTA],$I164))</f>
        <v>1</v>
      </c>
      <c r="F164" s="4">
        <f>SUMIFS(Tab_02.Fev[SALDO
ATUAL],Tab_02.Fev[CONTA],$I164)</f>
        <v>2157355.71</v>
      </c>
      <c r="G164" s="4">
        <f t="shared" si="4"/>
        <v>0</v>
      </c>
      <c r="H164" s="137">
        <v>40000</v>
      </c>
      <c r="I164" s="3">
        <v>4</v>
      </c>
      <c r="J164" s="3" t="s">
        <v>693</v>
      </c>
      <c r="K164" s="4">
        <v>2157355.71</v>
      </c>
      <c r="L164" s="4">
        <v>632871.76</v>
      </c>
      <c r="M164" s="4">
        <v>40759.69</v>
      </c>
      <c r="N164" s="4">
        <v>2749467.78</v>
      </c>
      <c r="O164" s="4">
        <f>Tab_03.Mar[[#This Row],[DÉBITO]]-Tab_03.Mar[[#This Row],[CRÉDITO]]</f>
        <v>592112.06999999995</v>
      </c>
    </row>
    <row r="165" spans="2:15" x14ac:dyDescent="0.3">
      <c r="B165" s="2" t="str">
        <f>_xlfn.XLOOKUP($I165,Tab_00.Trial[CONTA],Tab_00.Trial[TP],"",0,1)</f>
        <v>C</v>
      </c>
      <c r="C165" s="2">
        <f>_xlfn.XLOOKUP($I165,Tab_00.Trial[CONTA],Tab_00.Trial[NV],"",0,1)</f>
        <v>2</v>
      </c>
      <c r="D165" s="2" t="str">
        <f>_xlfn.XLOOKUP($I165,Tab_00.Trial[CONTA],Tab_00.Trial[S/A],"",0,1)</f>
        <v>S</v>
      </c>
      <c r="E165" s="2">
        <f>IF($I165="","",COUNTIFS(Tab_00.Trial[CONTA],$I165))</f>
        <v>1</v>
      </c>
      <c r="F165" s="4">
        <f>SUMIFS(Tab_02.Fev[SALDO
ATUAL],Tab_02.Fev[CONTA],$I165)</f>
        <v>2157355.71</v>
      </c>
      <c r="G165" s="4">
        <f t="shared" si="4"/>
        <v>0</v>
      </c>
      <c r="H165" s="137">
        <v>40015</v>
      </c>
      <c r="I165" s="3" t="s">
        <v>234</v>
      </c>
      <c r="J165" s="3" t="s">
        <v>817</v>
      </c>
      <c r="K165" s="4">
        <v>2157355.71</v>
      </c>
      <c r="L165" s="4">
        <v>632871.76</v>
      </c>
      <c r="M165" s="4">
        <v>40759.69</v>
      </c>
      <c r="N165" s="4">
        <v>2749467.78</v>
      </c>
      <c r="O165" s="4">
        <f>Tab_03.Mar[[#This Row],[DÉBITO]]-Tab_03.Mar[[#This Row],[CRÉDITO]]</f>
        <v>592112.06999999995</v>
      </c>
    </row>
    <row r="166" spans="2:15" x14ac:dyDescent="0.3">
      <c r="B166" s="2" t="str">
        <f>_xlfn.XLOOKUP($I166,Tab_00.Trial[CONTA],Tab_00.Trial[TP],"",0,1)</f>
        <v>C</v>
      </c>
      <c r="C166" s="2">
        <f>_xlfn.XLOOKUP($I166,Tab_00.Trial[CONTA],Tab_00.Trial[NV],"",0,1)</f>
        <v>5</v>
      </c>
      <c r="D166" s="2" t="str">
        <f>_xlfn.XLOOKUP($I166,Tab_00.Trial[CONTA],Tab_00.Trial[S/A],"",0,1)</f>
        <v>S</v>
      </c>
      <c r="E166" s="2">
        <f>IF($I166="","",COUNTIFS(Tab_00.Trial[CONTA],$I166))</f>
        <v>1</v>
      </c>
      <c r="F166" s="4">
        <f>SUMIFS(Tab_02.Fev[SALDO
ATUAL],Tab_02.Fev[CONTA],$I166)</f>
        <v>281843.59999999998</v>
      </c>
      <c r="G166" s="4">
        <f t="shared" si="4"/>
        <v>0</v>
      </c>
      <c r="H166" s="137">
        <v>40030</v>
      </c>
      <c r="I166" s="3" t="s">
        <v>235</v>
      </c>
      <c r="J166" s="3" t="s">
        <v>818</v>
      </c>
      <c r="K166" s="4">
        <v>281843.59999999998</v>
      </c>
      <c r="L166" s="4">
        <v>230765.99</v>
      </c>
      <c r="M166" s="4">
        <v>40759.69</v>
      </c>
      <c r="N166" s="4">
        <v>471849.9</v>
      </c>
      <c r="O166" s="4">
        <f>Tab_03.Mar[[#This Row],[DÉBITO]]-Tab_03.Mar[[#This Row],[CRÉDITO]]</f>
        <v>190006.3</v>
      </c>
    </row>
    <row r="167" spans="2:15" x14ac:dyDescent="0.3">
      <c r="B167" s="2" t="str">
        <f>_xlfn.XLOOKUP($I167,Tab_00.Trial[CONTA],Tab_00.Trial[TP],"",0,1)</f>
        <v>C</v>
      </c>
      <c r="C167" s="2">
        <f>_xlfn.XLOOKUP($I167,Tab_00.Trial[CONTA],Tab_00.Trial[NV],"",0,1)</f>
        <v>5</v>
      </c>
      <c r="D167" s="2" t="str">
        <f>_xlfn.XLOOKUP($I167,Tab_00.Trial[CONTA],Tab_00.Trial[S/A],"",0,1)</f>
        <v>S</v>
      </c>
      <c r="E167" s="2">
        <f>IF($I167="","",COUNTIFS(Tab_00.Trial[CONTA],$I167))</f>
        <v>1</v>
      </c>
      <c r="F167" s="4">
        <f>SUMIFS(Tab_02.Fev[SALDO
ATUAL],Tab_02.Fev[CONTA],$I167)</f>
        <v>113365.92</v>
      </c>
      <c r="G167" s="4">
        <f t="shared" si="4"/>
        <v>0</v>
      </c>
      <c r="H167" s="137">
        <v>40045</v>
      </c>
      <c r="I167" s="3" t="s">
        <v>236</v>
      </c>
      <c r="J167" s="3" t="s">
        <v>696</v>
      </c>
      <c r="K167" s="4">
        <v>113365.92</v>
      </c>
      <c r="L167" s="4">
        <v>97932.71</v>
      </c>
      <c r="M167" s="4">
        <v>26299.53</v>
      </c>
      <c r="N167" s="4">
        <v>184999.1</v>
      </c>
      <c r="O167" s="4">
        <f>Tab_03.Mar[[#This Row],[DÉBITO]]-Tab_03.Mar[[#This Row],[CRÉDITO]]</f>
        <v>71633.179999999993</v>
      </c>
    </row>
    <row r="168" spans="2:15" x14ac:dyDescent="0.3">
      <c r="B168" s="2" t="str">
        <f>_xlfn.XLOOKUP($I168,Tab_00.Trial[CONTA],Tab_00.Trial[TP],"",0,1)</f>
        <v>C</v>
      </c>
      <c r="C168" s="2">
        <f>_xlfn.XLOOKUP($I168,Tab_00.Trial[CONTA],Tab_00.Trial[NV],"",0,1)</f>
        <v>5</v>
      </c>
      <c r="D168" s="2" t="str">
        <f>_xlfn.XLOOKUP($I168,Tab_00.Trial[CONTA],Tab_00.Trial[S/A],"",0,1)</f>
        <v>A</v>
      </c>
      <c r="E168" s="2">
        <f>IF($I168="","",COUNTIFS(Tab_00.Trial[CONTA],$I168))</f>
        <v>1</v>
      </c>
      <c r="F168" s="4">
        <f>SUMIFS(Tab_02.Fev[SALDO
ATUAL],Tab_02.Fev[CONTA],$I168)</f>
        <v>48442.58</v>
      </c>
      <c r="G168" s="4">
        <f t="shared" si="4"/>
        <v>0</v>
      </c>
      <c r="H168" s="137">
        <v>40060</v>
      </c>
      <c r="I168" s="3" t="s">
        <v>195</v>
      </c>
      <c r="J168" s="3" t="s">
        <v>427</v>
      </c>
      <c r="K168" s="4">
        <v>48442.58</v>
      </c>
      <c r="L168" s="4">
        <v>80504.75</v>
      </c>
      <c r="M168" s="4">
        <v>25886.87</v>
      </c>
      <c r="N168" s="4">
        <v>103060.46</v>
      </c>
      <c r="O168" s="4">
        <f>Tab_03.Mar[[#This Row],[DÉBITO]]-Tab_03.Mar[[#This Row],[CRÉDITO]]</f>
        <v>54617.88</v>
      </c>
    </row>
    <row r="169" spans="2:15" x14ac:dyDescent="0.3">
      <c r="B169" s="2" t="str">
        <f>_xlfn.XLOOKUP($I169,Tab_00.Trial[CONTA],Tab_00.Trial[TP],"",0,1)</f>
        <v>C</v>
      </c>
      <c r="C169" s="2">
        <f>_xlfn.XLOOKUP($I169,Tab_00.Trial[CONTA],Tab_00.Trial[NV],"",0,1)</f>
        <v>5</v>
      </c>
      <c r="D169" s="2" t="str">
        <f>_xlfn.XLOOKUP($I169,Tab_00.Trial[CONTA],Tab_00.Trial[S/A],"",0,1)</f>
        <v>A</v>
      </c>
      <c r="E169" s="2">
        <f>IF($I169="","",COUNTIFS(Tab_00.Trial[CONTA],$I169))</f>
        <v>1</v>
      </c>
      <c r="F169" s="4">
        <f>SUMIFS(Tab_02.Fev[SALDO
ATUAL],Tab_02.Fev[CONTA],$I169)</f>
        <v>16723.97</v>
      </c>
      <c r="G169" s="4">
        <f t="shared" si="4"/>
        <v>0</v>
      </c>
      <c r="H169" s="137">
        <v>40075</v>
      </c>
      <c r="I169" s="3" t="s">
        <v>430</v>
      </c>
      <c r="J169" s="3" t="s">
        <v>431</v>
      </c>
      <c r="K169" s="4">
        <v>16723.97</v>
      </c>
      <c r="L169" s="4">
        <v>6943.87</v>
      </c>
      <c r="M169" s="4">
        <v>33.44</v>
      </c>
      <c r="N169" s="4">
        <v>23634.400000000001</v>
      </c>
      <c r="O169" s="4">
        <f>Tab_03.Mar[[#This Row],[DÉBITO]]-Tab_03.Mar[[#This Row],[CRÉDITO]]</f>
        <v>6910.43</v>
      </c>
    </row>
    <row r="170" spans="2:15" x14ac:dyDescent="0.3">
      <c r="B170" s="2" t="str">
        <f>_xlfn.XLOOKUP($I170,Tab_00.Trial[CONTA],Tab_00.Trial[TP],"",0,1)</f>
        <v>C</v>
      </c>
      <c r="C170" s="2">
        <f>_xlfn.XLOOKUP($I170,Tab_00.Trial[CONTA],Tab_00.Trial[NV],"",0,1)</f>
        <v>5</v>
      </c>
      <c r="D170" s="2" t="str">
        <f>_xlfn.XLOOKUP($I170,Tab_00.Trial[CONTA],Tab_00.Trial[S/A],"",0,1)</f>
        <v>A</v>
      </c>
      <c r="E170" s="2">
        <f>IF($I170="","",COUNTIFS(Tab_00.Trial[CONTA],$I170))</f>
        <v>1</v>
      </c>
      <c r="F170" s="4">
        <f>SUMIFS(Tab_02.Fev[SALDO
ATUAL],Tab_02.Fev[CONTA],$I170)</f>
        <v>10090.06</v>
      </c>
      <c r="G170" s="4">
        <f t="shared" si="4"/>
        <v>0</v>
      </c>
      <c r="H170" s="137">
        <v>40085</v>
      </c>
      <c r="I170" s="3" t="s">
        <v>432</v>
      </c>
      <c r="J170" s="3" t="s">
        <v>433</v>
      </c>
      <c r="K170" s="4">
        <v>10090.06</v>
      </c>
      <c r="L170" s="4">
        <v>5045.03</v>
      </c>
      <c r="M170" s="4">
        <v>0</v>
      </c>
      <c r="N170" s="4">
        <v>15135.09</v>
      </c>
      <c r="O170" s="4">
        <f>Tab_03.Mar[[#This Row],[DÉBITO]]-Tab_03.Mar[[#This Row],[CRÉDITO]]</f>
        <v>5045.03</v>
      </c>
    </row>
    <row r="171" spans="2:15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5</v>
      </c>
      <c r="D171" s="2" t="str">
        <f>_xlfn.XLOOKUP($I171,Tab_00.Trial[CONTA],Tab_00.Trial[S/A],"",0,1)</f>
        <v>A</v>
      </c>
      <c r="E171" s="2">
        <f>IF($I171="","",COUNTIFS(Tab_00.Trial[CONTA],$I171))</f>
        <v>1</v>
      </c>
      <c r="F171" s="4">
        <f>SUMIFS(Tab_02.Fev[SALDO
ATUAL],Tab_02.Fev[CONTA],$I171)</f>
        <v>33779.15</v>
      </c>
      <c r="G171" s="4">
        <f t="shared" si="4"/>
        <v>0</v>
      </c>
      <c r="H171" s="137">
        <v>10111</v>
      </c>
      <c r="I171" s="3" t="s">
        <v>790</v>
      </c>
      <c r="J171" s="3" t="s">
        <v>791</v>
      </c>
      <c r="K171" s="4">
        <v>33779.15</v>
      </c>
      <c r="L171" s="4">
        <v>3010.56</v>
      </c>
      <c r="M171" s="4">
        <v>292.04000000000002</v>
      </c>
      <c r="N171" s="4">
        <v>36497.67</v>
      </c>
      <c r="O171" s="4">
        <f>Tab_03.Mar[[#This Row],[DÉBITO]]-Tab_03.Mar[[#This Row],[CRÉDITO]]</f>
        <v>2718.52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5</v>
      </c>
      <c r="D172" s="2" t="str">
        <f>_xlfn.XLOOKUP($I172,Tab_00.Trial[CONTA],Tab_00.Trial[S/A],"",0,1)</f>
        <v>A</v>
      </c>
      <c r="E172" s="2">
        <f>IF($I172="","",COUNTIFS(Tab_00.Trial[CONTA],$I172))</f>
        <v>1</v>
      </c>
      <c r="F172" s="4">
        <f>SUMIFS(Tab_02.Fev[SALDO
ATUAL],Tab_02.Fev[CONTA],$I172)</f>
        <v>672.71</v>
      </c>
      <c r="G172" s="4">
        <f t="shared" si="4"/>
        <v>0</v>
      </c>
      <c r="H172" s="137">
        <v>10118</v>
      </c>
      <c r="I172" s="3" t="s">
        <v>792</v>
      </c>
      <c r="J172" s="3" t="s">
        <v>793</v>
      </c>
      <c r="K172" s="4">
        <v>672.71</v>
      </c>
      <c r="L172" s="4">
        <v>553.25</v>
      </c>
      <c r="M172" s="4">
        <v>87.18</v>
      </c>
      <c r="N172" s="4">
        <v>1138.78</v>
      </c>
      <c r="O172" s="4">
        <f>Tab_03.Mar[[#This Row],[DÉBITO]]-Tab_03.Mar[[#This Row],[CRÉDITO]]</f>
        <v>466.07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A</v>
      </c>
      <c r="E173" s="2">
        <f>IF($I173="","",COUNTIFS(Tab_00.Trial[CONTA],$I173))</f>
        <v>1</v>
      </c>
      <c r="F173" s="4">
        <f>SUMIFS(Tab_02.Fev[SALDO
ATUAL],Tab_02.Fev[CONTA],$I173)</f>
        <v>45.28</v>
      </c>
      <c r="G173" s="4">
        <f t="shared" si="4"/>
        <v>0</v>
      </c>
      <c r="H173" s="137">
        <v>10139</v>
      </c>
      <c r="I173" s="3" t="s">
        <v>794</v>
      </c>
      <c r="J173" s="3" t="s">
        <v>795</v>
      </c>
      <c r="K173" s="4">
        <v>45.28</v>
      </c>
      <c r="L173" s="4">
        <v>69.150000000000006</v>
      </c>
      <c r="M173" s="4">
        <v>0</v>
      </c>
      <c r="N173" s="4">
        <v>114.43</v>
      </c>
      <c r="O173" s="4">
        <f>Tab_03.Mar[[#This Row],[DÉBITO]]-Tab_03.Mar[[#This Row],[CRÉDITO]]</f>
        <v>69.150000000000006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A</v>
      </c>
      <c r="E174" s="2">
        <f>IF($I174="","",COUNTIFS(Tab_00.Trial[CONTA],$I174))</f>
        <v>1</v>
      </c>
      <c r="F174" s="4">
        <f>SUMIFS(Tab_02.Fev[SALDO
ATUAL],Tab_02.Fev[CONTA],$I174)</f>
        <v>2704.08</v>
      </c>
      <c r="G174" s="4">
        <f t="shared" si="4"/>
        <v>0</v>
      </c>
      <c r="H174" s="137">
        <v>10146</v>
      </c>
      <c r="I174" s="3" t="s">
        <v>796</v>
      </c>
      <c r="J174" s="3" t="s">
        <v>797</v>
      </c>
      <c r="K174" s="4">
        <v>2704.08</v>
      </c>
      <c r="L174" s="4">
        <v>1352.06</v>
      </c>
      <c r="M174" s="4">
        <v>0</v>
      </c>
      <c r="N174" s="4">
        <v>4056.14</v>
      </c>
      <c r="O174" s="4">
        <f>Tab_03.Mar[[#This Row],[DÉBITO]]-Tab_03.Mar[[#This Row],[CRÉDITO]]</f>
        <v>1352.06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A</v>
      </c>
      <c r="E175" s="2">
        <f>IF($I175="","",COUNTIFS(Tab_00.Trial[CONTA],$I175))</f>
        <v>1</v>
      </c>
      <c r="F175" s="4">
        <f>SUMIFS(Tab_02.Fev[SALDO
ATUAL],Tab_02.Fev[CONTA],$I175)</f>
        <v>807.18</v>
      </c>
      <c r="G175" s="4">
        <f t="shared" si="4"/>
        <v>0</v>
      </c>
      <c r="H175" s="137">
        <v>10153</v>
      </c>
      <c r="I175" s="3" t="s">
        <v>798</v>
      </c>
      <c r="J175" s="3" t="s">
        <v>799</v>
      </c>
      <c r="K175" s="4">
        <v>807.18</v>
      </c>
      <c r="L175" s="4">
        <v>403.6</v>
      </c>
      <c r="M175" s="4">
        <v>0</v>
      </c>
      <c r="N175" s="4">
        <v>1210.78</v>
      </c>
      <c r="O175" s="4">
        <f>Tab_03.Mar[[#This Row],[DÉBITO]]-Tab_03.Mar[[#This Row],[CRÉDITO]]</f>
        <v>403.6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A</v>
      </c>
      <c r="E176" s="2">
        <f>IF($I176="","",COUNTIFS(Tab_00.Trial[CONTA],$I176))</f>
        <v>1</v>
      </c>
      <c r="F176" s="4">
        <f>SUMIFS(Tab_02.Fev[SALDO
ATUAL],Tab_02.Fev[CONTA],$I176)</f>
        <v>100.91</v>
      </c>
      <c r="G176" s="4">
        <f t="shared" si="4"/>
        <v>0</v>
      </c>
      <c r="H176" s="137">
        <v>10160</v>
      </c>
      <c r="I176" s="3" t="s">
        <v>800</v>
      </c>
      <c r="J176" s="3" t="s">
        <v>801</v>
      </c>
      <c r="K176" s="4">
        <v>100.91</v>
      </c>
      <c r="L176" s="4">
        <v>50.44</v>
      </c>
      <c r="M176" s="4">
        <v>0</v>
      </c>
      <c r="N176" s="4">
        <v>151.35</v>
      </c>
      <c r="O176" s="4">
        <f>Tab_03.Mar[[#This Row],[DÉBITO]]-Tab_03.Mar[[#This Row],[CRÉDITO]]</f>
        <v>50.44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S</v>
      </c>
      <c r="E177" s="2">
        <f>IF($I177="","",COUNTIFS(Tab_00.Trial[CONTA],$I177))</f>
        <v>1</v>
      </c>
      <c r="F177" s="4">
        <f>SUMIFS(Tab_02.Fev[SALDO
ATUAL],Tab_02.Fev[CONTA],$I177)</f>
        <v>33927.69</v>
      </c>
      <c r="G177" s="4">
        <f t="shared" si="4"/>
        <v>0</v>
      </c>
      <c r="H177" s="137">
        <v>40150</v>
      </c>
      <c r="I177" s="3" t="s">
        <v>590</v>
      </c>
      <c r="J177" s="3" t="s">
        <v>697</v>
      </c>
      <c r="K177" s="4">
        <v>33927.69</v>
      </c>
      <c r="L177" s="4">
        <v>46676.26</v>
      </c>
      <c r="M177" s="4">
        <v>1742.73</v>
      </c>
      <c r="N177" s="4">
        <v>78861.22</v>
      </c>
      <c r="O177" s="4">
        <f>Tab_03.Mar[[#This Row],[DÉBITO]]-Tab_03.Mar[[#This Row],[CRÉDITO]]</f>
        <v>44933.53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A</v>
      </c>
      <c r="E178" s="2">
        <f>IF($I178="","",COUNTIFS(Tab_00.Trial[CONTA],$I178))</f>
        <v>1</v>
      </c>
      <c r="F178" s="4">
        <f>SUMIFS(Tab_02.Fev[SALDO
ATUAL],Tab_02.Fev[CONTA],$I178)</f>
        <v>31547.72</v>
      </c>
      <c r="G178" s="4">
        <f t="shared" si="4"/>
        <v>0</v>
      </c>
      <c r="H178" s="137">
        <v>40165</v>
      </c>
      <c r="I178" s="3" t="s">
        <v>434</v>
      </c>
      <c r="J178" s="3" t="s">
        <v>435</v>
      </c>
      <c r="K178" s="4">
        <v>31547.72</v>
      </c>
      <c r="L178" s="4">
        <v>44213.26</v>
      </c>
      <c r="M178" s="4">
        <v>731.6</v>
      </c>
      <c r="N178" s="4">
        <v>75029.38</v>
      </c>
      <c r="O178" s="4">
        <f>Tab_03.Mar[[#This Row],[DÉBITO]]-Tab_03.Mar[[#This Row],[CRÉDITO]]</f>
        <v>43481.66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A</v>
      </c>
      <c r="E179" s="2">
        <f>IF($I179="","",COUNTIFS(Tab_00.Trial[CONTA],$I179))</f>
        <v>1</v>
      </c>
      <c r="F179" s="4">
        <f>SUMIFS(Tab_02.Fev[SALDO
ATUAL],Tab_02.Fev[CONTA],$I179)</f>
        <v>2379.9699999999998</v>
      </c>
      <c r="G179" s="4">
        <f t="shared" si="4"/>
        <v>0</v>
      </c>
      <c r="H179" s="137">
        <v>40195</v>
      </c>
      <c r="I179" s="3" t="s">
        <v>750</v>
      </c>
      <c r="J179" s="3" t="s">
        <v>751</v>
      </c>
      <c r="K179" s="4">
        <v>2379.9699999999998</v>
      </c>
      <c r="L179" s="4">
        <v>2463</v>
      </c>
      <c r="M179" s="4">
        <v>1011.13</v>
      </c>
      <c r="N179" s="4">
        <v>3831.84</v>
      </c>
      <c r="O179" s="4">
        <f>Tab_03.Mar[[#This Row],[DÉBITO]]-Tab_03.Mar[[#This Row],[CRÉDITO]]</f>
        <v>1451.87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S</v>
      </c>
      <c r="E180" s="2">
        <f>IF($I180="","",COUNTIFS(Tab_00.Trial[CONTA],$I180))</f>
        <v>1</v>
      </c>
      <c r="F180" s="4">
        <f>SUMIFS(Tab_02.Fev[SALDO
ATUAL],Tab_02.Fev[CONTA],$I180)</f>
        <v>37386.26</v>
      </c>
      <c r="G180" s="4">
        <f t="shared" si="4"/>
        <v>0</v>
      </c>
      <c r="H180" s="137">
        <v>40210</v>
      </c>
      <c r="I180" s="3" t="s">
        <v>591</v>
      </c>
      <c r="J180" s="3" t="s">
        <v>698</v>
      </c>
      <c r="K180" s="4">
        <v>37386.26</v>
      </c>
      <c r="L180" s="4">
        <v>37511.910000000003</v>
      </c>
      <c r="M180" s="4">
        <v>12717.43</v>
      </c>
      <c r="N180" s="4">
        <v>62180.74</v>
      </c>
      <c r="O180" s="4">
        <f>Tab_03.Mar[[#This Row],[DÉBITO]]-Tab_03.Mar[[#This Row],[CRÉDITO]]</f>
        <v>24794.48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A</v>
      </c>
      <c r="E181" s="2">
        <f>IF($I181="","",COUNTIFS(Tab_00.Trial[CONTA],$I181))</f>
        <v>1</v>
      </c>
      <c r="F181" s="4">
        <f>SUMIFS(Tab_02.Fev[SALDO
ATUAL],Tab_02.Fev[CONTA],$I181)</f>
        <v>30560.52</v>
      </c>
      <c r="G181" s="4">
        <f t="shared" si="4"/>
        <v>0</v>
      </c>
      <c r="H181" s="137">
        <v>40225</v>
      </c>
      <c r="I181" s="3" t="s">
        <v>436</v>
      </c>
      <c r="J181" s="3" t="s">
        <v>437</v>
      </c>
      <c r="K181" s="4">
        <v>30560.52</v>
      </c>
      <c r="L181" s="4">
        <v>28269.13</v>
      </c>
      <c r="M181" s="4">
        <v>8380.82</v>
      </c>
      <c r="N181" s="4">
        <v>50448.83</v>
      </c>
      <c r="O181" s="4">
        <f>Tab_03.Mar[[#This Row],[DÉBITO]]-Tab_03.Mar[[#This Row],[CRÉDITO]]</f>
        <v>19888.310000000001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A</v>
      </c>
      <c r="E182" s="2">
        <f>IF($I182="","",COUNTIFS(Tab_00.Trial[CONTA],$I182))</f>
        <v>1</v>
      </c>
      <c r="F182" s="4">
        <f>SUMIFS(Tab_02.Fev[SALDO
ATUAL],Tab_02.Fev[CONTA],$I182)</f>
        <v>5921.7</v>
      </c>
      <c r="G182" s="4">
        <f t="shared" si="4"/>
        <v>0</v>
      </c>
      <c r="H182" s="137">
        <v>40240</v>
      </c>
      <c r="I182" s="3" t="s">
        <v>438</v>
      </c>
      <c r="J182" s="3" t="s">
        <v>196</v>
      </c>
      <c r="K182" s="4">
        <v>5921.7</v>
      </c>
      <c r="L182" s="4">
        <v>8215.7900000000009</v>
      </c>
      <c r="M182" s="4">
        <v>4023.89</v>
      </c>
      <c r="N182" s="4">
        <v>10113.6</v>
      </c>
      <c r="O182" s="4">
        <f>Tab_03.Mar[[#This Row],[DÉBITO]]-Tab_03.Mar[[#This Row],[CRÉDITO]]</f>
        <v>4191.8999999999996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A</v>
      </c>
      <c r="E183" s="2">
        <f>IF($I183="","",COUNTIFS(Tab_00.Trial[CONTA],$I183))</f>
        <v>1</v>
      </c>
      <c r="F183" s="4">
        <f>SUMIFS(Tab_02.Fev[SALDO
ATUAL],Tab_02.Fev[CONTA],$I183)</f>
        <v>904.04</v>
      </c>
      <c r="G183" s="4">
        <f t="shared" si="4"/>
        <v>0</v>
      </c>
      <c r="H183" s="137">
        <v>40255</v>
      </c>
      <c r="I183" s="3" t="s">
        <v>439</v>
      </c>
      <c r="J183" s="3" t="s">
        <v>440</v>
      </c>
      <c r="K183" s="4">
        <v>904.04</v>
      </c>
      <c r="L183" s="4">
        <v>1026.99</v>
      </c>
      <c r="M183" s="4">
        <v>312.72000000000003</v>
      </c>
      <c r="N183" s="4">
        <v>1618.31</v>
      </c>
      <c r="O183" s="4">
        <f>Tab_03.Mar[[#This Row],[DÉBITO]]-Tab_03.Mar[[#This Row],[CRÉDITO]]</f>
        <v>714.27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S</v>
      </c>
      <c r="E184" s="2">
        <f>IF($I184="","",COUNTIFS(Tab_00.Trial[CONTA],$I184))</f>
        <v>1</v>
      </c>
      <c r="F184" s="4">
        <f>SUMIFS(Tab_02.Fev[SALDO
ATUAL],Tab_02.Fev[CONTA],$I184)</f>
        <v>2235.4699999999998</v>
      </c>
      <c r="G184" s="4">
        <f t="shared" si="4"/>
        <v>0</v>
      </c>
      <c r="H184" s="137">
        <v>40285</v>
      </c>
      <c r="I184" s="3" t="s">
        <v>592</v>
      </c>
      <c r="J184" s="3" t="s">
        <v>699</v>
      </c>
      <c r="K184" s="4">
        <v>2235.4699999999998</v>
      </c>
      <c r="L184" s="4">
        <v>3552.79</v>
      </c>
      <c r="M184" s="4">
        <v>0</v>
      </c>
      <c r="N184" s="4">
        <v>5788.26</v>
      </c>
      <c r="O184" s="4">
        <f>Tab_03.Mar[[#This Row],[DÉBITO]]-Tab_03.Mar[[#This Row],[CRÉDITO]]</f>
        <v>3552.79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A</v>
      </c>
      <c r="E185" s="2">
        <f>IF($I185="","",COUNTIFS(Tab_00.Trial[CONTA],$I185))</f>
        <v>1</v>
      </c>
      <c r="F185" s="4">
        <f>SUMIFS(Tab_02.Fev[SALDO
ATUAL],Tab_02.Fev[CONTA],$I185)</f>
        <v>2235.4699999999998</v>
      </c>
      <c r="G185" s="4">
        <f t="shared" si="4"/>
        <v>0</v>
      </c>
      <c r="H185" s="137">
        <v>40300</v>
      </c>
      <c r="I185" s="3" t="s">
        <v>397</v>
      </c>
      <c r="J185" s="3" t="s">
        <v>398</v>
      </c>
      <c r="K185" s="4">
        <v>2235.4699999999998</v>
      </c>
      <c r="L185" s="4">
        <v>3552.79</v>
      </c>
      <c r="M185" s="4">
        <v>0</v>
      </c>
      <c r="N185" s="4">
        <v>5788.26</v>
      </c>
      <c r="O185" s="4">
        <f>Tab_03.Mar[[#This Row],[DÉBITO]]-Tab_03.Mar[[#This Row],[CRÉDITO]]</f>
        <v>3552.79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S</v>
      </c>
      <c r="E186" s="2">
        <f>IF($I186="","",COUNTIFS(Tab_00.Trial[CONTA],$I186))</f>
        <v>1</v>
      </c>
      <c r="F186" s="4">
        <f>SUMIFS(Tab_02.Fev[SALDO
ATUAL],Tab_02.Fev[CONTA],$I186)</f>
        <v>64030.64</v>
      </c>
      <c r="G186" s="4">
        <f t="shared" si="4"/>
        <v>0</v>
      </c>
      <c r="H186" s="137">
        <v>40295</v>
      </c>
      <c r="I186" s="3" t="s">
        <v>593</v>
      </c>
      <c r="J186" s="3" t="s">
        <v>711</v>
      </c>
      <c r="K186" s="4">
        <v>64030.64</v>
      </c>
      <c r="L186" s="4">
        <v>31176.29</v>
      </c>
      <c r="M186" s="4">
        <v>0</v>
      </c>
      <c r="N186" s="4">
        <v>95206.93</v>
      </c>
      <c r="O186" s="4">
        <f>Tab_03.Mar[[#This Row],[DÉBITO]]-Tab_03.Mar[[#This Row],[CRÉDITO]]</f>
        <v>31176.29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A</v>
      </c>
      <c r="E187" s="2">
        <f>IF($I187="","",COUNTIFS(Tab_00.Trial[CONTA],$I187))</f>
        <v>1</v>
      </c>
      <c r="F187" s="4">
        <f>SUMIFS(Tab_02.Fev[SALDO
ATUAL],Tab_02.Fev[CONTA],$I187)</f>
        <v>8271.92</v>
      </c>
      <c r="G187" s="4">
        <f t="shared" si="4"/>
        <v>0</v>
      </c>
      <c r="H187" s="137">
        <v>40339</v>
      </c>
      <c r="I187" s="3" t="s">
        <v>403</v>
      </c>
      <c r="J187" s="3" t="s">
        <v>404</v>
      </c>
      <c r="K187" s="4">
        <v>8271.92</v>
      </c>
      <c r="L187" s="4">
        <v>4135.96</v>
      </c>
      <c r="M187" s="4">
        <v>0</v>
      </c>
      <c r="N187" s="4">
        <v>12407.88</v>
      </c>
      <c r="O187" s="4">
        <f>Tab_03.Mar[[#This Row],[DÉBITO]]-Tab_03.Mar[[#This Row],[CRÉDITO]]</f>
        <v>4135.96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A</v>
      </c>
      <c r="E188" s="2">
        <f>IF($I188="","",COUNTIFS(Tab_00.Trial[CONTA],$I188))</f>
        <v>1</v>
      </c>
      <c r="F188" s="4">
        <f>SUMIFS(Tab_02.Fev[SALDO
ATUAL],Tab_02.Fev[CONTA],$I188)</f>
        <v>53137</v>
      </c>
      <c r="G188" s="4">
        <f t="shared" si="4"/>
        <v>0</v>
      </c>
      <c r="H188" s="137">
        <v>40341</v>
      </c>
      <c r="I188" s="3" t="s">
        <v>405</v>
      </c>
      <c r="J188" s="3" t="s">
        <v>406</v>
      </c>
      <c r="K188" s="4">
        <v>53137</v>
      </c>
      <c r="L188" s="4">
        <v>23310</v>
      </c>
      <c r="M188" s="4">
        <v>0</v>
      </c>
      <c r="N188" s="4">
        <v>76447</v>
      </c>
      <c r="O188" s="4">
        <f>Tab_03.Mar[[#This Row],[DÉBITO]]-Tab_03.Mar[[#This Row],[CRÉDITO]]</f>
        <v>23310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A</v>
      </c>
      <c r="E189" s="2">
        <f>IF($I189="","",COUNTIFS(Tab_00.Trial[CONTA],$I189))</f>
        <v>1</v>
      </c>
      <c r="F189" s="4">
        <f>SUMIFS(Tab_02.Fev[SALDO
ATUAL],Tab_02.Fev[CONTA],$I189)</f>
        <v>2621.72</v>
      </c>
      <c r="G189" s="4">
        <f t="shared" si="4"/>
        <v>0</v>
      </c>
      <c r="H189" s="137">
        <v>40350</v>
      </c>
      <c r="I189" s="3" t="s">
        <v>407</v>
      </c>
      <c r="J189" s="3" t="s">
        <v>408</v>
      </c>
      <c r="K189" s="4">
        <v>2621.72</v>
      </c>
      <c r="L189" s="4">
        <v>3730.33</v>
      </c>
      <c r="M189" s="4">
        <v>0</v>
      </c>
      <c r="N189" s="4">
        <v>6352.05</v>
      </c>
      <c r="O189" s="4">
        <f>Tab_03.Mar[[#This Row],[DÉBITO]]-Tab_03.Mar[[#This Row],[CRÉDITO]]</f>
        <v>3730.33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S</v>
      </c>
      <c r="E190" s="2">
        <f>IF($I190="","",COUNTIFS(Tab_00.Trial[CONTA],$I190))</f>
        <v>1</v>
      </c>
      <c r="F190" s="4">
        <f>SUMIFS(Tab_02.Fev[SALDO
ATUAL],Tab_02.Fev[CONTA],$I190)</f>
        <v>30043.1</v>
      </c>
      <c r="G190" s="4">
        <f t="shared" si="4"/>
        <v>0</v>
      </c>
      <c r="H190" s="137">
        <v>40353</v>
      </c>
      <c r="I190" s="3" t="s">
        <v>594</v>
      </c>
      <c r="J190" s="3" t="s">
        <v>819</v>
      </c>
      <c r="K190" s="4">
        <v>30043.1</v>
      </c>
      <c r="L190" s="4">
        <v>13488.77</v>
      </c>
      <c r="M190" s="4">
        <v>0</v>
      </c>
      <c r="N190" s="4">
        <v>43531.87</v>
      </c>
      <c r="O190" s="4">
        <f>Tab_03.Mar[[#This Row],[DÉBITO]]-Tab_03.Mar[[#This Row],[CRÉDITO]]</f>
        <v>13488.77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A</v>
      </c>
      <c r="E191" s="2">
        <f>IF($I191="","",COUNTIFS(Tab_00.Trial[CONTA],$I191))</f>
        <v>1</v>
      </c>
      <c r="F191" s="4">
        <f>SUMIFS(Tab_02.Fev[SALDO
ATUAL],Tab_02.Fev[CONTA],$I191)</f>
        <v>300</v>
      </c>
      <c r="G191" s="4">
        <f t="shared" si="4"/>
        <v>0</v>
      </c>
      <c r="H191" s="137">
        <v>40354</v>
      </c>
      <c r="I191" s="3" t="s">
        <v>411</v>
      </c>
      <c r="J191" s="3" t="s">
        <v>412</v>
      </c>
      <c r="K191" s="4">
        <v>300</v>
      </c>
      <c r="L191" s="4">
        <v>0</v>
      </c>
      <c r="M191" s="4">
        <v>0</v>
      </c>
      <c r="N191" s="4">
        <v>300</v>
      </c>
      <c r="O191" s="4">
        <f>Tab_03.Mar[[#This Row],[DÉBITO]]-Tab_03.Mar[[#This Row],[CRÉDITO]]</f>
        <v>0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A</v>
      </c>
      <c r="E192" s="2">
        <f>IF($I192="","",COUNTIFS(Tab_00.Trial[CONTA],$I192))</f>
        <v>1</v>
      </c>
      <c r="F192" s="4">
        <f>SUMIFS(Tab_02.Fev[SALDO
ATUAL],Tab_02.Fev[CONTA],$I192)</f>
        <v>29743.1</v>
      </c>
      <c r="G192" s="4">
        <f t="shared" si="4"/>
        <v>0</v>
      </c>
      <c r="H192" s="137">
        <v>40355</v>
      </c>
      <c r="I192" s="3" t="s">
        <v>413</v>
      </c>
      <c r="J192" s="3" t="s">
        <v>414</v>
      </c>
      <c r="K192" s="4">
        <v>29743.1</v>
      </c>
      <c r="L192" s="4">
        <v>13488.77</v>
      </c>
      <c r="M192" s="4">
        <v>0</v>
      </c>
      <c r="N192" s="4">
        <v>43231.87</v>
      </c>
      <c r="O192" s="4">
        <f>Tab_03.Mar[[#This Row],[DÉBITO]]-Tab_03.Mar[[#This Row],[CRÉDITO]]</f>
        <v>13488.77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5</v>
      </c>
      <c r="D193" s="2" t="str">
        <f>_xlfn.XLOOKUP($I193,Tab_00.Trial[CONTA],Tab_00.Trial[S/A],"",0,1)</f>
        <v>S</v>
      </c>
      <c r="E193" s="2">
        <f>IF($I193="","",COUNTIFS(Tab_00.Trial[CONTA],$I193))</f>
        <v>1</v>
      </c>
      <c r="F193" s="4">
        <f>SUMIFS(Tab_02.Fev[SALDO
ATUAL],Tab_02.Fev[CONTA],$I193)</f>
        <v>854.52</v>
      </c>
      <c r="G193" s="4">
        <f t="shared" si="4"/>
        <v>0</v>
      </c>
      <c r="H193" s="137">
        <v>40365</v>
      </c>
      <c r="I193" s="3" t="s">
        <v>595</v>
      </c>
      <c r="J193" s="3" t="s">
        <v>420</v>
      </c>
      <c r="K193" s="4">
        <v>854.52</v>
      </c>
      <c r="L193" s="4">
        <v>427.26</v>
      </c>
      <c r="M193" s="4">
        <v>0</v>
      </c>
      <c r="N193" s="4">
        <v>1281.78</v>
      </c>
      <c r="O193" s="4">
        <f>Tab_03.Mar[[#This Row],[DÉBITO]]-Tab_03.Mar[[#This Row],[CRÉDITO]]</f>
        <v>427.26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5</v>
      </c>
      <c r="D194" s="2" t="str">
        <f>_xlfn.XLOOKUP($I194,Tab_00.Trial[CONTA],Tab_00.Trial[S/A],"",0,1)</f>
        <v>A</v>
      </c>
      <c r="E194" s="2">
        <f>IF($I194="","",COUNTIFS(Tab_00.Trial[CONTA],$I194))</f>
        <v>1</v>
      </c>
      <c r="F194" s="4">
        <f>SUMIFS(Tab_02.Fev[SALDO
ATUAL],Tab_02.Fev[CONTA],$I194)</f>
        <v>854.52</v>
      </c>
      <c r="G194" s="4">
        <f t="shared" si="4"/>
        <v>0</v>
      </c>
      <c r="H194" s="137">
        <v>40366</v>
      </c>
      <c r="I194" s="3" t="s">
        <v>419</v>
      </c>
      <c r="J194" s="3" t="s">
        <v>420</v>
      </c>
      <c r="K194" s="4">
        <v>854.52</v>
      </c>
      <c r="L194" s="4">
        <v>427.26</v>
      </c>
      <c r="M194" s="4">
        <v>0</v>
      </c>
      <c r="N194" s="4">
        <v>1281.78</v>
      </c>
      <c r="O194" s="4">
        <f>Tab_03.Mar[[#This Row],[DÉBITO]]-Tab_03.Mar[[#This Row],[CRÉDITO]]</f>
        <v>427.26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S</v>
      </c>
      <c r="E195" s="2">
        <f>IF($I195="","",COUNTIFS(Tab_00.Trial[CONTA],$I195))</f>
        <v>1</v>
      </c>
      <c r="F195" s="4">
        <f>SUMIFS(Tab_02.Fev[SALDO
ATUAL],Tab_02.Fev[CONTA],$I195)</f>
        <v>1875512.11</v>
      </c>
      <c r="G195" s="4">
        <f t="shared" si="4"/>
        <v>0</v>
      </c>
      <c r="H195" s="137">
        <v>40345</v>
      </c>
      <c r="I195" s="3" t="s">
        <v>237</v>
      </c>
      <c r="J195" s="3" t="s">
        <v>702</v>
      </c>
      <c r="K195" s="4">
        <v>1875512.11</v>
      </c>
      <c r="L195" s="4">
        <v>402105.77</v>
      </c>
      <c r="M195" s="4">
        <v>0</v>
      </c>
      <c r="N195" s="4">
        <v>2277617.88</v>
      </c>
      <c r="O195" s="4">
        <f>Tab_03.Mar[[#This Row],[DÉBITO]]-Tab_03.Mar[[#This Row],[CRÉDITO]]</f>
        <v>402105.77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S</v>
      </c>
      <c r="E196" s="2">
        <f>IF($I196="","",COUNTIFS(Tab_00.Trial[CONTA],$I196))</f>
        <v>1</v>
      </c>
      <c r="F196" s="4">
        <f>SUMIFS(Tab_02.Fev[SALDO
ATUAL],Tab_02.Fev[CONTA],$I196)</f>
        <v>1875512.11</v>
      </c>
      <c r="G196" s="4">
        <f t="shared" si="4"/>
        <v>0</v>
      </c>
      <c r="H196" s="137">
        <v>40360</v>
      </c>
      <c r="I196" s="3" t="s">
        <v>238</v>
      </c>
      <c r="J196" s="3" t="s">
        <v>820</v>
      </c>
      <c r="K196" s="4">
        <v>1875512.11</v>
      </c>
      <c r="L196" s="4">
        <v>402105.77</v>
      </c>
      <c r="M196" s="4">
        <v>0</v>
      </c>
      <c r="N196" s="4">
        <v>2277617.88</v>
      </c>
      <c r="O196" s="4">
        <f>Tab_03.Mar[[#This Row],[DÉBITO]]-Tab_03.Mar[[#This Row],[CRÉDITO]]</f>
        <v>402105.77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5</v>
      </c>
      <c r="D197" s="2" t="str">
        <f>_xlfn.XLOOKUP($I197,Tab_00.Trial[CONTA],Tab_00.Trial[S/A],"",0,1)</f>
        <v>A</v>
      </c>
      <c r="E197" s="2">
        <f>IF($I197="","",COUNTIFS(Tab_00.Trial[CONTA],$I197))</f>
        <v>1</v>
      </c>
      <c r="F197" s="4">
        <f>SUMIFS(Tab_02.Fev[SALDO
ATUAL],Tab_02.Fev[CONTA],$I197)</f>
        <v>434953.93</v>
      </c>
      <c r="G197" s="4">
        <f t="shared" si="4"/>
        <v>0</v>
      </c>
      <c r="H197" s="137">
        <v>40425</v>
      </c>
      <c r="I197" s="3" t="s">
        <v>421</v>
      </c>
      <c r="J197" s="3" t="s">
        <v>422</v>
      </c>
      <c r="K197" s="4">
        <v>434953.93</v>
      </c>
      <c r="L197" s="4">
        <v>247414.93</v>
      </c>
      <c r="M197" s="4">
        <v>0</v>
      </c>
      <c r="N197" s="4">
        <v>682368.86</v>
      </c>
      <c r="O197" s="4">
        <f>Tab_03.Mar[[#This Row],[DÉBITO]]-Tab_03.Mar[[#This Row],[CRÉDITO]]</f>
        <v>247414.93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5</v>
      </c>
      <c r="D198" s="2" t="str">
        <f>_xlfn.XLOOKUP($I198,Tab_00.Trial[CONTA],Tab_00.Trial[S/A],"",0,1)</f>
        <v>A</v>
      </c>
      <c r="E198" s="2">
        <f>IF($I198="","",COUNTIFS(Tab_00.Trial[CONTA],$I198))</f>
        <v>1</v>
      </c>
      <c r="F198" s="4">
        <f>SUMIFS(Tab_02.Fev[SALDO
ATUAL],Tab_02.Fev[CONTA],$I198)</f>
        <v>227807.2</v>
      </c>
      <c r="G198" s="4">
        <f t="shared" si="4"/>
        <v>0</v>
      </c>
      <c r="H198" s="137">
        <v>40468</v>
      </c>
      <c r="I198" s="3" t="s">
        <v>738</v>
      </c>
      <c r="J198" s="3" t="s">
        <v>367</v>
      </c>
      <c r="K198" s="4">
        <v>227807.2</v>
      </c>
      <c r="L198" s="4">
        <v>154690.84</v>
      </c>
      <c r="M198" s="4">
        <v>0</v>
      </c>
      <c r="N198" s="4">
        <v>382498.04</v>
      </c>
      <c r="O198" s="4">
        <f>Tab_03.Mar[[#This Row],[DÉBITO]]-Tab_03.Mar[[#This Row],[CRÉDITO]]</f>
        <v>154690.84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5</v>
      </c>
      <c r="D199" s="2" t="str">
        <f>_xlfn.XLOOKUP($I199,Tab_00.Trial[CONTA],Tab_00.Trial[S/A],"",0,1)</f>
        <v>A</v>
      </c>
      <c r="E199" s="2">
        <f>IF($I199="","",COUNTIFS(Tab_00.Trial[CONTA],$I199))</f>
        <v>1</v>
      </c>
      <c r="F199" s="4">
        <f>SUMIFS(Tab_02.Fev[SALDO
ATUAL],Tab_02.Fev[CONTA],$I199)</f>
        <v>1212750.98</v>
      </c>
      <c r="G199" s="4">
        <f t="shared" si="4"/>
        <v>0</v>
      </c>
      <c r="H199" s="137">
        <v>40469</v>
      </c>
      <c r="I199" s="3" t="s">
        <v>423</v>
      </c>
      <c r="J199" s="3" t="s">
        <v>424</v>
      </c>
      <c r="K199" s="4">
        <v>1212750.98</v>
      </c>
      <c r="L199" s="4">
        <v>0</v>
      </c>
      <c r="M199" s="4">
        <v>0</v>
      </c>
      <c r="N199" s="4">
        <v>1212750.98</v>
      </c>
      <c r="O199" s="4">
        <f>Tab_03.Mar[[#This Row],[DÉBITO]]-Tab_03.Mar[[#This Row],[CRÉDITO]]</f>
        <v>0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1</v>
      </c>
      <c r="D200" s="2" t="str">
        <f>_xlfn.XLOOKUP($I200,Tab_00.Trial[CONTA],Tab_00.Trial[S/A],"",0,1)</f>
        <v>S</v>
      </c>
      <c r="E200" s="2">
        <f>IF($I200="","",COUNTIFS(Tab_00.Trial[CONTA],$I200))</f>
        <v>1</v>
      </c>
      <c r="F200" s="4">
        <f>SUMIFS(Tab_02.Fev[SALDO
ATUAL],Tab_02.Fev[CONTA],$I200)</f>
        <v>797170.53</v>
      </c>
      <c r="G200" s="4">
        <f t="shared" si="4"/>
        <v>0</v>
      </c>
      <c r="H200" s="137">
        <v>50000</v>
      </c>
      <c r="I200" s="3">
        <v>5</v>
      </c>
      <c r="J200" s="3" t="s">
        <v>705</v>
      </c>
      <c r="K200" s="4">
        <v>797170.53</v>
      </c>
      <c r="L200" s="4">
        <v>230271.59</v>
      </c>
      <c r="M200" s="4">
        <v>215.75</v>
      </c>
      <c r="N200" s="4">
        <v>1027226.37</v>
      </c>
      <c r="O200" s="4">
        <f>Tab_03.Mar[[#This Row],[DÉBITO]]-Tab_03.Mar[[#This Row],[CRÉDITO]]</f>
        <v>230055.84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2</v>
      </c>
      <c r="D201" s="2" t="str">
        <f>_xlfn.XLOOKUP($I201,Tab_00.Trial[CONTA],Tab_00.Trial[S/A],"",0,1)</f>
        <v>S</v>
      </c>
      <c r="E201" s="2">
        <f>IF($I201="","",COUNTIFS(Tab_00.Trial[CONTA],$I201))</f>
        <v>1</v>
      </c>
      <c r="F201" s="4">
        <f>SUMIFS(Tab_02.Fev[SALDO
ATUAL],Tab_02.Fev[CONTA],$I201)</f>
        <v>797089.53</v>
      </c>
      <c r="G201" s="4">
        <f t="shared" si="4"/>
        <v>0</v>
      </c>
      <c r="H201" s="137">
        <v>50015</v>
      </c>
      <c r="I201" s="3" t="s">
        <v>599</v>
      </c>
      <c r="J201" s="3" t="s">
        <v>821</v>
      </c>
      <c r="K201" s="4">
        <v>797089.53</v>
      </c>
      <c r="L201" s="4">
        <v>230271.59</v>
      </c>
      <c r="M201" s="4">
        <v>215.75</v>
      </c>
      <c r="N201" s="4">
        <v>1027145.37</v>
      </c>
      <c r="O201" s="4">
        <f>Tab_03.Mar[[#This Row],[DÉBITO]]-Tab_03.Mar[[#This Row],[CRÉDITO]]</f>
        <v>230055.84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5</v>
      </c>
      <c r="D202" s="2" t="str">
        <f>_xlfn.XLOOKUP($I202,Tab_00.Trial[CONTA],Tab_00.Trial[S/A],"",0,1)</f>
        <v>S</v>
      </c>
      <c r="E202" s="2">
        <f>IF($I202="","",COUNTIFS(Tab_00.Trial[CONTA],$I202))</f>
        <v>1</v>
      </c>
      <c r="F202" s="4">
        <f>SUMIFS(Tab_02.Fev[SALDO
ATUAL],Tab_02.Fev[CONTA],$I202)</f>
        <v>493928.83</v>
      </c>
      <c r="G202" s="4">
        <f t="shared" si="4"/>
        <v>0</v>
      </c>
      <c r="H202" s="137">
        <v>50030</v>
      </c>
      <c r="I202" s="3" t="s">
        <v>600</v>
      </c>
      <c r="J202" s="3" t="s">
        <v>706</v>
      </c>
      <c r="K202" s="4">
        <v>493928.83</v>
      </c>
      <c r="L202" s="4">
        <v>66694.33</v>
      </c>
      <c r="M202" s="4">
        <v>215.75</v>
      </c>
      <c r="N202" s="4">
        <v>560407.41</v>
      </c>
      <c r="O202" s="4">
        <f>Tab_03.Mar[[#This Row],[DÉBITO]]-Tab_03.Mar[[#This Row],[CRÉDITO]]</f>
        <v>66478.58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5</v>
      </c>
      <c r="D203" s="2" t="str">
        <f>_xlfn.XLOOKUP($I203,Tab_00.Trial[CONTA],Tab_00.Trial[S/A],"",0,1)</f>
        <v>S</v>
      </c>
      <c r="E203" s="2">
        <f>IF($I203="","",COUNTIFS(Tab_00.Trial[CONTA],$I203))</f>
        <v>1</v>
      </c>
      <c r="F203" s="4">
        <f>SUMIFS(Tab_02.Fev[SALDO
ATUAL],Tab_02.Fev[CONTA],$I203)</f>
        <v>259630.68</v>
      </c>
      <c r="G203" s="4">
        <f t="shared" si="4"/>
        <v>0</v>
      </c>
      <c r="H203" s="137">
        <v>50045</v>
      </c>
      <c r="I203" s="3" t="s">
        <v>601</v>
      </c>
      <c r="J203" s="3" t="s">
        <v>707</v>
      </c>
      <c r="K203" s="4">
        <v>259630.68</v>
      </c>
      <c r="L203" s="4">
        <v>55102.64</v>
      </c>
      <c r="M203" s="4">
        <v>54.32</v>
      </c>
      <c r="N203" s="4">
        <v>314679</v>
      </c>
      <c r="O203" s="4">
        <f>Tab_03.Mar[[#This Row],[DÉBITO]]-Tab_03.Mar[[#This Row],[CRÉDITO]]</f>
        <v>55048.32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5</v>
      </c>
      <c r="D204" s="2" t="str">
        <f>_xlfn.XLOOKUP($I204,Tab_00.Trial[CONTA],Tab_00.Trial[S/A],"",0,1)</f>
        <v>A</v>
      </c>
      <c r="E204" s="2">
        <f>IF($I204="","",COUNTIFS(Tab_00.Trial[CONTA],$I204))</f>
        <v>1</v>
      </c>
      <c r="F204" s="4">
        <f>SUMIFS(Tab_02.Fev[SALDO
ATUAL],Tab_02.Fev[CONTA],$I204)</f>
        <v>116782.9</v>
      </c>
      <c r="G204" s="4">
        <f t="shared" si="4"/>
        <v>0</v>
      </c>
      <c r="H204" s="137">
        <v>50060</v>
      </c>
      <c r="I204" s="3" t="s">
        <v>441</v>
      </c>
      <c r="J204" s="3" t="s">
        <v>427</v>
      </c>
      <c r="K204" s="4">
        <v>116782.9</v>
      </c>
      <c r="L204" s="4">
        <v>45873.4</v>
      </c>
      <c r="M204" s="4">
        <v>0</v>
      </c>
      <c r="N204" s="4">
        <v>162656.29999999999</v>
      </c>
      <c r="O204" s="4">
        <f>Tab_03.Mar[[#This Row],[DÉBITO]]-Tab_03.Mar[[#This Row],[CRÉDITO]]</f>
        <v>45873.4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5</v>
      </c>
      <c r="D205" s="2" t="str">
        <f>_xlfn.XLOOKUP($I205,Tab_00.Trial[CONTA],Tab_00.Trial[S/A],"",0,1)</f>
        <v>A</v>
      </c>
      <c r="E205" s="2">
        <f>IF($I205="","",COUNTIFS(Tab_00.Trial[CONTA],$I205))</f>
        <v>1</v>
      </c>
      <c r="F205" s="4">
        <f>SUMIFS(Tab_02.Fev[SALDO
ATUAL],Tab_02.Fev[CONTA],$I205)</f>
        <v>23957.59</v>
      </c>
      <c r="G205" s="4">
        <f t="shared" si="4"/>
        <v>0</v>
      </c>
      <c r="H205" s="137">
        <v>50090</v>
      </c>
      <c r="I205" s="3" t="s">
        <v>443</v>
      </c>
      <c r="J205" s="3" t="s">
        <v>431</v>
      </c>
      <c r="K205" s="4">
        <v>23957.59</v>
      </c>
      <c r="L205" s="4">
        <v>4442.91</v>
      </c>
      <c r="M205" s="4">
        <v>0</v>
      </c>
      <c r="N205" s="4">
        <v>28400.5</v>
      </c>
      <c r="O205" s="4">
        <f>Tab_03.Mar[[#This Row],[DÉBITO]]-Tab_03.Mar[[#This Row],[CRÉDITO]]</f>
        <v>4442.91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5</v>
      </c>
      <c r="D206" s="2" t="str">
        <f>_xlfn.XLOOKUP($I206,Tab_00.Trial[CONTA],Tab_00.Trial[S/A],"",0,1)</f>
        <v>A</v>
      </c>
      <c r="E206" s="2">
        <f>IF($I206="","",COUNTIFS(Tab_00.Trial[CONTA],$I206))</f>
        <v>1</v>
      </c>
      <c r="F206" s="4">
        <f>SUMIFS(Tab_02.Fev[SALDO
ATUAL],Tab_02.Fev[CONTA],$I206)</f>
        <v>18415.560000000001</v>
      </c>
      <c r="G206" s="4">
        <f t="shared" si="4"/>
        <v>0</v>
      </c>
      <c r="H206" s="137">
        <v>50105</v>
      </c>
      <c r="I206" s="3" t="s">
        <v>444</v>
      </c>
      <c r="J206" s="3" t="s">
        <v>433</v>
      </c>
      <c r="K206" s="4">
        <v>18415.560000000001</v>
      </c>
      <c r="L206" s="4">
        <v>3238.34</v>
      </c>
      <c r="M206" s="4">
        <v>0</v>
      </c>
      <c r="N206" s="4">
        <v>21653.9</v>
      </c>
      <c r="O206" s="4">
        <f>Tab_03.Mar[[#This Row],[DÉBITO]]-Tab_03.Mar[[#This Row],[CRÉDITO]]</f>
        <v>3238.34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5</v>
      </c>
      <c r="D207" s="2" t="str">
        <f>_xlfn.XLOOKUP($I207,Tab_00.Trial[CONTA],Tab_00.Trial[S/A],"",0,1)</f>
        <v>A</v>
      </c>
      <c r="E207" s="2">
        <f>IF($I207="","",COUNTIFS(Tab_00.Trial[CONTA],$I207))</f>
        <v>1</v>
      </c>
      <c r="F207" s="4">
        <f>SUMIFS(Tab_02.Fev[SALDO
ATUAL],Tab_02.Fev[CONTA],$I207)</f>
        <v>85959.77</v>
      </c>
      <c r="G207" s="4">
        <f t="shared" ref="G207:G231" si="5">$F207-$K207</f>
        <v>0</v>
      </c>
      <c r="H207" s="137">
        <v>50120</v>
      </c>
      <c r="I207" s="3" t="s">
        <v>775</v>
      </c>
      <c r="J207" s="3" t="s">
        <v>749</v>
      </c>
      <c r="K207" s="4">
        <v>85959.77</v>
      </c>
      <c r="L207" s="4">
        <v>0</v>
      </c>
      <c r="M207" s="4">
        <v>0</v>
      </c>
      <c r="N207" s="4">
        <v>85959.77</v>
      </c>
      <c r="O207" s="4">
        <f>Tab_03.Mar[[#This Row],[DÉBITO]]-Tab_03.Mar[[#This Row],[CRÉDITO]]</f>
        <v>0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5</v>
      </c>
      <c r="D208" s="2" t="str">
        <f>_xlfn.XLOOKUP($I208,Tab_00.Trial[CONTA],Tab_00.Trial[S/A],"",0,1)</f>
        <v>A</v>
      </c>
      <c r="E208" s="2">
        <f>IF($I208="","",COUNTIFS(Tab_00.Trial[CONTA],$I208))</f>
        <v>1</v>
      </c>
      <c r="F208" s="4">
        <f>SUMIFS(Tab_02.Fev[SALDO
ATUAL],Tab_02.Fev[CONTA],$I208)</f>
        <v>862.74</v>
      </c>
      <c r="G208" s="4">
        <f t="shared" si="5"/>
        <v>0</v>
      </c>
      <c r="H208" s="137">
        <v>10167</v>
      </c>
      <c r="I208" s="3" t="s">
        <v>802</v>
      </c>
      <c r="J208" s="3" t="s">
        <v>791</v>
      </c>
      <c r="K208" s="4">
        <v>862.74</v>
      </c>
      <c r="L208" s="4">
        <v>0</v>
      </c>
      <c r="M208" s="4">
        <v>0</v>
      </c>
      <c r="N208" s="4">
        <v>862.74</v>
      </c>
      <c r="O208" s="4">
        <f>Tab_03.Mar[[#This Row],[DÉBITO]]-Tab_03.Mar[[#This Row],[CRÉDITO]]</f>
        <v>0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5</v>
      </c>
      <c r="D209" s="2" t="str">
        <f>_xlfn.XLOOKUP($I209,Tab_00.Trial[CONTA],Tab_00.Trial[S/A],"",0,1)</f>
        <v>A</v>
      </c>
      <c r="E209" s="2">
        <f>IF($I209="","",COUNTIFS(Tab_00.Trial[CONTA],$I209))</f>
        <v>1</v>
      </c>
      <c r="F209" s="4">
        <f>SUMIFS(Tab_02.Fev[SALDO
ATUAL],Tab_02.Fev[CONTA],$I209)</f>
        <v>9113.42</v>
      </c>
      <c r="G209" s="4">
        <f t="shared" si="5"/>
        <v>0</v>
      </c>
      <c r="H209" s="137">
        <v>10174</v>
      </c>
      <c r="I209" s="3" t="s">
        <v>803</v>
      </c>
      <c r="J209" s="3" t="s">
        <v>793</v>
      </c>
      <c r="K209" s="4">
        <v>9113.42</v>
      </c>
      <c r="L209" s="4">
        <v>345.44</v>
      </c>
      <c r="M209" s="4">
        <v>0</v>
      </c>
      <c r="N209" s="4">
        <v>9458.86</v>
      </c>
      <c r="O209" s="4">
        <f>Tab_03.Mar[[#This Row],[DÉBITO]]-Tab_03.Mar[[#This Row],[CRÉDITO]]</f>
        <v>345.44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5</v>
      </c>
      <c r="D210" s="2" t="str">
        <f>_xlfn.XLOOKUP($I210,Tab_00.Trial[CONTA],Tab_00.Trial[S/A],"",0,1)</f>
        <v>A</v>
      </c>
      <c r="E210" s="2">
        <f>IF($I210="","",COUNTIFS(Tab_00.Trial[CONTA],$I210))</f>
        <v>1</v>
      </c>
      <c r="F210" s="4">
        <f>SUMIFS(Tab_02.Fev[SALDO
ATUAL],Tab_02.Fev[CONTA],$I210)</f>
        <v>82.97</v>
      </c>
      <c r="G210" s="4">
        <f t="shared" si="5"/>
        <v>0</v>
      </c>
      <c r="H210" s="137">
        <v>10181</v>
      </c>
      <c r="I210" s="3" t="s">
        <v>804</v>
      </c>
      <c r="J210" s="3" t="s">
        <v>795</v>
      </c>
      <c r="K210" s="4">
        <v>82.97</v>
      </c>
      <c r="L210" s="4">
        <v>43.19</v>
      </c>
      <c r="M210" s="4">
        <v>54.32</v>
      </c>
      <c r="N210" s="4">
        <v>71.84</v>
      </c>
      <c r="O210" s="4">
        <f>Tab_03.Mar[[#This Row],[DÉBITO]]-Tab_03.Mar[[#This Row],[CRÉDITO]]</f>
        <v>-11.13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5</v>
      </c>
      <c r="D211" s="2" t="str">
        <f>_xlfn.XLOOKUP($I211,Tab_00.Trial[CONTA],Tab_00.Trial[S/A],"",0,1)</f>
        <v>A</v>
      </c>
      <c r="E211" s="2">
        <f>IF($I211="","",COUNTIFS(Tab_00.Trial[CONTA],$I211))</f>
        <v>1</v>
      </c>
      <c r="F211" s="4">
        <f>SUMIFS(Tab_02.Fev[SALDO
ATUAL],Tab_02.Fev[CONTA],$I211)</f>
        <v>3335.61</v>
      </c>
      <c r="G211" s="4">
        <f t="shared" si="5"/>
        <v>0</v>
      </c>
      <c r="H211" s="137">
        <v>10188</v>
      </c>
      <c r="I211" s="3" t="s">
        <v>805</v>
      </c>
      <c r="J211" s="3" t="s">
        <v>797</v>
      </c>
      <c r="K211" s="4">
        <v>3335.61</v>
      </c>
      <c r="L211" s="4">
        <v>867.9</v>
      </c>
      <c r="M211" s="4">
        <v>0</v>
      </c>
      <c r="N211" s="4">
        <v>4203.51</v>
      </c>
      <c r="O211" s="4">
        <f>Tab_03.Mar[[#This Row],[DÉBITO]]-Tab_03.Mar[[#This Row],[CRÉDITO]]</f>
        <v>867.9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A</v>
      </c>
      <c r="E212" s="2">
        <f>IF($I212="","",COUNTIFS(Tab_00.Trial[CONTA],$I212))</f>
        <v>1</v>
      </c>
      <c r="F212" s="4">
        <f>SUMIFS(Tab_02.Fev[SALDO
ATUAL],Tab_02.Fev[CONTA],$I212)</f>
        <v>995.66</v>
      </c>
      <c r="G212" s="4">
        <f t="shared" si="5"/>
        <v>0</v>
      </c>
      <c r="H212" s="137">
        <v>10202</v>
      </c>
      <c r="I212" s="3" t="s">
        <v>806</v>
      </c>
      <c r="J212" s="3" t="s">
        <v>799</v>
      </c>
      <c r="K212" s="4">
        <v>995.66</v>
      </c>
      <c r="L212" s="4">
        <v>259.08</v>
      </c>
      <c r="M212" s="4">
        <v>0</v>
      </c>
      <c r="N212" s="4">
        <v>1254.74</v>
      </c>
      <c r="O212" s="4">
        <f>Tab_03.Mar[[#This Row],[DÉBITO]]-Tab_03.Mar[[#This Row],[CRÉDITO]]</f>
        <v>259.08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A</v>
      </c>
      <c r="E213" s="2">
        <f>IF($I213="","",COUNTIFS(Tab_00.Trial[CONTA],$I213))</f>
        <v>1</v>
      </c>
      <c r="F213" s="4">
        <f>SUMIFS(Tab_02.Fev[SALDO
ATUAL],Tab_02.Fev[CONTA],$I213)</f>
        <v>124.46</v>
      </c>
      <c r="G213" s="4">
        <f t="shared" si="5"/>
        <v>0</v>
      </c>
      <c r="H213" s="137">
        <v>10209</v>
      </c>
      <c r="I213" s="3" t="s">
        <v>807</v>
      </c>
      <c r="J213" s="3" t="s">
        <v>801</v>
      </c>
      <c r="K213" s="4">
        <v>124.46</v>
      </c>
      <c r="L213" s="4">
        <v>32.380000000000003</v>
      </c>
      <c r="M213" s="4">
        <v>0</v>
      </c>
      <c r="N213" s="4">
        <v>156.84</v>
      </c>
      <c r="O213" s="4">
        <f>Tab_03.Mar[[#This Row],[DÉBITO]]-Tab_03.Mar[[#This Row],[CRÉDITO]]</f>
        <v>32.380000000000003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5</v>
      </c>
      <c r="D214" s="2" t="str">
        <f>_xlfn.XLOOKUP($I214,Tab_00.Trial[CONTA],Tab_00.Trial[S/A],"",0,1)</f>
        <v>S</v>
      </c>
      <c r="E214" s="2">
        <f>IF($I214="","",COUNTIFS(Tab_00.Trial[CONTA],$I214))</f>
        <v>1</v>
      </c>
      <c r="F214" s="4">
        <f>SUMIFS(Tab_02.Fev[SALDO
ATUAL],Tab_02.Fev[CONTA],$I214)</f>
        <v>1014</v>
      </c>
      <c r="G214" s="4">
        <f t="shared" si="5"/>
        <v>0</v>
      </c>
      <c r="H214" s="137">
        <v>50150</v>
      </c>
      <c r="I214" s="3" t="s">
        <v>602</v>
      </c>
      <c r="J214" s="3" t="s">
        <v>708</v>
      </c>
      <c r="K214" s="4">
        <v>1014</v>
      </c>
      <c r="L214" s="4">
        <v>161.43</v>
      </c>
      <c r="M214" s="4">
        <v>161.43</v>
      </c>
      <c r="N214" s="4">
        <v>1014</v>
      </c>
      <c r="O214" s="4">
        <f>Tab_03.Mar[[#This Row],[DÉBITO]]-Tab_03.Mar[[#This Row],[CRÉDITO]]</f>
        <v>0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A</v>
      </c>
      <c r="E215" s="2">
        <f>IF($I215="","",COUNTIFS(Tab_00.Trial[CONTA],$I215))</f>
        <v>1</v>
      </c>
      <c r="F215" s="4">
        <f>SUMIFS(Tab_02.Fev[SALDO
ATUAL],Tab_02.Fev[CONTA],$I215)</f>
        <v>0</v>
      </c>
      <c r="G215" s="4">
        <f t="shared" si="5"/>
        <v>0</v>
      </c>
      <c r="H215" s="137">
        <v>50165</v>
      </c>
      <c r="I215" s="3" t="s">
        <v>772</v>
      </c>
      <c r="J215" s="3" t="s">
        <v>435</v>
      </c>
      <c r="K215" s="4">
        <v>0</v>
      </c>
      <c r="L215" s="4">
        <v>161.43</v>
      </c>
      <c r="M215" s="4">
        <v>161.43</v>
      </c>
      <c r="N215" s="4">
        <v>0</v>
      </c>
      <c r="O215" s="4">
        <f>Tab_03.Mar[[#This Row],[DÉBITO]]-Tab_03.Mar[[#This Row],[CRÉDITO]]</f>
        <v>0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A</v>
      </c>
      <c r="E216" s="2">
        <f>IF($I216="","",COUNTIFS(Tab_00.Trial[CONTA],$I216))</f>
        <v>1</v>
      </c>
      <c r="F216" s="4">
        <f>SUMIFS(Tab_02.Fev[SALDO
ATUAL],Tab_02.Fev[CONTA],$I216)</f>
        <v>1014</v>
      </c>
      <c r="G216" s="4">
        <f t="shared" si="5"/>
        <v>0</v>
      </c>
      <c r="H216" s="137">
        <v>50211</v>
      </c>
      <c r="I216" s="3" t="s">
        <v>455</v>
      </c>
      <c r="J216" s="3" t="s">
        <v>456</v>
      </c>
      <c r="K216" s="4">
        <v>1014</v>
      </c>
      <c r="L216" s="4">
        <v>0</v>
      </c>
      <c r="M216" s="4">
        <v>0</v>
      </c>
      <c r="N216" s="4">
        <v>1014</v>
      </c>
      <c r="O216" s="4">
        <f>Tab_03.Mar[[#This Row],[DÉBITO]]-Tab_03.Mar[[#This Row],[CRÉDITO]]</f>
        <v>0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S</v>
      </c>
      <c r="E217" s="2">
        <f>IF($I217="","",COUNTIFS(Tab_00.Trial[CONTA],$I217))</f>
        <v>1</v>
      </c>
      <c r="F217" s="4">
        <f>SUMIFS(Tab_02.Fev[SALDO
ATUAL],Tab_02.Fev[CONTA],$I217)</f>
        <v>232859.15</v>
      </c>
      <c r="G217" s="4">
        <f t="shared" si="5"/>
        <v>0</v>
      </c>
      <c r="H217" s="137">
        <v>50215</v>
      </c>
      <c r="I217" s="3" t="s">
        <v>603</v>
      </c>
      <c r="J217" s="3" t="s">
        <v>709</v>
      </c>
      <c r="K217" s="4">
        <v>232859.15</v>
      </c>
      <c r="L217" s="4">
        <v>11195.26</v>
      </c>
      <c r="M217" s="4">
        <v>0</v>
      </c>
      <c r="N217" s="4">
        <v>244054.41</v>
      </c>
      <c r="O217" s="4">
        <f>Tab_03.Mar[[#This Row],[DÉBITO]]-Tab_03.Mar[[#This Row],[CRÉDITO]]</f>
        <v>11195.26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A</v>
      </c>
      <c r="E218" s="2">
        <f>IF($I218="","",COUNTIFS(Tab_00.Trial[CONTA],$I218))</f>
        <v>1</v>
      </c>
      <c r="F218" s="4">
        <f>SUMIFS(Tab_02.Fev[SALDO
ATUAL],Tab_02.Fev[CONTA],$I218)</f>
        <v>34871.449999999997</v>
      </c>
      <c r="G218" s="4">
        <f t="shared" si="5"/>
        <v>0</v>
      </c>
      <c r="H218" s="137">
        <v>50225</v>
      </c>
      <c r="I218" s="3" t="s">
        <v>451</v>
      </c>
      <c r="J218" s="3" t="s">
        <v>437</v>
      </c>
      <c r="K218" s="4">
        <v>34871.449999999997</v>
      </c>
      <c r="L218" s="4">
        <v>8380.82</v>
      </c>
      <c r="M218" s="4">
        <v>0</v>
      </c>
      <c r="N218" s="4">
        <v>43252.27</v>
      </c>
      <c r="O218" s="4">
        <f>Tab_03.Mar[[#This Row],[DÉBITO]]-Tab_03.Mar[[#This Row],[CRÉDITO]]</f>
        <v>8380.82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A</v>
      </c>
      <c r="E219" s="2">
        <f>IF($I219="","",COUNTIFS(Tab_00.Trial[CONTA],$I219))</f>
        <v>1</v>
      </c>
      <c r="F219" s="4">
        <f>SUMIFS(Tab_02.Fev[SALDO
ATUAL],Tab_02.Fev[CONTA],$I219)</f>
        <v>196686.53</v>
      </c>
      <c r="G219" s="4">
        <f t="shared" si="5"/>
        <v>0</v>
      </c>
      <c r="H219" s="137">
        <v>50240</v>
      </c>
      <c r="I219" s="3" t="s">
        <v>452</v>
      </c>
      <c r="J219" s="3" t="s">
        <v>196</v>
      </c>
      <c r="K219" s="4">
        <v>196686.53</v>
      </c>
      <c r="L219" s="4">
        <v>2501.7199999999998</v>
      </c>
      <c r="M219" s="4">
        <v>0</v>
      </c>
      <c r="N219" s="4">
        <v>199188.25</v>
      </c>
      <c r="O219" s="4">
        <f>Tab_03.Mar[[#This Row],[DÉBITO]]-Tab_03.Mar[[#This Row],[CRÉDITO]]</f>
        <v>2501.7199999999998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A</v>
      </c>
      <c r="E220" s="2">
        <f>IF($I220="","",COUNTIFS(Tab_00.Trial[CONTA],$I220))</f>
        <v>1</v>
      </c>
      <c r="F220" s="4">
        <f>SUMIFS(Tab_02.Fev[SALDO
ATUAL],Tab_02.Fev[CONTA],$I220)</f>
        <v>1301.17</v>
      </c>
      <c r="G220" s="4">
        <f t="shared" si="5"/>
        <v>0</v>
      </c>
      <c r="H220" s="137">
        <v>50255</v>
      </c>
      <c r="I220" s="3" t="s">
        <v>453</v>
      </c>
      <c r="J220" s="3" t="s">
        <v>454</v>
      </c>
      <c r="K220" s="4">
        <v>1301.17</v>
      </c>
      <c r="L220" s="4">
        <v>312.72000000000003</v>
      </c>
      <c r="M220" s="4">
        <v>0</v>
      </c>
      <c r="N220" s="4">
        <v>1613.89</v>
      </c>
      <c r="O220" s="4">
        <f>Tab_03.Mar[[#This Row],[DÉBITO]]-Tab_03.Mar[[#This Row],[CRÉDITO]]</f>
        <v>312.72000000000003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S</v>
      </c>
      <c r="E221" s="2">
        <f>IF($I221="","",COUNTIFS(Tab_00.Trial[CONTA],$I221))</f>
        <v>1</v>
      </c>
      <c r="F221" s="4">
        <f>SUMIFS(Tab_02.Fev[SALDO
ATUAL],Tab_02.Fev[CONTA],$I221)</f>
        <v>425</v>
      </c>
      <c r="G221" s="4">
        <f t="shared" si="5"/>
        <v>0</v>
      </c>
      <c r="H221" s="137">
        <v>50290</v>
      </c>
      <c r="I221" s="3" t="s">
        <v>604</v>
      </c>
      <c r="J221" s="3" t="s">
        <v>710</v>
      </c>
      <c r="K221" s="4">
        <v>425</v>
      </c>
      <c r="L221" s="4">
        <v>235</v>
      </c>
      <c r="M221" s="4">
        <v>0</v>
      </c>
      <c r="N221" s="4">
        <v>660</v>
      </c>
      <c r="O221" s="4">
        <f>Tab_03.Mar[[#This Row],[DÉBITO]]-Tab_03.Mar[[#This Row],[CRÉDITO]]</f>
        <v>235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A</v>
      </c>
      <c r="E222" s="2">
        <f>IF($I222="","",COUNTIFS(Tab_00.Trial[CONTA],$I222))</f>
        <v>1</v>
      </c>
      <c r="F222" s="4">
        <f>SUMIFS(Tab_02.Fev[SALDO
ATUAL],Tab_02.Fev[CONTA],$I222)</f>
        <v>425</v>
      </c>
      <c r="G222" s="4">
        <f t="shared" si="5"/>
        <v>0</v>
      </c>
      <c r="H222" s="137">
        <v>50295</v>
      </c>
      <c r="I222" s="3" t="s">
        <v>457</v>
      </c>
      <c r="J222" s="3" t="s">
        <v>458</v>
      </c>
      <c r="K222" s="4">
        <v>425</v>
      </c>
      <c r="L222" s="4">
        <v>235</v>
      </c>
      <c r="M222" s="4">
        <v>0</v>
      </c>
      <c r="N222" s="4">
        <v>660</v>
      </c>
      <c r="O222" s="4">
        <f>Tab_03.Mar[[#This Row],[DÉBITO]]-Tab_03.Mar[[#This Row],[CRÉDITO]]</f>
        <v>235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S</v>
      </c>
      <c r="E223" s="2">
        <f>IF($I223="","",COUNTIFS(Tab_00.Trial[CONTA],$I223))</f>
        <v>1</v>
      </c>
      <c r="F223" s="4">
        <f>SUMIFS(Tab_02.Fev[SALDO
ATUAL],Tab_02.Fev[CONTA],$I223)</f>
        <v>253240.91</v>
      </c>
      <c r="G223" s="4">
        <f t="shared" si="5"/>
        <v>0</v>
      </c>
      <c r="H223" s="137">
        <v>50285</v>
      </c>
      <c r="I223" s="3" t="s">
        <v>605</v>
      </c>
      <c r="J223" s="3" t="s">
        <v>711</v>
      </c>
      <c r="K223" s="4">
        <v>253240.91</v>
      </c>
      <c r="L223" s="4">
        <v>124829.59</v>
      </c>
      <c r="M223" s="4">
        <v>0</v>
      </c>
      <c r="N223" s="4">
        <v>378070.5</v>
      </c>
      <c r="O223" s="4">
        <f>Tab_03.Mar[[#This Row],[DÉBITO]]-Tab_03.Mar[[#This Row],[CRÉDITO]]</f>
        <v>124829.59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S</v>
      </c>
      <c r="E224" s="2">
        <f>IF($I224="","",COUNTIFS(Tab_00.Trial[CONTA],$I224))</f>
        <v>1</v>
      </c>
      <c r="F224" s="4">
        <f>SUMIFS(Tab_02.Fev[SALDO
ATUAL],Tab_02.Fev[CONTA],$I224)</f>
        <v>87308.75</v>
      </c>
      <c r="G224" s="4">
        <f t="shared" si="5"/>
        <v>0</v>
      </c>
      <c r="H224" s="137">
        <v>50300</v>
      </c>
      <c r="I224" s="3" t="s">
        <v>606</v>
      </c>
      <c r="J224" s="3" t="s">
        <v>712</v>
      </c>
      <c r="K224" s="4">
        <v>87308.75</v>
      </c>
      <c r="L224" s="4">
        <v>41863.51</v>
      </c>
      <c r="M224" s="4">
        <v>0</v>
      </c>
      <c r="N224" s="4">
        <v>129172.26</v>
      </c>
      <c r="O224" s="4">
        <f>Tab_03.Mar[[#This Row],[DÉBITO]]-Tab_03.Mar[[#This Row],[CRÉDITO]]</f>
        <v>41863.51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A</v>
      </c>
      <c r="E225" s="2">
        <f>IF($I225="","",COUNTIFS(Tab_00.Trial[CONTA],$I225))</f>
        <v>1</v>
      </c>
      <c r="F225" s="4">
        <f>SUMIFS(Tab_02.Fev[SALDO
ATUAL],Tab_02.Fev[CONTA],$I225)</f>
        <v>15269.24</v>
      </c>
      <c r="G225" s="4">
        <f t="shared" si="5"/>
        <v>0</v>
      </c>
      <c r="H225" s="137">
        <v>50315</v>
      </c>
      <c r="I225" s="3" t="s">
        <v>459</v>
      </c>
      <c r="J225" s="3" t="s">
        <v>460</v>
      </c>
      <c r="K225" s="4">
        <v>15269.24</v>
      </c>
      <c r="L225" s="4">
        <v>7634.62</v>
      </c>
      <c r="M225" s="4">
        <v>0</v>
      </c>
      <c r="N225" s="4">
        <v>22903.86</v>
      </c>
      <c r="O225" s="4">
        <f>Tab_03.Mar[[#This Row],[DÉBITO]]-Tab_03.Mar[[#This Row],[CRÉDITO]]</f>
        <v>7634.62</v>
      </c>
    </row>
    <row r="226" spans="2:15" x14ac:dyDescent="0.3">
      <c r="B226" s="2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A</v>
      </c>
      <c r="E226" s="2">
        <f>IF($I226="","",COUNTIFS(Tab_00.Trial[CONTA],$I226))</f>
        <v>1</v>
      </c>
      <c r="F226" s="4">
        <f>SUMIFS(Tab_02.Fev[SALDO
ATUAL],Tab_02.Fev[CONTA],$I226)</f>
        <v>31107.03</v>
      </c>
      <c r="G226" s="4">
        <f t="shared" si="5"/>
        <v>0</v>
      </c>
      <c r="H226" s="137">
        <v>50330</v>
      </c>
      <c r="I226" s="3" t="s">
        <v>461</v>
      </c>
      <c r="J226" s="3" t="s">
        <v>462</v>
      </c>
      <c r="K226" s="4">
        <v>31107.03</v>
      </c>
      <c r="L226" s="4">
        <v>13807.65</v>
      </c>
      <c r="M226" s="4">
        <v>0</v>
      </c>
      <c r="N226" s="4">
        <v>44914.68</v>
      </c>
      <c r="O226" s="4">
        <f>Tab_03.Mar[[#This Row],[DÉBITO]]-Tab_03.Mar[[#This Row],[CRÉDITO]]</f>
        <v>13807.65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A</v>
      </c>
      <c r="E227" s="2">
        <f>IF($I227="","",COUNTIFS(Tab_00.Trial[CONTA],$I227))</f>
        <v>1</v>
      </c>
      <c r="F227" s="4">
        <f>SUMIFS(Tab_02.Fev[SALDO
ATUAL],Tab_02.Fev[CONTA],$I227)</f>
        <v>8958.9</v>
      </c>
      <c r="G227" s="4">
        <f t="shared" si="5"/>
        <v>0</v>
      </c>
      <c r="H227" s="137">
        <v>50360</v>
      </c>
      <c r="I227" s="3" t="s">
        <v>465</v>
      </c>
      <c r="J227" s="3" t="s">
        <v>466</v>
      </c>
      <c r="K227" s="4">
        <v>8958.9</v>
      </c>
      <c r="L227" s="4">
        <v>4434.45</v>
      </c>
      <c r="M227" s="4">
        <v>0</v>
      </c>
      <c r="N227" s="4">
        <v>13393.35</v>
      </c>
      <c r="O227" s="4">
        <f>Tab_03.Mar[[#This Row],[DÉBITO]]-Tab_03.Mar[[#This Row],[CRÉDITO]]</f>
        <v>4434.45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A</v>
      </c>
      <c r="E228" s="2">
        <f>IF($I228="","",COUNTIFS(Tab_00.Trial[CONTA],$I228))</f>
        <v>1</v>
      </c>
      <c r="F228" s="4">
        <f>SUMIFS(Tab_02.Fev[SALDO
ATUAL],Tab_02.Fev[CONTA],$I228)</f>
        <v>9000</v>
      </c>
      <c r="G228" s="4">
        <f t="shared" si="5"/>
        <v>0</v>
      </c>
      <c r="H228" s="137">
        <v>50375</v>
      </c>
      <c r="I228" s="3" t="s">
        <v>473</v>
      </c>
      <c r="J228" s="3" t="s">
        <v>474</v>
      </c>
      <c r="K228" s="4">
        <v>9000</v>
      </c>
      <c r="L228" s="4">
        <v>4500</v>
      </c>
      <c r="M228" s="4">
        <v>0</v>
      </c>
      <c r="N228" s="4">
        <v>13500</v>
      </c>
      <c r="O228" s="4">
        <f>Tab_03.Mar[[#This Row],[DÉBITO]]-Tab_03.Mar[[#This Row],[CRÉDITO]]</f>
        <v>4500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A</v>
      </c>
      <c r="E229" s="2">
        <f>IF($I229="","",COUNTIFS(Tab_00.Trial[CONTA],$I229))</f>
        <v>1</v>
      </c>
      <c r="F229" s="4">
        <f>SUMIFS(Tab_02.Fev[SALDO
ATUAL],Tab_02.Fev[CONTA],$I229)</f>
        <v>447.12</v>
      </c>
      <c r="G229" s="4">
        <f t="shared" si="5"/>
        <v>0</v>
      </c>
      <c r="H229" s="137">
        <v>50405</v>
      </c>
      <c r="I229" s="3" t="s">
        <v>467</v>
      </c>
      <c r="J229" s="3" t="s">
        <v>468</v>
      </c>
      <c r="K229" s="4">
        <v>447.12</v>
      </c>
      <c r="L229" s="4">
        <v>223.56</v>
      </c>
      <c r="M229" s="4">
        <v>0</v>
      </c>
      <c r="N229" s="4">
        <v>670.68</v>
      </c>
      <c r="O229" s="4">
        <f>Tab_03.Mar[[#This Row],[DÉBITO]]-Tab_03.Mar[[#This Row],[CRÉDITO]]</f>
        <v>223.56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A</v>
      </c>
      <c r="E230" s="2">
        <f>IF($I230="","",COUNTIFS(Tab_00.Trial[CONTA],$I230))</f>
        <v>1</v>
      </c>
      <c r="F230" s="4">
        <f>SUMIFS(Tab_02.Fev[SALDO
ATUAL],Tab_02.Fev[CONTA],$I230)</f>
        <v>13199.64</v>
      </c>
      <c r="G230" s="4">
        <f t="shared" si="5"/>
        <v>0</v>
      </c>
      <c r="H230" s="137">
        <v>50430</v>
      </c>
      <c r="I230" s="3" t="s">
        <v>469</v>
      </c>
      <c r="J230" s="3" t="s">
        <v>470</v>
      </c>
      <c r="K230" s="4">
        <v>13199.64</v>
      </c>
      <c r="L230" s="4">
        <v>6599.82</v>
      </c>
      <c r="M230" s="4">
        <v>0</v>
      </c>
      <c r="N230" s="4">
        <v>19799.46</v>
      </c>
      <c r="O230" s="4">
        <f>Tab_03.Mar[[#This Row],[DÉBITO]]-Tab_03.Mar[[#This Row],[CRÉDITO]]</f>
        <v>6599.82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A</v>
      </c>
      <c r="E231" s="2">
        <f>IF($I231="","",COUNTIFS(Tab_00.Trial[CONTA],$I231))</f>
        <v>1</v>
      </c>
      <c r="F231" s="4">
        <f>SUMIFS(Tab_02.Fev[SALDO
ATUAL],Tab_02.Fev[CONTA],$I231)</f>
        <v>9326.82</v>
      </c>
      <c r="G231" s="4">
        <f t="shared" si="5"/>
        <v>0</v>
      </c>
      <c r="H231" s="137">
        <v>50432</v>
      </c>
      <c r="I231" s="3" t="s">
        <v>471</v>
      </c>
      <c r="J231" s="3" t="s">
        <v>472</v>
      </c>
      <c r="K231" s="4">
        <v>9326.82</v>
      </c>
      <c r="L231" s="4">
        <v>4663.41</v>
      </c>
      <c r="M231" s="4">
        <v>0</v>
      </c>
      <c r="N231" s="4">
        <v>13990.23</v>
      </c>
      <c r="O231" s="4">
        <f>Tab_03.Mar[[#This Row],[DÉBITO]]-Tab_03.Mar[[#This Row],[CRÉDITO]]</f>
        <v>4663.41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S</v>
      </c>
      <c r="E232" s="2">
        <f>IF($I232="","",COUNTIFS(Tab_00.Trial[CONTA],$I232))</f>
        <v>1</v>
      </c>
      <c r="F232" s="4">
        <f>SUMIFS(Tab_02.Fev[SALDO
ATUAL],Tab_02.Fev[CONTA],$I232)</f>
        <v>165932.16</v>
      </c>
      <c r="G232" s="4">
        <f t="shared" ref="G232:G240" si="6">$F232-$K232</f>
        <v>0</v>
      </c>
      <c r="H232" s="178">
        <v>50465</v>
      </c>
      <c r="I232" s="3" t="s">
        <v>608</v>
      </c>
      <c r="J232" s="3" t="s">
        <v>713</v>
      </c>
      <c r="K232" s="4">
        <v>165932.16</v>
      </c>
      <c r="L232" s="4">
        <v>82966.080000000002</v>
      </c>
      <c r="M232" s="4">
        <v>0</v>
      </c>
      <c r="N232" s="4">
        <v>248898.24</v>
      </c>
      <c r="O232" s="4">
        <f>Tab_03.Mar[[#This Row],[DÉBITO]]-Tab_03.Mar[[#This Row],[CRÉDITO]]</f>
        <v>82966.080000000002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A</v>
      </c>
      <c r="E233" s="2">
        <f>IF($I233="","",COUNTIFS(Tab_00.Trial[CONTA],$I233))</f>
        <v>1</v>
      </c>
      <c r="F233" s="4">
        <f>SUMIFS(Tab_02.Fev[SALDO
ATUAL],Tab_02.Fev[CONTA],$I233)</f>
        <v>35960.160000000003</v>
      </c>
      <c r="G233" s="4">
        <f t="shared" si="6"/>
        <v>0</v>
      </c>
      <c r="H233" s="178">
        <v>50480</v>
      </c>
      <c r="I233" s="3" t="s">
        <v>741</v>
      </c>
      <c r="J233" s="3" t="s">
        <v>742</v>
      </c>
      <c r="K233" s="4">
        <v>35960.160000000003</v>
      </c>
      <c r="L233" s="4">
        <v>17980.080000000002</v>
      </c>
      <c r="M233" s="4">
        <v>0</v>
      </c>
      <c r="N233" s="4">
        <v>53940.24</v>
      </c>
      <c r="O233" s="4">
        <f>Tab_03.Mar[[#This Row],[DÉBITO]]-Tab_03.Mar[[#This Row],[CRÉDITO]]</f>
        <v>17980.080000000002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A</v>
      </c>
      <c r="E234" s="2">
        <f>IF($I234="","",COUNTIFS(Tab_00.Trial[CONTA],$I234))</f>
        <v>1</v>
      </c>
      <c r="F234" s="4">
        <f>SUMIFS(Tab_02.Fev[SALDO
ATUAL],Tab_02.Fev[CONTA],$I234)</f>
        <v>15000</v>
      </c>
      <c r="G234" s="4">
        <f t="shared" si="6"/>
        <v>0</v>
      </c>
      <c r="H234" s="178">
        <v>50495</v>
      </c>
      <c r="I234" s="3" t="s">
        <v>833</v>
      </c>
      <c r="J234" s="3" t="s">
        <v>834</v>
      </c>
      <c r="K234" s="4">
        <v>15000</v>
      </c>
      <c r="L234" s="4">
        <v>7500</v>
      </c>
      <c r="M234" s="4">
        <v>0</v>
      </c>
      <c r="N234" s="4">
        <v>22500</v>
      </c>
      <c r="O234" s="4">
        <f>Tab_03.Mar[[#This Row],[DÉBITO]]-Tab_03.Mar[[#This Row],[CRÉDITO]]</f>
        <v>7500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A</v>
      </c>
      <c r="E235" s="2">
        <f>IF($I235="","",COUNTIFS(Tab_00.Trial[CONTA],$I235))</f>
        <v>1</v>
      </c>
      <c r="F235" s="4">
        <f>SUMIFS(Tab_02.Fev[SALDO
ATUAL],Tab_02.Fev[CONTA],$I235)</f>
        <v>114972</v>
      </c>
      <c r="G235" s="4">
        <f t="shared" si="6"/>
        <v>0</v>
      </c>
      <c r="H235" s="178">
        <v>50500</v>
      </c>
      <c r="I235" s="3" t="s">
        <v>480</v>
      </c>
      <c r="J235" s="3" t="s">
        <v>481</v>
      </c>
      <c r="K235" s="4">
        <v>114972</v>
      </c>
      <c r="L235" s="4">
        <v>57486</v>
      </c>
      <c r="M235" s="4">
        <v>0</v>
      </c>
      <c r="N235" s="4">
        <v>172458</v>
      </c>
      <c r="O235" s="4">
        <f>Tab_03.Mar[[#This Row],[DÉBITO]]-Tab_03.Mar[[#This Row],[CRÉDITO]]</f>
        <v>57486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S</v>
      </c>
      <c r="E236" s="2">
        <f>IF($I236="","",COUNTIFS(Tab_00.Trial[CONTA],$I236))</f>
        <v>1</v>
      </c>
      <c r="F236" s="4">
        <f>SUMIFS(Tab_02.Fev[SALDO
ATUAL],Tab_02.Fev[CONTA],$I236)</f>
        <v>2500.52</v>
      </c>
      <c r="G236" s="4">
        <f t="shared" si="6"/>
        <v>0</v>
      </c>
      <c r="H236" s="178">
        <v>50510</v>
      </c>
      <c r="I236" s="3" t="s">
        <v>609</v>
      </c>
      <c r="J236" s="3" t="s">
        <v>714</v>
      </c>
      <c r="K236" s="4">
        <v>2500.52</v>
      </c>
      <c r="L236" s="4">
        <v>2391.23</v>
      </c>
      <c r="M236" s="4">
        <v>0</v>
      </c>
      <c r="N236" s="4">
        <v>4891.75</v>
      </c>
      <c r="O236" s="4">
        <f>Tab_03.Mar[[#This Row],[DÉBITO]]-Tab_03.Mar[[#This Row],[CRÉDITO]]</f>
        <v>2391.23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S</v>
      </c>
      <c r="E237" s="2">
        <f>IF($I237="","",COUNTIFS(Tab_00.Trial[CONTA],$I237))</f>
        <v>1</v>
      </c>
      <c r="F237" s="4">
        <f>SUMIFS(Tab_02.Fev[SALDO
ATUAL],Tab_02.Fev[CONTA],$I237)</f>
        <v>2500.52</v>
      </c>
      <c r="G237" s="4">
        <f t="shared" si="6"/>
        <v>0</v>
      </c>
      <c r="H237" s="178">
        <v>50525</v>
      </c>
      <c r="I237" s="3" t="s">
        <v>610</v>
      </c>
      <c r="J237" s="3" t="s">
        <v>714</v>
      </c>
      <c r="K237" s="4">
        <v>2500.52</v>
      </c>
      <c r="L237" s="4">
        <v>2391.23</v>
      </c>
      <c r="M237" s="4">
        <v>0</v>
      </c>
      <c r="N237" s="4">
        <v>4891.75</v>
      </c>
      <c r="O237" s="4">
        <f>Tab_03.Mar[[#This Row],[DÉBITO]]-Tab_03.Mar[[#This Row],[CRÉDITO]]</f>
        <v>2391.23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A</v>
      </c>
      <c r="E238" s="2">
        <f>IF($I238="","",COUNTIFS(Tab_00.Trial[CONTA],$I238))</f>
        <v>1</v>
      </c>
      <c r="F238" s="4">
        <f>SUMIFS(Tab_02.Fev[SALDO
ATUAL],Tab_02.Fev[CONTA],$I238)</f>
        <v>1298.47</v>
      </c>
      <c r="G238" s="4">
        <f t="shared" si="6"/>
        <v>0</v>
      </c>
      <c r="H238" s="178">
        <v>50540</v>
      </c>
      <c r="I238" s="3" t="s">
        <v>482</v>
      </c>
      <c r="J238" s="3" t="s">
        <v>483</v>
      </c>
      <c r="K238" s="4">
        <v>1298.47</v>
      </c>
      <c r="L238" s="4">
        <v>937.8</v>
      </c>
      <c r="M238" s="4">
        <v>0</v>
      </c>
      <c r="N238" s="4">
        <v>2236.27</v>
      </c>
      <c r="O238" s="4">
        <f>Tab_03.Mar[[#This Row],[DÉBITO]]-Tab_03.Mar[[#This Row],[CRÉDITO]]</f>
        <v>937.8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A</v>
      </c>
      <c r="E239" s="2">
        <f>IF($I239="","",COUNTIFS(Tab_00.Trial[CONTA],$I239))</f>
        <v>1</v>
      </c>
      <c r="F239" s="4">
        <f>SUMIFS(Tab_02.Fev[SALDO
ATUAL],Tab_02.Fev[CONTA],$I239)</f>
        <v>1202.05</v>
      </c>
      <c r="G239" s="4">
        <f t="shared" si="6"/>
        <v>0</v>
      </c>
      <c r="H239" s="178">
        <v>50570</v>
      </c>
      <c r="I239" s="3" t="s">
        <v>484</v>
      </c>
      <c r="J239" s="3" t="s">
        <v>485</v>
      </c>
      <c r="K239" s="4">
        <v>1202.05</v>
      </c>
      <c r="L239" s="4">
        <v>1453.43</v>
      </c>
      <c r="M239" s="4">
        <v>0</v>
      </c>
      <c r="N239" s="4">
        <v>2655.48</v>
      </c>
      <c r="O239" s="4">
        <f>Tab_03.Mar[[#This Row],[DÉBITO]]-Tab_03.Mar[[#This Row],[CRÉDITO]]</f>
        <v>1453.43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S</v>
      </c>
      <c r="E240" s="2">
        <f>IF($I240="","",COUNTIFS(Tab_00.Trial[CONTA],$I240))</f>
        <v>1</v>
      </c>
      <c r="F240" s="4">
        <f>SUMIFS(Tab_02.Fev[SALDO
ATUAL],Tab_02.Fev[CONTA],$I240)</f>
        <v>17481.689999999999</v>
      </c>
      <c r="G240" s="4">
        <f t="shared" si="6"/>
        <v>0</v>
      </c>
      <c r="H240" s="178">
        <v>50660</v>
      </c>
      <c r="I240" s="3" t="s">
        <v>612</v>
      </c>
      <c r="J240" s="3" t="s">
        <v>716</v>
      </c>
      <c r="K240" s="4">
        <v>17481.689999999999</v>
      </c>
      <c r="L240" s="4">
        <v>8160.13</v>
      </c>
      <c r="M240" s="4">
        <v>0</v>
      </c>
      <c r="N240" s="4">
        <v>25641.82</v>
      </c>
      <c r="O240" s="4">
        <f>Tab_03.Mar[[#This Row],[DÉBITO]]-Tab_03.Mar[[#This Row],[CRÉDITO]]</f>
        <v>8160.13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S</v>
      </c>
      <c r="E241" s="2">
        <f>IF($I241="","",COUNTIFS(Tab_00.Trial[CONTA],$I241))</f>
        <v>1</v>
      </c>
      <c r="F241" s="4">
        <f>SUMIFS(Tab_02.Fev[SALDO
ATUAL],Tab_02.Fev[CONTA],$I241)</f>
        <v>13602.36</v>
      </c>
      <c r="G241" s="4">
        <f t="shared" ref="G241:G264" si="7">$F241-$K241</f>
        <v>0</v>
      </c>
      <c r="H241" s="179">
        <v>50675</v>
      </c>
      <c r="I241" s="3" t="s">
        <v>613</v>
      </c>
      <c r="J241" s="3" t="s">
        <v>717</v>
      </c>
      <c r="K241" s="4">
        <v>13602.36</v>
      </c>
      <c r="L241" s="4">
        <v>6259.83</v>
      </c>
      <c r="M241" s="4">
        <v>0</v>
      </c>
      <c r="N241" s="4">
        <v>19862.189999999999</v>
      </c>
      <c r="O241" s="4">
        <f>Tab_03.Mar[[#This Row],[DÉBITO]]-Tab_03.Mar[[#This Row],[CRÉDITO]]</f>
        <v>6259.83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A</v>
      </c>
      <c r="E242" s="2">
        <f>IF($I242="","",COUNTIFS(Tab_00.Trial[CONTA],$I242))</f>
        <v>1</v>
      </c>
      <c r="F242" s="4">
        <f>SUMIFS(Tab_02.Fev[SALDO
ATUAL],Tab_02.Fev[CONTA],$I242)</f>
        <v>6791.87</v>
      </c>
      <c r="G242" s="4">
        <f t="shared" si="7"/>
        <v>0</v>
      </c>
      <c r="H242" s="179">
        <v>50690</v>
      </c>
      <c r="I242" s="3" t="s">
        <v>491</v>
      </c>
      <c r="J242" s="3" t="s">
        <v>492</v>
      </c>
      <c r="K242" s="4">
        <v>6791.87</v>
      </c>
      <c r="L242" s="4">
        <v>3703.93</v>
      </c>
      <c r="M242" s="4">
        <v>0</v>
      </c>
      <c r="N242" s="4">
        <v>10495.8</v>
      </c>
      <c r="O242" s="4">
        <f>Tab_03.Mar[[#This Row],[DÉBITO]]-Tab_03.Mar[[#This Row],[CRÉDITO]]</f>
        <v>3703.93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A</v>
      </c>
      <c r="E243" s="2">
        <f>IF($I243="","",COUNTIFS(Tab_00.Trial[CONTA],$I243))</f>
        <v>1</v>
      </c>
      <c r="F243" s="4">
        <f>SUMIFS(Tab_02.Fev[SALDO
ATUAL],Tab_02.Fev[CONTA],$I243)</f>
        <v>4004.32</v>
      </c>
      <c r="G243" s="4">
        <f t="shared" si="7"/>
        <v>0</v>
      </c>
      <c r="H243" s="179">
        <v>50705</v>
      </c>
      <c r="I243" s="3" t="s">
        <v>493</v>
      </c>
      <c r="J243" s="3" t="s">
        <v>494</v>
      </c>
      <c r="K243" s="4">
        <v>4004.32</v>
      </c>
      <c r="L243" s="4">
        <v>1145.3800000000001</v>
      </c>
      <c r="M243" s="4">
        <v>0</v>
      </c>
      <c r="N243" s="4">
        <v>5149.7</v>
      </c>
      <c r="O243" s="4">
        <f>Tab_03.Mar[[#This Row],[DÉBITO]]-Tab_03.Mar[[#This Row],[CRÉDITO]]</f>
        <v>1145.3800000000001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A</v>
      </c>
      <c r="E244" s="2">
        <f>IF($I244="","",COUNTIFS(Tab_00.Trial[CONTA],$I244))</f>
        <v>1</v>
      </c>
      <c r="F244" s="4">
        <f>SUMIFS(Tab_02.Fev[SALDO
ATUAL],Tab_02.Fev[CONTA],$I244)</f>
        <v>2806.17</v>
      </c>
      <c r="G244" s="4">
        <f t="shared" si="7"/>
        <v>0</v>
      </c>
      <c r="H244" s="179">
        <v>50720</v>
      </c>
      <c r="I244" s="3" t="s">
        <v>495</v>
      </c>
      <c r="J244" s="3" t="s">
        <v>496</v>
      </c>
      <c r="K244" s="4">
        <v>2806.17</v>
      </c>
      <c r="L244" s="4">
        <v>1410.52</v>
      </c>
      <c r="M244" s="4">
        <v>0</v>
      </c>
      <c r="N244" s="4">
        <v>4216.6899999999996</v>
      </c>
      <c r="O244" s="4">
        <f>Tab_03.Mar[[#This Row],[DÉBITO]]-Tab_03.Mar[[#This Row],[CRÉDITO]]</f>
        <v>1410.52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S</v>
      </c>
      <c r="E245" s="2">
        <f>IF($I245="","",COUNTIFS(Tab_00.Trial[CONTA],$I245))</f>
        <v>1</v>
      </c>
      <c r="F245" s="4">
        <f>SUMIFS(Tab_02.Fev[SALDO
ATUAL],Tab_02.Fev[CONTA],$I245)</f>
        <v>3879.33</v>
      </c>
      <c r="G245" s="4">
        <f t="shared" si="7"/>
        <v>0</v>
      </c>
      <c r="H245" s="179">
        <v>50750</v>
      </c>
      <c r="I245" s="3" t="s">
        <v>614</v>
      </c>
      <c r="J245" s="3" t="s">
        <v>718</v>
      </c>
      <c r="K245" s="4">
        <v>3879.33</v>
      </c>
      <c r="L245" s="4">
        <v>1900.3</v>
      </c>
      <c r="M245" s="4">
        <v>0</v>
      </c>
      <c r="N245" s="4">
        <v>5779.63</v>
      </c>
      <c r="O245" s="4">
        <f>Tab_03.Mar[[#This Row],[DÉBITO]]-Tab_03.Mar[[#This Row],[CRÉDITO]]</f>
        <v>1900.3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A</v>
      </c>
      <c r="E246" s="2">
        <f>IF($I246="","",COUNTIFS(Tab_00.Trial[CONTA],$I246))</f>
        <v>1</v>
      </c>
      <c r="F246" s="4">
        <f>SUMIFS(Tab_02.Fev[SALDO
ATUAL],Tab_02.Fev[CONTA],$I246)</f>
        <v>146.94</v>
      </c>
      <c r="G246" s="4">
        <f t="shared" si="7"/>
        <v>0</v>
      </c>
      <c r="H246" s="179">
        <v>50780</v>
      </c>
      <c r="I246" s="3" t="s">
        <v>499</v>
      </c>
      <c r="J246" s="3" t="s">
        <v>500</v>
      </c>
      <c r="K246" s="4">
        <v>146.94</v>
      </c>
      <c r="L246" s="4">
        <v>1215</v>
      </c>
      <c r="M246" s="4">
        <v>0</v>
      </c>
      <c r="N246" s="4">
        <v>1361.94</v>
      </c>
      <c r="O246" s="4">
        <f>Tab_03.Mar[[#This Row],[DÉBITO]]-Tab_03.Mar[[#This Row],[CRÉDITO]]</f>
        <v>1215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A</v>
      </c>
      <c r="E247" s="2">
        <f>IF($I247="","",COUNTIFS(Tab_00.Trial[CONTA],$I247))</f>
        <v>1</v>
      </c>
      <c r="F247" s="4">
        <f>SUMIFS(Tab_02.Fev[SALDO
ATUAL],Tab_02.Fev[CONTA],$I247)</f>
        <v>2454.88</v>
      </c>
      <c r="G247" s="4">
        <f t="shared" si="7"/>
        <v>0</v>
      </c>
      <c r="H247" s="179">
        <v>50795</v>
      </c>
      <c r="I247" s="3" t="s">
        <v>501</v>
      </c>
      <c r="J247" s="3" t="s">
        <v>502</v>
      </c>
      <c r="K247" s="4">
        <v>2454.88</v>
      </c>
      <c r="L247" s="4">
        <v>96.29</v>
      </c>
      <c r="M247" s="4">
        <v>0</v>
      </c>
      <c r="N247" s="4">
        <v>2551.17</v>
      </c>
      <c r="O247" s="4">
        <f>Tab_03.Mar[[#This Row],[DÉBITO]]-Tab_03.Mar[[#This Row],[CRÉDITO]]</f>
        <v>96.29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A</v>
      </c>
      <c r="E248" s="2">
        <f>IF($I248="","",COUNTIFS(Tab_00.Trial[CONTA],$I248))</f>
        <v>1</v>
      </c>
      <c r="F248" s="4">
        <f>SUMIFS(Tab_02.Fev[SALDO
ATUAL],Tab_02.Fev[CONTA],$I248)</f>
        <v>1277.51</v>
      </c>
      <c r="G248" s="4">
        <f t="shared" si="7"/>
        <v>0</v>
      </c>
      <c r="H248" s="179">
        <v>50810</v>
      </c>
      <c r="I248" s="3" t="s">
        <v>503</v>
      </c>
      <c r="J248" s="3" t="s">
        <v>504</v>
      </c>
      <c r="K248" s="4">
        <v>1277.51</v>
      </c>
      <c r="L248" s="4">
        <v>589.01</v>
      </c>
      <c r="M248" s="4">
        <v>0</v>
      </c>
      <c r="N248" s="4">
        <v>1866.52</v>
      </c>
      <c r="O248" s="4">
        <f>Tab_03.Mar[[#This Row],[DÉBITO]]-Tab_03.Mar[[#This Row],[CRÉDITO]]</f>
        <v>589.01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S</v>
      </c>
      <c r="E249" s="2">
        <f>IF($I249="","",COUNTIFS(Tab_00.Trial[CONTA],$I249))</f>
        <v>1</v>
      </c>
      <c r="F249" s="4">
        <f>SUMIFS(Tab_02.Fev[SALDO
ATUAL],Tab_02.Fev[CONTA],$I249)</f>
        <v>8951.5400000000009</v>
      </c>
      <c r="G249" s="4">
        <f t="shared" si="7"/>
        <v>0</v>
      </c>
      <c r="H249" s="179">
        <v>50870</v>
      </c>
      <c r="I249" s="3" t="s">
        <v>615</v>
      </c>
      <c r="J249" s="3" t="s">
        <v>719</v>
      </c>
      <c r="K249" s="4">
        <v>8951.5400000000009</v>
      </c>
      <c r="L249" s="4">
        <v>4409.2700000000004</v>
      </c>
      <c r="M249" s="4">
        <v>0</v>
      </c>
      <c r="N249" s="4">
        <v>13360.81</v>
      </c>
      <c r="O249" s="4">
        <f>Tab_03.Mar[[#This Row],[DÉBITO]]-Tab_03.Mar[[#This Row],[CRÉDITO]]</f>
        <v>4409.2700000000004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S</v>
      </c>
      <c r="E250" s="2">
        <f>IF($I250="","",COUNTIFS(Tab_00.Trial[CONTA],$I250))</f>
        <v>1</v>
      </c>
      <c r="F250" s="4">
        <f>SUMIFS(Tab_02.Fev[SALDO
ATUAL],Tab_02.Fev[CONTA],$I250)</f>
        <v>575.48</v>
      </c>
      <c r="G250" s="4">
        <f t="shared" si="7"/>
        <v>0</v>
      </c>
      <c r="H250" s="179">
        <v>50915</v>
      </c>
      <c r="I250" s="3" t="s">
        <v>617</v>
      </c>
      <c r="J250" s="3" t="s">
        <v>721</v>
      </c>
      <c r="K250" s="4">
        <v>575.48</v>
      </c>
      <c r="L250" s="4">
        <v>287.74</v>
      </c>
      <c r="M250" s="4">
        <v>0</v>
      </c>
      <c r="N250" s="4">
        <v>863.22</v>
      </c>
      <c r="O250" s="4">
        <f>Tab_03.Mar[[#This Row],[DÉBITO]]-Tab_03.Mar[[#This Row],[CRÉDITO]]</f>
        <v>287.74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A</v>
      </c>
      <c r="E251" s="2">
        <f>IF($I251="","",COUNTIFS(Tab_00.Trial[CONTA],$I251))</f>
        <v>1</v>
      </c>
      <c r="F251" s="4">
        <f>SUMIFS(Tab_02.Fev[SALDO
ATUAL],Tab_02.Fev[CONTA],$I251)</f>
        <v>575.48</v>
      </c>
      <c r="G251" s="4">
        <f t="shared" si="7"/>
        <v>0</v>
      </c>
      <c r="H251" s="179">
        <v>50945</v>
      </c>
      <c r="I251" s="3" t="s">
        <v>739</v>
      </c>
      <c r="J251" s="3" t="s">
        <v>740</v>
      </c>
      <c r="K251" s="4">
        <v>575.48</v>
      </c>
      <c r="L251" s="4">
        <v>287.74</v>
      </c>
      <c r="M251" s="4">
        <v>0</v>
      </c>
      <c r="N251" s="4">
        <v>863.22</v>
      </c>
      <c r="O251" s="4">
        <f>Tab_03.Mar[[#This Row],[DÉBITO]]-Tab_03.Mar[[#This Row],[CRÉDITO]]</f>
        <v>287.74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S</v>
      </c>
      <c r="E252" s="2">
        <f>IF($I252="","",COUNTIFS(Tab_00.Trial[CONTA],$I252))</f>
        <v>1</v>
      </c>
      <c r="F252" s="4">
        <f>SUMIFS(Tab_02.Fev[SALDO
ATUAL],Tab_02.Fev[CONTA],$I252)</f>
        <v>5016.62</v>
      </c>
      <c r="G252" s="4">
        <f t="shared" si="7"/>
        <v>0</v>
      </c>
      <c r="H252" s="179">
        <v>50960</v>
      </c>
      <c r="I252" s="3" t="s">
        <v>618</v>
      </c>
      <c r="J252" s="3" t="s">
        <v>722</v>
      </c>
      <c r="K252" s="4">
        <v>5016.62</v>
      </c>
      <c r="L252" s="4">
        <v>2497.5</v>
      </c>
      <c r="M252" s="4">
        <v>0</v>
      </c>
      <c r="N252" s="4">
        <v>7514.12</v>
      </c>
      <c r="O252" s="4">
        <f>Tab_03.Mar[[#This Row],[DÉBITO]]-Tab_03.Mar[[#This Row],[CRÉDITO]]</f>
        <v>2497.5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A</v>
      </c>
      <c r="E253" s="2">
        <f>IF($I253="","",COUNTIFS(Tab_00.Trial[CONTA],$I253))</f>
        <v>1</v>
      </c>
      <c r="F253" s="4">
        <f>SUMIFS(Tab_02.Fev[SALDO
ATUAL],Tab_02.Fev[CONTA],$I253)</f>
        <v>5016.62</v>
      </c>
      <c r="G253" s="4">
        <f t="shared" si="7"/>
        <v>0</v>
      </c>
      <c r="H253" s="179">
        <v>50965</v>
      </c>
      <c r="I253" s="3" t="s">
        <v>511</v>
      </c>
      <c r="J253" s="3" t="s">
        <v>512</v>
      </c>
      <c r="K253" s="4">
        <v>5016.62</v>
      </c>
      <c r="L253" s="4">
        <v>2497.5</v>
      </c>
      <c r="M253" s="4">
        <v>0</v>
      </c>
      <c r="N253" s="4">
        <v>7514.12</v>
      </c>
      <c r="O253" s="4">
        <f>Tab_03.Mar[[#This Row],[DÉBITO]]-Tab_03.Mar[[#This Row],[CRÉDITO]]</f>
        <v>2497.5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S</v>
      </c>
      <c r="E254" s="2">
        <f>IF($I254="","",COUNTIFS(Tab_00.Trial[CONTA],$I254))</f>
        <v>1</v>
      </c>
      <c r="F254" s="4">
        <f>SUMIFS(Tab_02.Fev[SALDO
ATUAL],Tab_02.Fev[CONTA],$I254)</f>
        <v>3359.44</v>
      </c>
      <c r="G254" s="4">
        <f t="shared" si="7"/>
        <v>0</v>
      </c>
      <c r="H254" s="179">
        <v>50970</v>
      </c>
      <c r="I254" s="3" t="s">
        <v>619</v>
      </c>
      <c r="J254" s="3" t="s">
        <v>420</v>
      </c>
      <c r="K254" s="4">
        <v>3359.44</v>
      </c>
      <c r="L254" s="4">
        <v>1624.03</v>
      </c>
      <c r="M254" s="4">
        <v>0</v>
      </c>
      <c r="N254" s="4">
        <v>4983.47</v>
      </c>
      <c r="O254" s="4">
        <f>Tab_03.Mar[[#This Row],[DÉBITO]]-Tab_03.Mar[[#This Row],[CRÉDITO]]</f>
        <v>1624.03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A</v>
      </c>
      <c r="E255" s="2">
        <f>IF($I255="","",COUNTIFS(Tab_00.Trial[CONTA],$I255))</f>
        <v>1</v>
      </c>
      <c r="F255" s="4">
        <f>SUMIFS(Tab_02.Fev[SALDO
ATUAL],Tab_02.Fev[CONTA],$I255)</f>
        <v>3359.44</v>
      </c>
      <c r="G255" s="4">
        <f t="shared" si="7"/>
        <v>0</v>
      </c>
      <c r="H255" s="179">
        <v>50975</v>
      </c>
      <c r="I255" s="3" t="s">
        <v>515</v>
      </c>
      <c r="J255" s="3" t="s">
        <v>420</v>
      </c>
      <c r="K255" s="4">
        <v>3359.44</v>
      </c>
      <c r="L255" s="4">
        <v>1624.03</v>
      </c>
      <c r="M255" s="4">
        <v>0</v>
      </c>
      <c r="N255" s="4">
        <v>4983.47</v>
      </c>
      <c r="O255" s="4">
        <f>Tab_03.Mar[[#This Row],[DÉBITO]]-Tab_03.Mar[[#This Row],[CRÉDITO]]</f>
        <v>1624.03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S</v>
      </c>
      <c r="E256" s="2">
        <f>IF($I256="","",COUNTIFS(Tab_00.Trial[CONTA],$I256))</f>
        <v>1</v>
      </c>
      <c r="F256" s="4">
        <f>SUMIFS(Tab_02.Fev[SALDO
ATUAL],Tab_02.Fev[CONTA],$I256)</f>
        <v>3368.58</v>
      </c>
      <c r="G256" s="4">
        <f t="shared" si="7"/>
        <v>0</v>
      </c>
      <c r="H256" s="179">
        <v>50990</v>
      </c>
      <c r="I256" s="3" t="s">
        <v>621</v>
      </c>
      <c r="J256" s="3" t="s">
        <v>723</v>
      </c>
      <c r="K256" s="4">
        <v>3368.58</v>
      </c>
      <c r="L256" s="4">
        <v>1291.93</v>
      </c>
      <c r="M256" s="4">
        <v>0</v>
      </c>
      <c r="N256" s="4">
        <v>4660.51</v>
      </c>
      <c r="O256" s="4">
        <f>Tab_03.Mar[[#This Row],[DÉBITO]]-Tab_03.Mar[[#This Row],[CRÉDITO]]</f>
        <v>1291.93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S</v>
      </c>
      <c r="E257" s="2">
        <f>IF($I257="","",COUNTIFS(Tab_00.Trial[CONTA],$I257))</f>
        <v>1</v>
      </c>
      <c r="F257" s="4">
        <f>SUMIFS(Tab_02.Fev[SALDO
ATUAL],Tab_02.Fev[CONTA],$I257)</f>
        <v>3368.58</v>
      </c>
      <c r="G257" s="4">
        <f t="shared" si="7"/>
        <v>0</v>
      </c>
      <c r="H257" s="179">
        <v>51005</v>
      </c>
      <c r="I257" s="3" t="s">
        <v>622</v>
      </c>
      <c r="J257" s="3" t="s">
        <v>723</v>
      </c>
      <c r="K257" s="4">
        <v>3368.58</v>
      </c>
      <c r="L257" s="4">
        <v>1291.93</v>
      </c>
      <c r="M257" s="4">
        <v>0</v>
      </c>
      <c r="N257" s="4">
        <v>4660.51</v>
      </c>
      <c r="O257" s="4">
        <f>Tab_03.Mar[[#This Row],[DÉBITO]]-Tab_03.Mar[[#This Row],[CRÉDITO]]</f>
        <v>1291.93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A</v>
      </c>
      <c r="E258" s="2">
        <f>IF($I258="","",COUNTIFS(Tab_00.Trial[CONTA],$I258))</f>
        <v>1</v>
      </c>
      <c r="F258" s="4">
        <f>SUMIFS(Tab_02.Fev[SALDO
ATUAL],Tab_02.Fev[CONTA],$I258)</f>
        <v>3368.58</v>
      </c>
      <c r="G258" s="4">
        <f t="shared" si="7"/>
        <v>0</v>
      </c>
      <c r="H258" s="179">
        <v>51019</v>
      </c>
      <c r="I258" s="3" t="s">
        <v>518</v>
      </c>
      <c r="J258" s="3" t="s">
        <v>519</v>
      </c>
      <c r="K258" s="4">
        <v>3368.58</v>
      </c>
      <c r="L258" s="4">
        <v>1291.93</v>
      </c>
      <c r="M258" s="4">
        <v>0</v>
      </c>
      <c r="N258" s="4">
        <v>4660.51</v>
      </c>
      <c r="O258" s="4">
        <f>Tab_03.Mar[[#This Row],[DÉBITO]]-Tab_03.Mar[[#This Row],[CRÉDITO]]</f>
        <v>1291.93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S</v>
      </c>
      <c r="E259" s="2">
        <f>IF($I259="","",COUNTIFS(Tab_00.Trial[CONTA],$I259))</f>
        <v>1</v>
      </c>
      <c r="F259" s="4">
        <f>SUMIFS(Tab_02.Fev[SALDO
ATUAL],Tab_02.Fev[CONTA],$I259)</f>
        <v>10613.84</v>
      </c>
      <c r="G259" s="4">
        <f t="shared" si="7"/>
        <v>0</v>
      </c>
      <c r="H259" s="179">
        <v>51050</v>
      </c>
      <c r="I259" s="3" t="s">
        <v>623</v>
      </c>
      <c r="J259" s="3" t="s">
        <v>724</v>
      </c>
      <c r="K259" s="4">
        <v>10613.84</v>
      </c>
      <c r="L259" s="4">
        <v>3667.05</v>
      </c>
      <c r="M259" s="4">
        <v>0</v>
      </c>
      <c r="N259" s="4">
        <v>14280.89</v>
      </c>
      <c r="O259" s="4">
        <f>Tab_03.Mar[[#This Row],[DÉBITO]]-Tab_03.Mar[[#This Row],[CRÉDITO]]</f>
        <v>3667.05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S</v>
      </c>
      <c r="E260" s="2">
        <f>IF($I260="","",COUNTIFS(Tab_00.Trial[CONTA],$I260))</f>
        <v>1</v>
      </c>
      <c r="F260" s="4">
        <f>SUMIFS(Tab_02.Fev[SALDO
ATUAL],Tab_02.Fev[CONTA],$I260)</f>
        <v>10613.84</v>
      </c>
      <c r="G260" s="4">
        <f t="shared" si="7"/>
        <v>0</v>
      </c>
      <c r="H260" s="179">
        <v>51065</v>
      </c>
      <c r="I260" s="3" t="s">
        <v>624</v>
      </c>
      <c r="J260" s="3" t="s">
        <v>724</v>
      </c>
      <c r="K260" s="4">
        <v>10613.84</v>
      </c>
      <c r="L260" s="4">
        <v>3667.05</v>
      </c>
      <c r="M260" s="4">
        <v>0</v>
      </c>
      <c r="N260" s="4">
        <v>14280.89</v>
      </c>
      <c r="O260" s="4">
        <f>Tab_03.Mar[[#This Row],[DÉBITO]]-Tab_03.Mar[[#This Row],[CRÉDITO]]</f>
        <v>3667.05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A</v>
      </c>
      <c r="E261" s="2">
        <f>IF($I261="","",COUNTIFS(Tab_00.Trial[CONTA],$I261))</f>
        <v>1</v>
      </c>
      <c r="F261" s="4">
        <f>SUMIFS(Tab_02.Fev[SALDO
ATUAL],Tab_02.Fev[CONTA],$I261)</f>
        <v>10613.84</v>
      </c>
      <c r="G261" s="4">
        <f t="shared" si="7"/>
        <v>0</v>
      </c>
      <c r="H261" s="179">
        <v>51080</v>
      </c>
      <c r="I261" s="3" t="s">
        <v>520</v>
      </c>
      <c r="J261" s="3" t="s">
        <v>521</v>
      </c>
      <c r="K261" s="4">
        <v>10613.84</v>
      </c>
      <c r="L261" s="4">
        <v>3667.05</v>
      </c>
      <c r="M261" s="4">
        <v>0</v>
      </c>
      <c r="N261" s="4">
        <v>14280.89</v>
      </c>
      <c r="O261" s="4">
        <f>Tab_03.Mar[[#This Row],[DÉBITO]]-Tab_03.Mar[[#This Row],[CRÉDITO]]</f>
        <v>3667.05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S</v>
      </c>
      <c r="E262" s="2">
        <f>IF($I262="","",COUNTIFS(Tab_00.Trial[CONTA],$I262))</f>
        <v>1</v>
      </c>
      <c r="F262" s="4">
        <f>SUMIFS(Tab_02.Fev[SALDO
ATUAL],Tab_02.Fev[CONTA],$I262)</f>
        <v>7003.62</v>
      </c>
      <c r="G262" s="4">
        <f t="shared" si="7"/>
        <v>0</v>
      </c>
      <c r="H262" s="179">
        <v>51110</v>
      </c>
      <c r="I262" s="3" t="s">
        <v>625</v>
      </c>
      <c r="J262" s="3" t="s">
        <v>542</v>
      </c>
      <c r="K262" s="4">
        <v>7003.62</v>
      </c>
      <c r="L262" s="4">
        <v>18828.060000000001</v>
      </c>
      <c r="M262" s="4">
        <v>0</v>
      </c>
      <c r="N262" s="4">
        <v>25831.68</v>
      </c>
      <c r="O262" s="4">
        <f>Tab_03.Mar[[#This Row],[DÉBITO]]-Tab_03.Mar[[#This Row],[CRÉDITO]]</f>
        <v>18828.060000000001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S</v>
      </c>
      <c r="E263" s="2">
        <f>IF($I263="","",COUNTIFS(Tab_00.Trial[CONTA],$I263))</f>
        <v>1</v>
      </c>
      <c r="F263" s="4">
        <f>SUMIFS(Tab_02.Fev[SALDO
ATUAL],Tab_02.Fev[CONTA],$I263)</f>
        <v>2419.91</v>
      </c>
      <c r="G263" s="4">
        <f t="shared" si="7"/>
        <v>0</v>
      </c>
      <c r="H263" s="179">
        <v>51125</v>
      </c>
      <c r="I263" s="3" t="s">
        <v>626</v>
      </c>
      <c r="J263" s="3" t="s">
        <v>725</v>
      </c>
      <c r="K263" s="4">
        <v>2419.91</v>
      </c>
      <c r="L263" s="4">
        <v>13022.99</v>
      </c>
      <c r="M263" s="4">
        <v>0</v>
      </c>
      <c r="N263" s="4">
        <v>15442.9</v>
      </c>
      <c r="O263" s="4">
        <f>Tab_03.Mar[[#This Row],[DÉBITO]]-Tab_03.Mar[[#This Row],[CRÉDITO]]</f>
        <v>13022.99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A</v>
      </c>
      <c r="E264" s="2">
        <f>IF($I264="","",COUNTIFS(Tab_00.Trial[CONTA],$I264))</f>
        <v>1</v>
      </c>
      <c r="F264" s="4">
        <f>SUMIFS(Tab_02.Fev[SALDO
ATUAL],Tab_02.Fev[CONTA],$I264)</f>
        <v>2404.58</v>
      </c>
      <c r="G264" s="4">
        <f t="shared" si="7"/>
        <v>0</v>
      </c>
      <c r="H264" s="179">
        <v>51200</v>
      </c>
      <c r="I264" s="3" t="s">
        <v>522</v>
      </c>
      <c r="J264" s="3" t="s">
        <v>523</v>
      </c>
      <c r="K264" s="4">
        <v>2404.58</v>
      </c>
      <c r="L264" s="4">
        <v>13007.66</v>
      </c>
      <c r="M264" s="4">
        <v>0</v>
      </c>
      <c r="N264" s="4">
        <v>15412.24</v>
      </c>
      <c r="O264" s="4">
        <f>Tab_03.Mar[[#This Row],[DÉBITO]]-Tab_03.Mar[[#This Row],[CRÉDITO]]</f>
        <v>13007.66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A</v>
      </c>
      <c r="E265" s="2">
        <f>IF($I265="","",COUNTIFS(Tab_00.Trial[CONTA],$I265))</f>
        <v>1</v>
      </c>
      <c r="F265" s="4">
        <f>SUMIFS(Tab_02.Fev[SALDO
ATUAL],Tab_02.Fev[CONTA],$I265)</f>
        <v>15.33</v>
      </c>
      <c r="G265" s="4">
        <f t="shared" ref="G265:G267" si="8">$F265-$K265</f>
        <v>0</v>
      </c>
      <c r="H265" s="180">
        <v>51220</v>
      </c>
      <c r="I265" s="3" t="s">
        <v>524</v>
      </c>
      <c r="J265" s="3" t="s">
        <v>525</v>
      </c>
      <c r="K265" s="4">
        <v>15.33</v>
      </c>
      <c r="L265" s="4">
        <v>15.33</v>
      </c>
      <c r="M265" s="4">
        <v>0</v>
      </c>
      <c r="N265" s="4">
        <v>30.66</v>
      </c>
      <c r="O265" s="4">
        <f>Tab_03.Mar[[#This Row],[DÉBITO]]-Tab_03.Mar[[#This Row],[CRÉDITO]]</f>
        <v>15.33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S</v>
      </c>
      <c r="E266" s="2">
        <f>IF($I266="","",COUNTIFS(Tab_00.Trial[CONTA],$I266))</f>
        <v>1</v>
      </c>
      <c r="F266" s="4">
        <f>SUMIFS(Tab_02.Fev[SALDO
ATUAL],Tab_02.Fev[CONTA],$I266)</f>
        <v>4583.71</v>
      </c>
      <c r="G266" s="4">
        <f t="shared" si="8"/>
        <v>0</v>
      </c>
      <c r="H266" s="180">
        <v>51230</v>
      </c>
      <c r="I266" s="3" t="s">
        <v>627</v>
      </c>
      <c r="J266" s="3" t="s">
        <v>542</v>
      </c>
      <c r="K266" s="4">
        <v>4583.71</v>
      </c>
      <c r="L266" s="4">
        <v>5805.07</v>
      </c>
      <c r="M266" s="4">
        <v>0</v>
      </c>
      <c r="N266" s="4">
        <v>10388.780000000001</v>
      </c>
      <c r="O266" s="4">
        <f>Tab_03.Mar[[#This Row],[DÉBITO]]-Tab_03.Mar[[#This Row],[CRÉDITO]]</f>
        <v>5805.07</v>
      </c>
    </row>
    <row r="267" spans="2:15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5</v>
      </c>
      <c r="D267" s="2" t="str">
        <f>_xlfn.XLOOKUP($I267,Tab_00.Trial[CONTA],Tab_00.Trial[S/A],"",0,1)</f>
        <v>A</v>
      </c>
      <c r="E267" s="2">
        <f>IF($I267="","",COUNTIFS(Tab_00.Trial[CONTA],$I267))</f>
        <v>1</v>
      </c>
      <c r="F267" s="4">
        <f>SUMIFS(Tab_02.Fev[SALDO
ATUAL],Tab_02.Fev[CONTA],$I267)</f>
        <v>150.46</v>
      </c>
      <c r="G267" s="4">
        <f t="shared" si="8"/>
        <v>0</v>
      </c>
      <c r="H267" s="180">
        <v>51245</v>
      </c>
      <c r="I267" s="3" t="s">
        <v>528</v>
      </c>
      <c r="J267" s="3" t="s">
        <v>416</v>
      </c>
      <c r="K267" s="4">
        <v>150.46</v>
      </c>
      <c r="L267" s="4">
        <v>199.18</v>
      </c>
      <c r="M267" s="4">
        <v>0</v>
      </c>
      <c r="N267" s="4">
        <v>349.64</v>
      </c>
      <c r="O267" s="4">
        <f>Tab_03.Mar[[#This Row],[DÉBITO]]-Tab_03.Mar[[#This Row],[CRÉDITO]]</f>
        <v>199.18</v>
      </c>
    </row>
    <row r="268" spans="2:15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5</v>
      </c>
      <c r="D268" s="2" t="str">
        <f>_xlfn.XLOOKUP($I268,Tab_00.Trial[CONTA],Tab_00.Trial[S/A],"",0,1)</f>
        <v>A</v>
      </c>
      <c r="E268" s="2">
        <f>IF($I268="","",COUNTIFS(Tab_00.Trial[CONTA],$I268))</f>
        <v>1</v>
      </c>
      <c r="F268" s="4">
        <f>SUMIFS(Tab_02.Fev[SALDO
ATUAL],Tab_02.Fev[CONTA],$I268)</f>
        <v>176.97</v>
      </c>
      <c r="G268" s="4">
        <f t="shared" ref="G268:G272" si="9">$F268-$K268</f>
        <v>0</v>
      </c>
      <c r="H268" s="185">
        <v>51290</v>
      </c>
      <c r="I268" s="3" t="s">
        <v>531</v>
      </c>
      <c r="J268" s="3" t="s">
        <v>532</v>
      </c>
      <c r="K268" s="4">
        <v>176.97</v>
      </c>
      <c r="L268" s="4">
        <v>0</v>
      </c>
      <c r="M268" s="4">
        <v>0</v>
      </c>
      <c r="N268" s="4">
        <v>176.97</v>
      </c>
      <c r="O268" s="4">
        <f>Tab_03.Mar[[#This Row],[DÉBITO]]-Tab_03.Mar[[#This Row],[CRÉDITO]]</f>
        <v>0</v>
      </c>
    </row>
    <row r="269" spans="2:15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5</v>
      </c>
      <c r="D269" s="2" t="str">
        <f>_xlfn.XLOOKUP($I269,Tab_00.Trial[CONTA],Tab_00.Trial[S/A],"",0,1)</f>
        <v>A</v>
      </c>
      <c r="E269" s="2">
        <f>IF($I269="","",COUNTIFS(Tab_00.Trial[CONTA],$I269))</f>
        <v>1</v>
      </c>
      <c r="F269" s="4">
        <f>SUMIFS(Tab_02.Fev[SALDO
ATUAL],Tab_02.Fev[CONTA],$I269)</f>
        <v>350</v>
      </c>
      <c r="G269" s="4">
        <f t="shared" si="9"/>
        <v>0</v>
      </c>
      <c r="H269" s="185">
        <v>51305</v>
      </c>
      <c r="I269" s="3" t="s">
        <v>533</v>
      </c>
      <c r="J269" s="3" t="s">
        <v>534</v>
      </c>
      <c r="K269" s="4">
        <v>350</v>
      </c>
      <c r="L269" s="4">
        <v>0</v>
      </c>
      <c r="M269" s="4">
        <v>0</v>
      </c>
      <c r="N269" s="4">
        <v>350</v>
      </c>
      <c r="O269" s="4">
        <f>Tab_03.Mar[[#This Row],[DÉBITO]]-Tab_03.Mar[[#This Row],[CRÉDITO]]</f>
        <v>0</v>
      </c>
    </row>
    <row r="270" spans="2:15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A</v>
      </c>
      <c r="E270" s="2">
        <f>IF($I270="","",COUNTIFS(Tab_00.Trial[CONTA],$I270))</f>
        <v>1</v>
      </c>
      <c r="F270" s="4">
        <f>SUMIFS(Tab_02.Fev[SALDO
ATUAL],Tab_02.Fev[CONTA],$I270)</f>
        <v>1059.06</v>
      </c>
      <c r="G270" s="4">
        <f t="shared" si="9"/>
        <v>0</v>
      </c>
      <c r="H270" s="185">
        <v>51335</v>
      </c>
      <c r="I270" s="3" t="s">
        <v>537</v>
      </c>
      <c r="J270" s="3" t="s">
        <v>538</v>
      </c>
      <c r="K270" s="4">
        <v>1059.06</v>
      </c>
      <c r="L270" s="4">
        <v>3685.72</v>
      </c>
      <c r="M270" s="4">
        <v>0</v>
      </c>
      <c r="N270" s="4">
        <v>4744.78</v>
      </c>
      <c r="O270" s="4">
        <f>Tab_03.Mar[[#This Row],[DÉBITO]]-Tab_03.Mar[[#This Row],[CRÉDITO]]</f>
        <v>3685.72</v>
      </c>
    </row>
    <row r="271" spans="2:15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5</v>
      </c>
      <c r="D271" s="2" t="str">
        <f>_xlfn.XLOOKUP($I271,Tab_00.Trial[CONTA],Tab_00.Trial[S/A],"",0,1)</f>
        <v>A</v>
      </c>
      <c r="E271" s="2">
        <f>IF($I271="","",COUNTIFS(Tab_00.Trial[CONTA],$I271))</f>
        <v>1</v>
      </c>
      <c r="F271" s="4">
        <f>SUMIFS(Tab_02.Fev[SALDO
ATUAL],Tab_02.Fev[CONTA],$I271)</f>
        <v>2484.4</v>
      </c>
      <c r="G271" s="4">
        <f t="shared" si="9"/>
        <v>0</v>
      </c>
      <c r="H271" s="185">
        <v>51338</v>
      </c>
      <c r="I271" s="3" t="s">
        <v>539</v>
      </c>
      <c r="J271" s="3" t="s">
        <v>540</v>
      </c>
      <c r="K271" s="4">
        <v>2484.4</v>
      </c>
      <c r="L271" s="4">
        <v>1742.12</v>
      </c>
      <c r="M271" s="4">
        <v>0</v>
      </c>
      <c r="N271" s="4">
        <v>4226.5200000000004</v>
      </c>
      <c r="O271" s="4">
        <f>Tab_03.Mar[[#This Row],[DÉBITO]]-Tab_03.Mar[[#This Row],[CRÉDITO]]</f>
        <v>1742.12</v>
      </c>
    </row>
    <row r="272" spans="2:15" x14ac:dyDescent="0.3">
      <c r="B272" s="2" t="str">
        <f>_xlfn.XLOOKUP($I272,Tab_00.Trial[CONTA],Tab_00.Trial[TP],"",0,1)</f>
        <v>C</v>
      </c>
      <c r="C272" s="2">
        <f>_xlfn.XLOOKUP($I272,Tab_00.Trial[CONTA],Tab_00.Trial[NV],"",0,1)</f>
        <v>5</v>
      </c>
      <c r="D272" s="2" t="str">
        <f>_xlfn.XLOOKUP($I272,Tab_00.Trial[CONTA],Tab_00.Trial[S/A],"",0,1)</f>
        <v>A</v>
      </c>
      <c r="E272" s="2">
        <f>IF($I272="","",COUNTIFS(Tab_00.Trial[CONTA],$I272))</f>
        <v>1</v>
      </c>
      <c r="F272" s="4">
        <f>SUMIFS(Tab_02.Fev[SALDO
ATUAL],Tab_02.Fev[CONTA],$I272)</f>
        <v>362.82</v>
      </c>
      <c r="G272" s="4">
        <f t="shared" si="9"/>
        <v>0</v>
      </c>
      <c r="H272" s="185">
        <v>51337</v>
      </c>
      <c r="I272" s="3" t="s">
        <v>541</v>
      </c>
      <c r="J272" s="3" t="s">
        <v>542</v>
      </c>
      <c r="K272" s="4">
        <v>362.82</v>
      </c>
      <c r="L272" s="4">
        <v>178.05</v>
      </c>
      <c r="M272" s="4">
        <v>0</v>
      </c>
      <c r="N272" s="4">
        <v>540.87</v>
      </c>
      <c r="O272" s="4">
        <f>Tab_03.Mar[[#This Row],[DÉBITO]]-Tab_03.Mar[[#This Row],[CRÉDITO]]</f>
        <v>178.05</v>
      </c>
    </row>
    <row r="273" spans="2:15" x14ac:dyDescent="0.3">
      <c r="B273" s="2" t="str">
        <f>_xlfn.XLOOKUP($I273,Tab_00.Trial[CONTA],Tab_00.Trial[TP],"",0,1)</f>
        <v>C</v>
      </c>
      <c r="C273" s="2">
        <f>_xlfn.XLOOKUP($I273,Tab_00.Trial[CONTA],Tab_00.Trial[NV],"",0,1)</f>
        <v>2</v>
      </c>
      <c r="D273" s="2" t="str">
        <f>_xlfn.XLOOKUP($I273,Tab_00.Trial[CONTA],Tab_00.Trial[S/A],"",0,1)</f>
        <v>S</v>
      </c>
      <c r="E273" s="2">
        <f>IF($I273="","",COUNTIFS(Tab_00.Trial[CONTA],$I273))</f>
        <v>1</v>
      </c>
      <c r="F273" s="4">
        <f>SUMIFS(Tab_02.Fev[SALDO
ATUAL],Tab_02.Fev[CONTA],$I273)</f>
        <v>270</v>
      </c>
      <c r="G273" s="4">
        <f t="shared" ref="G273:G274" si="10">$F273-$K273</f>
        <v>0</v>
      </c>
      <c r="H273" s="186">
        <v>51500</v>
      </c>
      <c r="I273" s="3" t="s">
        <v>630</v>
      </c>
      <c r="J273" s="3" t="s">
        <v>728</v>
      </c>
      <c r="K273" s="4">
        <v>270</v>
      </c>
      <c r="L273" s="4">
        <v>0</v>
      </c>
      <c r="M273" s="4">
        <v>0</v>
      </c>
      <c r="N273" s="4">
        <v>270</v>
      </c>
      <c r="O273" s="4">
        <f>Tab_03.Mar[[#This Row],[DÉBITO]]-Tab_03.Mar[[#This Row],[CRÉDITO]]</f>
        <v>0</v>
      </c>
    </row>
    <row r="274" spans="2:15" x14ac:dyDescent="0.3">
      <c r="B274" s="2" t="str">
        <f>_xlfn.XLOOKUP($I274,Tab_00.Trial[CONTA],Tab_00.Trial[TP],"",0,1)</f>
        <v>C</v>
      </c>
      <c r="C274" s="2">
        <f>_xlfn.XLOOKUP($I274,Tab_00.Trial[CONTA],Tab_00.Trial[NV],"",0,1)</f>
        <v>5</v>
      </c>
      <c r="D274" s="2" t="str">
        <f>_xlfn.XLOOKUP($I274,Tab_00.Trial[CONTA],Tab_00.Trial[S/A],"",0,1)</f>
        <v>S</v>
      </c>
      <c r="E274" s="2">
        <f>IF($I274="","",COUNTIFS(Tab_00.Trial[CONTA],$I274))</f>
        <v>1</v>
      </c>
      <c r="F274" s="4">
        <f>SUMIFS(Tab_02.Fev[SALDO
ATUAL],Tab_02.Fev[CONTA],$I274)</f>
        <v>270</v>
      </c>
      <c r="G274" s="4">
        <f t="shared" si="10"/>
        <v>0</v>
      </c>
      <c r="H274" s="186">
        <v>51505</v>
      </c>
      <c r="I274" s="3" t="s">
        <v>631</v>
      </c>
      <c r="J274" s="3" t="s">
        <v>728</v>
      </c>
      <c r="K274" s="4">
        <v>270</v>
      </c>
      <c r="L274" s="4">
        <v>0</v>
      </c>
      <c r="M274" s="4">
        <v>0</v>
      </c>
      <c r="N274" s="4">
        <v>270</v>
      </c>
      <c r="O274" s="4">
        <f>Tab_03.Mar[[#This Row],[DÉBITO]]-Tab_03.Mar[[#This Row],[CRÉDITO]]</f>
        <v>0</v>
      </c>
    </row>
    <row r="275" spans="2:15" x14ac:dyDescent="0.3">
      <c r="B275" s="2" t="str">
        <f>_xlfn.XLOOKUP($I275,Tab_00.Trial[CONTA],Tab_00.Trial[TP],"",0,1)</f>
        <v>C</v>
      </c>
      <c r="C275" s="2">
        <f>_xlfn.XLOOKUP($I275,Tab_00.Trial[CONTA],Tab_00.Trial[NV],"",0,1)</f>
        <v>5</v>
      </c>
      <c r="D275" s="2" t="str">
        <f>_xlfn.XLOOKUP($I275,Tab_00.Trial[CONTA],Tab_00.Trial[S/A],"",0,1)</f>
        <v>S</v>
      </c>
      <c r="E275" s="2">
        <f>IF($I275="","",COUNTIFS(Tab_00.Trial[CONTA],$I275))</f>
        <v>1</v>
      </c>
      <c r="F275" s="4">
        <f>SUMIFS(Tab_02.Fev[SALDO
ATUAL],Tab_02.Fev[CONTA],$I275)</f>
        <v>270</v>
      </c>
      <c r="G275" s="4">
        <f t="shared" ref="G275:G280" si="11">$F275-$K275</f>
        <v>0</v>
      </c>
      <c r="H275" s="189">
        <v>51565</v>
      </c>
      <c r="I275" s="3" t="s">
        <v>633</v>
      </c>
      <c r="J275" s="3" t="s">
        <v>548</v>
      </c>
      <c r="K275" s="4">
        <v>270</v>
      </c>
      <c r="L275" s="4">
        <v>0</v>
      </c>
      <c r="M275" s="4">
        <v>0</v>
      </c>
      <c r="N275" s="4">
        <v>270</v>
      </c>
      <c r="O275" s="4">
        <f>Tab_03.Mar[[#This Row],[DÉBITO]]-Tab_03.Mar[[#This Row],[CRÉDITO]]</f>
        <v>0</v>
      </c>
    </row>
    <row r="276" spans="2:15" x14ac:dyDescent="0.3">
      <c r="B276" s="2" t="str">
        <f>_xlfn.XLOOKUP($I276,Tab_00.Trial[CONTA],Tab_00.Trial[TP],"",0,1)</f>
        <v>C</v>
      </c>
      <c r="C276" s="2">
        <f>_xlfn.XLOOKUP($I276,Tab_00.Trial[CONTA],Tab_00.Trial[NV],"",0,1)</f>
        <v>5</v>
      </c>
      <c r="D276" s="2" t="str">
        <f>_xlfn.XLOOKUP($I276,Tab_00.Trial[CONTA],Tab_00.Trial[S/A],"",0,1)</f>
        <v>A</v>
      </c>
      <c r="E276" s="2">
        <f>IF($I276="","",COUNTIFS(Tab_00.Trial[CONTA],$I276))</f>
        <v>1</v>
      </c>
      <c r="F276" s="4">
        <f>SUMIFS(Tab_02.Fev[SALDO
ATUAL],Tab_02.Fev[CONTA],$I276)</f>
        <v>270</v>
      </c>
      <c r="G276" s="4">
        <f t="shared" si="11"/>
        <v>0</v>
      </c>
      <c r="H276" s="189">
        <v>51570</v>
      </c>
      <c r="I276" s="3" t="s">
        <v>547</v>
      </c>
      <c r="J276" s="3" t="s">
        <v>548</v>
      </c>
      <c r="K276" s="4">
        <v>270</v>
      </c>
      <c r="L276" s="4">
        <v>0</v>
      </c>
      <c r="M276" s="4">
        <v>0</v>
      </c>
      <c r="N276" s="4">
        <v>270</v>
      </c>
      <c r="O276" s="4">
        <f>Tab_03.Mar[[#This Row],[DÉBITO]]-Tab_03.Mar[[#This Row],[CRÉDITO]]</f>
        <v>0</v>
      </c>
    </row>
    <row r="277" spans="2:15" x14ac:dyDescent="0.3">
      <c r="B277" s="2" t="str">
        <f>_xlfn.XLOOKUP($I277,Tab_00.Trial[CONTA],Tab_00.Trial[TP],"",0,1)</f>
        <v>C</v>
      </c>
      <c r="C277" s="2">
        <f>_xlfn.XLOOKUP($I277,Tab_00.Trial[CONTA],Tab_00.Trial[NV],"",0,1)</f>
        <v>2</v>
      </c>
      <c r="D277" s="2" t="str">
        <f>_xlfn.XLOOKUP($I277,Tab_00.Trial[CONTA],Tab_00.Trial[S/A],"",0,1)</f>
        <v>S</v>
      </c>
      <c r="E277" s="2">
        <f>IF($I277="","",COUNTIFS(Tab_00.Trial[CONTA],$I277))</f>
        <v>1</v>
      </c>
      <c r="F277" s="4">
        <f>SUMIFS(Tab_02.Fev[SALDO
ATUAL],Tab_02.Fev[CONTA],$I277)</f>
        <v>-189</v>
      </c>
      <c r="G277" s="4">
        <f t="shared" si="11"/>
        <v>0</v>
      </c>
      <c r="H277" s="189">
        <v>51590</v>
      </c>
      <c r="I277" s="3" t="s">
        <v>634</v>
      </c>
      <c r="J277" s="3" t="s">
        <v>730</v>
      </c>
      <c r="K277" s="4">
        <v>-189</v>
      </c>
      <c r="L277" s="4">
        <v>0</v>
      </c>
      <c r="M277" s="4">
        <v>0</v>
      </c>
      <c r="N277" s="4">
        <v>-189</v>
      </c>
      <c r="O277" s="4">
        <f>Tab_03.Mar[[#This Row],[DÉBITO]]-Tab_03.Mar[[#This Row],[CRÉDITO]]</f>
        <v>0</v>
      </c>
    </row>
    <row r="278" spans="2:15" x14ac:dyDescent="0.3">
      <c r="B278" s="2" t="str">
        <f>_xlfn.XLOOKUP($I278,Tab_00.Trial[CONTA],Tab_00.Trial[TP],"",0,1)</f>
        <v>C</v>
      </c>
      <c r="C278" s="2">
        <f>_xlfn.XLOOKUP($I278,Tab_00.Trial[CONTA],Tab_00.Trial[NV],"",0,1)</f>
        <v>5</v>
      </c>
      <c r="D278" s="2" t="str">
        <f>_xlfn.XLOOKUP($I278,Tab_00.Trial[CONTA],Tab_00.Trial[S/A],"",0,1)</f>
        <v>S</v>
      </c>
      <c r="E278" s="2">
        <f>IF($I278="","",COUNTIFS(Tab_00.Trial[CONTA],$I278))</f>
        <v>1</v>
      </c>
      <c r="F278" s="4">
        <f>SUMIFS(Tab_02.Fev[SALDO
ATUAL],Tab_02.Fev[CONTA],$I278)</f>
        <v>-189</v>
      </c>
      <c r="G278" s="4">
        <f t="shared" si="11"/>
        <v>0</v>
      </c>
      <c r="H278" s="189">
        <v>10216</v>
      </c>
      <c r="I278" s="3" t="s">
        <v>825</v>
      </c>
      <c r="J278" s="3" t="s">
        <v>826</v>
      </c>
      <c r="K278" s="4">
        <v>-189</v>
      </c>
      <c r="L278" s="4">
        <v>0</v>
      </c>
      <c r="M278" s="4">
        <v>0</v>
      </c>
      <c r="N278" s="4">
        <v>-189</v>
      </c>
      <c r="O278" s="4">
        <f>Tab_03.Mar[[#This Row],[DÉBITO]]-Tab_03.Mar[[#This Row],[CRÉDITO]]</f>
        <v>0</v>
      </c>
    </row>
    <row r="279" spans="2:15" x14ac:dyDescent="0.3">
      <c r="B279" s="2" t="str">
        <f>_xlfn.XLOOKUP($I279,Tab_00.Trial[CONTA],Tab_00.Trial[TP],"",0,1)</f>
        <v>C</v>
      </c>
      <c r="C279" s="2">
        <f>_xlfn.XLOOKUP($I279,Tab_00.Trial[CONTA],Tab_00.Trial[NV],"",0,1)</f>
        <v>5</v>
      </c>
      <c r="D279" s="2" t="str">
        <f>_xlfn.XLOOKUP($I279,Tab_00.Trial[CONTA],Tab_00.Trial[S/A],"",0,1)</f>
        <v>S</v>
      </c>
      <c r="E279" s="2">
        <f>IF($I279="","",COUNTIFS(Tab_00.Trial[CONTA],$I279))</f>
        <v>1</v>
      </c>
      <c r="F279" s="4">
        <f>SUMIFS(Tab_02.Fev[SALDO
ATUAL],Tab_02.Fev[CONTA],$I279)</f>
        <v>-189</v>
      </c>
      <c r="G279" s="4">
        <f t="shared" si="11"/>
        <v>0</v>
      </c>
      <c r="H279" s="189">
        <v>10230</v>
      </c>
      <c r="I279" s="3" t="s">
        <v>827</v>
      </c>
      <c r="J279" s="3" t="s">
        <v>826</v>
      </c>
      <c r="K279" s="4">
        <v>-189</v>
      </c>
      <c r="L279" s="4">
        <v>0</v>
      </c>
      <c r="M279" s="4">
        <v>0</v>
      </c>
      <c r="N279" s="4">
        <v>-189</v>
      </c>
      <c r="O279" s="4">
        <f>Tab_03.Mar[[#This Row],[DÉBITO]]-Tab_03.Mar[[#This Row],[CRÉDITO]]</f>
        <v>0</v>
      </c>
    </row>
    <row r="280" spans="2:15" x14ac:dyDescent="0.3">
      <c r="B280" s="2" t="str">
        <f>_xlfn.XLOOKUP($I280,Tab_00.Trial[CONTA],Tab_00.Trial[TP],"",0,1)</f>
        <v>C</v>
      </c>
      <c r="C280" s="2">
        <f>_xlfn.XLOOKUP($I280,Tab_00.Trial[CONTA],Tab_00.Trial[NV],"",0,1)</f>
        <v>5</v>
      </c>
      <c r="D280" s="2" t="str">
        <f>_xlfn.XLOOKUP($I280,Tab_00.Trial[CONTA],Tab_00.Trial[S/A],"",0,1)</f>
        <v>A</v>
      </c>
      <c r="E280" s="2">
        <f>IF($I280="","",COUNTIFS(Tab_00.Trial[CONTA],$I280))</f>
        <v>1</v>
      </c>
      <c r="F280" s="4">
        <f>SUMIFS(Tab_02.Fev[SALDO
ATUAL],Tab_02.Fev[CONTA],$I280)</f>
        <v>-189</v>
      </c>
      <c r="G280" s="4">
        <f t="shared" si="11"/>
        <v>0</v>
      </c>
      <c r="H280" s="189">
        <v>10237</v>
      </c>
      <c r="I280" s="3" t="s">
        <v>828</v>
      </c>
      <c r="J280" s="3" t="s">
        <v>829</v>
      </c>
      <c r="K280" s="4">
        <v>-189</v>
      </c>
      <c r="L280" s="4">
        <v>0</v>
      </c>
      <c r="M280" s="4">
        <v>0</v>
      </c>
      <c r="N280" s="4">
        <v>-189</v>
      </c>
      <c r="O280" s="4">
        <f>Tab_03.Mar[[#This Row],[DÉBITO]]-Tab_03.Mar[[#This Row],[CRÉDITO]]</f>
        <v>0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6357A-9A9B-49B3-9139-5BE26712C336}">
  <sheetPr codeName="Planilha14"/>
  <dimension ref="B1:P285"/>
  <sheetViews>
    <sheetView showGridLines="0" showRowColHeaders="0" zoomScale="85" zoomScaleNormal="85" workbookViewId="0">
      <pane xSplit="7" ySplit="14" topLeftCell="H145" activePane="bottomRight" state="frozen"/>
      <selection activeCell="J28" sqref="J28"/>
      <selection pane="topRight" activeCell="J28" sqref="J28"/>
      <selection pane="bottomLeft" activeCell="J28" sqref="J28"/>
      <selection pane="bottomRight" activeCell="H145" sqref="H145"/>
    </sheetView>
  </sheetViews>
  <sheetFormatPr defaultColWidth="8.88671875" defaultRowHeight="13.8" outlineLevelRow="1" x14ac:dyDescent="0.3"/>
  <cols>
    <col min="1" max="1" width="2.6640625" style="1" customWidth="1"/>
    <col min="2" max="2" width="4.6640625" customWidth="1"/>
    <col min="3" max="5" width="4.6640625" style="2" customWidth="1"/>
    <col min="6" max="7" width="20.6640625" style="4" customWidth="1"/>
    <col min="8" max="8" width="15.6640625" customWidth="1"/>
    <col min="9" max="9" width="17.6640625" customWidth="1"/>
    <col min="10" max="10" width="75.6640625" customWidth="1"/>
    <col min="11" max="11" width="20.6640625" style="2" customWidth="1"/>
    <col min="12" max="13" width="20.6640625" style="3" customWidth="1"/>
    <col min="14" max="15" width="20.6640625" style="4" customWidth="1"/>
    <col min="16" max="16384" width="8.88671875" style="1"/>
  </cols>
  <sheetData>
    <row r="1" spans="2:15" x14ac:dyDescent="0.3">
      <c r="B1" s="2"/>
      <c r="H1" s="3"/>
      <c r="I1" s="3"/>
      <c r="J1" s="3"/>
      <c r="K1" s="4"/>
      <c r="L1" s="4"/>
      <c r="M1" s="4"/>
    </row>
    <row r="2" spans="2:15" outlineLevel="1" x14ac:dyDescent="0.3">
      <c r="B2" s="2" t="s">
        <v>16</v>
      </c>
      <c r="F2" s="7">
        <f ca="1">SUMIFS(INDIRECT("Tab_04.Abr["&amp;F$14&amp;"]"),Tab_04.Abr[TP],$B2,Tab_04.Abr[NV],"A")</f>
        <v>0</v>
      </c>
      <c r="G2" s="7">
        <f ca="1">SUMIFS(INDIRECT("Tab_04.Abr["&amp;G$14&amp;"]"),Tab_04.Abr[TP],$B2,Tab_04.Abr[NV],"A")</f>
        <v>0</v>
      </c>
      <c r="H2" s="3"/>
      <c r="I2" s="3"/>
      <c r="J2" s="88" t="s">
        <v>15</v>
      </c>
      <c r="K2" s="7">
        <f ca="1">SUMIFS(INDIRECT("Tab_04.Abr["&amp;K$14&amp;"]"),Tab_04.Abr[TP],$B2,Tab_04.Abr[S/A],"A")</f>
        <v>83266768.689999998</v>
      </c>
      <c r="L2" s="7">
        <f ca="1">SUMIFS(INDIRECT("Tab_04.Abr["&amp;L$14&amp;"]"),Tab_04.Abr[TP],$B2,Tab_04.Abr[S/A],"A")</f>
        <v>1584033.34</v>
      </c>
      <c r="M2" s="7">
        <f ca="1">SUMIFS(INDIRECT("Tab_04.Abr["&amp;M$14&amp;"]"),Tab_04.Abr[TP],$B2,Tab_04.Abr[S/A],"A")</f>
        <v>1234558</v>
      </c>
      <c r="N2" s="7">
        <f ca="1">SUMIFS(INDIRECT("Tab_04.Abr["&amp;N$14&amp;"]"),Tab_04.Abr[TP],$B2,Tab_04.Abr[S/A],"A")</f>
        <v>83616244.030000001</v>
      </c>
      <c r="O2" s="7">
        <f ca="1">SUMIFS(INDIRECT("Tab_04.Abr["&amp;O$14&amp;"]"),Tab_04.Abr[TP],$B2,Tab_04.Abr[S/A],"A")</f>
        <v>349475.34</v>
      </c>
    </row>
    <row r="3" spans="2:15" outlineLevel="1" x14ac:dyDescent="0.3">
      <c r="B3" s="2" t="s">
        <v>116</v>
      </c>
      <c r="F3" s="7">
        <f ca="1">SUMIFS(INDIRECT("Tab_04.Abr["&amp;F$14&amp;"]"),Tab_04.Abr[TP],$B3,Tab_04.Abr[NV],"A")</f>
        <v>0</v>
      </c>
      <c r="G3" s="7">
        <f ca="1">SUMIFS(INDIRECT("Tab_04.Abr["&amp;G$14&amp;"]"),Tab_04.Abr[TP],$B3,Tab_04.Abr[NV],"A")</f>
        <v>0</v>
      </c>
      <c r="H3" s="3"/>
      <c r="I3" s="3"/>
      <c r="J3" s="88" t="s">
        <v>110</v>
      </c>
      <c r="K3" s="7">
        <f ca="1">SUMIFS(INDIRECT("Tab_04.Abr["&amp;K$14&amp;"]"),Tab_04.Abr[TP],$B3,Tab_04.Abr[S/A],"A")</f>
        <v>-83339117.469999999</v>
      </c>
      <c r="L3" s="7">
        <f ca="1">SUMIFS(INDIRECT("Tab_04.Abr["&amp;L$14&amp;"]"),Tab_04.Abr[TP],$B3,Tab_04.Abr[S/A],"A")</f>
        <v>684014.48</v>
      </c>
      <c r="M3" s="7">
        <f ca="1">SUMIFS(INDIRECT("Tab_04.Abr["&amp;M$14&amp;"]"),Tab_04.Abr[TP],$B3,Tab_04.Abr[S/A],"A")</f>
        <v>1031211.62</v>
      </c>
      <c r="N3" s="7">
        <f ca="1">SUMIFS(INDIRECT("Tab_04.Abr["&amp;N$14&amp;"]"),Tab_04.Abr[TP],$B3,Tab_04.Abr[S/A],"A")</f>
        <v>-83686314.609999999</v>
      </c>
      <c r="O3" s="7">
        <f ca="1">SUMIFS(INDIRECT("Tab_04.Abr["&amp;O$14&amp;"]"),Tab_04.Abr[TP],$B3,Tab_04.Abr[S/A],"A")</f>
        <v>-347197.14</v>
      </c>
    </row>
    <row r="4" spans="2:15" outlineLevel="1" x14ac:dyDescent="0.3">
      <c r="B4" s="2"/>
      <c r="F4" s="8">
        <f ca="1">SUM(F$2:F$3)</f>
        <v>0</v>
      </c>
      <c r="G4" s="8">
        <f ca="1">SUM(G$2:G$3)</f>
        <v>0</v>
      </c>
      <c r="H4" s="3"/>
      <c r="I4" s="3"/>
      <c r="J4" s="88"/>
      <c r="K4" s="8">
        <f t="shared" ref="K4:O4" ca="1" si="0">SUM(K$2:K$3)</f>
        <v>-72348.78</v>
      </c>
      <c r="L4" s="8">
        <f t="shared" ca="1" si="0"/>
        <v>2268047.8199999998</v>
      </c>
      <c r="M4" s="8">
        <f t="shared" ca="1" si="0"/>
        <v>2265769.62</v>
      </c>
      <c r="N4" s="8">
        <f ca="1">SUM(N$2:N$3)</f>
        <v>-70070.58</v>
      </c>
      <c r="O4" s="8">
        <f t="shared" ca="1" si="0"/>
        <v>2278.1999999999998</v>
      </c>
    </row>
    <row r="5" spans="2:15" ht="5.0999999999999996" customHeight="1" outlineLevel="1" x14ac:dyDescent="0.3">
      <c r="B5" s="2"/>
      <c r="H5" s="3"/>
      <c r="I5" s="3"/>
      <c r="J5" s="89"/>
      <c r="K5" s="4"/>
      <c r="L5" s="4"/>
      <c r="M5" s="4"/>
    </row>
    <row r="6" spans="2:15" outlineLevel="1" x14ac:dyDescent="0.3">
      <c r="B6" s="2" t="s">
        <v>19</v>
      </c>
      <c r="F6" s="7">
        <f ca="1">SUMIFS(INDIRECT("Tab_04.Abr["&amp;F$14&amp;"]"),Tab_04.Abr[TP],$B6,Tab_04.Abr[NV],"A")</f>
        <v>0</v>
      </c>
      <c r="G6" s="7">
        <f ca="1">SUMIFS(INDIRECT("Tab_04.Abr["&amp;G$14&amp;"]"),Tab_04.Abr[TP],$B6,Tab_04.Abr[NV],"A")</f>
        <v>0</v>
      </c>
      <c r="H6" s="3"/>
      <c r="I6" s="3"/>
      <c r="J6" s="88" t="s">
        <v>18</v>
      </c>
      <c r="K6" s="7">
        <f ca="1">SUMIFS(INDIRECT("Tab_04.Abr["&amp;K$14&amp;"]"),Tab_04.Abr[TP],$B6,Tab_04.Abr[S/A],"A")</f>
        <v>-3704345.37</v>
      </c>
      <c r="L6" s="7">
        <f ca="1">SUMIFS(INDIRECT("Tab_04.Abr["&amp;L$14&amp;"]"),Tab_04.Abr[TP],$B6,Tab_04.Abr[S/A],"A")</f>
        <v>114819.6</v>
      </c>
      <c r="M6" s="7">
        <f ca="1">SUMIFS(INDIRECT("Tab_04.Abr["&amp;M$14&amp;"]"),Tab_04.Abr[TP],$B6,Tab_04.Abr[S/A],"A")</f>
        <v>1196819.54</v>
      </c>
      <c r="N6" s="7">
        <f ca="1">SUMIFS(INDIRECT("Tab_04.Abr["&amp;N$14&amp;"]"),Tab_04.Abr[TP],$B6,Tab_04.Abr[S/A],"A")</f>
        <v>-4786345.3099999996</v>
      </c>
      <c r="O6" s="7">
        <f ca="1">SUMIFS(INDIRECT("Tab_04.Abr["&amp;O$14&amp;"]"),Tab_04.Abr[TP],$B6,Tab_04.Abr[S/A],"A")</f>
        <v>-1081999.94</v>
      </c>
    </row>
    <row r="7" spans="2:15" outlineLevel="1" x14ac:dyDescent="0.3">
      <c r="B7" s="2" t="s">
        <v>20</v>
      </c>
      <c r="F7" s="7">
        <f ca="1">SUMIFS(INDIRECT("Tab_04.Abr["&amp;F$14&amp;"]"),Tab_04.Abr[TP],$B7,Tab_04.Abr[NV],"A")</f>
        <v>0</v>
      </c>
      <c r="G7" s="7">
        <f ca="1">SUMIFS(INDIRECT("Tab_04.Abr["&amp;G$14&amp;"]"),Tab_04.Abr[TP],$B7,Tab_04.Abr[NV],"A")</f>
        <v>0</v>
      </c>
      <c r="H7" s="3"/>
      <c r="I7" s="3"/>
      <c r="J7" s="88" t="s">
        <v>111</v>
      </c>
      <c r="K7" s="7">
        <f ca="1">SUMIFS(INDIRECT("Tab_04.Abr["&amp;K$14&amp;"]"),Tab_04.Abr[TP],$B7,Tab_04.Abr[S/A],"A")</f>
        <v>3776694.15</v>
      </c>
      <c r="L7" s="7">
        <f ca="1">SUMIFS(INDIRECT("Tab_04.Abr["&amp;L$14&amp;"]"),Tab_04.Abr[TP],$B7,Tab_04.Abr[S/A],"A")</f>
        <v>1111009.21</v>
      </c>
      <c r="M7" s="7">
        <f ca="1">SUMIFS(INDIRECT("Tab_04.Abr["&amp;M$14&amp;"]"),Tab_04.Abr[TP],$B7,Tab_04.Abr[S/A],"A")</f>
        <v>31287.47</v>
      </c>
      <c r="N7" s="7">
        <f ca="1">SUMIFS(INDIRECT("Tab_04.Abr["&amp;N$14&amp;"]"),Tab_04.Abr[TP],$B7,Tab_04.Abr[S/A],"A")</f>
        <v>4856415.8899999997</v>
      </c>
      <c r="O7" s="7">
        <f ca="1">SUMIFS(INDIRECT("Tab_04.Abr["&amp;O$14&amp;"]"),Tab_04.Abr[TP],$B7,Tab_04.Abr[S/A],"A")</f>
        <v>1079721.74</v>
      </c>
    </row>
    <row r="8" spans="2:15" outlineLevel="1" x14ac:dyDescent="0.3">
      <c r="B8" s="2"/>
      <c r="F8" s="8">
        <f ca="1">SUM(F$6:F$7)</f>
        <v>0</v>
      </c>
      <c r="G8" s="8">
        <f ca="1">SUM(G$6:G$7)</f>
        <v>0</v>
      </c>
      <c r="H8" s="3"/>
      <c r="I8" s="3"/>
      <c r="J8" s="88"/>
      <c r="K8" s="8">
        <f ca="1">SUM(K$6:K$7)</f>
        <v>72348.78</v>
      </c>
      <c r="L8" s="8">
        <f ca="1">SUM(L$6:L$7)</f>
        <v>1225828.81</v>
      </c>
      <c r="M8" s="8">
        <f ca="1">SUM(M$6:M$7)</f>
        <v>1228107.01</v>
      </c>
      <c r="N8" s="8">
        <f ca="1">SUM(N$6:N$7)</f>
        <v>70070.58</v>
      </c>
      <c r="O8" s="8">
        <f ca="1">SUM(O$6:O$7)</f>
        <v>-2278.1999999999998</v>
      </c>
    </row>
    <row r="9" spans="2:15" ht="5.0999999999999996" customHeight="1" outlineLevel="1" x14ac:dyDescent="0.3">
      <c r="B9" s="2"/>
      <c r="H9" s="3"/>
      <c r="I9" s="3"/>
      <c r="J9" s="89"/>
      <c r="K9" s="4"/>
      <c r="L9" s="4"/>
      <c r="M9" s="4"/>
    </row>
    <row r="10" spans="2:15" x14ac:dyDescent="0.3">
      <c r="B10" s="2"/>
      <c r="F10" s="11">
        <f ca="1">SUM(F$4,F$8)</f>
        <v>0</v>
      </c>
      <c r="G10" s="11">
        <f ca="1">SUM(G$4,G$8)</f>
        <v>0</v>
      </c>
      <c r="H10" s="3"/>
      <c r="I10" s="3"/>
      <c r="J10" s="88" t="s">
        <v>240</v>
      </c>
      <c r="K10" s="11">
        <f t="shared" ref="K10:O10" ca="1" si="1">SUM(K$4,K$8)</f>
        <v>0</v>
      </c>
      <c r="L10" s="11">
        <f ca="1">SUM(L$4,L$8)</f>
        <v>3493876.63</v>
      </c>
      <c r="M10" s="11">
        <f t="shared" ca="1" si="1"/>
        <v>3493876.63</v>
      </c>
      <c r="N10" s="11">
        <f ca="1">SUM(N$4,N$8)</f>
        <v>0</v>
      </c>
      <c r="O10" s="11">
        <f t="shared" ca="1" si="1"/>
        <v>0</v>
      </c>
    </row>
    <row r="11" spans="2:15" ht="5.0999999999999996" customHeight="1" x14ac:dyDescent="0.3">
      <c r="B11" s="2"/>
      <c r="H11" s="3"/>
      <c r="I11" s="3"/>
      <c r="J11" s="3"/>
      <c r="K11" s="4"/>
      <c r="L11" s="4"/>
      <c r="M11" s="4"/>
    </row>
    <row r="12" spans="2:15" x14ac:dyDescent="0.3">
      <c r="B12" s="2"/>
      <c r="F12" s="7">
        <f>SUBTOTAL(9,Tab_04.Abr[SALDO FINAL
ANTERIOR])</f>
        <v>0</v>
      </c>
      <c r="G12" s="7">
        <f>SUBTOTAL(9,Tab_04.Abr[DIFERENÇA])</f>
        <v>0</v>
      </c>
      <c r="H12" s="3"/>
      <c r="I12" s="3"/>
      <c r="J12" s="3" t="s">
        <v>241</v>
      </c>
      <c r="K12" s="7">
        <f>SUBTOTAL(9,Tab_04.Abr[SALDO
ANTERIOR])</f>
        <v>0</v>
      </c>
      <c r="L12" s="7">
        <f>SUBTOTAL(9,Tab_04.Abr[DÉBITO])</f>
        <v>0</v>
      </c>
      <c r="M12" s="7">
        <f>SUBTOTAL(9,Tab_04.Abr[CRÉDITO])</f>
        <v>89524.57</v>
      </c>
      <c r="N12" s="7">
        <f>SUBTOTAL(9,Tab_04.Abr[SALDO
ATUAL])</f>
        <v>-89524.57</v>
      </c>
      <c r="O12" s="7">
        <f>SUBTOTAL(9,Tab_04.Abr[MOVIMENTO])</f>
        <v>-89524.57</v>
      </c>
    </row>
    <row r="13" spans="2:15" ht="5.0999999999999996" customHeight="1" x14ac:dyDescent="0.3">
      <c r="B13" s="2"/>
      <c r="H13" s="3"/>
      <c r="I13" s="3"/>
      <c r="J13" s="3"/>
      <c r="K13" s="4"/>
      <c r="L13" s="4"/>
      <c r="M13" s="4"/>
    </row>
    <row r="14" spans="2:15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5" hidden="1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SUMIFS(Tab_03.Mar[SALDO
ATUAL],Tab_03.Mar[CONTA],$I15)</f>
        <v>83266768.689999998</v>
      </c>
      <c r="G15" s="4">
        <f>$F15-$K15</f>
        <v>0</v>
      </c>
      <c r="H15" s="3">
        <v>10000</v>
      </c>
      <c r="I15" s="3">
        <v>1</v>
      </c>
      <c r="J15" s="3" t="s">
        <v>637</v>
      </c>
      <c r="K15" s="173">
        <v>83266768.689999998</v>
      </c>
      <c r="L15" s="173">
        <v>1584033.34</v>
      </c>
      <c r="M15" s="173">
        <v>1234558</v>
      </c>
      <c r="N15" s="4">
        <v>83616244.030000001</v>
      </c>
      <c r="O15" s="4">
        <f>Tab_04.Abr[[#This Row],[DÉBITO]]-Tab_04.Abr[[#This Row],[CRÉDITO]]</f>
        <v>349475.34</v>
      </c>
    </row>
    <row r="16" spans="2:15" hidden="1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SUMIFS(Tab_03.Mar[SALDO
ATUAL],Tab_03.Mar[CONTA],$I16)</f>
        <v>10275647.300000001</v>
      </c>
      <c r="G16" s="4">
        <f>$F16-$K16</f>
        <v>0</v>
      </c>
      <c r="H16" s="3">
        <v>10015</v>
      </c>
      <c r="I16" s="3" t="s">
        <v>197</v>
      </c>
      <c r="J16" s="3" t="s">
        <v>247</v>
      </c>
      <c r="K16" s="173">
        <v>10275647.300000001</v>
      </c>
      <c r="L16" s="173">
        <v>1563304.52</v>
      </c>
      <c r="M16" s="173">
        <v>1116071.3500000001</v>
      </c>
      <c r="N16" s="4">
        <v>10722880.470000001</v>
      </c>
      <c r="O16" s="4">
        <f>Tab_04.Abr[[#This Row],[DÉBITO]]-Tab_04.Abr[[#This Row],[CRÉDITO]]</f>
        <v>447233.17</v>
      </c>
    </row>
    <row r="17" spans="2:15" hidden="1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SUMIFS(Tab_03.Mar[SALDO
ATUAL],Tab_03.Mar[CONTA],$I17)</f>
        <v>9937516.9000000004</v>
      </c>
      <c r="G17" s="4">
        <f>$F17-$K17</f>
        <v>0</v>
      </c>
      <c r="H17" s="3">
        <v>10030</v>
      </c>
      <c r="I17" s="3" t="s">
        <v>199</v>
      </c>
      <c r="J17" s="3" t="s">
        <v>638</v>
      </c>
      <c r="K17" s="173">
        <v>9937516.9000000004</v>
      </c>
      <c r="L17" s="173">
        <v>1447003.76</v>
      </c>
      <c r="M17" s="173">
        <v>1088829.3999999999</v>
      </c>
      <c r="N17" s="4">
        <v>10295691.26</v>
      </c>
      <c r="O17" s="4">
        <f>Tab_04.Abr[[#This Row],[DÉBITO]]-Tab_04.Abr[[#This Row],[CRÉDITO]]</f>
        <v>358174.36</v>
      </c>
    </row>
    <row r="18" spans="2:15" hidden="1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SUMIFS(Tab_03.Mar[SALDO
ATUAL],Tab_03.Mar[CONTA],$I18)</f>
        <v>3411.67</v>
      </c>
      <c r="G18" s="4">
        <f t="shared" ref="G18:G81" si="2">$F18-$K18</f>
        <v>0</v>
      </c>
      <c r="H18" s="3">
        <v>10045</v>
      </c>
      <c r="I18" s="3" t="s">
        <v>201</v>
      </c>
      <c r="J18" s="3" t="s">
        <v>639</v>
      </c>
      <c r="K18" s="173">
        <v>3411.67</v>
      </c>
      <c r="L18" s="173">
        <v>0</v>
      </c>
      <c r="M18" s="173">
        <v>418.26</v>
      </c>
      <c r="N18" s="4">
        <v>2993.41</v>
      </c>
      <c r="O18" s="4">
        <f>Tab_04.Abr[[#This Row],[DÉBITO]]-Tab_04.Abr[[#This Row],[CRÉDITO]]</f>
        <v>-418.26</v>
      </c>
    </row>
    <row r="19" spans="2:15" hidden="1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SUMIFS(Tab_03.Mar[SALDO
ATUAL],Tab_03.Mar[CONTA],$I19)</f>
        <v>3411.67</v>
      </c>
      <c r="G19" s="4">
        <f t="shared" si="2"/>
        <v>0</v>
      </c>
      <c r="H19" s="3">
        <v>10075</v>
      </c>
      <c r="I19" s="3" t="s">
        <v>176</v>
      </c>
      <c r="J19" s="3" t="s">
        <v>274</v>
      </c>
      <c r="K19" s="173">
        <v>3411.67</v>
      </c>
      <c r="L19" s="173">
        <v>0</v>
      </c>
      <c r="M19" s="173">
        <v>418.26</v>
      </c>
      <c r="N19" s="4">
        <v>2993.41</v>
      </c>
      <c r="O19" s="4">
        <f>Tab_04.Abr[[#This Row],[DÉBITO]]-Tab_04.Abr[[#This Row],[CRÉDITO]]</f>
        <v>-418.26</v>
      </c>
    </row>
    <row r="20" spans="2:15" hidden="1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SUMIFS(Tab_03.Mar[SALDO
ATUAL],Tab_03.Mar[CONTA],$I20)</f>
        <v>29629.4</v>
      </c>
      <c r="G20" s="4">
        <f t="shared" si="2"/>
        <v>0</v>
      </c>
      <c r="H20" s="3">
        <v>10090</v>
      </c>
      <c r="I20" s="3" t="s">
        <v>202</v>
      </c>
      <c r="J20" s="3" t="s">
        <v>640</v>
      </c>
      <c r="K20" s="173">
        <v>29629.4</v>
      </c>
      <c r="L20" s="173">
        <v>867664.4</v>
      </c>
      <c r="M20" s="173">
        <v>880692.32</v>
      </c>
      <c r="N20" s="4">
        <v>16601.48</v>
      </c>
      <c r="O20" s="4">
        <f>Tab_04.Abr[[#This Row],[DÉBITO]]-Tab_04.Abr[[#This Row],[CRÉDITO]]</f>
        <v>-13027.92</v>
      </c>
    </row>
    <row r="21" spans="2:15" hidden="1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SUMIFS(Tab_03.Mar[SALDO
ATUAL],Tab_03.Mar[CONTA],$I21)</f>
        <v>0.99</v>
      </c>
      <c r="G21" s="4">
        <f t="shared" si="2"/>
        <v>0</v>
      </c>
      <c r="H21" s="3">
        <v>10110</v>
      </c>
      <c r="I21" s="3" t="s">
        <v>277</v>
      </c>
      <c r="J21" s="3" t="s">
        <v>278</v>
      </c>
      <c r="K21" s="173">
        <v>0.99</v>
      </c>
      <c r="L21" s="173">
        <v>801144.46</v>
      </c>
      <c r="M21" s="173">
        <v>801144.45</v>
      </c>
      <c r="N21" s="4">
        <v>1</v>
      </c>
      <c r="O21" s="4">
        <f>Tab_04.Abr[[#This Row],[DÉBITO]]-Tab_04.Abr[[#This Row],[CRÉDITO]]</f>
        <v>0.01</v>
      </c>
    </row>
    <row r="22" spans="2:15" hidden="1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SUMIFS(Tab_03.Mar[SALDO
ATUAL],Tab_03.Mar[CONTA],$I22)</f>
        <v>20718.55</v>
      </c>
      <c r="G22" s="4">
        <f t="shared" si="2"/>
        <v>0</v>
      </c>
      <c r="H22" s="3">
        <v>10131</v>
      </c>
      <c r="I22" s="3" t="s">
        <v>177</v>
      </c>
      <c r="J22" s="3" t="s">
        <v>279</v>
      </c>
      <c r="K22" s="173">
        <v>20718.55</v>
      </c>
      <c r="L22" s="173">
        <v>62272.89</v>
      </c>
      <c r="M22" s="173">
        <v>74400.740000000005</v>
      </c>
      <c r="N22" s="4">
        <v>8590.7000000000007</v>
      </c>
      <c r="O22" s="4">
        <f>Tab_04.Abr[[#This Row],[DÉBITO]]-Tab_04.Abr[[#This Row],[CRÉDITO]]</f>
        <v>-12127.85</v>
      </c>
    </row>
    <row r="23" spans="2:15" hidden="1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SUMIFS(Tab_03.Mar[SALDO
ATUAL],Tab_03.Mar[CONTA],$I23)</f>
        <v>4246.91</v>
      </c>
      <c r="G23" s="4">
        <f t="shared" si="2"/>
        <v>0</v>
      </c>
      <c r="H23" s="3">
        <v>10132</v>
      </c>
      <c r="I23" s="3" t="s">
        <v>280</v>
      </c>
      <c r="J23" s="3" t="s">
        <v>281</v>
      </c>
      <c r="K23" s="173">
        <v>4246.91</v>
      </c>
      <c r="L23" s="173">
        <v>4247.05</v>
      </c>
      <c r="M23" s="173">
        <v>484.18</v>
      </c>
      <c r="N23" s="4">
        <v>8009.78</v>
      </c>
      <c r="O23" s="4">
        <f>Tab_04.Abr[[#This Row],[DÉBITO]]-Tab_04.Abr[[#This Row],[CRÉDITO]]</f>
        <v>3762.87</v>
      </c>
    </row>
    <row r="24" spans="2:15" hidden="1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A</v>
      </c>
      <c r="E24" s="2">
        <f>IF($I24="","",COUNTIFS(Tab_00.Trial[CONTA],$I24))</f>
        <v>1</v>
      </c>
      <c r="F24" s="4">
        <f>SUMIFS(Tab_03.Mar[SALDO
ATUAL],Tab_03.Mar[CONTA],$I24)</f>
        <v>4662.95</v>
      </c>
      <c r="G24" s="4">
        <f t="shared" si="2"/>
        <v>0</v>
      </c>
      <c r="H24" s="3">
        <v>10133</v>
      </c>
      <c r="I24" s="3" t="s">
        <v>282</v>
      </c>
      <c r="J24" s="3" t="s">
        <v>283</v>
      </c>
      <c r="K24" s="173">
        <v>4662.95</v>
      </c>
      <c r="L24" s="173">
        <v>0</v>
      </c>
      <c r="M24" s="173">
        <v>4662.95</v>
      </c>
      <c r="N24" s="4">
        <v>0</v>
      </c>
      <c r="O24" s="4">
        <f>Tab_04.Abr[[#This Row],[DÉBITO]]-Tab_04.Abr[[#This Row],[CRÉDITO]]</f>
        <v>-4662.95</v>
      </c>
    </row>
    <row r="25" spans="2:15" hidden="1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S</v>
      </c>
      <c r="E25" s="2">
        <f>IF($I25="","",COUNTIFS(Tab_00.Trial[CONTA],$I25))</f>
        <v>1</v>
      </c>
      <c r="F25" s="4">
        <f>SUMIFS(Tab_03.Mar[SALDO
ATUAL],Tab_03.Mar[CONTA],$I25)</f>
        <v>9904475.8300000001</v>
      </c>
      <c r="G25" s="4">
        <f t="shared" si="2"/>
        <v>0</v>
      </c>
      <c r="H25" s="3">
        <v>10180</v>
      </c>
      <c r="I25" s="3" t="s">
        <v>203</v>
      </c>
      <c r="J25" s="3" t="s">
        <v>641</v>
      </c>
      <c r="K25" s="173">
        <v>9904475.8300000001</v>
      </c>
      <c r="L25" s="173">
        <v>579339.36</v>
      </c>
      <c r="M25" s="173">
        <v>207718.82</v>
      </c>
      <c r="N25" s="4">
        <v>10276096.369999999</v>
      </c>
      <c r="O25" s="4">
        <f>Tab_04.Abr[[#This Row],[DÉBITO]]-Tab_04.Abr[[#This Row],[CRÉDITO]]</f>
        <v>371620.54</v>
      </c>
    </row>
    <row r="26" spans="2:15" hidden="1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SUMIFS(Tab_03.Mar[SALDO
ATUAL],Tab_03.Mar[CONTA],$I26)</f>
        <v>4381434.88</v>
      </c>
      <c r="G26" s="4">
        <f t="shared" si="2"/>
        <v>0</v>
      </c>
      <c r="H26" s="3">
        <v>10200</v>
      </c>
      <c r="I26" s="3" t="s">
        <v>178</v>
      </c>
      <c r="J26" s="3" t="s">
        <v>284</v>
      </c>
      <c r="K26" s="1">
        <v>4381434.88</v>
      </c>
      <c r="L26" s="1">
        <v>531209.81000000006</v>
      </c>
      <c r="M26" s="1">
        <v>207718.82</v>
      </c>
      <c r="N26" s="4">
        <v>4704925.87</v>
      </c>
      <c r="O26" s="4">
        <f>Tab_04.Abr[[#This Row],[DÉBITO]]-Tab_04.Abr[[#This Row],[CRÉDITO]]</f>
        <v>323490.99</v>
      </c>
    </row>
    <row r="27" spans="2:15" hidden="1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A</v>
      </c>
      <c r="E27" s="2">
        <f>IF($I27="","",COUNTIFS(Tab_00.Trial[CONTA],$I27))</f>
        <v>1</v>
      </c>
      <c r="F27" s="4">
        <f>SUMIFS(Tab_03.Mar[SALDO
ATUAL],Tab_03.Mar[CONTA],$I27)</f>
        <v>5523040.9500000002</v>
      </c>
      <c r="G27" s="4">
        <f t="shared" si="2"/>
        <v>0</v>
      </c>
      <c r="H27" s="3">
        <v>10223</v>
      </c>
      <c r="I27" s="3" t="s">
        <v>287</v>
      </c>
      <c r="J27" s="3" t="s">
        <v>288</v>
      </c>
      <c r="K27" s="173">
        <v>5523040.9500000002</v>
      </c>
      <c r="L27" s="173">
        <v>48129.55</v>
      </c>
      <c r="M27" s="1">
        <v>0</v>
      </c>
      <c r="N27" s="4">
        <v>5571170.5</v>
      </c>
      <c r="O27" s="4">
        <f>Tab_04.Abr[[#This Row],[DÉBITO]]-Tab_04.Abr[[#This Row],[CRÉDITO]]</f>
        <v>48129.55</v>
      </c>
    </row>
    <row r="28" spans="2:15" hidden="1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SUMIFS(Tab_03.Mar[SALDO
ATUAL],Tab_03.Mar[CONTA],$I28)</f>
        <v>99274.97</v>
      </c>
      <c r="G28" s="4">
        <f t="shared" si="2"/>
        <v>0</v>
      </c>
      <c r="H28" s="3">
        <v>10270</v>
      </c>
      <c r="I28" s="3" t="s">
        <v>204</v>
      </c>
      <c r="J28" s="3" t="s">
        <v>642</v>
      </c>
      <c r="K28" s="173">
        <v>99274.97</v>
      </c>
      <c r="L28" s="173">
        <v>0</v>
      </c>
      <c r="M28" s="173">
        <v>0</v>
      </c>
      <c r="N28" s="4">
        <v>99274.97</v>
      </c>
      <c r="O28" s="4">
        <f>Tab_04.Abr[[#This Row],[DÉBITO]]-Tab_04.Abr[[#This Row],[CRÉDITO]]</f>
        <v>0</v>
      </c>
    </row>
    <row r="29" spans="2:15" hidden="1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S</v>
      </c>
      <c r="E29" s="2">
        <f>IF($I29="","",COUNTIFS(Tab_00.Trial[CONTA],$I29))</f>
        <v>1</v>
      </c>
      <c r="F29" s="4">
        <f>SUMIFS(Tab_03.Mar[SALDO
ATUAL],Tab_03.Mar[CONTA],$I29)</f>
        <v>99274.97</v>
      </c>
      <c r="G29" s="4">
        <f t="shared" si="2"/>
        <v>0</v>
      </c>
      <c r="H29" s="3">
        <v>10345</v>
      </c>
      <c r="I29" s="3" t="s">
        <v>205</v>
      </c>
      <c r="J29" s="3" t="s">
        <v>643</v>
      </c>
      <c r="K29" s="173">
        <v>99274.97</v>
      </c>
      <c r="L29" s="173">
        <v>0</v>
      </c>
      <c r="M29" s="173">
        <v>0</v>
      </c>
      <c r="N29" s="4">
        <v>99274.97</v>
      </c>
      <c r="O29" s="4">
        <f>Tab_04.Abr[[#This Row],[DÉBITO]]-Tab_04.Abr[[#This Row],[CRÉDITO]]</f>
        <v>0</v>
      </c>
    </row>
    <row r="30" spans="2:15" hidden="1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A</v>
      </c>
      <c r="E30" s="2">
        <f>IF($I30="","",COUNTIFS(Tab_00.Trial[CONTA],$I30))</f>
        <v>1</v>
      </c>
      <c r="F30" s="4">
        <f>SUMIFS(Tab_03.Mar[SALDO
ATUAL],Tab_03.Mar[CONTA],$I30)</f>
        <v>99274.97</v>
      </c>
      <c r="G30" s="4">
        <f t="shared" si="2"/>
        <v>0</v>
      </c>
      <c r="H30" s="3">
        <v>10377</v>
      </c>
      <c r="I30" s="3" t="s">
        <v>291</v>
      </c>
      <c r="J30" s="3" t="s">
        <v>292</v>
      </c>
      <c r="K30" s="173">
        <v>99274.97</v>
      </c>
      <c r="L30" s="173">
        <v>0</v>
      </c>
      <c r="M30" s="173">
        <v>0</v>
      </c>
      <c r="N30" s="4">
        <v>99274.97</v>
      </c>
      <c r="O30" s="4">
        <f>Tab_04.Abr[[#This Row],[DÉBITO]]-Tab_04.Abr[[#This Row],[CRÉDITO]]</f>
        <v>0</v>
      </c>
    </row>
    <row r="31" spans="2:15" hidden="1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S</v>
      </c>
      <c r="E31" s="2">
        <f>IF($I31="","",COUNTIFS(Tab_00.Trial[CONTA],$I31))</f>
        <v>1</v>
      </c>
      <c r="F31" s="4">
        <f>SUMIFS(Tab_03.Mar[SALDO
ATUAL],Tab_03.Mar[CONTA],$I31)</f>
        <v>4704.34</v>
      </c>
      <c r="G31" s="4">
        <f t="shared" si="2"/>
        <v>0</v>
      </c>
      <c r="H31" s="3">
        <v>10630</v>
      </c>
      <c r="I31" s="3" t="s">
        <v>206</v>
      </c>
      <c r="J31" s="3" t="s">
        <v>644</v>
      </c>
      <c r="K31" s="173">
        <v>4704.34</v>
      </c>
      <c r="L31" s="1">
        <v>10743.03</v>
      </c>
      <c r="M31" s="1">
        <v>178.02</v>
      </c>
      <c r="N31" s="4">
        <v>15269.35</v>
      </c>
      <c r="O31" s="4">
        <f>Tab_04.Abr[[#This Row],[DÉBITO]]-Tab_04.Abr[[#This Row],[CRÉDITO]]</f>
        <v>10565.01</v>
      </c>
    </row>
    <row r="32" spans="2:15" hidden="1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S</v>
      </c>
      <c r="E32" s="2">
        <f>IF($I32="","",COUNTIFS(Tab_00.Trial[CONTA],$I32))</f>
        <v>1</v>
      </c>
      <c r="F32" s="4">
        <f>SUMIFS(Tab_03.Mar[SALDO
ATUAL],Tab_03.Mar[CONTA],$I32)</f>
        <v>222.6</v>
      </c>
      <c r="G32" s="4">
        <f t="shared" si="2"/>
        <v>0</v>
      </c>
      <c r="H32" s="3">
        <v>10645</v>
      </c>
      <c r="I32" s="3" t="s">
        <v>208</v>
      </c>
      <c r="J32" s="3" t="s">
        <v>139</v>
      </c>
      <c r="K32" s="173">
        <v>222.6</v>
      </c>
      <c r="L32" s="1">
        <v>0</v>
      </c>
      <c r="M32" s="1">
        <v>178.02</v>
      </c>
      <c r="N32" s="4">
        <v>44.58</v>
      </c>
      <c r="O32" s="4">
        <f>Tab_04.Abr[[#This Row],[DÉBITO]]-Tab_04.Abr[[#This Row],[CRÉDITO]]</f>
        <v>-178.02</v>
      </c>
    </row>
    <row r="33" spans="2:15" hidden="1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A</v>
      </c>
      <c r="E33" s="2">
        <f>IF($I33="","",COUNTIFS(Tab_00.Trial[CONTA],$I33))</f>
        <v>1</v>
      </c>
      <c r="F33" s="4">
        <f>SUMIFS(Tab_03.Mar[SALDO
ATUAL],Tab_03.Mar[CONTA],$I33)</f>
        <v>44.58</v>
      </c>
      <c r="G33" s="4">
        <f t="shared" si="2"/>
        <v>0</v>
      </c>
      <c r="H33" s="3">
        <v>10660</v>
      </c>
      <c r="I33" s="3" t="s">
        <v>179</v>
      </c>
      <c r="J33" s="3" t="s">
        <v>293</v>
      </c>
      <c r="K33" s="173">
        <v>44.58</v>
      </c>
      <c r="L33" s="1">
        <v>0</v>
      </c>
      <c r="M33" s="1">
        <v>0</v>
      </c>
      <c r="N33" s="4">
        <v>44.58</v>
      </c>
      <c r="O33" s="4">
        <f>Tab_04.Abr[[#This Row],[DÉBITO]]-Tab_04.Abr[[#This Row],[CRÉDITO]]</f>
        <v>0</v>
      </c>
    </row>
    <row r="34" spans="2:15" hidden="1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A</v>
      </c>
      <c r="E34" s="2">
        <f>IF($I34="","",COUNTIFS(Tab_00.Trial[CONTA],$I34))</f>
        <v>1</v>
      </c>
      <c r="F34" s="4">
        <f>SUMIFS(Tab_03.Mar[SALDO
ATUAL],Tab_03.Mar[CONTA],$I34)</f>
        <v>178.02</v>
      </c>
      <c r="G34" s="4">
        <f t="shared" si="2"/>
        <v>0</v>
      </c>
      <c r="H34" s="3">
        <v>10735</v>
      </c>
      <c r="I34" s="3" t="s">
        <v>294</v>
      </c>
      <c r="J34" s="3" t="s">
        <v>295</v>
      </c>
      <c r="K34" s="173">
        <v>178.02</v>
      </c>
      <c r="L34" s="1">
        <v>0</v>
      </c>
      <c r="M34" s="1">
        <v>178.02</v>
      </c>
      <c r="N34" s="4">
        <v>0</v>
      </c>
      <c r="O34" s="4">
        <f>Tab_04.Abr[[#This Row],[DÉBITO]]-Tab_04.Abr[[#This Row],[CRÉDITO]]</f>
        <v>-178.02</v>
      </c>
    </row>
    <row r="35" spans="2:15" hidden="1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S</v>
      </c>
      <c r="E35" s="2">
        <f>IF($I35="","",COUNTIFS(Tab_00.Trial[CONTA],$I35))</f>
        <v>1</v>
      </c>
      <c r="F35" s="4">
        <f>SUMIFS(Tab_03.Mar[SALDO
ATUAL],Tab_03.Mar[CONTA],$I35)</f>
        <v>4481.74</v>
      </c>
      <c r="G35" s="4">
        <f t="shared" si="2"/>
        <v>0</v>
      </c>
      <c r="H35" s="3">
        <v>10765</v>
      </c>
      <c r="I35" s="3" t="s">
        <v>551</v>
      </c>
      <c r="J35" s="3" t="s">
        <v>645</v>
      </c>
      <c r="K35" s="173">
        <v>4481.74</v>
      </c>
      <c r="L35" s="1">
        <v>10743.03</v>
      </c>
      <c r="M35" s="1">
        <v>0</v>
      </c>
      <c r="N35" s="4">
        <v>15224.77</v>
      </c>
      <c r="O35" s="4">
        <f>Tab_04.Abr[[#This Row],[DÉBITO]]-Tab_04.Abr[[#This Row],[CRÉDITO]]</f>
        <v>10743.03</v>
      </c>
    </row>
    <row r="36" spans="2:15" hidden="1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A</v>
      </c>
      <c r="E36" s="2">
        <f>IF($I36="","",COUNTIFS(Tab_00.Trial[CONTA],$I36))</f>
        <v>1</v>
      </c>
      <c r="F36" s="4">
        <f>SUMIFS(Tab_03.Mar[SALDO
ATUAL],Tab_03.Mar[CONTA],$I36)</f>
        <v>4481.74</v>
      </c>
      <c r="G36" s="4">
        <f t="shared" si="2"/>
        <v>0</v>
      </c>
      <c r="H36" s="3">
        <v>10867</v>
      </c>
      <c r="I36" s="3" t="s">
        <v>831</v>
      </c>
      <c r="J36" s="3" t="s">
        <v>832</v>
      </c>
      <c r="K36" s="173">
        <v>4481.74</v>
      </c>
      <c r="L36" s="1">
        <v>10743.03</v>
      </c>
      <c r="M36" s="1">
        <v>0</v>
      </c>
      <c r="N36" s="4">
        <v>15224.77</v>
      </c>
      <c r="O36" s="4">
        <f>Tab_04.Abr[[#This Row],[DÉBITO]]-Tab_04.Abr[[#This Row],[CRÉDITO]]</f>
        <v>10743.03</v>
      </c>
    </row>
    <row r="37" spans="2:15" hidden="1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S</v>
      </c>
      <c r="E37" s="2">
        <f>IF($I37="","",COUNTIFS(Tab_00.Trial[CONTA],$I37))</f>
        <v>1</v>
      </c>
      <c r="F37" s="4">
        <f>SUMIFS(Tab_03.Mar[SALDO
ATUAL],Tab_03.Mar[CONTA],$I37)</f>
        <v>232437.24</v>
      </c>
      <c r="G37" s="4">
        <f t="shared" si="2"/>
        <v>0</v>
      </c>
      <c r="H37" s="3">
        <v>10840</v>
      </c>
      <c r="I37" s="3" t="s">
        <v>840</v>
      </c>
      <c r="J37" s="3" t="s">
        <v>841</v>
      </c>
      <c r="K37" s="173">
        <v>232437.24</v>
      </c>
      <c r="L37" s="173">
        <v>105557.73</v>
      </c>
      <c r="M37" s="173">
        <v>26776.19</v>
      </c>
      <c r="N37" s="4">
        <v>311218.78000000003</v>
      </c>
      <c r="O37" s="4">
        <f>Tab_04.Abr[[#This Row],[DÉBITO]]-Tab_04.Abr[[#This Row],[CRÉDITO]]</f>
        <v>78781.539999999994</v>
      </c>
    </row>
    <row r="38" spans="2:15" hidden="1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S</v>
      </c>
      <c r="E38" s="2">
        <f>IF($I38="","",COUNTIFS(Tab_00.Trial[CONTA],$I38))</f>
        <v>1</v>
      </c>
      <c r="F38" s="4">
        <f>SUMIFS(Tab_03.Mar[SALDO
ATUAL],Tab_03.Mar[CONTA],$I38)</f>
        <v>232437.24</v>
      </c>
      <c r="G38" s="4">
        <f t="shared" si="2"/>
        <v>0</v>
      </c>
      <c r="H38" s="3">
        <v>10965</v>
      </c>
      <c r="I38" s="3" t="s">
        <v>842</v>
      </c>
      <c r="J38" s="3" t="s">
        <v>843</v>
      </c>
      <c r="K38" s="173">
        <v>232437.24</v>
      </c>
      <c r="L38" s="1">
        <v>89524.57</v>
      </c>
      <c r="M38" s="1">
        <v>10743.03</v>
      </c>
      <c r="N38" s="4">
        <v>311218.78000000003</v>
      </c>
      <c r="O38" s="4">
        <f>Tab_04.Abr[[#This Row],[DÉBITO]]-Tab_04.Abr[[#This Row],[CRÉDITO]]</f>
        <v>78781.539999999994</v>
      </c>
    </row>
    <row r="39" spans="2:15" hidden="1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A</v>
      </c>
      <c r="E39" s="2">
        <f>IF($I39="","",COUNTIFS(Tab_00.Trial[CONTA],$I39))</f>
        <v>1</v>
      </c>
      <c r="F39" s="4">
        <f>SUMIFS(Tab_03.Mar[SALDO
ATUAL],Tab_03.Mar[CONTA],$I39)</f>
        <v>232437.24</v>
      </c>
      <c r="G39" s="4">
        <f t="shared" si="2"/>
        <v>0</v>
      </c>
      <c r="H39" s="3">
        <v>10874</v>
      </c>
      <c r="I39" s="3" t="s">
        <v>844</v>
      </c>
      <c r="J39" s="3" t="s">
        <v>843</v>
      </c>
      <c r="K39" s="173">
        <v>232437.24</v>
      </c>
      <c r="L39" s="1">
        <v>89524.57</v>
      </c>
      <c r="M39" s="1">
        <v>10743.03</v>
      </c>
      <c r="N39" s="4">
        <v>311218.78000000003</v>
      </c>
      <c r="O39" s="4">
        <f>Tab_04.Abr[[#This Row],[DÉBITO]]-Tab_04.Abr[[#This Row],[CRÉDITO]]</f>
        <v>78781.539999999994</v>
      </c>
    </row>
    <row r="40" spans="2:15" hidden="1" x14ac:dyDescent="0.3">
      <c r="B40" s="2" t="str">
        <f>_xlfn.XLOOKUP($I40,Tab_00.Trial[CONTA],Tab_00.Trial[TP],"",0,1)</f>
        <v>A</v>
      </c>
      <c r="C40" s="2">
        <f>_xlfn.XLOOKUP($I40,Tab_00.Trial[CONTA],Tab_00.Trial[NV],"",0,1)</f>
        <v>5</v>
      </c>
      <c r="D40" s="2" t="str">
        <f>_xlfn.XLOOKUP($I40,Tab_00.Trial[CONTA],Tab_00.Trial[S/A],"",0,1)</f>
        <v>S</v>
      </c>
      <c r="E40" s="2">
        <f>IF($I40="","",COUNTIFS(Tab_00.Trial[CONTA],$I40))</f>
        <v>1</v>
      </c>
      <c r="F40" s="4">
        <f>SUMIFS(Tab_03.Mar[SALDO
ATUAL],Tab_03.Mar[CONTA],$I40)</f>
        <v>0</v>
      </c>
      <c r="G40" s="4">
        <f t="shared" si="2"/>
        <v>0</v>
      </c>
      <c r="H40" s="3">
        <v>10881</v>
      </c>
      <c r="I40" s="3" t="s">
        <v>864</v>
      </c>
      <c r="J40" s="3" t="s">
        <v>865</v>
      </c>
      <c r="K40" s="173">
        <v>0</v>
      </c>
      <c r="L40" s="1">
        <v>16033.16</v>
      </c>
      <c r="M40" s="1">
        <v>16033.16</v>
      </c>
      <c r="N40" s="4">
        <v>0</v>
      </c>
      <c r="O40" s="4">
        <f>Tab_04.Abr[[#This Row],[DÉBITO]]-Tab_04.Abr[[#This Row],[CRÉDITO]]</f>
        <v>0</v>
      </c>
    </row>
    <row r="41" spans="2:15" hidden="1" x14ac:dyDescent="0.3">
      <c r="B41" s="2" t="str">
        <f>_xlfn.XLOOKUP($I41,Tab_00.Trial[CONTA],Tab_00.Trial[TP],"",0,1)</f>
        <v>A</v>
      </c>
      <c r="C41" s="2">
        <f>_xlfn.XLOOKUP($I41,Tab_00.Trial[CONTA],Tab_00.Trial[NV],"",0,1)</f>
        <v>5</v>
      </c>
      <c r="D41" s="2" t="str">
        <f>_xlfn.XLOOKUP($I41,Tab_00.Trial[CONTA],Tab_00.Trial[S/A],"",0,1)</f>
        <v>A</v>
      </c>
      <c r="E41" s="2">
        <f>IF($I41="","",COUNTIFS(Tab_00.Trial[CONTA],$I41))</f>
        <v>1</v>
      </c>
      <c r="F41" s="4">
        <f>SUMIFS(Tab_03.Mar[SALDO
ATUAL],Tab_03.Mar[CONTA],$I41)</f>
        <v>0</v>
      </c>
      <c r="G41" s="4">
        <f t="shared" si="2"/>
        <v>0</v>
      </c>
      <c r="H41" s="3">
        <v>10888</v>
      </c>
      <c r="I41" s="3" t="s">
        <v>867</v>
      </c>
      <c r="J41" s="3" t="s">
        <v>868</v>
      </c>
      <c r="K41" s="173">
        <v>0</v>
      </c>
      <c r="L41" s="173">
        <v>16033.16</v>
      </c>
      <c r="M41" s="1">
        <v>16033.16</v>
      </c>
      <c r="N41" s="4">
        <v>0</v>
      </c>
      <c r="O41" s="4">
        <f>Tab_04.Abr[[#This Row],[DÉBITO]]-Tab_04.Abr[[#This Row],[CRÉDITO]]</f>
        <v>0</v>
      </c>
    </row>
    <row r="42" spans="2:15" hidden="1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S</v>
      </c>
      <c r="E42" s="2">
        <f>IF($I42="","",COUNTIFS(Tab_00.Trial[CONTA],$I42))</f>
        <v>1</v>
      </c>
      <c r="F42" s="4">
        <f>SUMIFS(Tab_03.Mar[SALDO
ATUAL],Tab_03.Mar[CONTA],$I42)</f>
        <v>1713.85</v>
      </c>
      <c r="G42" s="4">
        <f t="shared" si="2"/>
        <v>0</v>
      </c>
      <c r="H42" s="3">
        <v>10975</v>
      </c>
      <c r="I42" s="3" t="s">
        <v>209</v>
      </c>
      <c r="J42" s="3" t="s">
        <v>646</v>
      </c>
      <c r="K42" s="173">
        <v>1713.85</v>
      </c>
      <c r="L42" s="1">
        <v>0</v>
      </c>
      <c r="M42" s="1">
        <v>287.74</v>
      </c>
      <c r="N42" s="4">
        <v>1426.11</v>
      </c>
      <c r="O42" s="4">
        <f>Tab_04.Abr[[#This Row],[DÉBITO]]-Tab_04.Abr[[#This Row],[CRÉDITO]]</f>
        <v>-287.74</v>
      </c>
    </row>
    <row r="43" spans="2:15" hidden="1" x14ac:dyDescent="0.3">
      <c r="B43" s="2" t="str">
        <f>_xlfn.XLOOKUP($I43,Tab_00.Trial[CONTA],Tab_00.Trial[TP],"",0,1)</f>
        <v>A</v>
      </c>
      <c r="C43" s="2">
        <f>_xlfn.XLOOKUP($I43,Tab_00.Trial[CONTA],Tab_00.Trial[NV],"",0,1)</f>
        <v>5</v>
      </c>
      <c r="D43" s="2" t="str">
        <f>_xlfn.XLOOKUP($I43,Tab_00.Trial[CONTA],Tab_00.Trial[S/A],"",0,1)</f>
        <v>S</v>
      </c>
      <c r="E43" s="2">
        <f>IF($I43="","",COUNTIFS(Tab_00.Trial[CONTA],$I43))</f>
        <v>1</v>
      </c>
      <c r="F43" s="4">
        <f>SUMIFS(Tab_03.Mar[SALDO
ATUAL],Tab_03.Mar[CONTA],$I43)</f>
        <v>1713.85</v>
      </c>
      <c r="G43" s="4">
        <f t="shared" si="2"/>
        <v>0</v>
      </c>
      <c r="H43" s="3">
        <v>10990</v>
      </c>
      <c r="I43" s="3" t="s">
        <v>210</v>
      </c>
      <c r="J43" s="3" t="s">
        <v>646</v>
      </c>
      <c r="K43" s="173">
        <v>1713.85</v>
      </c>
      <c r="L43" s="1">
        <v>0</v>
      </c>
      <c r="M43" s="1">
        <v>287.74</v>
      </c>
      <c r="N43" s="4">
        <v>1426.11</v>
      </c>
      <c r="O43" s="4">
        <f>Tab_04.Abr[[#This Row],[DÉBITO]]-Tab_04.Abr[[#This Row],[CRÉDITO]]</f>
        <v>-287.74</v>
      </c>
    </row>
    <row r="44" spans="2:15" hidden="1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A</v>
      </c>
      <c r="E44" s="2">
        <f>IF($I44="","",COUNTIFS(Tab_00.Trial[CONTA],$I44))</f>
        <v>1</v>
      </c>
      <c r="F44" s="4">
        <f>SUMIFS(Tab_03.Mar[SALDO
ATUAL],Tab_03.Mar[CONTA],$I44)</f>
        <v>1713.85</v>
      </c>
      <c r="G44" s="4">
        <f t="shared" si="2"/>
        <v>0</v>
      </c>
      <c r="H44" s="3">
        <v>11005</v>
      </c>
      <c r="I44" s="3" t="s">
        <v>298</v>
      </c>
      <c r="J44" s="3" t="s">
        <v>299</v>
      </c>
      <c r="K44" s="173">
        <v>1713.85</v>
      </c>
      <c r="L44" s="1">
        <v>0</v>
      </c>
      <c r="M44" s="1">
        <v>287.74</v>
      </c>
      <c r="N44" s="4">
        <v>1426.11</v>
      </c>
      <c r="O44" s="4">
        <f>Tab_04.Abr[[#This Row],[DÉBITO]]-Tab_04.Abr[[#This Row],[CRÉDITO]]</f>
        <v>-287.74</v>
      </c>
    </row>
    <row r="45" spans="2:15" hidden="1" x14ac:dyDescent="0.3">
      <c r="B45" s="2" t="str">
        <f>_xlfn.XLOOKUP($I45,Tab_00.Trial[CONTA],Tab_00.Trial[TP],"",0,1)</f>
        <v>A</v>
      </c>
      <c r="C45" s="2">
        <f>_xlfn.XLOOKUP($I45,Tab_00.Trial[CONTA],Tab_00.Trial[NV],"",0,1)</f>
        <v>2</v>
      </c>
      <c r="D45" s="2" t="str">
        <f>_xlfn.XLOOKUP($I45,Tab_00.Trial[CONTA],Tab_00.Trial[S/A],"",0,1)</f>
        <v>S</v>
      </c>
      <c r="E45" s="2">
        <f>IF($I45="","",COUNTIFS(Tab_00.Trial[CONTA],$I45))</f>
        <v>1</v>
      </c>
      <c r="F45" s="4">
        <f>SUMIFS(Tab_03.Mar[SALDO
ATUAL],Tab_03.Mar[CONTA],$I45)</f>
        <v>72991121.390000001</v>
      </c>
      <c r="G45" s="4">
        <f t="shared" si="2"/>
        <v>0</v>
      </c>
      <c r="H45" s="3">
        <v>11065</v>
      </c>
      <c r="I45" s="3" t="s">
        <v>211</v>
      </c>
      <c r="J45" s="3" t="s">
        <v>76</v>
      </c>
      <c r="K45" s="173">
        <v>72991121.390000001</v>
      </c>
      <c r="L45" s="1">
        <v>20728.82</v>
      </c>
      <c r="M45" s="1">
        <v>118486.65</v>
      </c>
      <c r="N45" s="4">
        <v>72893363.560000002</v>
      </c>
      <c r="O45" s="4">
        <f>Tab_04.Abr[[#This Row],[DÉBITO]]-Tab_04.Abr[[#This Row],[CRÉDITO]]</f>
        <v>-97757.83</v>
      </c>
    </row>
    <row r="46" spans="2:15" hidden="1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S</v>
      </c>
      <c r="E46" s="2">
        <f>IF($I46="","",COUNTIFS(Tab_00.Trial[CONTA],$I46))</f>
        <v>1</v>
      </c>
      <c r="F46" s="4">
        <f>SUMIFS(Tab_03.Mar[SALDO
ATUAL],Tab_03.Mar[CONTA],$I46)</f>
        <v>253487.9</v>
      </c>
      <c r="G46" s="4">
        <f t="shared" si="2"/>
        <v>0</v>
      </c>
      <c r="H46" s="3">
        <v>11080</v>
      </c>
      <c r="I46" s="3" t="s">
        <v>552</v>
      </c>
      <c r="J46" s="3" t="s">
        <v>647</v>
      </c>
      <c r="K46" s="173">
        <v>253487.9</v>
      </c>
      <c r="L46" s="1">
        <v>557.45000000000005</v>
      </c>
      <c r="M46" s="1">
        <v>0</v>
      </c>
      <c r="N46" s="4">
        <v>254045.35</v>
      </c>
      <c r="O46" s="4">
        <f>Tab_04.Abr[[#This Row],[DÉBITO]]-Tab_04.Abr[[#This Row],[CRÉDITO]]</f>
        <v>557.45000000000005</v>
      </c>
    </row>
    <row r="47" spans="2:15" hidden="1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S</v>
      </c>
      <c r="E47" s="2">
        <f>IF($I47="","",COUNTIFS(Tab_00.Trial[CONTA],$I47))</f>
        <v>1</v>
      </c>
      <c r="F47" s="4">
        <f>SUMIFS(Tab_03.Mar[SALDO
ATUAL],Tab_03.Mar[CONTA],$I47)</f>
        <v>253487.9</v>
      </c>
      <c r="G47" s="4">
        <f t="shared" si="2"/>
        <v>0</v>
      </c>
      <c r="H47" s="3">
        <v>11125</v>
      </c>
      <c r="I47" s="3" t="s">
        <v>553</v>
      </c>
      <c r="J47" s="3" t="s">
        <v>301</v>
      </c>
      <c r="K47" s="173">
        <v>253487.9</v>
      </c>
      <c r="L47" s="173">
        <v>557.45000000000005</v>
      </c>
      <c r="M47" s="1">
        <v>0</v>
      </c>
      <c r="N47" s="4">
        <v>254045.35</v>
      </c>
      <c r="O47" s="4">
        <f>Tab_04.Abr[[#This Row],[DÉBITO]]-Tab_04.Abr[[#This Row],[CRÉDITO]]</f>
        <v>557.45000000000005</v>
      </c>
    </row>
    <row r="48" spans="2:15" hidden="1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A</v>
      </c>
      <c r="E48" s="2">
        <f>IF($I48="","",COUNTIFS(Tab_00.Trial[CONTA],$I48))</f>
        <v>1</v>
      </c>
      <c r="F48" s="4">
        <f>SUMIFS(Tab_03.Mar[SALDO
ATUAL],Tab_03.Mar[CONTA],$I48)</f>
        <v>253487.9</v>
      </c>
      <c r="G48" s="4">
        <f t="shared" si="2"/>
        <v>0</v>
      </c>
      <c r="H48" s="3">
        <v>11140</v>
      </c>
      <c r="I48" s="3" t="s">
        <v>300</v>
      </c>
      <c r="J48" s="3" t="s">
        <v>301</v>
      </c>
      <c r="K48" s="173">
        <v>253487.9</v>
      </c>
      <c r="L48" s="173">
        <v>557.45000000000005</v>
      </c>
      <c r="M48" s="1">
        <v>0</v>
      </c>
      <c r="N48" s="4">
        <v>254045.35</v>
      </c>
      <c r="O48" s="4">
        <f>Tab_04.Abr[[#This Row],[DÉBITO]]-Tab_04.Abr[[#This Row],[CRÉDITO]]</f>
        <v>557.45000000000005</v>
      </c>
    </row>
    <row r="49" spans="2:15" hidden="1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S</v>
      </c>
      <c r="E49" s="2">
        <f>IF($I49="","",COUNTIFS(Tab_00.Trial[CONTA],$I49))</f>
        <v>1</v>
      </c>
      <c r="F49" s="4">
        <f>SUMIFS(Tab_03.Mar[SALDO
ATUAL],Tab_03.Mar[CONTA],$I49)</f>
        <v>70397643.939999998</v>
      </c>
      <c r="G49" s="4">
        <f t="shared" si="2"/>
        <v>0</v>
      </c>
      <c r="H49" s="3">
        <v>11170</v>
      </c>
      <c r="I49" s="3" t="s">
        <v>554</v>
      </c>
      <c r="J49" s="3" t="s">
        <v>648</v>
      </c>
      <c r="K49" s="173">
        <v>70397643.939999998</v>
      </c>
      <c r="L49" s="173">
        <v>0</v>
      </c>
      <c r="M49" s="173">
        <v>114819.6</v>
      </c>
      <c r="N49" s="4">
        <v>70282824.340000004</v>
      </c>
      <c r="O49" s="4">
        <f>Tab_04.Abr[[#This Row],[DÉBITO]]-Tab_04.Abr[[#This Row],[CRÉDITO]]</f>
        <v>-114819.6</v>
      </c>
    </row>
    <row r="50" spans="2:15" hidden="1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S</v>
      </c>
      <c r="E50" s="2">
        <f>IF($I50="","",COUNTIFS(Tab_00.Trial[CONTA],$I50))</f>
        <v>1</v>
      </c>
      <c r="F50" s="4">
        <f>SUMIFS(Tab_03.Mar[SALDO
ATUAL],Tab_03.Mar[CONTA],$I50)</f>
        <v>45344232.229999997</v>
      </c>
      <c r="G50" s="4">
        <f t="shared" si="2"/>
        <v>0</v>
      </c>
      <c r="H50" s="3">
        <v>11185</v>
      </c>
      <c r="I50" s="3" t="s">
        <v>555</v>
      </c>
      <c r="J50" s="3" t="s">
        <v>649</v>
      </c>
      <c r="K50" s="173">
        <v>45344232.229999997</v>
      </c>
      <c r="L50" s="173">
        <v>0</v>
      </c>
      <c r="M50" s="1">
        <v>0</v>
      </c>
      <c r="N50" s="4">
        <v>45344232.229999997</v>
      </c>
      <c r="O50" s="4">
        <f>Tab_04.Abr[[#This Row],[DÉBITO]]-Tab_04.Abr[[#This Row],[CRÉDITO]]</f>
        <v>0</v>
      </c>
    </row>
    <row r="51" spans="2:15" hidden="1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A</v>
      </c>
      <c r="E51" s="2">
        <f>IF($I51="","",COUNTIFS(Tab_00.Trial[CONTA],$I51))</f>
        <v>1</v>
      </c>
      <c r="F51" s="4">
        <f>SUMIFS(Tab_03.Mar[SALDO
ATUAL],Tab_03.Mar[CONTA],$I51)</f>
        <v>42477392.43</v>
      </c>
      <c r="G51" s="4">
        <f t="shared" si="2"/>
        <v>0</v>
      </c>
      <c r="H51" s="3">
        <v>11205</v>
      </c>
      <c r="I51" s="3" t="s">
        <v>302</v>
      </c>
      <c r="J51" s="3" t="s">
        <v>303</v>
      </c>
      <c r="K51" s="173">
        <v>42477392.43</v>
      </c>
      <c r="L51" s="1">
        <v>0</v>
      </c>
      <c r="M51" s="1">
        <v>0</v>
      </c>
      <c r="N51" s="4">
        <v>42477392.43</v>
      </c>
      <c r="O51" s="4">
        <f>Tab_04.Abr[[#This Row],[DÉBITO]]-Tab_04.Abr[[#This Row],[CRÉDITO]]</f>
        <v>0</v>
      </c>
    </row>
    <row r="52" spans="2:15" hidden="1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A</v>
      </c>
      <c r="E52" s="2">
        <f>IF($I52="","",COUNTIFS(Tab_00.Trial[CONTA],$I52))</f>
        <v>1</v>
      </c>
      <c r="F52" s="4">
        <f>SUMIFS(Tab_03.Mar[SALDO
ATUAL],Tab_03.Mar[CONTA],$I52)</f>
        <v>2866839.8</v>
      </c>
      <c r="G52" s="4">
        <f t="shared" si="2"/>
        <v>0</v>
      </c>
      <c r="H52" s="3">
        <v>11210</v>
      </c>
      <c r="I52" s="3" t="s">
        <v>304</v>
      </c>
      <c r="J52" s="3" t="s">
        <v>305</v>
      </c>
      <c r="K52" s="173">
        <v>2866839.8</v>
      </c>
      <c r="L52" s="173">
        <v>0</v>
      </c>
      <c r="M52" s="1">
        <v>0</v>
      </c>
      <c r="N52" s="4">
        <v>2866839.8</v>
      </c>
      <c r="O52" s="4">
        <f>Tab_04.Abr[[#This Row],[DÉBITO]]-Tab_04.Abr[[#This Row],[CRÉDITO]]</f>
        <v>0</v>
      </c>
    </row>
    <row r="53" spans="2:15" hidden="1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S</v>
      </c>
      <c r="E53" s="2">
        <f>IF($I53="","",COUNTIFS(Tab_00.Trial[CONTA],$I53))</f>
        <v>1</v>
      </c>
      <c r="F53" s="4">
        <f>SUMIFS(Tab_03.Mar[SALDO
ATUAL],Tab_03.Mar[CONTA],$I53)</f>
        <v>4760.84</v>
      </c>
      <c r="G53" s="4">
        <f t="shared" si="2"/>
        <v>0</v>
      </c>
      <c r="H53" s="3">
        <v>11215</v>
      </c>
      <c r="I53" s="3" t="s">
        <v>556</v>
      </c>
      <c r="J53" s="3" t="s">
        <v>650</v>
      </c>
      <c r="K53" s="173">
        <v>4760.84</v>
      </c>
      <c r="L53" s="1">
        <v>0</v>
      </c>
      <c r="M53" s="1">
        <v>0</v>
      </c>
      <c r="N53" s="4">
        <v>4760.84</v>
      </c>
      <c r="O53" s="4">
        <f>Tab_04.Abr[[#This Row],[DÉBITO]]-Tab_04.Abr[[#This Row],[CRÉDITO]]</f>
        <v>0</v>
      </c>
    </row>
    <row r="54" spans="2:15" hidden="1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A</v>
      </c>
      <c r="E54" s="2">
        <f>IF($I54="","",COUNTIFS(Tab_00.Trial[CONTA],$I54))</f>
        <v>1</v>
      </c>
      <c r="F54" s="4">
        <f>SUMIFS(Tab_03.Mar[SALDO
ATUAL],Tab_03.Mar[CONTA],$I54)</f>
        <v>4760.84</v>
      </c>
      <c r="G54" s="4">
        <f t="shared" si="2"/>
        <v>0</v>
      </c>
      <c r="H54" s="3">
        <v>11230</v>
      </c>
      <c r="I54" s="3" t="s">
        <v>306</v>
      </c>
      <c r="J54" s="3" t="s">
        <v>307</v>
      </c>
      <c r="K54" s="173">
        <v>4760.84</v>
      </c>
      <c r="L54" s="1">
        <v>0</v>
      </c>
      <c r="M54" s="1">
        <v>0</v>
      </c>
      <c r="N54" s="4">
        <v>4760.84</v>
      </c>
      <c r="O54" s="4">
        <f>Tab_04.Abr[[#This Row],[DÉBITO]]-Tab_04.Abr[[#This Row],[CRÉDITO]]</f>
        <v>0</v>
      </c>
    </row>
    <row r="55" spans="2:15" hidden="1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S</v>
      </c>
      <c r="E55" s="2">
        <f>IF($I55="","",COUNTIFS(Tab_00.Trial[CONTA],$I55))</f>
        <v>1</v>
      </c>
      <c r="F55" s="4">
        <f>SUMIFS(Tab_03.Mar[SALDO
ATUAL],Tab_03.Mar[CONTA],$I55)</f>
        <v>25048650.870000001</v>
      </c>
      <c r="G55" s="4">
        <f t="shared" si="2"/>
        <v>0</v>
      </c>
      <c r="H55" s="3">
        <v>11235</v>
      </c>
      <c r="I55" s="3" t="s">
        <v>557</v>
      </c>
      <c r="J55" s="3" t="s">
        <v>309</v>
      </c>
      <c r="K55" s="173">
        <v>25048650.870000001</v>
      </c>
      <c r="L55" s="1">
        <v>0</v>
      </c>
      <c r="M55" s="1">
        <v>114819.6</v>
      </c>
      <c r="N55" s="4">
        <v>24933831.27</v>
      </c>
      <c r="O55" s="4">
        <f>Tab_04.Abr[[#This Row],[DÉBITO]]-Tab_04.Abr[[#This Row],[CRÉDITO]]</f>
        <v>-114819.6</v>
      </c>
    </row>
    <row r="56" spans="2:15" hidden="1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A</v>
      </c>
      <c r="E56" s="2">
        <f>IF($I56="","",COUNTIFS(Tab_00.Trial[CONTA],$I56))</f>
        <v>1</v>
      </c>
      <c r="F56" s="4">
        <f>SUMIFS(Tab_03.Mar[SALDO
ATUAL],Tab_03.Mar[CONTA],$I56)</f>
        <v>25048650.870000001</v>
      </c>
      <c r="G56" s="4">
        <f t="shared" si="2"/>
        <v>0</v>
      </c>
      <c r="H56" s="3">
        <v>11240</v>
      </c>
      <c r="I56" s="3" t="s">
        <v>308</v>
      </c>
      <c r="J56" s="3" t="s">
        <v>309</v>
      </c>
      <c r="K56" s="173">
        <v>25048650.870000001</v>
      </c>
      <c r="L56" s="1">
        <v>0</v>
      </c>
      <c r="M56" s="1">
        <v>114819.6</v>
      </c>
      <c r="N56" s="4">
        <v>24933831.27</v>
      </c>
      <c r="O56" s="4">
        <f>Tab_04.Abr[[#This Row],[DÉBITO]]-Tab_04.Abr[[#This Row],[CRÉDITO]]</f>
        <v>-114819.6</v>
      </c>
    </row>
    <row r="57" spans="2:15" hidden="1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S</v>
      </c>
      <c r="E57" s="2">
        <f>IF($I57="","",COUNTIFS(Tab_00.Trial[CONTA],$I57))</f>
        <v>1</v>
      </c>
      <c r="F57" s="4">
        <f>SUMIFS(Tab_03.Mar[SALDO
ATUAL],Tab_03.Mar[CONTA],$I57)</f>
        <v>2339989.5499999998</v>
      </c>
      <c r="G57" s="4">
        <f t="shared" si="2"/>
        <v>0</v>
      </c>
      <c r="H57" s="3">
        <v>11245</v>
      </c>
      <c r="I57" s="3" t="s">
        <v>213</v>
      </c>
      <c r="J57" s="3" t="s">
        <v>35</v>
      </c>
      <c r="K57" s="173">
        <v>2339989.5499999998</v>
      </c>
      <c r="L57" s="1">
        <v>20171.37</v>
      </c>
      <c r="M57" s="1">
        <v>3667.05</v>
      </c>
      <c r="N57" s="4">
        <v>2356493.87</v>
      </c>
      <c r="O57" s="4">
        <f>Tab_04.Abr[[#This Row],[DÉBITO]]-Tab_04.Abr[[#This Row],[CRÉDITO]]</f>
        <v>16504.32</v>
      </c>
    </row>
    <row r="58" spans="2:15" hidden="1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S</v>
      </c>
      <c r="E58" s="2">
        <f>IF($I58="","",COUNTIFS(Tab_00.Trial[CONTA],$I58))</f>
        <v>1</v>
      </c>
      <c r="F58" s="4">
        <f>SUMIFS(Tab_03.Mar[SALDO
ATUAL],Tab_03.Mar[CONTA],$I58)</f>
        <v>3506044.45</v>
      </c>
      <c r="G58" s="4">
        <f t="shared" si="2"/>
        <v>0</v>
      </c>
      <c r="H58" s="3">
        <v>11260</v>
      </c>
      <c r="I58" s="3" t="s">
        <v>214</v>
      </c>
      <c r="J58" s="3" t="s">
        <v>651</v>
      </c>
      <c r="K58" s="173">
        <v>3506044.45</v>
      </c>
      <c r="L58" s="1">
        <v>20171.37</v>
      </c>
      <c r="M58" s="1">
        <v>0</v>
      </c>
      <c r="N58" s="4">
        <v>3526215.82</v>
      </c>
      <c r="O58" s="4">
        <f>Tab_04.Abr[[#This Row],[DÉBITO]]-Tab_04.Abr[[#This Row],[CRÉDITO]]</f>
        <v>20171.37</v>
      </c>
    </row>
    <row r="59" spans="2:15" hidden="1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A</v>
      </c>
      <c r="E59" s="2">
        <f>IF($I59="","",COUNTIFS(Tab_00.Trial[CONTA],$I59))</f>
        <v>1</v>
      </c>
      <c r="F59" s="4">
        <f>SUMIFS(Tab_03.Mar[SALDO
ATUAL],Tab_03.Mar[CONTA],$I59)</f>
        <v>1379260.84</v>
      </c>
      <c r="G59" s="4">
        <f t="shared" si="2"/>
        <v>0</v>
      </c>
      <c r="H59" s="3">
        <v>11275</v>
      </c>
      <c r="I59" s="3" t="s">
        <v>310</v>
      </c>
      <c r="J59" s="3" t="s">
        <v>311</v>
      </c>
      <c r="K59" s="173">
        <v>1379260.84</v>
      </c>
      <c r="L59" s="1">
        <v>0</v>
      </c>
      <c r="M59" s="1">
        <v>0</v>
      </c>
      <c r="N59" s="4">
        <v>1379260.84</v>
      </c>
      <c r="O59" s="4">
        <f>Tab_04.Abr[[#This Row],[DÉBITO]]-Tab_04.Abr[[#This Row],[CRÉDITO]]</f>
        <v>0</v>
      </c>
    </row>
    <row r="60" spans="2:15" hidden="1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A</v>
      </c>
      <c r="E60" s="2">
        <f>IF($I60="","",COUNTIFS(Tab_00.Trial[CONTA],$I60))</f>
        <v>1</v>
      </c>
      <c r="F60" s="4">
        <f>SUMIFS(Tab_03.Mar[SALDO
ATUAL],Tab_03.Mar[CONTA],$I60)</f>
        <v>1252585.8700000001</v>
      </c>
      <c r="G60" s="4">
        <f t="shared" si="2"/>
        <v>0</v>
      </c>
      <c r="H60" s="3">
        <v>11290</v>
      </c>
      <c r="I60" s="3" t="s">
        <v>312</v>
      </c>
      <c r="J60" s="3" t="s">
        <v>313</v>
      </c>
      <c r="K60" s="173">
        <v>1252585.8700000001</v>
      </c>
      <c r="L60" s="1">
        <v>19219.09</v>
      </c>
      <c r="M60" s="173">
        <v>0</v>
      </c>
      <c r="N60" s="4">
        <v>1271804.96</v>
      </c>
      <c r="O60" s="4">
        <f>Tab_04.Abr[[#This Row],[DÉBITO]]-Tab_04.Abr[[#This Row],[CRÉDITO]]</f>
        <v>19219.09</v>
      </c>
    </row>
    <row r="61" spans="2:15" hidden="1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SUMIFS(Tab_03.Mar[SALDO
ATUAL],Tab_03.Mar[CONTA],$I61)</f>
        <v>23000</v>
      </c>
      <c r="G61" s="4">
        <f t="shared" si="2"/>
        <v>0</v>
      </c>
      <c r="H61" s="3">
        <v>11320</v>
      </c>
      <c r="I61" s="3" t="s">
        <v>181</v>
      </c>
      <c r="J61" s="3" t="s">
        <v>314</v>
      </c>
      <c r="K61" s="173">
        <v>23000</v>
      </c>
      <c r="L61" s="1">
        <v>0</v>
      </c>
      <c r="M61" s="173">
        <v>0</v>
      </c>
      <c r="N61" s="4">
        <v>23000</v>
      </c>
      <c r="O61" s="4">
        <f>Tab_04.Abr[[#This Row],[DÉBITO]]-Tab_04.Abr[[#This Row],[CRÉDITO]]</f>
        <v>0</v>
      </c>
    </row>
    <row r="62" spans="2:15" hidden="1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SUMIFS(Tab_03.Mar[SALDO
ATUAL],Tab_03.Mar[CONTA],$I62)</f>
        <v>12594</v>
      </c>
      <c r="G62" s="4">
        <f t="shared" si="2"/>
        <v>0</v>
      </c>
      <c r="H62" s="3">
        <v>11335</v>
      </c>
      <c r="I62" s="3" t="s">
        <v>182</v>
      </c>
      <c r="J62" s="3" t="s">
        <v>315</v>
      </c>
      <c r="K62" s="173">
        <v>12594</v>
      </c>
      <c r="L62" s="1">
        <v>0</v>
      </c>
      <c r="M62" s="1">
        <v>0</v>
      </c>
      <c r="N62" s="4">
        <v>12594</v>
      </c>
      <c r="O62" s="4">
        <f>Tab_04.Abr[[#This Row],[DÉBITO]]-Tab_04.Abr[[#This Row],[CRÉDITO]]</f>
        <v>0</v>
      </c>
    </row>
    <row r="63" spans="2:15" hidden="1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A</v>
      </c>
      <c r="E63" s="2">
        <f>IF($I63="","",COUNTIFS(Tab_00.Trial[CONTA],$I63))</f>
        <v>1</v>
      </c>
      <c r="F63" s="4">
        <f>SUMIFS(Tab_03.Mar[SALDO
ATUAL],Tab_03.Mar[CONTA],$I63)</f>
        <v>223690.57</v>
      </c>
      <c r="G63" s="4">
        <f t="shared" si="2"/>
        <v>0</v>
      </c>
      <c r="H63" s="3">
        <v>11350</v>
      </c>
      <c r="I63" s="3" t="s">
        <v>183</v>
      </c>
      <c r="J63" s="3" t="s">
        <v>316</v>
      </c>
      <c r="K63" s="173">
        <v>223690.57</v>
      </c>
      <c r="L63" s="1">
        <v>952.28</v>
      </c>
      <c r="M63" s="1">
        <v>0</v>
      </c>
      <c r="N63" s="4">
        <v>224642.85</v>
      </c>
      <c r="O63" s="4">
        <f>Tab_04.Abr[[#This Row],[DÉBITO]]-Tab_04.Abr[[#This Row],[CRÉDITO]]</f>
        <v>952.28</v>
      </c>
    </row>
    <row r="64" spans="2:15" hidden="1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A</v>
      </c>
      <c r="E64" s="2">
        <f>IF($I64="","",COUNTIFS(Tab_00.Trial[CONTA],$I64))</f>
        <v>1</v>
      </c>
      <c r="F64" s="4">
        <f>SUMIFS(Tab_03.Mar[SALDO
ATUAL],Tab_03.Mar[CONTA],$I64)</f>
        <v>7349.9</v>
      </c>
      <c r="G64" s="4">
        <f t="shared" si="2"/>
        <v>0</v>
      </c>
      <c r="H64" s="3">
        <v>11365</v>
      </c>
      <c r="I64" s="3" t="s">
        <v>317</v>
      </c>
      <c r="J64" s="3" t="s">
        <v>318</v>
      </c>
      <c r="K64" s="173">
        <v>7349.9</v>
      </c>
      <c r="L64" s="1">
        <v>0</v>
      </c>
      <c r="M64" s="173">
        <v>0</v>
      </c>
      <c r="N64" s="4">
        <v>7349.9</v>
      </c>
      <c r="O64" s="4">
        <f>Tab_04.Abr[[#This Row],[DÉBITO]]-Tab_04.Abr[[#This Row],[CRÉDITO]]</f>
        <v>0</v>
      </c>
    </row>
    <row r="65" spans="2:16" hidden="1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SUMIFS(Tab_03.Mar[SALDO
ATUAL],Tab_03.Mar[CONTA],$I65)</f>
        <v>128697.03</v>
      </c>
      <c r="G65" s="4">
        <f t="shared" si="2"/>
        <v>0</v>
      </c>
      <c r="H65" s="3">
        <v>11380</v>
      </c>
      <c r="I65" s="3" t="s">
        <v>184</v>
      </c>
      <c r="J65" s="3" t="s">
        <v>319</v>
      </c>
      <c r="K65" s="173">
        <v>128697.03</v>
      </c>
      <c r="L65" s="1">
        <v>0</v>
      </c>
      <c r="M65" s="1">
        <v>0</v>
      </c>
      <c r="N65" s="4">
        <v>128697.03</v>
      </c>
      <c r="O65" s="4">
        <f>Tab_04.Abr[[#This Row],[DÉBITO]]-Tab_04.Abr[[#This Row],[CRÉDITO]]</f>
        <v>0</v>
      </c>
    </row>
    <row r="66" spans="2:16" hidden="1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A</v>
      </c>
      <c r="E66" s="2">
        <f>IF($I66="","",COUNTIFS(Tab_00.Trial[CONTA],$I66))</f>
        <v>1</v>
      </c>
      <c r="F66" s="4">
        <f>SUMIFS(Tab_03.Mar[SALDO
ATUAL],Tab_03.Mar[CONTA],$I66)</f>
        <v>15029.74</v>
      </c>
      <c r="G66" s="4">
        <f t="shared" si="2"/>
        <v>0</v>
      </c>
      <c r="H66" s="3">
        <v>11410</v>
      </c>
      <c r="I66" s="3" t="s">
        <v>185</v>
      </c>
      <c r="J66" s="3" t="s">
        <v>320</v>
      </c>
      <c r="K66" s="173">
        <v>15029.74</v>
      </c>
      <c r="L66" s="1">
        <v>0</v>
      </c>
      <c r="M66" s="173">
        <v>0</v>
      </c>
      <c r="N66" s="4">
        <v>15029.74</v>
      </c>
      <c r="O66" s="4">
        <f>Tab_04.Abr[[#This Row],[DÉBITO]]-Tab_04.Abr[[#This Row],[CRÉDITO]]</f>
        <v>0</v>
      </c>
    </row>
    <row r="67" spans="2:16" hidden="1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SUMIFS(Tab_03.Mar[SALDO
ATUAL],Tab_03.Mar[CONTA],$I67)</f>
        <v>463836.5</v>
      </c>
      <c r="G67" s="4">
        <f t="shared" si="2"/>
        <v>0</v>
      </c>
      <c r="H67" s="3">
        <v>11415</v>
      </c>
      <c r="I67" s="3" t="s">
        <v>321</v>
      </c>
      <c r="J67" s="3" t="s">
        <v>322</v>
      </c>
      <c r="K67" s="173">
        <v>463836.5</v>
      </c>
      <c r="L67" s="1">
        <v>0</v>
      </c>
      <c r="M67" s="1">
        <v>0</v>
      </c>
      <c r="N67" s="4">
        <v>463836.5</v>
      </c>
      <c r="O67" s="4">
        <f>Tab_04.Abr[[#This Row],[DÉBITO]]-Tab_04.Abr[[#This Row],[CRÉDITO]]</f>
        <v>0</v>
      </c>
    </row>
    <row r="68" spans="2:16" hidden="1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S</v>
      </c>
      <c r="E68" s="2">
        <f>IF($I68="","",COUNTIFS(Tab_00.Trial[CONTA],$I68))</f>
        <v>1</v>
      </c>
      <c r="F68" s="4">
        <f>SUMIFS(Tab_03.Mar[SALDO
ATUAL],Tab_03.Mar[CONTA],$I68)</f>
        <v>-1166054.8999999999</v>
      </c>
      <c r="G68" s="4">
        <f t="shared" si="2"/>
        <v>0</v>
      </c>
      <c r="H68" s="3">
        <v>11425</v>
      </c>
      <c r="I68" s="3" t="s">
        <v>215</v>
      </c>
      <c r="J68" s="3" t="s">
        <v>652</v>
      </c>
      <c r="K68" s="173">
        <v>-1166054.8999999999</v>
      </c>
      <c r="L68" s="1">
        <v>0</v>
      </c>
      <c r="M68" s="1">
        <v>3667.05</v>
      </c>
      <c r="N68" s="4">
        <v>-1169721.95</v>
      </c>
      <c r="O68" s="4">
        <f>Tab_04.Abr[[#This Row],[DÉBITO]]-Tab_04.Abr[[#This Row],[CRÉDITO]]</f>
        <v>-3667.05</v>
      </c>
    </row>
    <row r="69" spans="2:16" hidden="1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SUMIFS(Tab_03.Mar[SALDO
ATUAL],Tab_03.Mar[CONTA],$I69)</f>
        <v>-655872.82999999996</v>
      </c>
      <c r="G69" s="4">
        <f t="shared" si="2"/>
        <v>0</v>
      </c>
      <c r="H69" s="3">
        <v>11440</v>
      </c>
      <c r="I69" s="3" t="s">
        <v>186</v>
      </c>
      <c r="J69" s="3" t="s">
        <v>313</v>
      </c>
      <c r="K69" s="173">
        <v>-655872.82999999996</v>
      </c>
      <c r="L69" s="173">
        <v>0</v>
      </c>
      <c r="M69" s="173">
        <v>2997.93</v>
      </c>
      <c r="N69" s="4">
        <v>-658870.76</v>
      </c>
      <c r="O69" s="4">
        <f>Tab_04.Abr[[#This Row],[DÉBITO]]-Tab_04.Abr[[#This Row],[CRÉDITO]]</f>
        <v>-2997.93</v>
      </c>
    </row>
    <row r="70" spans="2:16" hidden="1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SUMIFS(Tab_03.Mar[SALDO
ATUAL],Tab_03.Mar[CONTA],$I70)</f>
        <v>-17441.939999999999</v>
      </c>
      <c r="G70" s="4">
        <f t="shared" si="2"/>
        <v>0</v>
      </c>
      <c r="H70" s="3">
        <v>11470</v>
      </c>
      <c r="I70" s="3" t="s">
        <v>187</v>
      </c>
      <c r="J70" s="3" t="s">
        <v>314</v>
      </c>
      <c r="K70" s="173">
        <v>-17441.939999999999</v>
      </c>
      <c r="L70" s="173">
        <v>0</v>
      </c>
      <c r="M70" s="173">
        <v>191.67</v>
      </c>
      <c r="N70" s="4">
        <v>-17633.61</v>
      </c>
      <c r="O70" s="4">
        <f>Tab_04.Abr[[#This Row],[DÉBITO]]-Tab_04.Abr[[#This Row],[CRÉDITO]]</f>
        <v>-191.67</v>
      </c>
    </row>
    <row r="71" spans="2:16" hidden="1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SUMIFS(Tab_03.Mar[SALDO
ATUAL],Tab_03.Mar[CONTA],$I71)</f>
        <v>-6368.96</v>
      </c>
      <c r="G71" s="4">
        <f t="shared" si="2"/>
        <v>0</v>
      </c>
      <c r="H71" s="3">
        <v>11485</v>
      </c>
      <c r="I71" s="3" t="s">
        <v>188</v>
      </c>
      <c r="J71" s="3" t="s">
        <v>315</v>
      </c>
      <c r="K71" s="173">
        <v>-6368.96</v>
      </c>
      <c r="L71" s="173">
        <v>0</v>
      </c>
      <c r="M71" s="173">
        <v>104.95</v>
      </c>
      <c r="N71" s="4">
        <v>-6473.91</v>
      </c>
      <c r="O71" s="4">
        <f>Tab_04.Abr[[#This Row],[DÉBITO]]-Tab_04.Abr[[#This Row],[CRÉDITO]]</f>
        <v>-104.95</v>
      </c>
    </row>
    <row r="72" spans="2:16" hidden="1" x14ac:dyDescent="0.3">
      <c r="B72" s="2" t="str">
        <f>_xlfn.XLOOKUP($I72,Tab_00.Trial[CONTA],Tab_00.Trial[TP],"",0,1)</f>
        <v>A</v>
      </c>
      <c r="C72" s="2">
        <f>_xlfn.XLOOKUP($I72,Tab_00.Trial[CONTA],Tab_00.Trial[NV],"",0,1)</f>
        <v>5</v>
      </c>
      <c r="D72" s="2" t="str">
        <f>_xlfn.XLOOKUP($I72,Tab_00.Trial[CONTA],Tab_00.Trial[S/A],"",0,1)</f>
        <v>A</v>
      </c>
      <c r="E72" s="2">
        <f>IF($I72="","",COUNTIFS(Tab_00.Trial[CONTA],$I72))</f>
        <v>1</v>
      </c>
      <c r="F72" s="4">
        <f>SUMIFS(Tab_03.Mar[SALDO
ATUAL],Tab_03.Mar[CONTA],$I72)</f>
        <v>-224642.85</v>
      </c>
      <c r="G72" s="4">
        <f t="shared" si="2"/>
        <v>0</v>
      </c>
      <c r="H72" s="3">
        <v>11500</v>
      </c>
      <c r="I72" s="3" t="s">
        <v>189</v>
      </c>
      <c r="J72" s="3" t="s">
        <v>316</v>
      </c>
      <c r="K72" s="1">
        <v>-224642.85</v>
      </c>
      <c r="L72" s="173">
        <v>0</v>
      </c>
      <c r="M72" s="173">
        <v>0</v>
      </c>
      <c r="N72" s="4">
        <v>-224642.85</v>
      </c>
      <c r="O72" s="4">
        <f>Tab_04.Abr[[#This Row],[DÉBITO]]-Tab_04.Abr[[#This Row],[CRÉDITO]]</f>
        <v>0</v>
      </c>
    </row>
    <row r="73" spans="2:16" hidden="1" x14ac:dyDescent="0.3">
      <c r="B73" s="2" t="str">
        <f>_xlfn.XLOOKUP($I73,Tab_00.Trial[CONTA],Tab_00.Trial[TP],"",0,1)</f>
        <v>A</v>
      </c>
      <c r="C73" s="2">
        <f>_xlfn.XLOOKUP($I73,Tab_00.Trial[CONTA],Tab_00.Trial[NV],"",0,1)</f>
        <v>5</v>
      </c>
      <c r="D73" s="2" t="str">
        <f>_xlfn.XLOOKUP($I73,Tab_00.Trial[CONTA],Tab_00.Trial[S/A],"",0,1)</f>
        <v>A</v>
      </c>
      <c r="E73" s="2">
        <f>IF($I73="","",COUNTIFS(Tab_00.Trial[CONTA],$I73))</f>
        <v>1</v>
      </c>
      <c r="F73" s="4">
        <f>SUMIFS(Tab_03.Mar[SALDO
ATUAL],Tab_03.Mar[CONTA],$I73)</f>
        <v>-3819.84</v>
      </c>
      <c r="G73" s="4">
        <f t="shared" si="2"/>
        <v>0</v>
      </c>
      <c r="H73" s="3">
        <v>11515</v>
      </c>
      <c r="I73" s="3" t="s">
        <v>190</v>
      </c>
      <c r="J73" s="3" t="s">
        <v>318</v>
      </c>
      <c r="K73" s="1">
        <v>-3819.84</v>
      </c>
      <c r="L73" s="173">
        <v>0</v>
      </c>
      <c r="M73" s="173">
        <v>122.5</v>
      </c>
      <c r="N73" s="4">
        <v>-3942.34</v>
      </c>
      <c r="O73" s="4">
        <f>Tab_04.Abr[[#This Row],[DÉBITO]]-Tab_04.Abr[[#This Row],[CRÉDITO]]</f>
        <v>-122.5</v>
      </c>
    </row>
    <row r="74" spans="2:16" hidden="1" x14ac:dyDescent="0.3">
      <c r="B74" s="2" t="str">
        <f>_xlfn.XLOOKUP($I74,Tab_00.Trial[CONTA],Tab_00.Trial[TP],"",0,1)</f>
        <v>A</v>
      </c>
      <c r="C74" s="2">
        <f>_xlfn.XLOOKUP($I74,Tab_00.Trial[CONTA],Tab_00.Trial[NV],"",0,1)</f>
        <v>5</v>
      </c>
      <c r="D74" s="2" t="str">
        <f>_xlfn.XLOOKUP($I74,Tab_00.Trial[CONTA],Tab_00.Trial[S/A],"",0,1)</f>
        <v>A</v>
      </c>
      <c r="E74" s="2">
        <f>IF($I74="","",COUNTIFS(Tab_00.Trial[CONTA],$I74))</f>
        <v>1</v>
      </c>
      <c r="F74" s="4">
        <f>SUMIFS(Tab_03.Mar[SALDO
ATUAL],Tab_03.Mar[CONTA],$I74)</f>
        <v>-128697.03</v>
      </c>
      <c r="G74" s="4">
        <f t="shared" si="2"/>
        <v>0</v>
      </c>
      <c r="H74" s="3">
        <v>11530</v>
      </c>
      <c r="I74" s="3" t="s">
        <v>323</v>
      </c>
      <c r="J74" s="3" t="s">
        <v>319</v>
      </c>
      <c r="K74" s="1">
        <v>-128697.03</v>
      </c>
      <c r="L74" s="173">
        <v>0</v>
      </c>
      <c r="M74" s="173">
        <v>0</v>
      </c>
      <c r="N74" s="4">
        <v>-128697.03</v>
      </c>
      <c r="O74" s="4">
        <f>Tab_04.Abr[[#This Row],[DÉBITO]]-Tab_04.Abr[[#This Row],[CRÉDITO]]</f>
        <v>0</v>
      </c>
    </row>
    <row r="75" spans="2:16" hidden="1" x14ac:dyDescent="0.3">
      <c r="B75" s="2" t="str">
        <f>_xlfn.XLOOKUP($I75,Tab_00.Trial[CONTA],Tab_00.Trial[TP],"",0,1)</f>
        <v>A</v>
      </c>
      <c r="C75" s="2">
        <f>_xlfn.XLOOKUP($I75,Tab_00.Trial[CONTA],Tab_00.Trial[NV],"",0,1)</f>
        <v>5</v>
      </c>
      <c r="D75" s="2" t="str">
        <f>_xlfn.XLOOKUP($I75,Tab_00.Trial[CONTA],Tab_00.Trial[S/A],"",0,1)</f>
        <v>A</v>
      </c>
      <c r="E75" s="2">
        <f>IF($I75="","",COUNTIFS(Tab_00.Trial[CONTA],$I75))</f>
        <v>1</v>
      </c>
      <c r="F75" s="4">
        <f>SUMIFS(Tab_03.Mar[SALDO
ATUAL],Tab_03.Mar[CONTA],$I75)</f>
        <v>-15029.74</v>
      </c>
      <c r="G75" s="4">
        <f t="shared" si="2"/>
        <v>0</v>
      </c>
      <c r="H75" s="3">
        <v>11560</v>
      </c>
      <c r="I75" s="3" t="s">
        <v>324</v>
      </c>
      <c r="J75" s="3" t="s">
        <v>320</v>
      </c>
      <c r="K75" s="173">
        <v>-15029.74</v>
      </c>
      <c r="L75" s="1">
        <v>0</v>
      </c>
      <c r="M75" s="173">
        <v>0</v>
      </c>
      <c r="N75" s="4">
        <v>-15029.74</v>
      </c>
      <c r="O75" s="4">
        <f>Tab_04.Abr[[#This Row],[DÉBITO]]-Tab_04.Abr[[#This Row],[CRÉDITO]]</f>
        <v>0</v>
      </c>
    </row>
    <row r="76" spans="2:16" hidden="1" x14ac:dyDescent="0.3">
      <c r="B76" s="2" t="str">
        <f>_xlfn.XLOOKUP($I76,Tab_00.Trial[CONTA],Tab_00.Trial[TP],"",0,1)</f>
        <v>A</v>
      </c>
      <c r="C76" s="2">
        <f>_xlfn.XLOOKUP($I76,Tab_00.Trial[CONTA],Tab_00.Trial[NV],"",0,1)</f>
        <v>5</v>
      </c>
      <c r="D76" s="2" t="str">
        <f>_xlfn.XLOOKUP($I76,Tab_00.Trial[CONTA],Tab_00.Trial[S/A],"",0,1)</f>
        <v>A</v>
      </c>
      <c r="E76" s="2">
        <f>IF($I76="","",COUNTIFS(Tab_00.Trial[CONTA],$I76))</f>
        <v>1</v>
      </c>
      <c r="F76" s="4">
        <f>SUMIFS(Tab_03.Mar[SALDO
ATUAL],Tab_03.Mar[CONTA],$I76)</f>
        <v>-114181.71</v>
      </c>
      <c r="G76" s="4">
        <f t="shared" si="2"/>
        <v>0</v>
      </c>
      <c r="H76" s="3">
        <v>11565</v>
      </c>
      <c r="I76" s="3" t="s">
        <v>325</v>
      </c>
      <c r="J76" s="3" t="s">
        <v>322</v>
      </c>
      <c r="K76" s="173">
        <v>-114181.71</v>
      </c>
      <c r="L76" s="1">
        <v>0</v>
      </c>
      <c r="M76" s="173">
        <v>250</v>
      </c>
      <c r="N76" s="4">
        <v>-114431.71</v>
      </c>
      <c r="O76" s="4">
        <f>Tab_04.Abr[[#This Row],[DÉBITO]]-Tab_04.Abr[[#This Row],[CRÉDITO]]</f>
        <v>-250</v>
      </c>
    </row>
    <row r="77" spans="2:16" hidden="1" x14ac:dyDescent="0.3">
      <c r="B77" s="2" t="str">
        <f>_xlfn.XLOOKUP($I77,Tab_00.Trial[CONTA],Tab_00.Trial[TP],"",0,1)</f>
        <v>P</v>
      </c>
      <c r="C77" s="2">
        <f>_xlfn.XLOOKUP($I77,Tab_00.Trial[CONTA],Tab_00.Trial[NV],"",0,1)</f>
        <v>1</v>
      </c>
      <c r="D77" s="2" t="str">
        <f>_xlfn.XLOOKUP($I77,Tab_00.Trial[CONTA],Tab_00.Trial[S/A],"",0,1)</f>
        <v>S</v>
      </c>
      <c r="E77" s="2">
        <f>IF($I77="","",COUNTIFS(Tab_00.Trial[CONTA],$I77))</f>
        <v>1</v>
      </c>
      <c r="F77" s="4">
        <f>SUMIFS(Tab_03.Mar[SALDO
ATUAL],Tab_03.Mar[CONTA],$I77)</f>
        <v>-83339117.469999999</v>
      </c>
      <c r="G77" s="4">
        <f t="shared" si="2"/>
        <v>0</v>
      </c>
      <c r="H77" s="3">
        <v>20000</v>
      </c>
      <c r="I77" s="3">
        <v>2</v>
      </c>
      <c r="J77" s="3" t="s">
        <v>653</v>
      </c>
      <c r="K77" s="173">
        <v>-83339117.469999999</v>
      </c>
      <c r="L77" s="1">
        <v>684014.48</v>
      </c>
      <c r="M77" s="173">
        <v>1031211.62</v>
      </c>
      <c r="N77" s="4">
        <v>-83686314.609999999</v>
      </c>
      <c r="O77" s="4">
        <f>Tab_04.Abr[[#This Row],[DÉBITO]]-Tab_04.Abr[[#This Row],[CRÉDITO]]</f>
        <v>-347197.14</v>
      </c>
    </row>
    <row r="78" spans="2:16" hidden="1" x14ac:dyDescent="0.3">
      <c r="B78" s="2" t="str">
        <f>_xlfn.XLOOKUP($I78,Tab_00.Trial[CONTA],Tab_00.Trial[TP],"",0,1)</f>
        <v>P</v>
      </c>
      <c r="C78" s="2">
        <f>_xlfn.XLOOKUP($I78,Tab_00.Trial[CONTA],Tab_00.Trial[NV],"",0,1)</f>
        <v>2</v>
      </c>
      <c r="D78" s="2" t="str">
        <f>_xlfn.XLOOKUP($I78,Tab_00.Trial[CONTA],Tab_00.Trial[S/A],"",0,1)</f>
        <v>S</v>
      </c>
      <c r="E78" s="2">
        <f>IF($I78="","",COUNTIFS(Tab_00.Trial[CONTA],$I78))</f>
        <v>1</v>
      </c>
      <c r="F78" s="4">
        <f>SUMIFS(Tab_03.Mar[SALDO
ATUAL],Tab_03.Mar[CONTA],$I78)</f>
        <v>-1204215.7</v>
      </c>
      <c r="G78" s="4">
        <f t="shared" si="2"/>
        <v>0</v>
      </c>
      <c r="H78" s="3">
        <v>20015</v>
      </c>
      <c r="I78" s="3" t="s">
        <v>216</v>
      </c>
      <c r="J78" s="3" t="s">
        <v>31</v>
      </c>
      <c r="K78" s="173">
        <v>-1204215.7</v>
      </c>
      <c r="L78" s="1">
        <v>684014.48</v>
      </c>
      <c r="M78" s="173">
        <v>1031211.62</v>
      </c>
      <c r="N78" s="4">
        <v>-1551412.84</v>
      </c>
      <c r="O78" s="4">
        <f>Tab_04.Abr[[#This Row],[DÉBITO]]-Tab_04.Abr[[#This Row],[CRÉDITO]]</f>
        <v>-347197.14</v>
      </c>
    </row>
    <row r="79" spans="2:16" hidden="1" x14ac:dyDescent="0.3">
      <c r="B79" s="2" t="str">
        <f>_xlfn.XLOOKUP($I79,Tab_00.Trial[CONTA],Tab_00.Trial[TP],"",0,1)</f>
        <v>P</v>
      </c>
      <c r="C79" s="2">
        <f>_xlfn.XLOOKUP($I79,Tab_00.Trial[CONTA],Tab_00.Trial[NV],"",0,1)</f>
        <v>5</v>
      </c>
      <c r="D79" s="2" t="str">
        <f>_xlfn.XLOOKUP($I79,Tab_00.Trial[CONTA],Tab_00.Trial[S/A],"",0,1)</f>
        <v>S</v>
      </c>
      <c r="E79" s="2">
        <f>IF($I79="","",COUNTIFS(Tab_00.Trial[CONTA],$I79))</f>
        <v>1</v>
      </c>
      <c r="F79" s="4">
        <f>SUMIFS(Tab_03.Mar[SALDO
ATUAL],Tab_03.Mar[CONTA],$I79)</f>
        <v>-293923.14</v>
      </c>
      <c r="G79" s="4">
        <f t="shared" si="2"/>
        <v>0</v>
      </c>
      <c r="H79" s="3">
        <v>20030</v>
      </c>
      <c r="I79" s="3" t="s">
        <v>558</v>
      </c>
      <c r="J79" s="3" t="s">
        <v>654</v>
      </c>
      <c r="K79" s="173">
        <v>-293923.14</v>
      </c>
      <c r="L79" s="173">
        <v>151103.31</v>
      </c>
      <c r="M79" s="173">
        <v>170497.07</v>
      </c>
      <c r="N79" s="4">
        <v>-313316.90000000002</v>
      </c>
      <c r="O79" s="4">
        <f>Tab_04.Abr[[#This Row],[DÉBITO]]-Tab_04.Abr[[#This Row],[CRÉDITO]]</f>
        <v>-19393.759999999998</v>
      </c>
      <c r="P79" s="1" t="s">
        <v>239</v>
      </c>
    </row>
    <row r="80" spans="2:16" hidden="1" x14ac:dyDescent="0.3">
      <c r="B80" s="2" t="str">
        <f>_xlfn.XLOOKUP($I80,Tab_00.Trial[CONTA],Tab_00.Trial[TP],"",0,1)</f>
        <v>P</v>
      </c>
      <c r="C80" s="2">
        <f>_xlfn.XLOOKUP($I80,Tab_00.Trial[CONTA],Tab_00.Trial[NV],"",0,1)</f>
        <v>5</v>
      </c>
      <c r="D80" s="2" t="str">
        <f>_xlfn.XLOOKUP($I80,Tab_00.Trial[CONTA],Tab_00.Trial[S/A],"",0,1)</f>
        <v>S</v>
      </c>
      <c r="E80" s="2">
        <f>IF($I80="","",COUNTIFS(Tab_00.Trial[CONTA],$I80))</f>
        <v>1</v>
      </c>
      <c r="F80" s="4">
        <f>SUMIFS(Tab_03.Mar[SALDO
ATUAL],Tab_03.Mar[CONTA],$I80)</f>
        <v>0</v>
      </c>
      <c r="G80" s="4">
        <f t="shared" si="2"/>
        <v>0</v>
      </c>
      <c r="H80" s="3">
        <v>20045</v>
      </c>
      <c r="I80" s="3" t="s">
        <v>559</v>
      </c>
      <c r="J80" s="3" t="s">
        <v>655</v>
      </c>
      <c r="K80" s="173">
        <v>0</v>
      </c>
      <c r="L80" s="173">
        <v>82875.78</v>
      </c>
      <c r="M80" s="173">
        <v>82875.78</v>
      </c>
      <c r="N80" s="4">
        <v>0</v>
      </c>
      <c r="O80" s="4">
        <f>Tab_04.Abr[[#This Row],[DÉBITO]]-Tab_04.Abr[[#This Row],[CRÉDITO]]</f>
        <v>0</v>
      </c>
    </row>
    <row r="81" spans="2:16" hidden="1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A</v>
      </c>
      <c r="E81" s="2">
        <f>IF($I81="","",COUNTIFS(Tab_00.Trial[CONTA],$I81))</f>
        <v>1</v>
      </c>
      <c r="F81" s="4">
        <f>SUMIFS(Tab_03.Mar[SALDO
ATUAL],Tab_03.Mar[CONTA],$I81)</f>
        <v>0</v>
      </c>
      <c r="G81" s="4">
        <f t="shared" si="2"/>
        <v>0</v>
      </c>
      <c r="H81" s="3">
        <v>20060</v>
      </c>
      <c r="I81" s="3" t="s">
        <v>326</v>
      </c>
      <c r="J81" s="3" t="s">
        <v>327</v>
      </c>
      <c r="K81" s="1">
        <v>0</v>
      </c>
      <c r="L81" s="1">
        <v>81686.649999999994</v>
      </c>
      <c r="M81" s="173">
        <v>81686.649999999994</v>
      </c>
      <c r="N81" s="4">
        <v>0</v>
      </c>
      <c r="O81" s="4">
        <f>Tab_04.Abr[[#This Row],[DÉBITO]]-Tab_04.Abr[[#This Row],[CRÉDITO]]</f>
        <v>0</v>
      </c>
    </row>
    <row r="82" spans="2:16" hidden="1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A</v>
      </c>
      <c r="E82" s="2">
        <f>IF($I82="","",COUNTIFS(Tab_00.Trial[CONTA],$I82))</f>
        <v>1</v>
      </c>
      <c r="F82" s="4">
        <f>SUMIFS(Tab_03.Mar[SALDO
ATUAL],Tab_03.Mar[CONTA],$I82)</f>
        <v>0</v>
      </c>
      <c r="G82" s="4">
        <f t="shared" ref="G82:G145" si="3">$F82-$K82</f>
        <v>0</v>
      </c>
      <c r="H82" s="3">
        <v>20105</v>
      </c>
      <c r="I82" s="3" t="s">
        <v>330</v>
      </c>
      <c r="J82" s="3" t="s">
        <v>331</v>
      </c>
      <c r="K82" s="173">
        <v>0</v>
      </c>
      <c r="L82" s="173">
        <v>1189.1300000000001</v>
      </c>
      <c r="M82" s="173">
        <v>1189.1300000000001</v>
      </c>
      <c r="N82" s="4">
        <v>0</v>
      </c>
      <c r="O82" s="4">
        <f>Tab_04.Abr[[#This Row],[DÉBITO]]-Tab_04.Abr[[#This Row],[CRÉDITO]]</f>
        <v>0</v>
      </c>
    </row>
    <row r="83" spans="2:16" hidden="1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S</v>
      </c>
      <c r="E83" s="2">
        <f>IF($I83="","",COUNTIFS(Tab_00.Trial[CONTA],$I83))</f>
        <v>1</v>
      </c>
      <c r="F83" s="4">
        <f>SUMIFS(Tab_03.Mar[SALDO
ATUAL],Tab_03.Mar[CONTA],$I83)</f>
        <v>-33746.449999999997</v>
      </c>
      <c r="G83" s="4">
        <f t="shared" si="3"/>
        <v>0</v>
      </c>
      <c r="H83" s="3">
        <v>20120</v>
      </c>
      <c r="I83" s="3" t="s">
        <v>560</v>
      </c>
      <c r="J83" s="3" t="s">
        <v>656</v>
      </c>
      <c r="K83" s="173">
        <v>-33746.449999999997</v>
      </c>
      <c r="L83" s="173">
        <v>0</v>
      </c>
      <c r="M83" s="173">
        <v>11248.74</v>
      </c>
      <c r="N83" s="4">
        <v>-44995.19</v>
      </c>
      <c r="O83" s="4">
        <f>Tab_04.Abr[[#This Row],[DÉBITO]]-Tab_04.Abr[[#This Row],[CRÉDITO]]</f>
        <v>-11248.74</v>
      </c>
    </row>
    <row r="84" spans="2:16" hidden="1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A</v>
      </c>
      <c r="E84" s="2">
        <f>IF($I84="","",COUNTIFS(Tab_00.Trial[CONTA],$I84))</f>
        <v>1</v>
      </c>
      <c r="F84" s="4">
        <f>SUMIFS(Tab_03.Mar[SALDO
ATUAL],Tab_03.Mar[CONTA],$I84)</f>
        <v>-24850.13</v>
      </c>
      <c r="G84" s="4">
        <f t="shared" si="3"/>
        <v>0</v>
      </c>
      <c r="H84" s="3">
        <v>20135</v>
      </c>
      <c r="I84" s="3" t="s">
        <v>332</v>
      </c>
      <c r="J84" s="3" t="s">
        <v>333</v>
      </c>
      <c r="K84" s="173">
        <v>-24850.13</v>
      </c>
      <c r="L84" s="173">
        <v>0</v>
      </c>
      <c r="M84" s="173">
        <v>8283.33</v>
      </c>
      <c r="N84" s="4">
        <v>-33133.46</v>
      </c>
      <c r="O84" s="4">
        <f>Tab_04.Abr[[#This Row],[DÉBITO]]-Tab_04.Abr[[#This Row],[CRÉDITO]]</f>
        <v>-8283.33</v>
      </c>
      <c r="P84" s="1" t="s">
        <v>239</v>
      </c>
    </row>
    <row r="85" spans="2:16" hidden="1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A</v>
      </c>
      <c r="E85" s="2">
        <f>IF($I85="","",COUNTIFS(Tab_00.Trial[CONTA],$I85))</f>
        <v>1</v>
      </c>
      <c r="F85" s="4">
        <f>SUMIFS(Tab_03.Mar[SALDO
ATUAL],Tab_03.Mar[CONTA],$I85)</f>
        <v>-1987.97</v>
      </c>
      <c r="G85" s="4">
        <f t="shared" si="3"/>
        <v>0</v>
      </c>
      <c r="H85" s="3">
        <v>20150</v>
      </c>
      <c r="I85" s="3" t="s">
        <v>778</v>
      </c>
      <c r="J85" s="3" t="s">
        <v>779</v>
      </c>
      <c r="K85" s="173">
        <v>-1987.97</v>
      </c>
      <c r="L85" s="173">
        <v>0</v>
      </c>
      <c r="M85" s="173">
        <v>662.65</v>
      </c>
      <c r="N85" s="4">
        <v>-2650.62</v>
      </c>
      <c r="O85" s="4">
        <f>Tab_04.Abr[[#This Row],[DÉBITO]]-Tab_04.Abr[[#This Row],[CRÉDITO]]</f>
        <v>-662.65</v>
      </c>
    </row>
    <row r="86" spans="2:16" hidden="1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A</v>
      </c>
      <c r="E86" s="2">
        <f>IF($I86="","",COUNTIFS(Tab_00.Trial[CONTA],$I86))</f>
        <v>1</v>
      </c>
      <c r="F86" s="4">
        <f>SUMIFS(Tab_03.Mar[SALDO
ATUAL],Tab_03.Mar[CONTA],$I86)</f>
        <v>-248.5</v>
      </c>
      <c r="G86" s="4">
        <f t="shared" si="3"/>
        <v>0</v>
      </c>
      <c r="H86" s="3">
        <v>20165</v>
      </c>
      <c r="I86" s="3" t="s">
        <v>780</v>
      </c>
      <c r="J86" s="3" t="s">
        <v>781</v>
      </c>
      <c r="K86" s="173">
        <v>-248.5</v>
      </c>
      <c r="L86" s="173">
        <v>0</v>
      </c>
      <c r="M86" s="173">
        <v>82.84</v>
      </c>
      <c r="N86" s="4">
        <v>-331.34</v>
      </c>
      <c r="O86" s="4">
        <f>Tab_04.Abr[[#This Row],[DÉBITO]]-Tab_04.Abr[[#This Row],[CRÉDITO]]</f>
        <v>-82.84</v>
      </c>
    </row>
    <row r="87" spans="2:16" hidden="1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A</v>
      </c>
      <c r="E87" s="2">
        <f>IF($I87="","",COUNTIFS(Tab_00.Trial[CONTA],$I87))</f>
        <v>1</v>
      </c>
      <c r="F87" s="4">
        <f>SUMIFS(Tab_03.Mar[SALDO
ATUAL],Tab_03.Mar[CONTA],$I87)</f>
        <v>-6659.85</v>
      </c>
      <c r="G87" s="4">
        <f t="shared" si="3"/>
        <v>0</v>
      </c>
      <c r="H87" s="3">
        <v>10097</v>
      </c>
      <c r="I87" s="3" t="s">
        <v>782</v>
      </c>
      <c r="J87" s="3" t="s">
        <v>783</v>
      </c>
      <c r="K87" s="173">
        <v>-6659.85</v>
      </c>
      <c r="L87" s="173">
        <v>0</v>
      </c>
      <c r="M87" s="173">
        <v>2219.92</v>
      </c>
      <c r="N87" s="4">
        <v>-8879.77</v>
      </c>
      <c r="O87" s="4">
        <f>Tab_04.Abr[[#This Row],[DÉBITO]]-Tab_04.Abr[[#This Row],[CRÉDITO]]</f>
        <v>-2219.92</v>
      </c>
    </row>
    <row r="88" spans="2:16" hidden="1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S</v>
      </c>
      <c r="E88" s="2">
        <f>IF($I88="","",COUNTIFS(Tab_00.Trial[CONTA],$I88))</f>
        <v>1</v>
      </c>
      <c r="F88" s="4">
        <f>SUMIFS(Tab_03.Mar[SALDO
ATUAL],Tab_03.Mar[CONTA],$I88)</f>
        <v>-207025.53</v>
      </c>
      <c r="G88" s="4">
        <f t="shared" si="3"/>
        <v>0</v>
      </c>
      <c r="H88" s="3">
        <v>20180</v>
      </c>
      <c r="I88" s="3" t="s">
        <v>561</v>
      </c>
      <c r="J88" s="3" t="s">
        <v>657</v>
      </c>
      <c r="K88" s="173">
        <v>-207025.53</v>
      </c>
      <c r="L88" s="173">
        <v>247.53</v>
      </c>
      <c r="M88" s="173">
        <v>15089.95</v>
      </c>
      <c r="N88" s="4">
        <v>-221867.95</v>
      </c>
      <c r="O88" s="4">
        <f>Tab_04.Abr[[#This Row],[DÉBITO]]-Tab_04.Abr[[#This Row],[CRÉDITO]]</f>
        <v>-14842.42</v>
      </c>
    </row>
    <row r="89" spans="2:16" hidden="1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A</v>
      </c>
      <c r="E89" s="2">
        <f>IF($I89="","",COUNTIFS(Tab_00.Trial[CONTA],$I89))</f>
        <v>1</v>
      </c>
      <c r="F89" s="4">
        <f>SUMIFS(Tab_03.Mar[SALDO
ATUAL],Tab_03.Mar[CONTA],$I89)</f>
        <v>-152419.89000000001</v>
      </c>
      <c r="G89" s="4">
        <f t="shared" si="3"/>
        <v>0</v>
      </c>
      <c r="H89" s="3">
        <v>20195</v>
      </c>
      <c r="I89" s="3" t="s">
        <v>334</v>
      </c>
      <c r="J89" s="3" t="s">
        <v>335</v>
      </c>
      <c r="K89" s="173">
        <v>-152419.89000000001</v>
      </c>
      <c r="L89" s="173">
        <v>178.02</v>
      </c>
      <c r="M89" s="173">
        <v>11136.12</v>
      </c>
      <c r="N89" s="4">
        <v>-163377.99</v>
      </c>
      <c r="O89" s="4">
        <f>Tab_04.Abr[[#This Row],[DÉBITO]]-Tab_04.Abr[[#This Row],[CRÉDITO]]</f>
        <v>-10958.1</v>
      </c>
    </row>
    <row r="90" spans="2:16" hidden="1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A</v>
      </c>
      <c r="E90" s="2">
        <f>IF($I90="","",COUNTIFS(Tab_00.Trial[CONTA],$I90))</f>
        <v>1</v>
      </c>
      <c r="F90" s="4">
        <f>SUMIFS(Tab_03.Mar[SALDO
ATUAL],Tab_03.Mar[CONTA],$I90)</f>
        <v>-12142.12</v>
      </c>
      <c r="G90" s="4">
        <f t="shared" si="3"/>
        <v>0</v>
      </c>
      <c r="H90" s="3">
        <v>20210</v>
      </c>
      <c r="I90" s="3" t="s">
        <v>784</v>
      </c>
      <c r="J90" s="3" t="s">
        <v>785</v>
      </c>
      <c r="K90" s="173">
        <v>-12142.12</v>
      </c>
      <c r="L90" s="173">
        <v>14.24</v>
      </c>
      <c r="M90" s="173">
        <v>883.55</v>
      </c>
      <c r="N90" s="4">
        <v>-13011.43</v>
      </c>
      <c r="O90" s="4">
        <f>Tab_04.Abr[[#This Row],[DÉBITO]]-Tab_04.Abr[[#This Row],[CRÉDITO]]</f>
        <v>-869.31</v>
      </c>
    </row>
    <row r="91" spans="2:16" hidden="1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A</v>
      </c>
      <c r="E91" s="2">
        <f>IF($I91="","",COUNTIFS(Tab_00.Trial[CONTA],$I91))</f>
        <v>1</v>
      </c>
      <c r="F91" s="4">
        <f>SUMIFS(Tab_03.Mar[SALDO
ATUAL],Tab_03.Mar[CONTA],$I91)</f>
        <v>-1786.86</v>
      </c>
      <c r="G91" s="4">
        <f t="shared" si="3"/>
        <v>0</v>
      </c>
      <c r="H91" s="3">
        <v>20225</v>
      </c>
      <c r="I91" s="3" t="s">
        <v>786</v>
      </c>
      <c r="J91" s="3" t="s">
        <v>787</v>
      </c>
      <c r="K91" s="173">
        <v>-1786.86</v>
      </c>
      <c r="L91" s="173">
        <v>7.55</v>
      </c>
      <c r="M91" s="173">
        <v>110.44</v>
      </c>
      <c r="N91" s="4">
        <v>-1889.75</v>
      </c>
      <c r="O91" s="4">
        <f>Tab_04.Abr[[#This Row],[DÉBITO]]-Tab_04.Abr[[#This Row],[CRÉDITO]]</f>
        <v>-102.89</v>
      </c>
    </row>
    <row r="92" spans="2:16" hidden="1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A</v>
      </c>
      <c r="E92" s="2">
        <f>IF($I92="","",COUNTIFS(Tab_00.Trial[CONTA],$I92))</f>
        <v>1</v>
      </c>
      <c r="F92" s="4">
        <f>SUMIFS(Tab_03.Mar[SALDO
ATUAL],Tab_03.Mar[CONTA],$I92)</f>
        <v>-40676.660000000003</v>
      </c>
      <c r="G92" s="4">
        <f t="shared" si="3"/>
        <v>0</v>
      </c>
      <c r="H92" s="3">
        <v>10104</v>
      </c>
      <c r="I92" s="3" t="s">
        <v>788</v>
      </c>
      <c r="J92" s="3" t="s">
        <v>789</v>
      </c>
      <c r="K92" s="1">
        <v>-40676.660000000003</v>
      </c>
      <c r="L92" s="1">
        <v>47.72</v>
      </c>
      <c r="M92" s="1">
        <v>2959.84</v>
      </c>
      <c r="N92" s="4">
        <v>-43588.78</v>
      </c>
      <c r="O92" s="4">
        <f>Tab_04.Abr[[#This Row],[DÉBITO]]-Tab_04.Abr[[#This Row],[CRÉDITO]]</f>
        <v>-2912.12</v>
      </c>
    </row>
    <row r="93" spans="2:16" hidden="1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S</v>
      </c>
      <c r="E93" s="2">
        <f>IF($I93="","",COUNTIFS(Tab_00.Trial[CONTA],$I93))</f>
        <v>1</v>
      </c>
      <c r="F93" s="4">
        <f>SUMIFS(Tab_03.Mar[SALDO
ATUAL],Tab_03.Mar[CONTA],$I93)</f>
        <v>-36645.54</v>
      </c>
      <c r="G93" s="4">
        <f t="shared" si="3"/>
        <v>0</v>
      </c>
      <c r="H93" s="3">
        <v>20240</v>
      </c>
      <c r="I93" s="3" t="s">
        <v>562</v>
      </c>
      <c r="J93" s="3" t="s">
        <v>658</v>
      </c>
      <c r="K93" s="173">
        <v>-36645.54</v>
      </c>
      <c r="L93" s="173">
        <v>57054.84</v>
      </c>
      <c r="M93" s="173">
        <v>51961.1</v>
      </c>
      <c r="N93" s="4">
        <v>-31551.8</v>
      </c>
      <c r="O93" s="4">
        <f>Tab_04.Abr[[#This Row],[DÉBITO]]-Tab_04.Abr[[#This Row],[CRÉDITO]]</f>
        <v>5093.74</v>
      </c>
    </row>
    <row r="94" spans="2:16" hidden="1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A</v>
      </c>
      <c r="E94" s="2">
        <f>IF($I94="","",COUNTIFS(Tab_00.Trial[CONTA],$I94))</f>
        <v>1</v>
      </c>
      <c r="F94" s="4">
        <f>SUMIFS(Tab_03.Mar[SALDO
ATUAL],Tab_03.Mar[CONTA],$I94)</f>
        <v>-36132.559999999998</v>
      </c>
      <c r="G94" s="4">
        <f t="shared" si="3"/>
        <v>0</v>
      </c>
      <c r="H94" s="3">
        <v>20255</v>
      </c>
      <c r="I94" s="3" t="s">
        <v>336</v>
      </c>
      <c r="J94" s="3" t="s">
        <v>337</v>
      </c>
      <c r="K94" s="1">
        <v>-36132.559999999998</v>
      </c>
      <c r="L94" s="1">
        <v>56541.86</v>
      </c>
      <c r="M94" s="1">
        <v>51173.120000000003</v>
      </c>
      <c r="N94" s="4">
        <v>-30763.82</v>
      </c>
      <c r="O94" s="4">
        <f>Tab_04.Abr[[#This Row],[DÉBITO]]-Tab_04.Abr[[#This Row],[CRÉDITO]]</f>
        <v>5368.74</v>
      </c>
    </row>
    <row r="95" spans="2:16" hidden="1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A</v>
      </c>
      <c r="E95" s="2">
        <f>IF($I95="","",COUNTIFS(Tab_00.Trial[CONTA],$I95))</f>
        <v>1</v>
      </c>
      <c r="F95" s="4">
        <f>SUMIFS(Tab_03.Mar[SALDO
ATUAL],Tab_03.Mar[CONTA],$I95)</f>
        <v>-512.98</v>
      </c>
      <c r="G95" s="4">
        <f t="shared" si="3"/>
        <v>0</v>
      </c>
      <c r="H95" s="3">
        <v>20270</v>
      </c>
      <c r="I95" s="3" t="s">
        <v>338</v>
      </c>
      <c r="J95" s="3" t="s">
        <v>339</v>
      </c>
      <c r="K95" s="173">
        <v>-512.98</v>
      </c>
      <c r="L95" s="173">
        <v>512.98</v>
      </c>
      <c r="M95" s="173">
        <v>787.98</v>
      </c>
      <c r="N95" s="4">
        <v>-787.98</v>
      </c>
      <c r="O95" s="4">
        <f>Tab_04.Abr[[#This Row],[DÉBITO]]-Tab_04.Abr[[#This Row],[CRÉDITO]]</f>
        <v>-275</v>
      </c>
    </row>
    <row r="96" spans="2:16" hidden="1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S</v>
      </c>
      <c r="E96" s="2">
        <f>IF($I96="","",COUNTIFS(Tab_00.Trial[CONTA],$I96))</f>
        <v>1</v>
      </c>
      <c r="F96" s="4">
        <f>SUMIFS(Tab_03.Mar[SALDO
ATUAL],Tab_03.Mar[CONTA],$I96)</f>
        <v>-16505.62</v>
      </c>
      <c r="G96" s="4">
        <f t="shared" si="3"/>
        <v>0</v>
      </c>
      <c r="H96" s="3">
        <v>20345</v>
      </c>
      <c r="I96" s="3" t="s">
        <v>563</v>
      </c>
      <c r="J96" s="3" t="s">
        <v>659</v>
      </c>
      <c r="K96" s="1">
        <v>-16505.62</v>
      </c>
      <c r="L96" s="1">
        <v>10925.16</v>
      </c>
      <c r="M96" s="1">
        <v>9321.5</v>
      </c>
      <c r="N96" s="4">
        <v>-14901.96</v>
      </c>
      <c r="O96" s="4">
        <f>Tab_04.Abr[[#This Row],[DÉBITO]]-Tab_04.Abr[[#This Row],[CRÉDITO]]</f>
        <v>1603.66</v>
      </c>
    </row>
    <row r="97" spans="2:15" hidden="1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A</v>
      </c>
      <c r="E97" s="2">
        <f>IF($I97="","",COUNTIFS(Tab_00.Trial[CONTA],$I97))</f>
        <v>1</v>
      </c>
      <c r="F97" s="4">
        <f>SUMIFS(Tab_03.Mar[SALDO
ATUAL],Tab_03.Mar[CONTA],$I97)</f>
        <v>-15520.52</v>
      </c>
      <c r="G97" s="4">
        <f t="shared" si="3"/>
        <v>0</v>
      </c>
      <c r="H97" s="3">
        <v>20360</v>
      </c>
      <c r="I97" s="3" t="s">
        <v>340</v>
      </c>
      <c r="J97" s="3" t="s">
        <v>341</v>
      </c>
      <c r="K97" s="173">
        <v>-15520.52</v>
      </c>
      <c r="L97" s="173">
        <v>9880.3799999999992</v>
      </c>
      <c r="M97" s="173">
        <v>8322.61</v>
      </c>
      <c r="N97" s="4">
        <v>-13962.75</v>
      </c>
      <c r="O97" s="4">
        <f>Tab_04.Abr[[#This Row],[DÉBITO]]-Tab_04.Abr[[#This Row],[CRÉDITO]]</f>
        <v>1557.77</v>
      </c>
    </row>
    <row r="98" spans="2:15" hidden="1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A</v>
      </c>
      <c r="E98" s="2">
        <f>IF($I98="","",COUNTIFS(Tab_00.Trial[CONTA],$I98))</f>
        <v>1</v>
      </c>
      <c r="F98" s="4">
        <f>SUMIFS(Tab_03.Mar[SALDO
ATUAL],Tab_03.Mar[CONTA],$I98)</f>
        <v>-985.1</v>
      </c>
      <c r="G98" s="4">
        <f t="shared" si="3"/>
        <v>0</v>
      </c>
      <c r="H98" s="3">
        <v>20375</v>
      </c>
      <c r="I98" s="3" t="s">
        <v>342</v>
      </c>
      <c r="J98" s="3" t="s">
        <v>343</v>
      </c>
      <c r="K98" s="173">
        <v>-985.1</v>
      </c>
      <c r="L98" s="173">
        <v>1044.78</v>
      </c>
      <c r="M98" s="173">
        <v>998.89</v>
      </c>
      <c r="N98" s="4">
        <v>-939.21</v>
      </c>
      <c r="O98" s="4">
        <f>Tab_04.Abr[[#This Row],[DÉBITO]]-Tab_04.Abr[[#This Row],[CRÉDITO]]</f>
        <v>45.89</v>
      </c>
    </row>
    <row r="99" spans="2:15" hidden="1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S</v>
      </c>
      <c r="E99" s="2">
        <f>IF($I99="","",COUNTIFS(Tab_00.Trial[CONTA],$I99))</f>
        <v>1</v>
      </c>
      <c r="F99" s="4">
        <f>SUMIFS(Tab_03.Mar[SALDO
ATUAL],Tab_03.Mar[CONTA],$I99)</f>
        <v>-866291.35</v>
      </c>
      <c r="G99" s="4">
        <f t="shared" si="3"/>
        <v>0</v>
      </c>
      <c r="H99" s="3">
        <v>20390</v>
      </c>
      <c r="I99" s="3" t="s">
        <v>218</v>
      </c>
      <c r="J99" s="3" t="s">
        <v>660</v>
      </c>
      <c r="K99" s="173">
        <v>-866291.35</v>
      </c>
      <c r="L99" s="1">
        <v>514082.3</v>
      </c>
      <c r="M99" s="1">
        <v>840870.79</v>
      </c>
      <c r="N99" s="4">
        <v>-1193079.8400000001</v>
      </c>
      <c r="O99" s="4">
        <f>Tab_04.Abr[[#This Row],[DÉBITO]]-Tab_04.Abr[[#This Row],[CRÉDITO]]</f>
        <v>-326788.49</v>
      </c>
    </row>
    <row r="100" spans="2:15" hidden="1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S</v>
      </c>
      <c r="E100" s="2">
        <f>IF($I100="","",COUNTIFS(Tab_00.Trial[CONTA],$I100))</f>
        <v>1</v>
      </c>
      <c r="F100" s="4">
        <f>SUMIFS(Tab_03.Mar[SALDO
ATUAL],Tab_03.Mar[CONTA],$I100)</f>
        <v>-116942.76</v>
      </c>
      <c r="G100" s="4">
        <f t="shared" si="3"/>
        <v>0</v>
      </c>
      <c r="H100" s="3">
        <v>20405</v>
      </c>
      <c r="I100" s="3" t="s">
        <v>219</v>
      </c>
      <c r="J100" s="3" t="s">
        <v>56</v>
      </c>
      <c r="K100" s="173">
        <v>-116942.76</v>
      </c>
      <c r="L100" s="1">
        <v>167550.19</v>
      </c>
      <c r="M100" s="1">
        <v>494338.68</v>
      </c>
      <c r="N100" s="4">
        <v>-443731.25</v>
      </c>
      <c r="O100" s="4">
        <f>Tab_04.Abr[[#This Row],[DÉBITO]]-Tab_04.Abr[[#This Row],[CRÉDITO]]</f>
        <v>-326788.49</v>
      </c>
    </row>
    <row r="101" spans="2:15" hidden="1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A</v>
      </c>
      <c r="E101" s="2">
        <f>IF($I101="","",COUNTIFS(Tab_00.Trial[CONTA],$I101))</f>
        <v>1</v>
      </c>
      <c r="F101" s="4">
        <f>SUMIFS(Tab_03.Mar[SALDO
ATUAL],Tab_03.Mar[CONTA],$I101)</f>
        <v>-116942.76</v>
      </c>
      <c r="G101" s="4">
        <f t="shared" si="3"/>
        <v>0</v>
      </c>
      <c r="H101" s="3">
        <v>20420</v>
      </c>
      <c r="I101" s="3" t="s">
        <v>344</v>
      </c>
      <c r="J101" s="3" t="s">
        <v>56</v>
      </c>
      <c r="K101" s="173">
        <v>-116942.76</v>
      </c>
      <c r="L101" s="1">
        <v>167550.19</v>
      </c>
      <c r="M101" s="1">
        <v>494338.68</v>
      </c>
      <c r="N101" s="4">
        <v>-443731.25</v>
      </c>
      <c r="O101" s="4">
        <f>Tab_04.Abr[[#This Row],[DÉBITO]]-Tab_04.Abr[[#This Row],[CRÉDITO]]</f>
        <v>-326788.49</v>
      </c>
    </row>
    <row r="102" spans="2:15" hidden="1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S</v>
      </c>
      <c r="E102" s="2">
        <f>IF($I102="","",COUNTIFS(Tab_00.Trial[CONTA],$I102))</f>
        <v>1</v>
      </c>
      <c r="F102" s="4">
        <f>SUMIFS(Tab_03.Mar[SALDO
ATUAL],Tab_03.Mar[CONTA],$I102)</f>
        <v>-749348.59</v>
      </c>
      <c r="G102" s="4">
        <f t="shared" si="3"/>
        <v>0</v>
      </c>
      <c r="H102" s="3">
        <v>20455</v>
      </c>
      <c r="I102" s="3" t="s">
        <v>220</v>
      </c>
      <c r="J102" s="3" t="s">
        <v>346</v>
      </c>
      <c r="K102" s="173">
        <v>-749348.59</v>
      </c>
      <c r="L102" s="1">
        <v>346532.11</v>
      </c>
      <c r="M102" s="1">
        <v>346532.11</v>
      </c>
      <c r="N102" s="4">
        <v>-749348.59</v>
      </c>
      <c r="O102" s="4">
        <f>Tab_04.Abr[[#This Row],[DÉBITO]]-Tab_04.Abr[[#This Row],[CRÉDITO]]</f>
        <v>0</v>
      </c>
    </row>
    <row r="103" spans="2:15" hidden="1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A</v>
      </c>
      <c r="E103" s="2">
        <f>IF($I103="","",COUNTIFS(Tab_00.Trial[CONTA],$I103))</f>
        <v>1</v>
      </c>
      <c r="F103" s="4">
        <f>SUMIFS(Tab_03.Mar[SALDO
ATUAL],Tab_03.Mar[CONTA],$I103)</f>
        <v>-749348.59</v>
      </c>
      <c r="G103" s="4">
        <f t="shared" si="3"/>
        <v>0</v>
      </c>
      <c r="H103" s="3">
        <v>20460</v>
      </c>
      <c r="I103" s="3" t="s">
        <v>345</v>
      </c>
      <c r="J103" s="3" t="s">
        <v>346</v>
      </c>
      <c r="K103" s="173">
        <v>-749348.59</v>
      </c>
      <c r="L103" s="1">
        <v>346532.11</v>
      </c>
      <c r="M103" s="1">
        <v>346532.11</v>
      </c>
      <c r="N103" s="4">
        <v>-749348.59</v>
      </c>
      <c r="O103" s="4">
        <f>Tab_04.Abr[[#This Row],[DÉBITO]]-Tab_04.Abr[[#This Row],[CRÉDITO]]</f>
        <v>0</v>
      </c>
    </row>
    <row r="104" spans="2:15" hidden="1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S</v>
      </c>
      <c r="E104" s="2">
        <f>IF($I104="","",COUNTIFS(Tab_00.Trial[CONTA],$I104))</f>
        <v>1</v>
      </c>
      <c r="F104" s="4">
        <f>SUMIFS(Tab_03.Mar[SALDO
ATUAL],Tab_03.Mar[CONTA],$I104)</f>
        <v>-17663.900000000001</v>
      </c>
      <c r="G104" s="4">
        <f t="shared" si="3"/>
        <v>0</v>
      </c>
      <c r="H104" s="3">
        <v>20465</v>
      </c>
      <c r="I104" s="3" t="s">
        <v>221</v>
      </c>
      <c r="J104" s="3" t="s">
        <v>661</v>
      </c>
      <c r="K104" s="173">
        <v>-17663.900000000001</v>
      </c>
      <c r="L104" s="1">
        <v>18014.02</v>
      </c>
      <c r="M104" s="1">
        <v>18789.53</v>
      </c>
      <c r="N104" s="4">
        <v>-18439.41</v>
      </c>
      <c r="O104" s="4">
        <f>Tab_04.Abr[[#This Row],[DÉBITO]]-Tab_04.Abr[[#This Row],[CRÉDITO]]</f>
        <v>-775.51</v>
      </c>
    </row>
    <row r="105" spans="2:15" hidden="1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S</v>
      </c>
      <c r="E105" s="2">
        <f>IF($I105="","",COUNTIFS(Tab_00.Trial[CONTA],$I105))</f>
        <v>1</v>
      </c>
      <c r="F105" s="4">
        <f>SUMIFS(Tab_03.Mar[SALDO
ATUAL],Tab_03.Mar[CONTA],$I105)</f>
        <v>-17179.72</v>
      </c>
      <c r="G105" s="4">
        <f t="shared" si="3"/>
        <v>0</v>
      </c>
      <c r="H105" s="3">
        <v>20480</v>
      </c>
      <c r="I105" s="3" t="s">
        <v>222</v>
      </c>
      <c r="J105" s="3" t="s">
        <v>662</v>
      </c>
      <c r="K105" s="173">
        <v>-17179.72</v>
      </c>
      <c r="L105" s="1">
        <v>17529.84</v>
      </c>
      <c r="M105" s="1">
        <v>18789.53</v>
      </c>
      <c r="N105" s="4">
        <v>-18439.41</v>
      </c>
      <c r="O105" s="4">
        <f>Tab_04.Abr[[#This Row],[DÉBITO]]-Tab_04.Abr[[#This Row],[CRÉDITO]]</f>
        <v>-1259.69</v>
      </c>
    </row>
    <row r="106" spans="2:15" hidden="1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A</v>
      </c>
      <c r="E106" s="2">
        <f>IF($I106="","",COUNTIFS(Tab_00.Trial[CONTA],$I106))</f>
        <v>1</v>
      </c>
      <c r="F106" s="4">
        <f>SUMIFS(Tab_03.Mar[SALDO
ATUAL],Tab_03.Mar[CONTA],$I106)</f>
        <v>-404.18</v>
      </c>
      <c r="G106" s="4">
        <f t="shared" si="3"/>
        <v>0</v>
      </c>
      <c r="H106" s="3">
        <v>20495</v>
      </c>
      <c r="I106" s="3" t="s">
        <v>191</v>
      </c>
      <c r="J106" s="3" t="s">
        <v>347</v>
      </c>
      <c r="K106" s="173">
        <v>-404.18</v>
      </c>
      <c r="L106" s="1">
        <v>570.44000000000005</v>
      </c>
      <c r="M106" s="1">
        <v>722.06</v>
      </c>
      <c r="N106" s="4">
        <v>-555.79999999999995</v>
      </c>
      <c r="O106" s="4">
        <f>Tab_04.Abr[[#This Row],[DÉBITO]]-Tab_04.Abr[[#This Row],[CRÉDITO]]</f>
        <v>-151.62</v>
      </c>
    </row>
    <row r="107" spans="2:15" hidden="1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A</v>
      </c>
      <c r="E107" s="2">
        <f>IF($I107="","",COUNTIFS(Tab_00.Trial[CONTA],$I107))</f>
        <v>1</v>
      </c>
      <c r="F107" s="4">
        <f>SUMIFS(Tab_03.Mar[SALDO
ATUAL],Tab_03.Mar[CONTA],$I107)</f>
        <v>-15479.24</v>
      </c>
      <c r="G107" s="4">
        <f t="shared" si="3"/>
        <v>0</v>
      </c>
      <c r="H107" s="3">
        <v>20510</v>
      </c>
      <c r="I107" s="3" t="s">
        <v>192</v>
      </c>
      <c r="J107" s="3" t="s">
        <v>348</v>
      </c>
      <c r="K107" s="173">
        <v>-15479.24</v>
      </c>
      <c r="L107" s="1">
        <v>15479.24</v>
      </c>
      <c r="M107" s="1">
        <v>15492.44</v>
      </c>
      <c r="N107" s="4">
        <v>-15492.44</v>
      </c>
      <c r="O107" s="4">
        <f>Tab_04.Abr[[#This Row],[DÉBITO]]-Tab_04.Abr[[#This Row],[CRÉDITO]]</f>
        <v>-13.2</v>
      </c>
    </row>
    <row r="108" spans="2:15" hidden="1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A</v>
      </c>
      <c r="E108" s="2">
        <f>IF($I108="","",COUNTIFS(Tab_00.Trial[CONTA],$I108))</f>
        <v>1</v>
      </c>
      <c r="F108" s="4">
        <f>SUMIFS(Tab_03.Mar[SALDO
ATUAL],Tab_03.Mar[CONTA],$I108)</f>
        <v>-134.13999999999999</v>
      </c>
      <c r="G108" s="4">
        <f t="shared" si="3"/>
        <v>0</v>
      </c>
      <c r="H108" s="3">
        <v>20515</v>
      </c>
      <c r="I108" s="3" t="s">
        <v>264</v>
      </c>
      <c r="J108" s="3" t="s">
        <v>349</v>
      </c>
      <c r="K108" s="173">
        <v>-134.13999999999999</v>
      </c>
      <c r="L108" s="1">
        <v>13.2</v>
      </c>
      <c r="M108" s="1">
        <v>0</v>
      </c>
      <c r="N108" s="4">
        <v>-120.94</v>
      </c>
      <c r="O108" s="4">
        <f>Tab_04.Abr[[#This Row],[DÉBITO]]-Tab_04.Abr[[#This Row],[CRÉDITO]]</f>
        <v>13.2</v>
      </c>
    </row>
    <row r="109" spans="2:15" hidden="1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A</v>
      </c>
      <c r="E109" s="2">
        <f>IF($I109="","",COUNTIFS(Tab_00.Trial[CONTA],$I109))</f>
        <v>1</v>
      </c>
      <c r="F109" s="4">
        <f>SUMIFS(Tab_03.Mar[SALDO
ATUAL],Tab_03.Mar[CONTA],$I109)</f>
        <v>-1139.71</v>
      </c>
      <c r="G109" s="4">
        <f t="shared" si="3"/>
        <v>0</v>
      </c>
      <c r="H109" s="3">
        <v>20525</v>
      </c>
      <c r="I109" s="3" t="s">
        <v>350</v>
      </c>
      <c r="J109" s="3" t="s">
        <v>351</v>
      </c>
      <c r="K109" s="173">
        <v>-1139.71</v>
      </c>
      <c r="L109" s="1">
        <v>1455.79</v>
      </c>
      <c r="M109" s="1">
        <v>2563.86</v>
      </c>
      <c r="N109" s="4">
        <v>-2247.7800000000002</v>
      </c>
      <c r="O109" s="4">
        <f>Tab_04.Abr[[#This Row],[DÉBITO]]-Tab_04.Abr[[#This Row],[CRÉDITO]]</f>
        <v>-1108.07</v>
      </c>
    </row>
    <row r="110" spans="2:15" hidden="1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A</v>
      </c>
      <c r="E110" s="2">
        <f>IF($I110="","",COUNTIFS(Tab_00.Trial[CONTA],$I110))</f>
        <v>1</v>
      </c>
      <c r="F110" s="4">
        <f>SUMIFS(Tab_03.Mar[SALDO
ATUAL],Tab_03.Mar[CONTA],$I110)</f>
        <v>-22.45</v>
      </c>
      <c r="G110" s="4">
        <f t="shared" si="3"/>
        <v>0</v>
      </c>
      <c r="H110" s="3">
        <v>20540</v>
      </c>
      <c r="I110" s="3" t="s">
        <v>352</v>
      </c>
      <c r="J110" s="3" t="s">
        <v>353</v>
      </c>
      <c r="K110" s="173">
        <v>-22.45</v>
      </c>
      <c r="L110" s="1">
        <v>11.17</v>
      </c>
      <c r="M110" s="1">
        <v>11.17</v>
      </c>
      <c r="N110" s="4">
        <v>-22.45</v>
      </c>
      <c r="O110" s="4">
        <f>Tab_04.Abr[[#This Row],[DÉBITO]]-Tab_04.Abr[[#This Row],[CRÉDITO]]</f>
        <v>0</v>
      </c>
    </row>
    <row r="111" spans="2:15" hidden="1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S</v>
      </c>
      <c r="E111" s="2">
        <f>IF($I111="","",COUNTIFS(Tab_00.Trial[CONTA],$I111))</f>
        <v>1</v>
      </c>
      <c r="F111" s="4">
        <f>SUMIFS(Tab_03.Mar[SALDO
ATUAL],Tab_03.Mar[CONTA],$I111)</f>
        <v>-484.18</v>
      </c>
      <c r="G111" s="4">
        <f t="shared" si="3"/>
        <v>0</v>
      </c>
      <c r="H111" s="3">
        <v>20565</v>
      </c>
      <c r="I111" s="3" t="s">
        <v>223</v>
      </c>
      <c r="J111" s="3" t="s">
        <v>663</v>
      </c>
      <c r="K111" s="173">
        <v>-484.18</v>
      </c>
      <c r="L111" s="1">
        <v>484.18</v>
      </c>
      <c r="M111" s="1">
        <v>0</v>
      </c>
      <c r="N111" s="4">
        <v>0</v>
      </c>
      <c r="O111" s="4">
        <f>Tab_04.Abr[[#This Row],[DÉBITO]]-Tab_04.Abr[[#This Row],[CRÉDITO]]</f>
        <v>484.18</v>
      </c>
    </row>
    <row r="112" spans="2:15" hidden="1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A</v>
      </c>
      <c r="E112" s="2">
        <f>IF($I112="","",COUNTIFS(Tab_00.Trial[CONTA],$I112))</f>
        <v>1</v>
      </c>
      <c r="F112" s="4">
        <f>SUMIFS(Tab_03.Mar[SALDO
ATUAL],Tab_03.Mar[CONTA],$I112)</f>
        <v>-484.18</v>
      </c>
      <c r="G112" s="4">
        <f t="shared" si="3"/>
        <v>0</v>
      </c>
      <c r="H112" s="3">
        <v>20576</v>
      </c>
      <c r="I112" s="3" t="s">
        <v>354</v>
      </c>
      <c r="J112" s="3" t="s">
        <v>355</v>
      </c>
      <c r="K112" s="173">
        <v>-484.18</v>
      </c>
      <c r="L112" s="1">
        <v>484.18</v>
      </c>
      <c r="M112" s="1">
        <v>0</v>
      </c>
      <c r="N112" s="4">
        <v>0</v>
      </c>
      <c r="O112" s="4">
        <f>Tab_04.Abr[[#This Row],[DÉBITO]]-Tab_04.Abr[[#This Row],[CRÉDITO]]</f>
        <v>484.18</v>
      </c>
    </row>
    <row r="113" spans="2:15" hidden="1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S</v>
      </c>
      <c r="E113" s="2">
        <f>IF($I113="","",COUNTIFS(Tab_00.Trial[CONTA],$I113))</f>
        <v>1</v>
      </c>
      <c r="F113" s="4">
        <f>SUMIFS(Tab_03.Mar[SALDO
ATUAL],Tab_03.Mar[CONTA],$I113)</f>
        <v>-22488.11</v>
      </c>
      <c r="G113" s="4">
        <f t="shared" si="3"/>
        <v>0</v>
      </c>
      <c r="H113" s="3">
        <v>20690</v>
      </c>
      <c r="I113" s="3" t="s">
        <v>224</v>
      </c>
      <c r="J113" s="3" t="s">
        <v>664</v>
      </c>
      <c r="K113" s="173">
        <v>-22488.11</v>
      </c>
      <c r="L113" s="1">
        <v>814.85</v>
      </c>
      <c r="M113" s="1">
        <v>1054.23</v>
      </c>
      <c r="N113" s="4">
        <v>-22727.49</v>
      </c>
      <c r="O113" s="4">
        <f>Tab_04.Abr[[#This Row],[DÉBITO]]-Tab_04.Abr[[#This Row],[CRÉDITO]]</f>
        <v>-239.38</v>
      </c>
    </row>
    <row r="114" spans="2:15" hidden="1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5</v>
      </c>
      <c r="D114" s="2" t="str">
        <f>_xlfn.XLOOKUP($I114,Tab_00.Trial[CONTA],Tab_00.Trial[S/A],"",0,1)</f>
        <v>S</v>
      </c>
      <c r="E114" s="2">
        <f>IF($I114="","",COUNTIFS(Tab_00.Trial[CONTA],$I114))</f>
        <v>1</v>
      </c>
      <c r="F114" s="4">
        <f>SUMIFS(Tab_03.Mar[SALDO
ATUAL],Tab_03.Mar[CONTA],$I114)</f>
        <v>-22488.11</v>
      </c>
      <c r="G114" s="4">
        <f t="shared" si="3"/>
        <v>0</v>
      </c>
      <c r="H114" s="3">
        <v>20705</v>
      </c>
      <c r="I114" s="3" t="s">
        <v>225</v>
      </c>
      <c r="J114" s="3" t="s">
        <v>665</v>
      </c>
      <c r="K114" s="173">
        <v>-22488.11</v>
      </c>
      <c r="L114" s="1">
        <v>814.85</v>
      </c>
      <c r="M114" s="1">
        <v>1054.23</v>
      </c>
      <c r="N114" s="4">
        <v>-22727.49</v>
      </c>
      <c r="O114" s="4">
        <f>Tab_04.Abr[[#This Row],[DÉBITO]]-Tab_04.Abr[[#This Row],[CRÉDITO]]</f>
        <v>-239.38</v>
      </c>
    </row>
    <row r="115" spans="2:15" hidden="1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5</v>
      </c>
      <c r="D115" s="2" t="str">
        <f>_xlfn.XLOOKUP($I115,Tab_00.Trial[CONTA],Tab_00.Trial[S/A],"",0,1)</f>
        <v>A</v>
      </c>
      <c r="E115" s="2">
        <f>IF($I115="","",COUNTIFS(Tab_00.Trial[CONTA],$I115))</f>
        <v>1</v>
      </c>
      <c r="F115" s="4">
        <f>SUMIFS(Tab_03.Mar[SALDO
ATUAL],Tab_03.Mar[CONTA],$I115)</f>
        <v>-22488.11</v>
      </c>
      <c r="G115" s="4">
        <f t="shared" si="3"/>
        <v>0</v>
      </c>
      <c r="H115" s="3">
        <v>20750</v>
      </c>
      <c r="I115" s="3" t="s">
        <v>356</v>
      </c>
      <c r="J115" s="3" t="s">
        <v>357</v>
      </c>
      <c r="K115" s="173">
        <v>-22488.11</v>
      </c>
      <c r="L115" s="1">
        <v>814.85</v>
      </c>
      <c r="M115" s="1">
        <v>1054.23</v>
      </c>
      <c r="N115" s="4">
        <v>-22727.49</v>
      </c>
      <c r="O115" s="4">
        <f>Tab_04.Abr[[#This Row],[DÉBITO]]-Tab_04.Abr[[#This Row],[CRÉDITO]]</f>
        <v>-239.38</v>
      </c>
    </row>
    <row r="116" spans="2:15" hidden="1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5</v>
      </c>
      <c r="D116" s="2" t="str">
        <f>_xlfn.XLOOKUP($I116,Tab_00.Trial[CONTA],Tab_00.Trial[S/A],"",0,1)</f>
        <v>S</v>
      </c>
      <c r="E116" s="2">
        <f>IF($I116="","",COUNTIFS(Tab_00.Trial[CONTA],$I116))</f>
        <v>1</v>
      </c>
      <c r="F116" s="4">
        <f>SUMIFS(Tab_03.Mar[SALDO
ATUAL],Tab_03.Mar[CONTA],$I116)</f>
        <v>-3849.2</v>
      </c>
      <c r="G116" s="4">
        <f t="shared" si="3"/>
        <v>0</v>
      </c>
      <c r="H116" s="3">
        <v>20765</v>
      </c>
      <c r="I116" s="3" t="s">
        <v>564</v>
      </c>
      <c r="J116" s="3" t="s">
        <v>666</v>
      </c>
      <c r="K116" s="173">
        <v>-3849.2</v>
      </c>
      <c r="L116" s="1">
        <v>0</v>
      </c>
      <c r="M116" s="173">
        <v>0</v>
      </c>
      <c r="N116" s="4">
        <v>-3849.2</v>
      </c>
      <c r="O116" s="4">
        <f>Tab_04.Abr[[#This Row],[DÉBITO]]-Tab_04.Abr[[#This Row],[CRÉDITO]]</f>
        <v>0</v>
      </c>
    </row>
    <row r="117" spans="2:15" hidden="1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5</v>
      </c>
      <c r="D117" s="2" t="str">
        <f>_xlfn.XLOOKUP($I117,Tab_00.Trial[CONTA],Tab_00.Trial[S/A],"",0,1)</f>
        <v>S</v>
      </c>
      <c r="E117" s="2">
        <f>IF($I117="","",COUNTIFS(Tab_00.Trial[CONTA],$I117))</f>
        <v>1</v>
      </c>
      <c r="F117" s="4">
        <f>SUMIFS(Tab_03.Mar[SALDO
ATUAL],Tab_03.Mar[CONTA],$I117)</f>
        <v>-3849.2</v>
      </c>
      <c r="G117" s="4">
        <f t="shared" si="3"/>
        <v>0</v>
      </c>
      <c r="H117" s="3">
        <v>20780</v>
      </c>
      <c r="I117" s="3" t="s">
        <v>565</v>
      </c>
      <c r="J117" s="3" t="s">
        <v>667</v>
      </c>
      <c r="K117" s="173">
        <v>-3849.2</v>
      </c>
      <c r="L117" s="1">
        <v>0</v>
      </c>
      <c r="M117" s="173">
        <v>0</v>
      </c>
      <c r="N117" s="4">
        <v>-3849.2</v>
      </c>
      <c r="O117" s="4">
        <f>Tab_04.Abr[[#This Row],[DÉBITO]]-Tab_04.Abr[[#This Row],[CRÉDITO]]</f>
        <v>0</v>
      </c>
    </row>
    <row r="118" spans="2:15" hidden="1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5</v>
      </c>
      <c r="D118" s="2" t="str">
        <f>_xlfn.XLOOKUP($I118,Tab_00.Trial[CONTA],Tab_00.Trial[S/A],"",0,1)</f>
        <v>A</v>
      </c>
      <c r="E118" s="2">
        <f>IF($I118="","",COUNTIFS(Tab_00.Trial[CONTA],$I118))</f>
        <v>1</v>
      </c>
      <c r="F118" s="4">
        <f>SUMIFS(Tab_03.Mar[SALDO
ATUAL],Tab_03.Mar[CONTA],$I118)</f>
        <v>-3849.2</v>
      </c>
      <c r="G118" s="4">
        <f t="shared" si="3"/>
        <v>0</v>
      </c>
      <c r="H118" s="3">
        <v>20790</v>
      </c>
      <c r="I118" s="3" t="s">
        <v>358</v>
      </c>
      <c r="J118" s="3" t="s">
        <v>359</v>
      </c>
      <c r="K118" s="173">
        <v>-3849.2</v>
      </c>
      <c r="L118" s="1">
        <v>0</v>
      </c>
      <c r="M118" s="173">
        <v>0</v>
      </c>
      <c r="N118" s="4">
        <v>-3849.2</v>
      </c>
      <c r="O118" s="4">
        <f>Tab_04.Abr[[#This Row],[DÉBITO]]-Tab_04.Abr[[#This Row],[CRÉDITO]]</f>
        <v>0</v>
      </c>
    </row>
    <row r="119" spans="2:15" hidden="1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2</v>
      </c>
      <c r="D119" s="2" t="str">
        <f>_xlfn.XLOOKUP($I119,Tab_00.Trial[CONTA],Tab_00.Trial[S/A],"",0,1)</f>
        <v>S</v>
      </c>
      <c r="E119" s="2">
        <f>IF($I119="","",COUNTIFS(Tab_00.Trial[CONTA],$I119))</f>
        <v>1</v>
      </c>
      <c r="F119" s="4">
        <f>SUMIFS(Tab_03.Mar[SALDO
ATUAL],Tab_03.Mar[CONTA],$I119)</f>
        <v>-46934.04</v>
      </c>
      <c r="G119" s="4">
        <f t="shared" si="3"/>
        <v>0</v>
      </c>
      <c r="H119" s="3">
        <v>20885</v>
      </c>
      <c r="I119" s="3" t="s">
        <v>226</v>
      </c>
      <c r="J119" s="3" t="s">
        <v>76</v>
      </c>
      <c r="K119" s="173">
        <v>-46934.04</v>
      </c>
      <c r="L119" s="1">
        <v>0</v>
      </c>
      <c r="M119" s="173">
        <v>0</v>
      </c>
      <c r="N119" s="4">
        <v>-46934.04</v>
      </c>
      <c r="O119" s="4">
        <f>Tab_04.Abr[[#This Row],[DÉBITO]]-Tab_04.Abr[[#This Row],[CRÉDITO]]</f>
        <v>0</v>
      </c>
    </row>
    <row r="120" spans="2:15" hidden="1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5</v>
      </c>
      <c r="D120" s="2" t="str">
        <f>_xlfn.XLOOKUP($I120,Tab_00.Trial[CONTA],Tab_00.Trial[S/A],"",0,1)</f>
        <v>S</v>
      </c>
      <c r="E120" s="2">
        <f>IF($I120="","",COUNTIFS(Tab_00.Trial[CONTA],$I120))</f>
        <v>1</v>
      </c>
      <c r="F120" s="4">
        <f>SUMIFS(Tab_03.Mar[SALDO
ATUAL],Tab_03.Mar[CONTA],$I120)</f>
        <v>-46934.04</v>
      </c>
      <c r="G120" s="4">
        <f t="shared" si="3"/>
        <v>0</v>
      </c>
      <c r="H120" s="3">
        <v>21110</v>
      </c>
      <c r="I120" s="3" t="s">
        <v>566</v>
      </c>
      <c r="J120" s="3" t="s">
        <v>668</v>
      </c>
      <c r="K120" s="173">
        <v>-46934.04</v>
      </c>
      <c r="L120" s="1">
        <v>0</v>
      </c>
      <c r="M120" s="173">
        <v>0</v>
      </c>
      <c r="N120" s="4">
        <v>-46934.04</v>
      </c>
      <c r="O120" s="4">
        <f>Tab_04.Abr[[#This Row],[DÉBITO]]-Tab_04.Abr[[#This Row],[CRÉDITO]]</f>
        <v>0</v>
      </c>
    </row>
    <row r="121" spans="2:15" hidden="1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5</v>
      </c>
      <c r="D121" s="2" t="str">
        <f>_xlfn.XLOOKUP($I121,Tab_00.Trial[CONTA],Tab_00.Trial[S/A],"",0,1)</f>
        <v>S</v>
      </c>
      <c r="E121" s="2">
        <f>IF($I121="","",COUNTIFS(Tab_00.Trial[CONTA],$I121))</f>
        <v>1</v>
      </c>
      <c r="F121" s="4">
        <f>SUMIFS(Tab_03.Mar[SALDO
ATUAL],Tab_03.Mar[CONTA],$I121)</f>
        <v>-46934.04</v>
      </c>
      <c r="G121" s="4">
        <f t="shared" si="3"/>
        <v>0</v>
      </c>
      <c r="H121" s="3">
        <v>21125</v>
      </c>
      <c r="I121" s="3" t="s">
        <v>567</v>
      </c>
      <c r="J121" s="3" t="s">
        <v>669</v>
      </c>
      <c r="K121" s="173">
        <v>-46934.04</v>
      </c>
      <c r="L121" s="1">
        <v>0</v>
      </c>
      <c r="M121" s="173">
        <v>0</v>
      </c>
      <c r="N121" s="4">
        <v>-46934.04</v>
      </c>
      <c r="O121" s="4">
        <f>Tab_04.Abr[[#This Row],[DÉBITO]]-Tab_04.Abr[[#This Row],[CRÉDITO]]</f>
        <v>0</v>
      </c>
    </row>
    <row r="122" spans="2:15" hidden="1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5</v>
      </c>
      <c r="D122" s="2" t="str">
        <f>_xlfn.XLOOKUP($I122,Tab_00.Trial[CONTA],Tab_00.Trial[S/A],"",0,1)</f>
        <v>A</v>
      </c>
      <c r="E122" s="2">
        <f>IF($I122="","",COUNTIFS(Tab_00.Trial[CONTA],$I122))</f>
        <v>1</v>
      </c>
      <c r="F122" s="4">
        <f>SUMIFS(Tab_03.Mar[SALDO
ATUAL],Tab_03.Mar[CONTA],$I122)</f>
        <v>-31934.04</v>
      </c>
      <c r="G122" s="4">
        <f t="shared" si="3"/>
        <v>0</v>
      </c>
      <c r="H122" s="3">
        <v>21170</v>
      </c>
      <c r="I122" s="3" t="s">
        <v>360</v>
      </c>
      <c r="J122" s="3" t="s">
        <v>361</v>
      </c>
      <c r="K122" s="173">
        <v>-31934.04</v>
      </c>
      <c r="L122" s="1">
        <v>0</v>
      </c>
      <c r="M122" s="173">
        <v>0</v>
      </c>
      <c r="N122" s="4">
        <v>-31934.04</v>
      </c>
      <c r="O122" s="4">
        <f>Tab_04.Abr[[#This Row],[DÉBITO]]-Tab_04.Abr[[#This Row],[CRÉDITO]]</f>
        <v>0</v>
      </c>
    </row>
    <row r="123" spans="2:15" hidden="1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A</v>
      </c>
      <c r="E123" s="2">
        <f>IF($I123="","",COUNTIFS(Tab_00.Trial[CONTA],$I123))</f>
        <v>1</v>
      </c>
      <c r="F123" s="4">
        <f>SUMIFS(Tab_03.Mar[SALDO
ATUAL],Tab_03.Mar[CONTA],$I123)</f>
        <v>-15000</v>
      </c>
      <c r="G123" s="4">
        <f t="shared" si="3"/>
        <v>0</v>
      </c>
      <c r="H123" s="3">
        <v>21185</v>
      </c>
      <c r="I123" s="3" t="s">
        <v>362</v>
      </c>
      <c r="J123" s="3" t="s">
        <v>363</v>
      </c>
      <c r="K123" s="173">
        <v>-15000</v>
      </c>
      <c r="L123" s="1">
        <v>0</v>
      </c>
      <c r="M123" s="173">
        <v>0</v>
      </c>
      <c r="N123" s="4">
        <v>-15000</v>
      </c>
      <c r="O123" s="4">
        <f>Tab_04.Abr[[#This Row],[DÉBITO]]-Tab_04.Abr[[#This Row],[CRÉDITO]]</f>
        <v>0</v>
      </c>
    </row>
    <row r="124" spans="2:15" hidden="1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2</v>
      </c>
      <c r="D124" s="2" t="str">
        <f>_xlfn.XLOOKUP($I124,Tab_00.Trial[CONTA],Tab_00.Trial[S/A],"",0,1)</f>
        <v>S</v>
      </c>
      <c r="E124" s="2">
        <f>IF($I124="","",COUNTIFS(Tab_00.Trial[CONTA],$I124))</f>
        <v>1</v>
      </c>
      <c r="F124" s="4">
        <f>SUMIFS(Tab_03.Mar[SALDO
ATUAL],Tab_03.Mar[CONTA],$I124)</f>
        <v>-82087967.730000004</v>
      </c>
      <c r="G124" s="4">
        <f t="shared" si="3"/>
        <v>0</v>
      </c>
      <c r="H124" s="3">
        <v>21200</v>
      </c>
      <c r="I124" s="3" t="s">
        <v>228</v>
      </c>
      <c r="J124" s="3" t="s">
        <v>670</v>
      </c>
      <c r="K124" s="173">
        <v>-82087967.730000004</v>
      </c>
      <c r="L124" s="1">
        <v>0</v>
      </c>
      <c r="M124" s="173">
        <v>0</v>
      </c>
      <c r="N124" s="4">
        <v>-82087967.730000004</v>
      </c>
      <c r="O124" s="4">
        <f>Tab_04.Abr[[#This Row],[DÉBITO]]-Tab_04.Abr[[#This Row],[CRÉDITO]]</f>
        <v>0</v>
      </c>
    </row>
    <row r="125" spans="2:15" hidden="1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5</v>
      </c>
      <c r="D125" s="2" t="str">
        <f>_xlfn.XLOOKUP($I125,Tab_00.Trial[CONTA],Tab_00.Trial[S/A],"",0,1)</f>
        <v>S</v>
      </c>
      <c r="E125" s="2">
        <f>IF($I125="","",COUNTIFS(Tab_00.Trial[CONTA],$I125))</f>
        <v>1</v>
      </c>
      <c r="F125" s="4">
        <f>SUMIFS(Tab_03.Mar[SALDO
ATUAL],Tab_03.Mar[CONTA],$I125)</f>
        <v>-82087967.730000004</v>
      </c>
      <c r="G125" s="4">
        <f t="shared" si="3"/>
        <v>0</v>
      </c>
      <c r="H125" s="3">
        <v>21215</v>
      </c>
      <c r="I125" s="3" t="s">
        <v>229</v>
      </c>
      <c r="J125" s="3" t="s">
        <v>670</v>
      </c>
      <c r="K125" s="173">
        <v>-82087967.730000004</v>
      </c>
      <c r="L125" s="1">
        <v>0</v>
      </c>
      <c r="M125" s="173">
        <v>0</v>
      </c>
      <c r="N125" s="4">
        <v>-82087967.730000004</v>
      </c>
      <c r="O125" s="4">
        <f>Tab_04.Abr[[#This Row],[DÉBITO]]-Tab_04.Abr[[#This Row],[CRÉDITO]]</f>
        <v>0</v>
      </c>
    </row>
    <row r="126" spans="2:15" hidden="1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S</v>
      </c>
      <c r="E126" s="2">
        <f>IF($I126="","",COUNTIFS(Tab_00.Trial[CONTA],$I126))</f>
        <v>1</v>
      </c>
      <c r="F126" s="4">
        <f>SUMIFS(Tab_03.Mar[SALDO
ATUAL],Tab_03.Mar[CONTA],$I126)</f>
        <v>-104784619.59999999</v>
      </c>
      <c r="G126" s="4">
        <f t="shared" si="3"/>
        <v>0</v>
      </c>
      <c r="H126" s="3">
        <v>21230</v>
      </c>
      <c r="I126" s="3" t="s">
        <v>230</v>
      </c>
      <c r="J126" s="3" t="s">
        <v>364</v>
      </c>
      <c r="K126" s="173">
        <v>-104784619.59999999</v>
      </c>
      <c r="L126" s="1">
        <v>0</v>
      </c>
      <c r="M126" s="173">
        <v>0</v>
      </c>
      <c r="N126" s="4">
        <v>-104784619.59999999</v>
      </c>
      <c r="O126" s="4">
        <f>Tab_04.Abr[[#This Row],[DÉBITO]]-Tab_04.Abr[[#This Row],[CRÉDITO]]</f>
        <v>0</v>
      </c>
    </row>
    <row r="127" spans="2:15" hidden="1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A</v>
      </c>
      <c r="E127" s="2">
        <f>IF($I127="","",COUNTIFS(Tab_00.Trial[CONTA],$I127))</f>
        <v>1</v>
      </c>
      <c r="F127" s="4">
        <f>SUMIFS(Tab_03.Mar[SALDO
ATUAL],Tab_03.Mar[CONTA],$I127)</f>
        <v>-104784619.59999999</v>
      </c>
      <c r="G127" s="4">
        <f t="shared" si="3"/>
        <v>0</v>
      </c>
      <c r="H127" s="3">
        <v>21245</v>
      </c>
      <c r="I127" s="3" t="s">
        <v>193</v>
      </c>
      <c r="J127" s="3" t="s">
        <v>364</v>
      </c>
      <c r="K127" s="173">
        <v>-104784619.59999999</v>
      </c>
      <c r="L127" s="1">
        <v>0</v>
      </c>
      <c r="M127" s="173">
        <v>0</v>
      </c>
      <c r="N127" s="4">
        <v>-104784619.59999999</v>
      </c>
      <c r="O127" s="4">
        <f>Tab_04.Abr[[#This Row],[DÉBITO]]-Tab_04.Abr[[#This Row],[CRÉDITO]]</f>
        <v>0</v>
      </c>
    </row>
    <row r="128" spans="2:15" hidden="1" x14ac:dyDescent="0.3">
      <c r="B128" s="2" t="str">
        <f>_xlfn.XLOOKUP($I128,Tab_00.Trial[CONTA],Tab_00.Trial[TP],"",0,1)</f>
        <v>P</v>
      </c>
      <c r="C128" s="2">
        <f>_xlfn.XLOOKUP($I128,Tab_00.Trial[CONTA],Tab_00.Trial[NV],"",0,1)</f>
        <v>5</v>
      </c>
      <c r="D128" s="2" t="str">
        <f>_xlfn.XLOOKUP($I128,Tab_00.Trial[CONTA],Tab_00.Trial[S/A],"",0,1)</f>
        <v>S</v>
      </c>
      <c r="E128" s="2">
        <f>IF($I128="","",COUNTIFS(Tab_00.Trial[CONTA],$I128))</f>
        <v>1</v>
      </c>
      <c r="F128" s="4">
        <f>SUMIFS(Tab_03.Mar[SALDO
ATUAL],Tab_03.Mar[CONTA],$I128)</f>
        <v>32587250.850000001</v>
      </c>
      <c r="G128" s="4">
        <f t="shared" si="3"/>
        <v>0</v>
      </c>
      <c r="H128" s="3">
        <v>21305</v>
      </c>
      <c r="I128" s="3" t="s">
        <v>568</v>
      </c>
      <c r="J128" s="3" t="s">
        <v>671</v>
      </c>
      <c r="K128" s="173">
        <v>32587250.850000001</v>
      </c>
      <c r="L128" s="1">
        <v>0</v>
      </c>
      <c r="M128" s="173">
        <v>0</v>
      </c>
      <c r="N128" s="4">
        <v>32587250.850000001</v>
      </c>
      <c r="O128" s="4">
        <f>Tab_04.Abr[[#This Row],[DÉBITO]]-Tab_04.Abr[[#This Row],[CRÉDITO]]</f>
        <v>0</v>
      </c>
    </row>
    <row r="129" spans="2:15" hidden="1" x14ac:dyDescent="0.3">
      <c r="B129" s="2" t="str">
        <f>_xlfn.XLOOKUP($I129,Tab_00.Trial[CONTA],Tab_00.Trial[TP],"",0,1)</f>
        <v>P</v>
      </c>
      <c r="C129" s="2">
        <f>_xlfn.XLOOKUP($I129,Tab_00.Trial[CONTA],Tab_00.Trial[NV],"",0,1)</f>
        <v>5</v>
      </c>
      <c r="D129" s="2" t="str">
        <f>_xlfn.XLOOKUP($I129,Tab_00.Trial[CONTA],Tab_00.Trial[S/A],"",0,1)</f>
        <v>A</v>
      </c>
      <c r="E129" s="2">
        <f>IF($I129="","",COUNTIFS(Tab_00.Trial[CONTA],$I129))</f>
        <v>1</v>
      </c>
      <c r="F129" s="4">
        <f>SUMIFS(Tab_03.Mar[SALDO
ATUAL],Tab_03.Mar[CONTA],$I129)</f>
        <v>-827719.82</v>
      </c>
      <c r="G129" s="4">
        <f t="shared" si="3"/>
        <v>0</v>
      </c>
      <c r="H129" s="3">
        <v>21320</v>
      </c>
      <c r="I129" s="3" t="s">
        <v>743</v>
      </c>
      <c r="J129" s="3" t="s">
        <v>744</v>
      </c>
      <c r="K129" s="173">
        <v>-827719.82</v>
      </c>
      <c r="L129" s="1">
        <v>0</v>
      </c>
      <c r="M129" s="173">
        <v>0</v>
      </c>
      <c r="N129" s="4">
        <v>-827719.82</v>
      </c>
      <c r="O129" s="4">
        <f>Tab_04.Abr[[#This Row],[DÉBITO]]-Tab_04.Abr[[#This Row],[CRÉDITO]]</f>
        <v>0</v>
      </c>
    </row>
    <row r="130" spans="2:15" hidden="1" x14ac:dyDescent="0.3">
      <c r="B130" s="2" t="str">
        <f>_xlfn.XLOOKUP($I130,Tab_00.Trial[CONTA],Tab_00.Trial[TP],"",0,1)</f>
        <v>P</v>
      </c>
      <c r="C130" s="2">
        <f>_xlfn.XLOOKUP($I130,Tab_00.Trial[CONTA],Tab_00.Trial[NV],"",0,1)</f>
        <v>5</v>
      </c>
      <c r="D130" s="2" t="str">
        <f>_xlfn.XLOOKUP($I130,Tab_00.Trial[CONTA],Tab_00.Trial[S/A],"",0,1)</f>
        <v>A</v>
      </c>
      <c r="E130" s="2">
        <f>IF($I130="","",COUNTIFS(Tab_00.Trial[CONTA],$I130))</f>
        <v>1</v>
      </c>
      <c r="F130" s="4">
        <f>SUMIFS(Tab_03.Mar[SALDO
ATUAL],Tab_03.Mar[CONTA],$I130)</f>
        <v>33414970.670000002</v>
      </c>
      <c r="G130" s="4">
        <f t="shared" si="3"/>
        <v>0</v>
      </c>
      <c r="H130" s="3">
        <v>21335</v>
      </c>
      <c r="I130" s="3" t="s">
        <v>365</v>
      </c>
      <c r="J130" s="3" t="s">
        <v>366</v>
      </c>
      <c r="K130" s="173">
        <v>33414970.670000002</v>
      </c>
      <c r="L130" s="1">
        <v>0</v>
      </c>
      <c r="M130" s="173">
        <v>0</v>
      </c>
      <c r="N130" s="4">
        <v>33414970.670000002</v>
      </c>
      <c r="O130" s="4">
        <f>Tab_04.Abr[[#This Row],[DÉBITO]]-Tab_04.Abr[[#This Row],[CRÉDITO]]</f>
        <v>0</v>
      </c>
    </row>
    <row r="131" spans="2:15" hidden="1" x14ac:dyDescent="0.3">
      <c r="B131" s="2" t="str">
        <f>_xlfn.XLOOKUP($I131,Tab_00.Trial[CONTA],Tab_00.Trial[TP],"",0,1)</f>
        <v>P</v>
      </c>
      <c r="C131" s="2">
        <f>_xlfn.XLOOKUP($I131,Tab_00.Trial[CONTA],Tab_00.Trial[NV],"",0,1)</f>
        <v>5</v>
      </c>
      <c r="D131" s="2" t="str">
        <f>_xlfn.XLOOKUP($I131,Tab_00.Trial[CONTA],Tab_00.Trial[S/A],"",0,1)</f>
        <v>S</v>
      </c>
      <c r="E131" s="2">
        <f>IF($I131="","",COUNTIFS(Tab_00.Trial[CONTA],$I131))</f>
        <v>1</v>
      </c>
      <c r="F131" s="4">
        <f>SUMIFS(Tab_03.Mar[SALDO
ATUAL],Tab_03.Mar[CONTA],$I131)</f>
        <v>-9890598.9800000004</v>
      </c>
      <c r="G131" s="4">
        <f t="shared" si="3"/>
        <v>0</v>
      </c>
      <c r="H131" s="3">
        <v>21350</v>
      </c>
      <c r="I131" s="3" t="s">
        <v>745</v>
      </c>
      <c r="J131" s="3" t="s">
        <v>746</v>
      </c>
      <c r="K131" s="173">
        <v>-9890598.9800000004</v>
      </c>
      <c r="L131" s="1">
        <v>0</v>
      </c>
      <c r="M131" s="1">
        <v>0</v>
      </c>
      <c r="N131" s="4">
        <v>-9890598.9800000004</v>
      </c>
      <c r="O131" s="4">
        <f>Tab_04.Abr[[#This Row],[DÉBITO]]-Tab_04.Abr[[#This Row],[CRÉDITO]]</f>
        <v>0</v>
      </c>
    </row>
    <row r="132" spans="2:15" hidden="1" x14ac:dyDescent="0.3">
      <c r="B132" s="2" t="str">
        <f>_xlfn.XLOOKUP($I132,Tab_00.Trial[CONTA],Tab_00.Trial[TP],"",0,1)</f>
        <v>P</v>
      </c>
      <c r="C132" s="2">
        <f>_xlfn.XLOOKUP($I132,Tab_00.Trial[CONTA],Tab_00.Trial[NV],"",0,1)</f>
        <v>5</v>
      </c>
      <c r="D132" s="2" t="str">
        <f>_xlfn.XLOOKUP($I132,Tab_00.Trial[CONTA],Tab_00.Trial[S/A],"",0,1)</f>
        <v>A</v>
      </c>
      <c r="E132" s="2">
        <f>IF($I132="","",COUNTIFS(Tab_00.Trial[CONTA],$I132))</f>
        <v>1</v>
      </c>
      <c r="F132" s="4">
        <f>SUMIFS(Tab_03.Mar[SALDO
ATUAL],Tab_03.Mar[CONTA],$I132)</f>
        <v>-9890598.9800000004</v>
      </c>
      <c r="G132" s="4">
        <f t="shared" si="3"/>
        <v>0</v>
      </c>
      <c r="H132" s="3">
        <v>21365</v>
      </c>
      <c r="I132" s="3" t="s">
        <v>747</v>
      </c>
      <c r="J132" s="3" t="s">
        <v>746</v>
      </c>
      <c r="K132" s="173">
        <v>-9890598.9800000004</v>
      </c>
      <c r="L132" s="1">
        <v>0</v>
      </c>
      <c r="M132" s="1">
        <v>0</v>
      </c>
      <c r="N132" s="4">
        <v>-9890598.9800000004</v>
      </c>
      <c r="O132" s="4">
        <f>Tab_04.Abr[[#This Row],[DÉBITO]]-Tab_04.Abr[[#This Row],[CRÉDITO]]</f>
        <v>0</v>
      </c>
    </row>
    <row r="133" spans="2:15" hidden="1" x14ac:dyDescent="0.3">
      <c r="B133" s="2" t="str">
        <f>_xlfn.XLOOKUP($I133,Tab_00.Trial[CONTA],Tab_00.Trial[TP],"",0,1)</f>
        <v>R</v>
      </c>
      <c r="C133" s="2">
        <f>_xlfn.XLOOKUP($I133,Tab_00.Trial[CONTA],Tab_00.Trial[NV],"",0,1)</f>
        <v>1</v>
      </c>
      <c r="D133" s="2" t="str">
        <f>_xlfn.XLOOKUP($I133,Tab_00.Trial[CONTA],Tab_00.Trial[S/A],"",0,1)</f>
        <v>S</v>
      </c>
      <c r="E133" s="2">
        <f>IF($I133="","",COUNTIFS(Tab_00.Trial[CONTA],$I133))</f>
        <v>1</v>
      </c>
      <c r="F133" s="4">
        <f>SUMIFS(Tab_03.Mar[SALDO
ATUAL],Tab_03.Mar[CONTA],$I133)</f>
        <v>-3704345.37</v>
      </c>
      <c r="G133" s="4">
        <f t="shared" si="3"/>
        <v>0</v>
      </c>
      <c r="H133" s="3">
        <v>30000</v>
      </c>
      <c r="I133" s="3">
        <v>3</v>
      </c>
      <c r="J133" s="3" t="s">
        <v>672</v>
      </c>
      <c r="K133" s="173">
        <v>-3704345.37</v>
      </c>
      <c r="L133" s="1">
        <v>114819.6</v>
      </c>
      <c r="M133" s="173">
        <v>1196819.54</v>
      </c>
      <c r="N133" s="4">
        <v>-4786345.3099999996</v>
      </c>
      <c r="O133" s="4">
        <f>Tab_04.Abr[[#This Row],[DÉBITO]]-Tab_04.Abr[[#This Row],[CRÉDITO]]</f>
        <v>-1081999.94</v>
      </c>
    </row>
    <row r="134" spans="2:15" hidden="1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2</v>
      </c>
      <c r="D134" s="2" t="str">
        <f>_xlfn.XLOOKUP($I134,Tab_00.Trial[CONTA],Tab_00.Trial[S/A],"",0,1)</f>
        <v>S</v>
      </c>
      <c r="E134" s="2">
        <f>IF($I134="","",COUNTIFS(Tab_00.Trial[CONTA],$I134))</f>
        <v>1</v>
      </c>
      <c r="F134" s="4">
        <f>SUMIFS(Tab_03.Mar[SALDO
ATUAL],Tab_03.Mar[CONTA],$I134)</f>
        <v>-1675729.13</v>
      </c>
      <c r="G134" s="4">
        <f t="shared" si="3"/>
        <v>0</v>
      </c>
      <c r="H134" s="3">
        <v>30030</v>
      </c>
      <c r="I134" s="3" t="s">
        <v>231</v>
      </c>
      <c r="J134" s="3" t="s">
        <v>673</v>
      </c>
      <c r="K134" s="173">
        <v>-1675729.13</v>
      </c>
      <c r="L134" s="1">
        <v>0</v>
      </c>
      <c r="M134" s="173">
        <v>664005.6</v>
      </c>
      <c r="N134" s="4">
        <v>-2339734.73</v>
      </c>
      <c r="O134" s="4">
        <f>Tab_04.Abr[[#This Row],[DÉBITO]]-Tab_04.Abr[[#This Row],[CRÉDITO]]</f>
        <v>-664005.6</v>
      </c>
    </row>
    <row r="135" spans="2:15" hidden="1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5</v>
      </c>
      <c r="D135" s="2" t="str">
        <f>_xlfn.XLOOKUP($I135,Tab_00.Trial[CONTA],Tab_00.Trial[S/A],"",0,1)</f>
        <v>S</v>
      </c>
      <c r="E135" s="2">
        <f>IF($I135="","",COUNTIFS(Tab_00.Trial[CONTA],$I135))</f>
        <v>1</v>
      </c>
      <c r="F135" s="4">
        <f>SUMIFS(Tab_03.Mar[SALDO
ATUAL],Tab_03.Mar[CONTA],$I135)</f>
        <v>-1064866.8999999999</v>
      </c>
      <c r="G135" s="4">
        <f t="shared" si="3"/>
        <v>0</v>
      </c>
      <c r="H135" s="3">
        <v>30045</v>
      </c>
      <c r="I135" s="3" t="s">
        <v>232</v>
      </c>
      <c r="J135" s="3" t="s">
        <v>674</v>
      </c>
      <c r="K135" s="173">
        <v>-1064866.8999999999</v>
      </c>
      <c r="L135" s="1">
        <v>0</v>
      </c>
      <c r="M135" s="173">
        <v>312504.86</v>
      </c>
      <c r="N135" s="4">
        <v>-1377371.76</v>
      </c>
      <c r="O135" s="4">
        <f>Tab_04.Abr[[#This Row],[DÉBITO]]-Tab_04.Abr[[#This Row],[CRÉDITO]]</f>
        <v>-312504.86</v>
      </c>
    </row>
    <row r="136" spans="2:15" hidden="1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S</v>
      </c>
      <c r="E136" s="2">
        <f>IF($I136="","",COUNTIFS(Tab_00.Trial[CONTA],$I136))</f>
        <v>1</v>
      </c>
      <c r="F136" s="4">
        <f>SUMIFS(Tab_03.Mar[SALDO
ATUAL],Tab_03.Mar[CONTA],$I136)</f>
        <v>-382498.04</v>
      </c>
      <c r="G136" s="4">
        <f t="shared" si="3"/>
        <v>0</v>
      </c>
      <c r="H136" s="3">
        <v>30470</v>
      </c>
      <c r="I136" s="3" t="s">
        <v>233</v>
      </c>
      <c r="J136" s="3" t="s">
        <v>675</v>
      </c>
      <c r="K136" s="173">
        <v>-382498.04</v>
      </c>
      <c r="L136" s="1">
        <v>0</v>
      </c>
      <c r="M136" s="173">
        <v>132289.44</v>
      </c>
      <c r="N136" s="4">
        <v>-514787.48</v>
      </c>
      <c r="O136" s="4">
        <f>Tab_04.Abr[[#This Row],[DÉBITO]]-Tab_04.Abr[[#This Row],[CRÉDITO]]</f>
        <v>-132289.44</v>
      </c>
    </row>
    <row r="137" spans="2:15" hidden="1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A</v>
      </c>
      <c r="E137" s="2">
        <f>IF($I137="","",COUNTIFS(Tab_00.Trial[CONTA],$I137))</f>
        <v>1</v>
      </c>
      <c r="F137" s="4">
        <f>SUMIFS(Tab_03.Mar[SALDO
ATUAL],Tab_03.Mar[CONTA],$I137)</f>
        <v>-382498.04</v>
      </c>
      <c r="G137" s="4">
        <f t="shared" si="3"/>
        <v>0</v>
      </c>
      <c r="H137" s="3">
        <v>30471</v>
      </c>
      <c r="I137" s="3" t="s">
        <v>194</v>
      </c>
      <c r="J137" s="3" t="s">
        <v>367</v>
      </c>
      <c r="K137" s="1">
        <v>-382498.04</v>
      </c>
      <c r="L137" s="1">
        <v>0</v>
      </c>
      <c r="M137" s="1">
        <v>132289.44</v>
      </c>
      <c r="N137" s="4">
        <v>-514787.48</v>
      </c>
      <c r="O137" s="4">
        <f>Tab_04.Abr[[#This Row],[DÉBITO]]-Tab_04.Abr[[#This Row],[CRÉDITO]]</f>
        <v>-132289.44</v>
      </c>
    </row>
    <row r="138" spans="2:15" hidden="1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S</v>
      </c>
      <c r="E138" s="2">
        <f>IF($I138="","",COUNTIFS(Tab_00.Trial[CONTA],$I138))</f>
        <v>1</v>
      </c>
      <c r="F138" s="4">
        <f>SUMIFS(Tab_03.Mar[SALDO
ATUAL],Tab_03.Mar[CONTA],$I138)</f>
        <v>-682368.86</v>
      </c>
      <c r="G138" s="4">
        <f t="shared" si="3"/>
        <v>0</v>
      </c>
      <c r="H138" s="3">
        <v>30475</v>
      </c>
      <c r="I138" s="3" t="s">
        <v>735</v>
      </c>
      <c r="J138" s="3" t="s">
        <v>736</v>
      </c>
      <c r="K138" s="1">
        <v>-682368.86</v>
      </c>
      <c r="L138" s="1">
        <v>0</v>
      </c>
      <c r="M138" s="1">
        <v>180215.42</v>
      </c>
      <c r="N138" s="4">
        <v>-862584.28</v>
      </c>
      <c r="O138" s="4">
        <f>Tab_04.Abr[[#This Row],[DÉBITO]]-Tab_04.Abr[[#This Row],[CRÉDITO]]</f>
        <v>-180215.42</v>
      </c>
    </row>
    <row r="139" spans="2:15" hidden="1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A</v>
      </c>
      <c r="E139" s="2">
        <f>IF($I139="","",COUNTIFS(Tab_00.Trial[CONTA],$I139))</f>
        <v>1</v>
      </c>
      <c r="F139" s="4">
        <f>SUMIFS(Tab_03.Mar[SALDO
ATUAL],Tab_03.Mar[CONTA],$I139)</f>
        <v>-682368.86</v>
      </c>
      <c r="G139" s="4">
        <f t="shared" si="3"/>
        <v>0</v>
      </c>
      <c r="H139" s="3">
        <v>30476</v>
      </c>
      <c r="I139" s="3" t="s">
        <v>737</v>
      </c>
      <c r="J139" s="3" t="s">
        <v>814</v>
      </c>
      <c r="K139" s="1">
        <v>-682368.86</v>
      </c>
      <c r="L139" s="1">
        <v>0</v>
      </c>
      <c r="M139" s="1">
        <v>180215.42</v>
      </c>
      <c r="N139" s="4">
        <v>-862584.28</v>
      </c>
      <c r="O139" s="4">
        <f>Tab_04.Abr[[#This Row],[DÉBITO]]-Tab_04.Abr[[#This Row],[CRÉDITO]]</f>
        <v>-180215.42</v>
      </c>
    </row>
    <row r="140" spans="2:15" hidden="1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S</v>
      </c>
      <c r="E140" s="2">
        <f>IF($I140="","",COUNTIFS(Tab_00.Trial[CONTA],$I140))</f>
        <v>1</v>
      </c>
      <c r="F140" s="4">
        <f>SUMIFS(Tab_03.Mar[SALDO
ATUAL],Tab_03.Mar[CONTA],$I140)</f>
        <v>-610862.23</v>
      </c>
      <c r="G140" s="4">
        <f t="shared" si="3"/>
        <v>0</v>
      </c>
      <c r="H140" s="3">
        <v>30645</v>
      </c>
      <c r="I140" s="3" t="s">
        <v>569</v>
      </c>
      <c r="J140" s="3" t="s">
        <v>676</v>
      </c>
      <c r="K140" s="1">
        <v>-610862.23</v>
      </c>
      <c r="L140" s="1">
        <v>0</v>
      </c>
      <c r="M140" s="1">
        <v>351500.74</v>
      </c>
      <c r="N140" s="4">
        <v>-962362.97</v>
      </c>
      <c r="O140" s="4">
        <f>Tab_04.Abr[[#This Row],[DÉBITO]]-Tab_04.Abr[[#This Row],[CRÉDITO]]</f>
        <v>-351500.74</v>
      </c>
    </row>
    <row r="141" spans="2:15" hidden="1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5</v>
      </c>
      <c r="D141" s="2" t="str">
        <f>_xlfn.XLOOKUP($I141,Tab_00.Trial[CONTA],Tab_00.Trial[S/A],"",0,1)</f>
        <v>S</v>
      </c>
      <c r="E141" s="2">
        <f>IF($I141="","",COUNTIFS(Tab_00.Trial[CONTA],$I141))</f>
        <v>1</v>
      </c>
      <c r="F141" s="4">
        <f>SUMIFS(Tab_03.Mar[SALDO
ATUAL],Tab_03.Mar[CONTA],$I141)</f>
        <v>-361963.99</v>
      </c>
      <c r="G141" s="4">
        <f t="shared" si="3"/>
        <v>0</v>
      </c>
      <c r="H141" s="3">
        <v>30660</v>
      </c>
      <c r="I141" s="3" t="s">
        <v>570</v>
      </c>
      <c r="J141" s="3" t="s">
        <v>677</v>
      </c>
      <c r="K141" s="1">
        <v>-361963.99</v>
      </c>
      <c r="L141" s="1">
        <v>0</v>
      </c>
      <c r="M141" s="1">
        <v>268534.65999999997</v>
      </c>
      <c r="N141" s="4">
        <v>-630498.65</v>
      </c>
      <c r="O141" s="4">
        <f>Tab_04.Abr[[#This Row],[DÉBITO]]-Tab_04.Abr[[#This Row],[CRÉDITO]]</f>
        <v>-268534.65999999997</v>
      </c>
    </row>
    <row r="142" spans="2:15" hidden="1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A</v>
      </c>
      <c r="E142" s="2">
        <f>IF($I142="","",COUNTIFS(Tab_00.Trial[CONTA],$I142))</f>
        <v>1</v>
      </c>
      <c r="F142" s="4">
        <f>SUMIFS(Tab_03.Mar[SALDO
ATUAL],Tab_03.Mar[CONTA],$I142)</f>
        <v>-115763.06</v>
      </c>
      <c r="G142" s="4">
        <f t="shared" si="3"/>
        <v>0</v>
      </c>
      <c r="H142" s="3">
        <v>30675</v>
      </c>
      <c r="I142" s="3" t="s">
        <v>368</v>
      </c>
      <c r="J142" s="3" t="s">
        <v>369</v>
      </c>
      <c r="K142" s="173">
        <v>-115763.06</v>
      </c>
      <c r="L142" s="1">
        <v>0</v>
      </c>
      <c r="M142" s="173">
        <v>126167.7</v>
      </c>
      <c r="N142" s="4">
        <v>-241930.76</v>
      </c>
      <c r="O142" s="4">
        <f>Tab_04.Abr[[#This Row],[DÉBITO]]-Tab_04.Abr[[#This Row],[CRÉDITO]]</f>
        <v>-126167.7</v>
      </c>
    </row>
    <row r="143" spans="2:15" hidden="1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A</v>
      </c>
      <c r="E143" s="2">
        <f>IF($I143="","",COUNTIFS(Tab_00.Trial[CONTA],$I143))</f>
        <v>1</v>
      </c>
      <c r="F143" s="4">
        <f>SUMIFS(Tab_03.Mar[SALDO
ATUAL],Tab_03.Mar[CONTA],$I143)</f>
        <v>-199421.78</v>
      </c>
      <c r="G143" s="4">
        <f t="shared" si="3"/>
        <v>0</v>
      </c>
      <c r="H143" s="3">
        <v>30690</v>
      </c>
      <c r="I143" s="3" t="s">
        <v>370</v>
      </c>
      <c r="J143" s="3" t="s">
        <v>371</v>
      </c>
      <c r="K143" s="173">
        <v>-199421.78</v>
      </c>
      <c r="L143" s="1">
        <v>0</v>
      </c>
      <c r="M143" s="173">
        <v>36809.230000000003</v>
      </c>
      <c r="N143" s="4">
        <v>-236231.01</v>
      </c>
      <c r="O143" s="4">
        <f>Tab_04.Abr[[#This Row],[DÉBITO]]-Tab_04.Abr[[#This Row],[CRÉDITO]]</f>
        <v>-36809.230000000003</v>
      </c>
    </row>
    <row r="144" spans="2:15" hidden="1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5</v>
      </c>
      <c r="D144" s="2" t="str">
        <f>_xlfn.XLOOKUP($I144,Tab_00.Trial[CONTA],Tab_00.Trial[S/A],"",0,1)</f>
        <v>A</v>
      </c>
      <c r="E144" s="2">
        <f>IF($I144="","",COUNTIFS(Tab_00.Trial[CONTA],$I144))</f>
        <v>1</v>
      </c>
      <c r="F144" s="4">
        <f>SUMIFS(Tab_03.Mar[SALDO
ATUAL],Tab_03.Mar[CONTA],$I144)</f>
        <v>-5670.16</v>
      </c>
      <c r="G144" s="4">
        <f t="shared" si="3"/>
        <v>0</v>
      </c>
      <c r="H144" s="3">
        <v>30705</v>
      </c>
      <c r="I144" s="3" t="s">
        <v>372</v>
      </c>
      <c r="J144" s="3" t="s">
        <v>373</v>
      </c>
      <c r="K144" s="173">
        <v>-5670.16</v>
      </c>
      <c r="L144" s="1">
        <v>0</v>
      </c>
      <c r="M144" s="173">
        <v>0</v>
      </c>
      <c r="N144" s="4">
        <v>-5670.16</v>
      </c>
      <c r="O144" s="4">
        <f>Tab_04.Abr[[#This Row],[DÉBITO]]-Tab_04.Abr[[#This Row],[CRÉDITO]]</f>
        <v>0</v>
      </c>
    </row>
    <row r="145" spans="2:15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5</v>
      </c>
      <c r="D145" s="2" t="str">
        <f>_xlfn.XLOOKUP($I145,Tab_00.Trial[CONTA],Tab_00.Trial[S/A],"",0,1)</f>
        <v>A</v>
      </c>
      <c r="E145" s="2">
        <f>IF($I145="","",COUNTIFS(Tab_00.Trial[CONTA],$I145))</f>
        <v>1</v>
      </c>
      <c r="F145" s="4">
        <f>SUMIFS(Tab_03.Mar[SALDO
ATUAL],Tab_03.Mar[CONTA],$I145)</f>
        <v>0</v>
      </c>
      <c r="G145" s="4">
        <f t="shared" si="3"/>
        <v>0</v>
      </c>
      <c r="H145" s="3">
        <v>30710</v>
      </c>
      <c r="I145" s="3" t="s">
        <v>845</v>
      </c>
      <c r="J145" s="3" t="s">
        <v>846</v>
      </c>
      <c r="K145" s="173">
        <v>0</v>
      </c>
      <c r="L145" s="1">
        <v>0</v>
      </c>
      <c r="M145" s="1">
        <v>89524.57</v>
      </c>
      <c r="N145" s="4">
        <v>-89524.57</v>
      </c>
      <c r="O145" s="4">
        <f>Tab_04.Abr[[#This Row],[DÉBITO]]-Tab_04.Abr[[#This Row],[CRÉDITO]]</f>
        <v>-89524.57</v>
      </c>
    </row>
    <row r="146" spans="2:15" hidden="1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5</v>
      </c>
      <c r="D146" s="2" t="str">
        <f>_xlfn.XLOOKUP($I146,Tab_00.Trial[CONTA],Tab_00.Trial[S/A],"",0,1)</f>
        <v>A</v>
      </c>
      <c r="E146" s="2">
        <f>IF($I146="","",COUNTIFS(Tab_00.Trial[CONTA],$I146))</f>
        <v>1</v>
      </c>
      <c r="F146" s="4">
        <f>SUMIFS(Tab_03.Mar[SALDO
ATUAL],Tab_03.Mar[CONTA],$I146)</f>
        <v>-41108.99</v>
      </c>
      <c r="G146" s="4">
        <f t="shared" ref="G146:G161" si="4">$F146-$K146</f>
        <v>0</v>
      </c>
      <c r="H146" s="3">
        <v>10895</v>
      </c>
      <c r="I146" s="3" t="s">
        <v>927</v>
      </c>
      <c r="J146" s="3" t="s">
        <v>928</v>
      </c>
      <c r="K146" s="173">
        <v>-41108.99</v>
      </c>
      <c r="L146" s="1">
        <v>0</v>
      </c>
      <c r="M146" s="173">
        <v>16033.16</v>
      </c>
      <c r="N146" s="4">
        <v>-57142.15</v>
      </c>
      <c r="O146" s="4">
        <f>Tab_04.Abr[[#This Row],[DÉBITO]]-Tab_04.Abr[[#This Row],[CRÉDITO]]</f>
        <v>-16033.16</v>
      </c>
    </row>
    <row r="147" spans="2:15" hidden="1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5</v>
      </c>
      <c r="D147" s="2" t="str">
        <f>_xlfn.XLOOKUP($I147,Tab_00.Trial[CONTA],Tab_00.Trial[S/A],"",0,1)</f>
        <v>S</v>
      </c>
      <c r="E147" s="2">
        <f>IF($I147="","",COUNTIFS(Tab_00.Trial[CONTA],$I147))</f>
        <v>1</v>
      </c>
      <c r="F147" s="4">
        <f>SUMIFS(Tab_03.Mar[SALDO
ATUAL],Tab_03.Mar[CONTA],$I147)</f>
        <v>-248898.24</v>
      </c>
      <c r="G147" s="4">
        <f t="shared" si="4"/>
        <v>0</v>
      </c>
      <c r="H147" s="3">
        <v>30720</v>
      </c>
      <c r="I147" s="3" t="s">
        <v>571</v>
      </c>
      <c r="J147" s="3" t="s">
        <v>377</v>
      </c>
      <c r="K147" s="1">
        <v>-248898.24</v>
      </c>
      <c r="L147" s="1">
        <v>0</v>
      </c>
      <c r="M147" s="1">
        <v>82966.080000000002</v>
      </c>
      <c r="N147" s="4">
        <v>-331864.32000000001</v>
      </c>
      <c r="O147" s="4">
        <f>Tab_04.Abr[[#This Row],[DÉBITO]]-Tab_04.Abr[[#This Row],[CRÉDITO]]</f>
        <v>-82966.080000000002</v>
      </c>
    </row>
    <row r="148" spans="2:15" hidden="1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A</v>
      </c>
      <c r="E148" s="2">
        <f>IF($I148="","",COUNTIFS(Tab_00.Trial[CONTA],$I148))</f>
        <v>1</v>
      </c>
      <c r="F148" s="4">
        <f>SUMIFS(Tab_03.Mar[SALDO
ATUAL],Tab_03.Mar[CONTA],$I148)</f>
        <v>-248898.24</v>
      </c>
      <c r="G148" s="4">
        <f t="shared" si="4"/>
        <v>0</v>
      </c>
      <c r="H148" s="3">
        <v>30735</v>
      </c>
      <c r="I148" s="3" t="s">
        <v>376</v>
      </c>
      <c r="J148" s="3" t="s">
        <v>377</v>
      </c>
      <c r="K148" s="1">
        <v>-248898.24</v>
      </c>
      <c r="L148" s="1">
        <v>0</v>
      </c>
      <c r="M148" s="1">
        <v>82966.080000000002</v>
      </c>
      <c r="N148" s="4">
        <v>-331864.32000000001</v>
      </c>
      <c r="O148" s="4">
        <f>Tab_04.Abr[[#This Row],[DÉBITO]]-Tab_04.Abr[[#This Row],[CRÉDITO]]</f>
        <v>-82966.080000000002</v>
      </c>
    </row>
    <row r="149" spans="2:15" hidden="1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2</v>
      </c>
      <c r="D149" s="2" t="str">
        <f>_xlfn.XLOOKUP($I149,Tab_00.Trial[CONTA],Tab_00.Trial[S/A],"",0,1)</f>
        <v>S</v>
      </c>
      <c r="E149" s="2">
        <f>IF($I149="","",COUNTIFS(Tab_00.Trial[CONTA],$I149))</f>
        <v>1</v>
      </c>
      <c r="F149" s="4">
        <f>SUMIFS(Tab_03.Mar[SALDO
ATUAL],Tab_03.Mar[CONTA],$I149)</f>
        <v>-1297631.08</v>
      </c>
      <c r="G149" s="4">
        <f t="shared" si="4"/>
        <v>0</v>
      </c>
      <c r="H149" s="3">
        <v>31065</v>
      </c>
      <c r="I149" s="3" t="s">
        <v>574</v>
      </c>
      <c r="J149" s="3" t="s">
        <v>680</v>
      </c>
      <c r="K149" s="1">
        <v>-1297631.08</v>
      </c>
      <c r="L149" s="1">
        <v>0</v>
      </c>
      <c r="M149" s="1">
        <v>440421.58</v>
      </c>
      <c r="N149" s="4">
        <v>-1738052.66</v>
      </c>
      <c r="O149" s="4">
        <f>Tab_04.Abr[[#This Row],[DÉBITO]]-Tab_04.Abr[[#This Row],[CRÉDITO]]</f>
        <v>-440421.58</v>
      </c>
    </row>
    <row r="150" spans="2:15" hidden="1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5</v>
      </c>
      <c r="D150" s="2" t="str">
        <f>_xlfn.XLOOKUP($I150,Tab_00.Trial[CONTA],Tab_00.Trial[S/A],"",0,1)</f>
        <v>S</v>
      </c>
      <c r="E150" s="2">
        <f>IF($I150="","",COUNTIFS(Tab_00.Trial[CONTA],$I150))</f>
        <v>1</v>
      </c>
      <c r="F150" s="4">
        <f>SUMIFS(Tab_03.Mar[SALDO
ATUAL],Tab_03.Mar[CONTA],$I150)</f>
        <v>-1297631.08</v>
      </c>
      <c r="G150" s="4">
        <f t="shared" si="4"/>
        <v>0</v>
      </c>
      <c r="H150" s="3">
        <v>31260</v>
      </c>
      <c r="I150" s="3" t="s">
        <v>580</v>
      </c>
      <c r="J150" s="3" t="s">
        <v>816</v>
      </c>
      <c r="K150" s="173">
        <v>-1297631.08</v>
      </c>
      <c r="L150" s="1">
        <v>0</v>
      </c>
      <c r="M150" s="173">
        <v>440421.58</v>
      </c>
      <c r="N150" s="4">
        <v>-1738052.66</v>
      </c>
      <c r="O150" s="4">
        <f>Tab_04.Abr[[#This Row],[DÉBITO]]-Tab_04.Abr[[#This Row],[CRÉDITO]]</f>
        <v>-440421.58</v>
      </c>
    </row>
    <row r="151" spans="2:15" hidden="1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5</v>
      </c>
      <c r="D151" s="2" t="str">
        <f>_xlfn.XLOOKUP($I151,Tab_00.Trial[CONTA],Tab_00.Trial[S/A],"",0,1)</f>
        <v>S</v>
      </c>
      <c r="E151" s="2">
        <f>IF($I151="","",COUNTIFS(Tab_00.Trial[CONTA],$I151))</f>
        <v>1</v>
      </c>
      <c r="F151" s="4">
        <f>SUMIFS(Tab_03.Mar[SALDO
ATUAL],Tab_03.Mar[CONTA],$I151)</f>
        <v>-1297631.08</v>
      </c>
      <c r="G151" s="4">
        <f t="shared" si="4"/>
        <v>0</v>
      </c>
      <c r="H151" s="3">
        <v>31275</v>
      </c>
      <c r="I151" s="3" t="s">
        <v>581</v>
      </c>
      <c r="J151" s="3" t="s">
        <v>687</v>
      </c>
      <c r="K151" s="173">
        <v>-1297631.08</v>
      </c>
      <c r="L151" s="1">
        <v>0</v>
      </c>
      <c r="M151" s="173">
        <v>440421.58</v>
      </c>
      <c r="N151" s="4">
        <v>-1738052.66</v>
      </c>
      <c r="O151" s="4">
        <f>Tab_04.Abr[[#This Row],[DÉBITO]]-Tab_04.Abr[[#This Row],[CRÉDITO]]</f>
        <v>-440421.58</v>
      </c>
    </row>
    <row r="152" spans="2:15" hidden="1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5</v>
      </c>
      <c r="D152" s="2" t="str">
        <f>_xlfn.XLOOKUP($I152,Tab_00.Trial[CONTA],Tab_00.Trial[S/A],"",0,1)</f>
        <v>A</v>
      </c>
      <c r="E152" s="2">
        <f>IF($I152="","",COUNTIFS(Tab_00.Trial[CONTA],$I152))</f>
        <v>1</v>
      </c>
      <c r="F152" s="4">
        <f>SUMIFS(Tab_03.Mar[SALDO
ATUAL],Tab_03.Mar[CONTA],$I152)</f>
        <v>-1264412.94</v>
      </c>
      <c r="G152" s="4">
        <f t="shared" si="4"/>
        <v>0</v>
      </c>
      <c r="H152" s="3">
        <v>31291</v>
      </c>
      <c r="I152" s="3" t="s">
        <v>387</v>
      </c>
      <c r="J152" s="3" t="s">
        <v>388</v>
      </c>
      <c r="K152" s="173">
        <v>-1264412.94</v>
      </c>
      <c r="L152" s="1">
        <v>0</v>
      </c>
      <c r="M152" s="173">
        <v>440421.58</v>
      </c>
      <c r="N152" s="4">
        <v>-1704834.52</v>
      </c>
      <c r="O152" s="4">
        <f>Tab_04.Abr[[#This Row],[DÉBITO]]-Tab_04.Abr[[#This Row],[CRÉDITO]]</f>
        <v>-440421.58</v>
      </c>
    </row>
    <row r="153" spans="2:15" hidden="1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5</v>
      </c>
      <c r="D153" s="2" t="str">
        <f>_xlfn.XLOOKUP($I153,Tab_00.Trial[CONTA],Tab_00.Trial[S/A],"",0,1)</f>
        <v>A</v>
      </c>
      <c r="E153" s="2">
        <f>IF($I153="","",COUNTIFS(Tab_00.Trial[CONTA],$I153))</f>
        <v>1</v>
      </c>
      <c r="F153" s="4">
        <f>SUMIFS(Tab_03.Mar[SALDO
ATUAL],Tab_03.Mar[CONTA],$I153)</f>
        <v>-33218.14</v>
      </c>
      <c r="G153" s="4">
        <f t="shared" si="4"/>
        <v>0</v>
      </c>
      <c r="H153" s="3">
        <v>31292</v>
      </c>
      <c r="I153" s="3" t="s">
        <v>389</v>
      </c>
      <c r="J153" s="3" t="s">
        <v>390</v>
      </c>
      <c r="K153" s="1">
        <v>-33218.14</v>
      </c>
      <c r="L153" s="1">
        <v>0</v>
      </c>
      <c r="M153" s="1">
        <v>0</v>
      </c>
      <c r="N153" s="4">
        <v>-33218.14</v>
      </c>
      <c r="O153" s="4">
        <f>Tab_04.Abr[[#This Row],[DÉBITO]]-Tab_04.Abr[[#This Row],[CRÉDITO]]</f>
        <v>0</v>
      </c>
    </row>
    <row r="154" spans="2:15" hidden="1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2</v>
      </c>
      <c r="D154" s="2" t="str">
        <f>_xlfn.XLOOKUP($I154,Tab_00.Trial[CONTA],Tab_00.Trial[S/A],"",0,1)</f>
        <v>S</v>
      </c>
      <c r="E154" s="2">
        <f>IF($I154="","",COUNTIFS(Tab_00.Trial[CONTA],$I154))</f>
        <v>1</v>
      </c>
      <c r="F154" s="4">
        <f>SUMIFS(Tab_03.Mar[SALDO
ATUAL],Tab_03.Mar[CONTA],$I154)</f>
        <v>-728285.16</v>
      </c>
      <c r="G154" s="4">
        <f t="shared" si="4"/>
        <v>0</v>
      </c>
      <c r="H154" s="3">
        <v>31470</v>
      </c>
      <c r="I154" s="3" t="s">
        <v>582</v>
      </c>
      <c r="J154" s="3" t="s">
        <v>688</v>
      </c>
      <c r="K154" s="1">
        <v>-728285.16</v>
      </c>
      <c r="L154" s="1">
        <v>114819.6</v>
      </c>
      <c r="M154" s="1">
        <v>90092.36</v>
      </c>
      <c r="N154" s="4">
        <v>-703557.92</v>
      </c>
      <c r="O154" s="4">
        <f>Tab_04.Abr[[#This Row],[DÉBITO]]-Tab_04.Abr[[#This Row],[CRÉDITO]]</f>
        <v>24727.24</v>
      </c>
    </row>
    <row r="155" spans="2:15" hidden="1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5</v>
      </c>
      <c r="D155" s="2" t="str">
        <f>_xlfn.XLOOKUP($I155,Tab_00.Trial[CONTA],Tab_00.Trial[S/A],"",0,1)</f>
        <v>S</v>
      </c>
      <c r="E155" s="2">
        <f>IF($I155="","",COUNTIFS(Tab_00.Trial[CONTA],$I155))</f>
        <v>1</v>
      </c>
      <c r="F155" s="4">
        <f>SUMIFS(Tab_03.Mar[SALDO
ATUAL],Tab_03.Mar[CONTA],$I155)</f>
        <v>-73.3</v>
      </c>
      <c r="G155" s="4">
        <f t="shared" si="4"/>
        <v>0</v>
      </c>
      <c r="H155" s="3">
        <v>31590</v>
      </c>
      <c r="I155" s="3" t="s">
        <v>583</v>
      </c>
      <c r="J155" s="3" t="s">
        <v>689</v>
      </c>
      <c r="K155" s="1">
        <v>-73.3</v>
      </c>
      <c r="L155" s="1">
        <v>0</v>
      </c>
      <c r="M155" s="1">
        <v>0.05</v>
      </c>
      <c r="N155" s="4">
        <v>-73.349999999999994</v>
      </c>
      <c r="O155" s="4">
        <f>Tab_04.Abr[[#This Row],[DÉBITO]]-Tab_04.Abr[[#This Row],[CRÉDITO]]</f>
        <v>-0.05</v>
      </c>
    </row>
    <row r="156" spans="2:15" hidden="1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5</v>
      </c>
      <c r="D156" s="2" t="str">
        <f>_xlfn.XLOOKUP($I156,Tab_00.Trial[CONTA],Tab_00.Trial[S/A],"",0,1)</f>
        <v>S</v>
      </c>
      <c r="E156" s="2">
        <f>IF($I156="","",COUNTIFS(Tab_00.Trial[CONTA],$I156))</f>
        <v>1</v>
      </c>
      <c r="F156" s="4">
        <f>SUMIFS(Tab_03.Mar[SALDO
ATUAL],Tab_03.Mar[CONTA],$I156)</f>
        <v>-73.3</v>
      </c>
      <c r="G156" s="4">
        <f t="shared" si="4"/>
        <v>0</v>
      </c>
      <c r="H156" s="3">
        <v>31605</v>
      </c>
      <c r="I156" s="3" t="s">
        <v>584</v>
      </c>
      <c r="J156" s="3" t="s">
        <v>689</v>
      </c>
      <c r="K156" s="1">
        <v>-73.3</v>
      </c>
      <c r="L156" s="1">
        <v>0</v>
      </c>
      <c r="M156" s="1">
        <v>0.05</v>
      </c>
      <c r="N156" s="4">
        <v>-73.349999999999994</v>
      </c>
      <c r="O156" s="4">
        <f>Tab_04.Abr[[#This Row],[DÉBITO]]-Tab_04.Abr[[#This Row],[CRÉDITO]]</f>
        <v>-0.05</v>
      </c>
    </row>
    <row r="157" spans="2:15" hidden="1" x14ac:dyDescent="0.3">
      <c r="B157" s="2" t="str">
        <f>_xlfn.XLOOKUP($I157,Tab_00.Trial[CONTA],Tab_00.Trial[TP],"",0,1)</f>
        <v>R</v>
      </c>
      <c r="C157" s="2">
        <f>_xlfn.XLOOKUP($I157,Tab_00.Trial[CONTA],Tab_00.Trial[NV],"",0,1)</f>
        <v>5</v>
      </c>
      <c r="D157" s="2" t="str">
        <f>_xlfn.XLOOKUP($I157,Tab_00.Trial[CONTA],Tab_00.Trial[S/A],"",0,1)</f>
        <v>A</v>
      </c>
      <c r="E157" s="2">
        <f>IF($I157="","",COUNTIFS(Tab_00.Trial[CONTA],$I157))</f>
        <v>1</v>
      </c>
      <c r="F157" s="4">
        <f>SUMIFS(Tab_03.Mar[SALDO
ATUAL],Tab_03.Mar[CONTA],$I157)</f>
        <v>-73.3</v>
      </c>
      <c r="G157" s="4">
        <f t="shared" si="4"/>
        <v>0</v>
      </c>
      <c r="H157" s="3">
        <v>31645</v>
      </c>
      <c r="I157" s="3" t="s">
        <v>391</v>
      </c>
      <c r="J157" s="3" t="s">
        <v>392</v>
      </c>
      <c r="K157" s="173">
        <v>-73.3</v>
      </c>
      <c r="L157" s="173">
        <v>0</v>
      </c>
      <c r="M157" s="1">
        <v>0.05</v>
      </c>
      <c r="N157" s="4">
        <v>-73.349999999999994</v>
      </c>
      <c r="O157" s="4">
        <f>Tab_04.Abr[[#This Row],[DÉBITO]]-Tab_04.Abr[[#This Row],[CRÉDITO]]</f>
        <v>-0.05</v>
      </c>
    </row>
    <row r="158" spans="2:15" hidden="1" x14ac:dyDescent="0.3">
      <c r="B158" s="2" t="str">
        <f>_xlfn.XLOOKUP($I158,Tab_00.Trial[CONTA],Tab_00.Trial[TP],"",0,1)</f>
        <v>R</v>
      </c>
      <c r="C158" s="2">
        <f>_xlfn.XLOOKUP($I158,Tab_00.Trial[CONTA],Tab_00.Trial[NV],"",0,1)</f>
        <v>5</v>
      </c>
      <c r="D158" s="2" t="str">
        <f>_xlfn.XLOOKUP($I158,Tab_00.Trial[CONTA],Tab_00.Trial[S/A],"",0,1)</f>
        <v>S</v>
      </c>
      <c r="E158" s="2">
        <f>IF($I158="","",COUNTIFS(Tab_00.Trial[CONTA],$I158))</f>
        <v>1</v>
      </c>
      <c r="F158" s="4">
        <f>SUMIFS(Tab_03.Mar[SALDO
ATUAL],Tab_03.Mar[CONTA],$I158)</f>
        <v>-728211.86</v>
      </c>
      <c r="G158" s="4">
        <f t="shared" si="4"/>
        <v>0</v>
      </c>
      <c r="H158" s="3">
        <v>31650</v>
      </c>
      <c r="I158" s="3" t="s">
        <v>585</v>
      </c>
      <c r="J158" s="3" t="s">
        <v>690</v>
      </c>
      <c r="K158" s="173">
        <v>-728211.86</v>
      </c>
      <c r="L158" s="173">
        <v>114819.6</v>
      </c>
      <c r="M158" s="1">
        <v>90092.31</v>
      </c>
      <c r="N158" s="4">
        <v>-703484.57</v>
      </c>
      <c r="O158" s="4">
        <f>Tab_04.Abr[[#This Row],[DÉBITO]]-Tab_04.Abr[[#This Row],[CRÉDITO]]</f>
        <v>24727.29</v>
      </c>
    </row>
    <row r="159" spans="2:15" hidden="1" x14ac:dyDescent="0.3">
      <c r="B159" s="2" t="str">
        <f>_xlfn.XLOOKUP($I159,Tab_00.Trial[CONTA],Tab_00.Trial[TP],"",0,1)</f>
        <v>R</v>
      </c>
      <c r="C159" s="2">
        <f>_xlfn.XLOOKUP($I159,Tab_00.Trial[CONTA],Tab_00.Trial[NV],"",0,1)</f>
        <v>5</v>
      </c>
      <c r="D159" s="2" t="str">
        <f>_xlfn.XLOOKUP($I159,Tab_00.Trial[CONTA],Tab_00.Trial[S/A],"",0,1)</f>
        <v>S</v>
      </c>
      <c r="E159" s="2">
        <f>IF($I159="","",COUNTIFS(Tab_00.Trial[CONTA],$I159))</f>
        <v>1</v>
      </c>
      <c r="F159" s="4">
        <f>SUMIFS(Tab_03.Mar[SALDO
ATUAL],Tab_03.Mar[CONTA],$I159)</f>
        <v>-728211.86</v>
      </c>
      <c r="G159" s="4">
        <f t="shared" si="4"/>
        <v>0</v>
      </c>
      <c r="H159" s="3">
        <v>31665</v>
      </c>
      <c r="I159" s="3" t="s">
        <v>586</v>
      </c>
      <c r="J159" s="3" t="s">
        <v>394</v>
      </c>
      <c r="K159" s="173">
        <v>-728211.86</v>
      </c>
      <c r="L159" s="173">
        <v>114819.6</v>
      </c>
      <c r="M159" s="1">
        <v>90092.31</v>
      </c>
      <c r="N159" s="4">
        <v>-703484.57</v>
      </c>
      <c r="O159" s="4">
        <f>Tab_04.Abr[[#This Row],[DÉBITO]]-Tab_04.Abr[[#This Row],[CRÉDITO]]</f>
        <v>24727.29</v>
      </c>
    </row>
    <row r="160" spans="2:15" hidden="1" x14ac:dyDescent="0.3">
      <c r="B160" s="2" t="str">
        <f>_xlfn.XLOOKUP($I160,Tab_00.Trial[CONTA],Tab_00.Trial[TP],"",0,1)</f>
        <v>R</v>
      </c>
      <c r="C160" s="2">
        <f>_xlfn.XLOOKUP($I160,Tab_00.Trial[CONTA],Tab_00.Trial[NV],"",0,1)</f>
        <v>5</v>
      </c>
      <c r="D160" s="2" t="str">
        <f>_xlfn.XLOOKUP($I160,Tab_00.Trial[CONTA],Tab_00.Trial[S/A],"",0,1)</f>
        <v>A</v>
      </c>
      <c r="E160" s="2">
        <f>IF($I160="","",COUNTIFS(Tab_00.Trial[CONTA],$I160))</f>
        <v>1</v>
      </c>
      <c r="F160" s="4">
        <f>SUMIFS(Tab_03.Mar[SALDO
ATUAL],Tab_03.Mar[CONTA],$I160)</f>
        <v>-728211.86</v>
      </c>
      <c r="G160" s="4">
        <f t="shared" si="4"/>
        <v>0</v>
      </c>
      <c r="H160" s="3">
        <v>31680</v>
      </c>
      <c r="I160" s="3" t="s">
        <v>393</v>
      </c>
      <c r="J160" s="3" t="s">
        <v>394</v>
      </c>
      <c r="K160" s="173">
        <v>-728211.86</v>
      </c>
      <c r="L160" s="173">
        <v>114819.6</v>
      </c>
      <c r="M160" s="1">
        <v>90092.31</v>
      </c>
      <c r="N160" s="4">
        <v>-703484.57</v>
      </c>
      <c r="O160" s="4">
        <f>Tab_04.Abr[[#This Row],[DÉBITO]]-Tab_04.Abr[[#This Row],[CRÉDITO]]</f>
        <v>24727.29</v>
      </c>
    </row>
    <row r="161" spans="2:15" hidden="1" x14ac:dyDescent="0.3">
      <c r="B161" s="2" t="str">
        <f>_xlfn.XLOOKUP($I161,Tab_00.Trial[CONTA],Tab_00.Trial[TP],"",0,1)</f>
        <v>R</v>
      </c>
      <c r="C161" s="2">
        <f>_xlfn.XLOOKUP($I161,Tab_00.Trial[CONTA],Tab_00.Trial[NV],"",0,1)</f>
        <v>2</v>
      </c>
      <c r="D161" s="2" t="str">
        <f>_xlfn.XLOOKUP($I161,Tab_00.Trial[CONTA],Tab_00.Trial[S/A],"",0,1)</f>
        <v>S</v>
      </c>
      <c r="E161" s="2">
        <f>IF($I161="","",COUNTIFS(Tab_00.Trial[CONTA],$I161))</f>
        <v>1</v>
      </c>
      <c r="F161" s="4">
        <f>SUMIFS(Tab_03.Mar[SALDO
ATUAL],Tab_03.Mar[CONTA],$I161)</f>
        <v>-2700</v>
      </c>
      <c r="G161" s="4">
        <f t="shared" si="4"/>
        <v>0</v>
      </c>
      <c r="H161" s="3">
        <v>31725</v>
      </c>
      <c r="I161" s="3" t="s">
        <v>587</v>
      </c>
      <c r="J161" s="3" t="s">
        <v>691</v>
      </c>
      <c r="K161" s="173">
        <v>-2700</v>
      </c>
      <c r="L161" s="173">
        <v>0</v>
      </c>
      <c r="M161" s="1">
        <v>2300</v>
      </c>
      <c r="N161" s="4">
        <v>-5000</v>
      </c>
      <c r="O161" s="4">
        <f>Tab_04.Abr[[#This Row],[DÉBITO]]-Tab_04.Abr[[#This Row],[CRÉDITO]]</f>
        <v>-2300</v>
      </c>
    </row>
    <row r="162" spans="2:15" hidden="1" x14ac:dyDescent="0.3">
      <c r="B162" s="2" t="str">
        <f>_xlfn.XLOOKUP($I162,Tab_00.Trial[CONTA],Tab_00.Trial[TP],"",0,1)</f>
        <v>R</v>
      </c>
      <c r="C162" s="2">
        <f>_xlfn.XLOOKUP($I162,Tab_00.Trial[CONTA],Tab_00.Trial[NV],"",0,1)</f>
        <v>5</v>
      </c>
      <c r="D162" s="2" t="str">
        <f>_xlfn.XLOOKUP($I162,Tab_00.Trial[CONTA],Tab_00.Trial[S/A],"",0,1)</f>
        <v>S</v>
      </c>
      <c r="E162" s="2">
        <f>IF($I162="","",COUNTIFS(Tab_00.Trial[CONTA],$I162))</f>
        <v>1</v>
      </c>
      <c r="F162" s="4">
        <f>SUMIFS(Tab_03.Mar[SALDO
ATUAL],Tab_03.Mar[CONTA],$I162)</f>
        <v>-2700</v>
      </c>
      <c r="G162" s="4">
        <f t="shared" ref="G162:G195" si="5">$F162-$K162</f>
        <v>0</v>
      </c>
      <c r="H162">
        <v>30722</v>
      </c>
      <c r="I162" s="3" t="s">
        <v>588</v>
      </c>
      <c r="J162" s="3" t="s">
        <v>692</v>
      </c>
      <c r="K162" s="1">
        <v>-2700</v>
      </c>
      <c r="L162" s="1">
        <v>0</v>
      </c>
      <c r="M162" s="1">
        <v>2300</v>
      </c>
      <c r="N162" s="4">
        <v>-5000</v>
      </c>
      <c r="O162" s="4">
        <f>Tab_04.Abr[[#This Row],[DÉBITO]]-Tab_04.Abr[[#This Row],[CRÉDITO]]</f>
        <v>-2300</v>
      </c>
    </row>
    <row r="163" spans="2:15" hidden="1" x14ac:dyDescent="0.3">
      <c r="B163" s="2" t="str">
        <f>_xlfn.XLOOKUP($I163,Tab_00.Trial[CONTA],Tab_00.Trial[TP],"",0,1)</f>
        <v>R</v>
      </c>
      <c r="C163" s="2">
        <f>_xlfn.XLOOKUP($I163,Tab_00.Trial[CONTA],Tab_00.Trial[NV],"",0,1)</f>
        <v>5</v>
      </c>
      <c r="D163" s="2" t="str">
        <f>_xlfn.XLOOKUP($I163,Tab_00.Trial[CONTA],Tab_00.Trial[S/A],"",0,1)</f>
        <v>S</v>
      </c>
      <c r="E163" s="2">
        <f>IF($I163="","",COUNTIFS(Tab_00.Trial[CONTA],$I163))</f>
        <v>1</v>
      </c>
      <c r="F163" s="4">
        <f>SUMIFS(Tab_03.Mar[SALDO
ATUAL],Tab_03.Mar[CONTA],$I163)</f>
        <v>-2700</v>
      </c>
      <c r="G163" s="4">
        <f t="shared" si="5"/>
        <v>0</v>
      </c>
      <c r="H163">
        <v>30729</v>
      </c>
      <c r="I163" s="3" t="s">
        <v>589</v>
      </c>
      <c r="J163" s="3" t="s">
        <v>692</v>
      </c>
      <c r="K163" s="173">
        <v>-2700</v>
      </c>
      <c r="L163" s="173">
        <v>0</v>
      </c>
      <c r="M163" s="1">
        <v>2300</v>
      </c>
      <c r="N163" s="4">
        <v>-5000</v>
      </c>
      <c r="O163" s="4">
        <f>Tab_04.Abr[[#This Row],[DÉBITO]]-Tab_04.Abr[[#This Row],[CRÉDITO]]</f>
        <v>-2300</v>
      </c>
    </row>
    <row r="164" spans="2:15" hidden="1" x14ac:dyDescent="0.3">
      <c r="B164" s="2" t="str">
        <f>_xlfn.XLOOKUP($I164,Tab_00.Trial[CONTA],Tab_00.Trial[TP],"",0,1)</f>
        <v>R</v>
      </c>
      <c r="C164" s="2">
        <f>_xlfn.XLOOKUP($I164,Tab_00.Trial[CONTA],Tab_00.Trial[NV],"",0,1)</f>
        <v>5</v>
      </c>
      <c r="D164" s="2" t="str">
        <f>_xlfn.XLOOKUP($I164,Tab_00.Trial[CONTA],Tab_00.Trial[S/A],"",0,1)</f>
        <v>A</v>
      </c>
      <c r="E164" s="2">
        <f>IF($I164="","",COUNTIFS(Tab_00.Trial[CONTA],$I164))</f>
        <v>1</v>
      </c>
      <c r="F164" s="4">
        <f>SUMIFS(Tab_03.Mar[SALDO
ATUAL],Tab_03.Mar[CONTA],$I164)</f>
        <v>-2700</v>
      </c>
      <c r="G164" s="4">
        <f t="shared" si="5"/>
        <v>0</v>
      </c>
      <c r="H164">
        <v>30736</v>
      </c>
      <c r="I164" s="3" t="s">
        <v>395</v>
      </c>
      <c r="J164" s="3" t="s">
        <v>396</v>
      </c>
      <c r="K164" s="173">
        <v>-2700</v>
      </c>
      <c r="L164" s="173">
        <v>0</v>
      </c>
      <c r="M164" s="1">
        <v>2300</v>
      </c>
      <c r="N164" s="4">
        <v>-5000</v>
      </c>
      <c r="O164" s="4">
        <f>Tab_04.Abr[[#This Row],[DÉBITO]]-Tab_04.Abr[[#This Row],[CRÉDITO]]</f>
        <v>-2300</v>
      </c>
    </row>
    <row r="165" spans="2:15" hidden="1" x14ac:dyDescent="0.3">
      <c r="B165" s="2" t="str">
        <f>_xlfn.XLOOKUP($I165,Tab_00.Trial[CONTA],Tab_00.Trial[TP],"",0,1)</f>
        <v>C</v>
      </c>
      <c r="C165" s="2">
        <f>_xlfn.XLOOKUP($I165,Tab_00.Trial[CONTA],Tab_00.Trial[NV],"",0,1)</f>
        <v>1</v>
      </c>
      <c r="D165" s="2" t="str">
        <f>_xlfn.XLOOKUP($I165,Tab_00.Trial[CONTA],Tab_00.Trial[S/A],"",0,1)</f>
        <v>S</v>
      </c>
      <c r="E165" s="2">
        <f>IF($I165="","",COUNTIFS(Tab_00.Trial[CONTA],$I165))</f>
        <v>1</v>
      </c>
      <c r="F165" s="4">
        <f>SUMIFS(Tab_03.Mar[SALDO
ATUAL],Tab_03.Mar[CONTA],$I165)</f>
        <v>2749467.78</v>
      </c>
      <c r="G165" s="4">
        <f t="shared" si="5"/>
        <v>0</v>
      </c>
      <c r="H165">
        <v>40000</v>
      </c>
      <c r="I165" s="3">
        <v>4</v>
      </c>
      <c r="J165" s="3" t="s">
        <v>693</v>
      </c>
      <c r="K165" s="173">
        <v>2749467.78</v>
      </c>
      <c r="L165" s="173">
        <v>867882.71</v>
      </c>
      <c r="M165" s="1">
        <v>18131.96</v>
      </c>
      <c r="N165" s="4">
        <v>3599218.53</v>
      </c>
      <c r="O165" s="4">
        <f>Tab_04.Abr[[#This Row],[DÉBITO]]-Tab_04.Abr[[#This Row],[CRÉDITO]]</f>
        <v>849750.75</v>
      </c>
    </row>
    <row r="166" spans="2:15" hidden="1" x14ac:dyDescent="0.3">
      <c r="B166" s="2" t="str">
        <f>_xlfn.XLOOKUP($I166,Tab_00.Trial[CONTA],Tab_00.Trial[TP],"",0,1)</f>
        <v>C</v>
      </c>
      <c r="C166" s="2">
        <f>_xlfn.XLOOKUP($I166,Tab_00.Trial[CONTA],Tab_00.Trial[NV],"",0,1)</f>
        <v>2</v>
      </c>
      <c r="D166" s="2" t="str">
        <f>_xlfn.XLOOKUP($I166,Tab_00.Trial[CONTA],Tab_00.Trial[S/A],"",0,1)</f>
        <v>S</v>
      </c>
      <c r="E166" s="2">
        <f>IF($I166="","",COUNTIFS(Tab_00.Trial[CONTA],$I166))</f>
        <v>1</v>
      </c>
      <c r="F166" s="4">
        <f>SUMIFS(Tab_03.Mar[SALDO
ATUAL],Tab_03.Mar[CONTA],$I166)</f>
        <v>2749467.78</v>
      </c>
      <c r="G166" s="4">
        <f t="shared" si="5"/>
        <v>0</v>
      </c>
      <c r="H166">
        <v>40015</v>
      </c>
      <c r="I166" s="3" t="s">
        <v>234</v>
      </c>
      <c r="J166" s="3" t="s">
        <v>817</v>
      </c>
      <c r="K166" s="173">
        <v>2749467.78</v>
      </c>
      <c r="L166" s="173">
        <v>867882.71</v>
      </c>
      <c r="M166" s="1">
        <v>18131.96</v>
      </c>
      <c r="N166" s="4">
        <v>3599218.53</v>
      </c>
      <c r="O166" s="4">
        <f>Tab_04.Abr[[#This Row],[DÉBITO]]-Tab_04.Abr[[#This Row],[CRÉDITO]]</f>
        <v>849750.75</v>
      </c>
    </row>
    <row r="167" spans="2:15" hidden="1" x14ac:dyDescent="0.3">
      <c r="B167" s="2" t="str">
        <f>_xlfn.XLOOKUP($I167,Tab_00.Trial[CONTA],Tab_00.Trial[TP],"",0,1)</f>
        <v>C</v>
      </c>
      <c r="C167" s="2">
        <f>_xlfn.XLOOKUP($I167,Tab_00.Trial[CONTA],Tab_00.Trial[NV],"",0,1)</f>
        <v>5</v>
      </c>
      <c r="D167" s="2" t="str">
        <f>_xlfn.XLOOKUP($I167,Tab_00.Trial[CONTA],Tab_00.Trial[S/A],"",0,1)</f>
        <v>S</v>
      </c>
      <c r="E167" s="2">
        <f>IF($I167="","",COUNTIFS(Tab_00.Trial[CONTA],$I167))</f>
        <v>1</v>
      </c>
      <c r="F167" s="4">
        <f>SUMIFS(Tab_03.Mar[SALDO
ATUAL],Tab_03.Mar[CONTA],$I167)</f>
        <v>471849.9</v>
      </c>
      <c r="G167" s="4">
        <f t="shared" si="5"/>
        <v>0</v>
      </c>
      <c r="H167">
        <v>40030</v>
      </c>
      <c r="I167" s="3" t="s">
        <v>235</v>
      </c>
      <c r="J167" s="3" t="s">
        <v>818</v>
      </c>
      <c r="K167" s="173">
        <v>471849.9</v>
      </c>
      <c r="L167" s="173">
        <v>208845.74</v>
      </c>
      <c r="M167" s="1">
        <v>18131.96</v>
      </c>
      <c r="N167" s="4">
        <v>662563.68000000005</v>
      </c>
      <c r="O167" s="4">
        <f>Tab_04.Abr[[#This Row],[DÉBITO]]-Tab_04.Abr[[#This Row],[CRÉDITO]]</f>
        <v>190713.78</v>
      </c>
    </row>
    <row r="168" spans="2:15" hidden="1" x14ac:dyDescent="0.3">
      <c r="B168" s="2" t="str">
        <f>_xlfn.XLOOKUP($I168,Tab_00.Trial[CONTA],Tab_00.Trial[TP],"",0,1)</f>
        <v>C</v>
      </c>
      <c r="C168" s="2">
        <f>_xlfn.XLOOKUP($I168,Tab_00.Trial[CONTA],Tab_00.Trial[NV],"",0,1)</f>
        <v>5</v>
      </c>
      <c r="D168" s="2" t="str">
        <f>_xlfn.XLOOKUP($I168,Tab_00.Trial[CONTA],Tab_00.Trial[S/A],"",0,1)</f>
        <v>S</v>
      </c>
      <c r="E168" s="2">
        <f>IF($I168="","",COUNTIFS(Tab_00.Trial[CONTA],$I168))</f>
        <v>1</v>
      </c>
      <c r="F168" s="4">
        <f>SUMIFS(Tab_03.Mar[SALDO
ATUAL],Tab_03.Mar[CONTA],$I168)</f>
        <v>184999.1</v>
      </c>
      <c r="G168" s="4">
        <f t="shared" si="5"/>
        <v>0</v>
      </c>
      <c r="H168">
        <v>40045</v>
      </c>
      <c r="I168" s="3" t="s">
        <v>236</v>
      </c>
      <c r="J168" s="3" t="s">
        <v>696</v>
      </c>
      <c r="K168" s="173">
        <v>184999.1</v>
      </c>
      <c r="L168" s="173">
        <v>98601.1</v>
      </c>
      <c r="M168" s="1">
        <v>14110.68</v>
      </c>
      <c r="N168" s="4">
        <v>269489.52</v>
      </c>
      <c r="O168" s="4">
        <f>Tab_04.Abr[[#This Row],[DÉBITO]]-Tab_04.Abr[[#This Row],[CRÉDITO]]</f>
        <v>84490.42</v>
      </c>
    </row>
    <row r="169" spans="2:15" hidden="1" x14ac:dyDescent="0.3">
      <c r="B169" s="2" t="str">
        <f>_xlfn.XLOOKUP($I169,Tab_00.Trial[CONTA],Tab_00.Trial[TP],"",0,1)</f>
        <v>C</v>
      </c>
      <c r="C169" s="2">
        <f>_xlfn.XLOOKUP($I169,Tab_00.Trial[CONTA],Tab_00.Trial[NV],"",0,1)</f>
        <v>5</v>
      </c>
      <c r="D169" s="2" t="str">
        <f>_xlfn.XLOOKUP($I169,Tab_00.Trial[CONTA],Tab_00.Trial[S/A],"",0,1)</f>
        <v>A</v>
      </c>
      <c r="E169" s="2">
        <f>IF($I169="","",COUNTIFS(Tab_00.Trial[CONTA],$I169))</f>
        <v>1</v>
      </c>
      <c r="F169" s="4">
        <f>SUMIFS(Tab_03.Mar[SALDO
ATUAL],Tab_03.Mar[CONTA],$I169)</f>
        <v>103060.46</v>
      </c>
      <c r="G169" s="4">
        <f t="shared" si="5"/>
        <v>0</v>
      </c>
      <c r="H169">
        <v>40060</v>
      </c>
      <c r="I169" s="3" t="s">
        <v>195</v>
      </c>
      <c r="J169" s="3" t="s">
        <v>427</v>
      </c>
      <c r="K169" s="173">
        <v>103060.46</v>
      </c>
      <c r="L169" s="173">
        <v>81136.98</v>
      </c>
      <c r="M169" s="1">
        <v>13804.39</v>
      </c>
      <c r="N169" s="4">
        <v>170393.05</v>
      </c>
      <c r="O169" s="4">
        <f>Tab_04.Abr[[#This Row],[DÉBITO]]-Tab_04.Abr[[#This Row],[CRÉDITO]]</f>
        <v>67332.59</v>
      </c>
    </row>
    <row r="170" spans="2:15" hidden="1" x14ac:dyDescent="0.3">
      <c r="B170" s="2" t="str">
        <f>_xlfn.XLOOKUP($I170,Tab_00.Trial[CONTA],Tab_00.Trial[TP],"",0,1)</f>
        <v>C</v>
      </c>
      <c r="C170" s="2">
        <f>_xlfn.XLOOKUP($I170,Tab_00.Trial[CONTA],Tab_00.Trial[NV],"",0,1)</f>
        <v>5</v>
      </c>
      <c r="D170" s="2" t="str">
        <f>_xlfn.XLOOKUP($I170,Tab_00.Trial[CONTA],Tab_00.Trial[S/A],"",0,1)</f>
        <v>A</v>
      </c>
      <c r="E170" s="2">
        <f>IF($I170="","",COUNTIFS(Tab_00.Trial[CONTA],$I170))</f>
        <v>1</v>
      </c>
      <c r="F170" s="4">
        <f>SUMIFS(Tab_03.Mar[SALDO
ATUAL],Tab_03.Mar[CONTA],$I170)</f>
        <v>23634.400000000001</v>
      </c>
      <c r="G170" s="4">
        <f t="shared" si="5"/>
        <v>0</v>
      </c>
      <c r="H170">
        <v>40075</v>
      </c>
      <c r="I170" s="3" t="s">
        <v>430</v>
      </c>
      <c r="J170" s="3" t="s">
        <v>431</v>
      </c>
      <c r="K170" s="173">
        <v>23634.400000000001</v>
      </c>
      <c r="L170" s="1">
        <v>8176.23</v>
      </c>
      <c r="M170" s="1">
        <v>0</v>
      </c>
      <c r="N170" s="4">
        <v>31810.63</v>
      </c>
      <c r="O170" s="4">
        <f>Tab_04.Abr[[#This Row],[DÉBITO]]-Tab_04.Abr[[#This Row],[CRÉDITO]]</f>
        <v>8176.23</v>
      </c>
    </row>
    <row r="171" spans="2:15" hidden="1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5</v>
      </c>
      <c r="D171" s="2" t="str">
        <f>_xlfn.XLOOKUP($I171,Tab_00.Trial[CONTA],Tab_00.Trial[S/A],"",0,1)</f>
        <v>A</v>
      </c>
      <c r="E171" s="2">
        <f>IF($I171="","",COUNTIFS(Tab_00.Trial[CONTA],$I171))</f>
        <v>1</v>
      </c>
      <c r="F171" s="4">
        <f>SUMIFS(Tab_03.Mar[SALDO
ATUAL],Tab_03.Mar[CONTA],$I171)</f>
        <v>15135.09</v>
      </c>
      <c r="G171" s="4">
        <f t="shared" si="5"/>
        <v>0</v>
      </c>
      <c r="H171">
        <v>40085</v>
      </c>
      <c r="I171" s="3" t="s">
        <v>432</v>
      </c>
      <c r="J171" s="3" t="s">
        <v>433</v>
      </c>
      <c r="K171" s="173">
        <v>15135.09</v>
      </c>
      <c r="L171" s="173">
        <v>5044.99</v>
      </c>
      <c r="M171" s="1">
        <v>0</v>
      </c>
      <c r="N171" s="4">
        <v>20180.080000000002</v>
      </c>
      <c r="O171" s="4">
        <f>Tab_04.Abr[[#This Row],[DÉBITO]]-Tab_04.Abr[[#This Row],[CRÉDITO]]</f>
        <v>5044.99</v>
      </c>
    </row>
    <row r="172" spans="2:15" hidden="1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5</v>
      </c>
      <c r="D172" s="2" t="str">
        <f>_xlfn.XLOOKUP($I172,Tab_00.Trial[CONTA],Tab_00.Trial[S/A],"",0,1)</f>
        <v>A</v>
      </c>
      <c r="E172" s="2">
        <f>IF($I172="","",COUNTIFS(Tab_00.Trial[CONTA],$I172))</f>
        <v>1</v>
      </c>
      <c r="F172" s="4">
        <f>SUMIFS(Tab_03.Mar[SALDO
ATUAL],Tab_03.Mar[CONTA],$I172)</f>
        <v>36497.67</v>
      </c>
      <c r="G172" s="4">
        <f t="shared" si="5"/>
        <v>0</v>
      </c>
      <c r="H172">
        <v>10111</v>
      </c>
      <c r="I172" s="3" t="s">
        <v>790</v>
      </c>
      <c r="J172" s="3" t="s">
        <v>791</v>
      </c>
      <c r="K172" s="173">
        <v>36497.67</v>
      </c>
      <c r="L172" s="173">
        <v>1802.69</v>
      </c>
      <c r="M172" s="1">
        <v>47.72</v>
      </c>
      <c r="N172" s="4">
        <v>38252.639999999999</v>
      </c>
      <c r="O172" s="4">
        <f>Tab_04.Abr[[#This Row],[DÉBITO]]-Tab_04.Abr[[#This Row],[CRÉDITO]]</f>
        <v>1754.97</v>
      </c>
    </row>
    <row r="173" spans="2:15" hidden="1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A</v>
      </c>
      <c r="E173" s="2">
        <f>IF($I173="","",COUNTIFS(Tab_00.Trial[CONTA],$I173))</f>
        <v>1</v>
      </c>
      <c r="F173" s="4">
        <f>SUMIFS(Tab_03.Mar[SALDO
ATUAL],Tab_03.Mar[CONTA],$I173)</f>
        <v>1138.78</v>
      </c>
      <c r="G173" s="4">
        <f t="shared" si="5"/>
        <v>0</v>
      </c>
      <c r="H173">
        <v>10118</v>
      </c>
      <c r="I173" s="3" t="s">
        <v>792</v>
      </c>
      <c r="J173" s="3" t="s">
        <v>793</v>
      </c>
      <c r="K173" s="1">
        <v>1138.78</v>
      </c>
      <c r="L173" s="1">
        <v>553.25</v>
      </c>
      <c r="M173" s="1">
        <v>251.02</v>
      </c>
      <c r="N173" s="4">
        <v>1441.01</v>
      </c>
      <c r="O173" s="4">
        <f>Tab_04.Abr[[#This Row],[DÉBITO]]-Tab_04.Abr[[#This Row],[CRÉDITO]]</f>
        <v>302.23</v>
      </c>
    </row>
    <row r="174" spans="2:15" hidden="1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A</v>
      </c>
      <c r="E174" s="2">
        <f>IF($I174="","",COUNTIFS(Tab_00.Trial[CONTA],$I174))</f>
        <v>1</v>
      </c>
      <c r="F174" s="4">
        <f>SUMIFS(Tab_03.Mar[SALDO
ATUAL],Tab_03.Mar[CONTA],$I174)</f>
        <v>114.43</v>
      </c>
      <c r="G174" s="4">
        <f t="shared" si="5"/>
        <v>0</v>
      </c>
      <c r="H174">
        <v>10139</v>
      </c>
      <c r="I174" s="3" t="s">
        <v>794</v>
      </c>
      <c r="J174" s="3" t="s">
        <v>795</v>
      </c>
      <c r="K174" s="173">
        <v>114.43</v>
      </c>
      <c r="L174" s="173">
        <v>80.84</v>
      </c>
      <c r="M174" s="1">
        <v>7.55</v>
      </c>
      <c r="N174" s="4">
        <v>187.72</v>
      </c>
      <c r="O174" s="4">
        <f>Tab_04.Abr[[#This Row],[DÉBITO]]-Tab_04.Abr[[#This Row],[CRÉDITO]]</f>
        <v>73.290000000000006</v>
      </c>
    </row>
    <row r="175" spans="2:15" hidden="1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A</v>
      </c>
      <c r="E175" s="2">
        <f>IF($I175="","",COUNTIFS(Tab_00.Trial[CONTA],$I175))</f>
        <v>1</v>
      </c>
      <c r="F175" s="4">
        <f>SUMIFS(Tab_03.Mar[SALDO
ATUAL],Tab_03.Mar[CONTA],$I175)</f>
        <v>4056.14</v>
      </c>
      <c r="G175" s="4">
        <f t="shared" si="5"/>
        <v>0</v>
      </c>
      <c r="H175">
        <v>10146</v>
      </c>
      <c r="I175" s="3" t="s">
        <v>796</v>
      </c>
      <c r="J175" s="3" t="s">
        <v>797</v>
      </c>
      <c r="K175" s="173">
        <v>4056.14</v>
      </c>
      <c r="L175" s="173">
        <v>1352.07</v>
      </c>
      <c r="M175" s="1">
        <v>0</v>
      </c>
      <c r="N175" s="4">
        <v>5408.21</v>
      </c>
      <c r="O175" s="4">
        <f>Tab_04.Abr[[#This Row],[DÉBITO]]-Tab_04.Abr[[#This Row],[CRÉDITO]]</f>
        <v>1352.07</v>
      </c>
    </row>
    <row r="176" spans="2:15" hidden="1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A</v>
      </c>
      <c r="E176" s="2">
        <f>IF($I176="","",COUNTIFS(Tab_00.Trial[CONTA],$I176))</f>
        <v>1</v>
      </c>
      <c r="F176" s="4">
        <f>SUMIFS(Tab_03.Mar[SALDO
ATUAL],Tab_03.Mar[CONTA],$I176)</f>
        <v>1210.78</v>
      </c>
      <c r="G176" s="4">
        <f t="shared" si="5"/>
        <v>0</v>
      </c>
      <c r="H176">
        <v>10153</v>
      </c>
      <c r="I176" s="3" t="s">
        <v>798</v>
      </c>
      <c r="J176" s="3" t="s">
        <v>799</v>
      </c>
      <c r="K176" s="173">
        <v>1210.78</v>
      </c>
      <c r="L176" s="173">
        <v>403.59</v>
      </c>
      <c r="M176" s="1">
        <v>0</v>
      </c>
      <c r="N176" s="4">
        <v>1614.37</v>
      </c>
      <c r="O176" s="4">
        <f>Tab_04.Abr[[#This Row],[DÉBITO]]-Tab_04.Abr[[#This Row],[CRÉDITO]]</f>
        <v>403.59</v>
      </c>
    </row>
    <row r="177" spans="2:15" hidden="1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A</v>
      </c>
      <c r="E177" s="2">
        <f>IF($I177="","",COUNTIFS(Tab_00.Trial[CONTA],$I177))</f>
        <v>1</v>
      </c>
      <c r="F177" s="4">
        <f>SUMIFS(Tab_03.Mar[SALDO
ATUAL],Tab_03.Mar[CONTA],$I177)</f>
        <v>151.35</v>
      </c>
      <c r="G177" s="4">
        <f t="shared" si="5"/>
        <v>0</v>
      </c>
      <c r="H177">
        <v>10160</v>
      </c>
      <c r="I177" s="3" t="s">
        <v>800</v>
      </c>
      <c r="J177" s="3" t="s">
        <v>801</v>
      </c>
      <c r="K177" s="173">
        <v>151.35</v>
      </c>
      <c r="L177" s="1">
        <v>50.46</v>
      </c>
      <c r="M177" s="1">
        <v>0</v>
      </c>
      <c r="N177" s="4">
        <v>201.81</v>
      </c>
      <c r="O177" s="4">
        <f>Tab_04.Abr[[#This Row],[DÉBITO]]-Tab_04.Abr[[#This Row],[CRÉDITO]]</f>
        <v>50.46</v>
      </c>
    </row>
    <row r="178" spans="2:15" hidden="1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S</v>
      </c>
      <c r="E178" s="2">
        <f>IF($I178="","",COUNTIFS(Tab_00.Trial[CONTA],$I178))</f>
        <v>1</v>
      </c>
      <c r="F178" s="4">
        <f>SUMIFS(Tab_03.Mar[SALDO
ATUAL],Tab_03.Mar[CONTA],$I178)</f>
        <v>78861.22</v>
      </c>
      <c r="G178" s="4">
        <f t="shared" si="5"/>
        <v>0</v>
      </c>
      <c r="H178">
        <v>40150</v>
      </c>
      <c r="I178" s="3" t="s">
        <v>590</v>
      </c>
      <c r="J178" s="3" t="s">
        <v>697</v>
      </c>
      <c r="K178" s="173">
        <v>78861.22</v>
      </c>
      <c r="L178" s="173">
        <v>28608.11</v>
      </c>
      <c r="M178" s="1">
        <v>2499.11</v>
      </c>
      <c r="N178" s="4">
        <v>104970.22</v>
      </c>
      <c r="O178" s="4">
        <f>Tab_04.Abr[[#This Row],[DÉBITO]]-Tab_04.Abr[[#This Row],[CRÉDITO]]</f>
        <v>26109</v>
      </c>
    </row>
    <row r="179" spans="2:15" hidden="1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A</v>
      </c>
      <c r="E179" s="2">
        <f>IF($I179="","",COUNTIFS(Tab_00.Trial[CONTA],$I179))</f>
        <v>1</v>
      </c>
      <c r="F179" s="4">
        <f>SUMIFS(Tab_03.Mar[SALDO
ATUAL],Tab_03.Mar[CONTA],$I179)</f>
        <v>75029.38</v>
      </c>
      <c r="G179" s="4">
        <f t="shared" si="5"/>
        <v>0</v>
      </c>
      <c r="H179">
        <v>40165</v>
      </c>
      <c r="I179" s="3" t="s">
        <v>434</v>
      </c>
      <c r="J179" s="3" t="s">
        <v>435</v>
      </c>
      <c r="K179" s="173">
        <v>75029.38</v>
      </c>
      <c r="L179" s="1">
        <v>26491.11</v>
      </c>
      <c r="M179" s="1">
        <v>731.6</v>
      </c>
      <c r="N179" s="4">
        <v>100788.89</v>
      </c>
      <c r="O179" s="4">
        <f>Tab_04.Abr[[#This Row],[DÉBITO]]-Tab_04.Abr[[#This Row],[CRÉDITO]]</f>
        <v>25759.51</v>
      </c>
    </row>
    <row r="180" spans="2:15" hidden="1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A</v>
      </c>
      <c r="E180" s="2">
        <f>IF($I180="","",COUNTIFS(Tab_00.Trial[CONTA],$I180))</f>
        <v>1</v>
      </c>
      <c r="F180" s="4">
        <f>SUMIFS(Tab_03.Mar[SALDO
ATUAL],Tab_03.Mar[CONTA],$I180)</f>
        <v>3831.84</v>
      </c>
      <c r="G180" s="4">
        <f t="shared" si="5"/>
        <v>0</v>
      </c>
      <c r="H180">
        <v>40195</v>
      </c>
      <c r="I180" s="3" t="s">
        <v>750</v>
      </c>
      <c r="J180" s="3" t="s">
        <v>751</v>
      </c>
      <c r="K180" s="1">
        <v>3831.84</v>
      </c>
      <c r="L180" s="1">
        <v>2117</v>
      </c>
      <c r="M180" s="1">
        <v>1767.51</v>
      </c>
      <c r="N180" s="4">
        <v>4181.33</v>
      </c>
      <c r="O180" s="4">
        <f>Tab_04.Abr[[#This Row],[DÉBITO]]-Tab_04.Abr[[#This Row],[CRÉDITO]]</f>
        <v>349.49</v>
      </c>
    </row>
    <row r="181" spans="2:15" hidden="1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S</v>
      </c>
      <c r="E181" s="2">
        <f>IF($I181="","",COUNTIFS(Tab_00.Trial[CONTA],$I181))</f>
        <v>1</v>
      </c>
      <c r="F181" s="4">
        <f>SUMIFS(Tab_03.Mar[SALDO
ATUAL],Tab_03.Mar[CONTA],$I181)</f>
        <v>62180.74</v>
      </c>
      <c r="G181" s="4">
        <f t="shared" si="5"/>
        <v>0</v>
      </c>
      <c r="H181">
        <v>40210</v>
      </c>
      <c r="I181" s="3" t="s">
        <v>591</v>
      </c>
      <c r="J181" s="3" t="s">
        <v>698</v>
      </c>
      <c r="K181" s="1">
        <v>62180.74</v>
      </c>
      <c r="L181" s="1">
        <v>25496.19</v>
      </c>
      <c r="M181" s="1">
        <v>1522.17</v>
      </c>
      <c r="N181" s="4">
        <v>86154.76</v>
      </c>
      <c r="O181" s="4">
        <f>Tab_04.Abr[[#This Row],[DÉBITO]]-Tab_04.Abr[[#This Row],[CRÉDITO]]</f>
        <v>23974.02</v>
      </c>
    </row>
    <row r="182" spans="2:15" hidden="1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A</v>
      </c>
      <c r="E182" s="2">
        <f>IF($I182="","",COUNTIFS(Tab_00.Trial[CONTA],$I182))</f>
        <v>1</v>
      </c>
      <c r="F182" s="4">
        <f>SUMIFS(Tab_03.Mar[SALDO
ATUAL],Tab_03.Mar[CONTA],$I182)</f>
        <v>50448.83</v>
      </c>
      <c r="G182" s="4">
        <f t="shared" si="5"/>
        <v>0</v>
      </c>
      <c r="H182">
        <v>40225</v>
      </c>
      <c r="I182" s="3" t="s">
        <v>436</v>
      </c>
      <c r="J182" s="3" t="s">
        <v>437</v>
      </c>
      <c r="K182" s="173">
        <v>50448.83</v>
      </c>
      <c r="L182" s="1">
        <v>18989.13</v>
      </c>
      <c r="M182" s="1">
        <v>0</v>
      </c>
      <c r="N182" s="4">
        <v>69437.960000000006</v>
      </c>
      <c r="O182" s="4">
        <f>Tab_04.Abr[[#This Row],[DÉBITO]]-Tab_04.Abr[[#This Row],[CRÉDITO]]</f>
        <v>18989.13</v>
      </c>
    </row>
    <row r="183" spans="2:15" hidden="1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A</v>
      </c>
      <c r="E183" s="2">
        <f>IF($I183="","",COUNTIFS(Tab_00.Trial[CONTA],$I183))</f>
        <v>1</v>
      </c>
      <c r="F183" s="4">
        <f>SUMIFS(Tab_03.Mar[SALDO
ATUAL],Tab_03.Mar[CONTA],$I183)</f>
        <v>10113.6</v>
      </c>
      <c r="G183" s="4">
        <f t="shared" si="5"/>
        <v>0</v>
      </c>
      <c r="H183">
        <v>40240</v>
      </c>
      <c r="I183" s="3" t="s">
        <v>438</v>
      </c>
      <c r="J183" s="3" t="s">
        <v>196</v>
      </c>
      <c r="K183" s="173">
        <v>10113.6</v>
      </c>
      <c r="L183" s="1">
        <v>5820.89</v>
      </c>
      <c r="M183" s="1">
        <v>1522.17</v>
      </c>
      <c r="N183" s="4">
        <v>14412.32</v>
      </c>
      <c r="O183" s="4">
        <f>Tab_04.Abr[[#This Row],[DÉBITO]]-Tab_04.Abr[[#This Row],[CRÉDITO]]</f>
        <v>4298.72</v>
      </c>
    </row>
    <row r="184" spans="2:15" hidden="1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A</v>
      </c>
      <c r="E184" s="2">
        <f>IF($I184="","",COUNTIFS(Tab_00.Trial[CONTA],$I184))</f>
        <v>1</v>
      </c>
      <c r="F184" s="4">
        <f>SUMIFS(Tab_03.Mar[SALDO
ATUAL],Tab_03.Mar[CONTA],$I184)</f>
        <v>1618.31</v>
      </c>
      <c r="G184" s="4">
        <f t="shared" si="5"/>
        <v>0</v>
      </c>
      <c r="H184">
        <v>40255</v>
      </c>
      <c r="I184" s="3" t="s">
        <v>439</v>
      </c>
      <c r="J184" s="3" t="s">
        <v>440</v>
      </c>
      <c r="K184" s="173">
        <v>1618.31</v>
      </c>
      <c r="L184" s="173">
        <v>686.17</v>
      </c>
      <c r="M184" s="1">
        <v>0</v>
      </c>
      <c r="N184" s="4">
        <v>2304.48</v>
      </c>
      <c r="O184" s="4">
        <f>Tab_04.Abr[[#This Row],[DÉBITO]]-Tab_04.Abr[[#This Row],[CRÉDITO]]</f>
        <v>686.17</v>
      </c>
    </row>
    <row r="185" spans="2:15" hidden="1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S</v>
      </c>
      <c r="E185" s="2">
        <f>IF($I185="","",COUNTIFS(Tab_00.Trial[CONTA],$I185))</f>
        <v>1</v>
      </c>
      <c r="F185" s="4">
        <f>SUMIFS(Tab_03.Mar[SALDO
ATUAL],Tab_03.Mar[CONTA],$I185)</f>
        <v>5788.26</v>
      </c>
      <c r="G185" s="4">
        <f t="shared" si="5"/>
        <v>0</v>
      </c>
      <c r="H185">
        <v>40285</v>
      </c>
      <c r="I185" s="3" t="s">
        <v>592</v>
      </c>
      <c r="J185" s="3" t="s">
        <v>699</v>
      </c>
      <c r="K185" s="173">
        <v>5788.26</v>
      </c>
      <c r="L185" s="173">
        <v>590.51</v>
      </c>
      <c r="M185" s="1">
        <v>0</v>
      </c>
      <c r="N185" s="4">
        <v>6378.77</v>
      </c>
      <c r="O185" s="4">
        <f>Tab_04.Abr[[#This Row],[DÉBITO]]-Tab_04.Abr[[#This Row],[CRÉDITO]]</f>
        <v>590.51</v>
      </c>
    </row>
    <row r="186" spans="2:15" hidden="1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A</v>
      </c>
      <c r="E186" s="2">
        <f>IF($I186="","",COUNTIFS(Tab_00.Trial[CONTA],$I186))</f>
        <v>1</v>
      </c>
      <c r="F186" s="4">
        <f>SUMIFS(Tab_03.Mar[SALDO
ATUAL],Tab_03.Mar[CONTA],$I186)</f>
        <v>5788.26</v>
      </c>
      <c r="G186" s="4">
        <f t="shared" si="5"/>
        <v>0</v>
      </c>
      <c r="H186">
        <v>40300</v>
      </c>
      <c r="I186" s="3" t="s">
        <v>397</v>
      </c>
      <c r="J186" s="3" t="s">
        <v>398</v>
      </c>
      <c r="K186" s="173">
        <v>5788.26</v>
      </c>
      <c r="L186" s="173">
        <v>590.51</v>
      </c>
      <c r="M186" s="1">
        <v>0</v>
      </c>
      <c r="N186" s="4">
        <v>6378.77</v>
      </c>
      <c r="O186" s="4">
        <f>Tab_04.Abr[[#This Row],[DÉBITO]]-Tab_04.Abr[[#This Row],[CRÉDITO]]</f>
        <v>590.51</v>
      </c>
    </row>
    <row r="187" spans="2:15" hidden="1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S</v>
      </c>
      <c r="E187" s="2">
        <f>IF($I187="","",COUNTIFS(Tab_00.Trial[CONTA],$I187))</f>
        <v>1</v>
      </c>
      <c r="F187" s="4">
        <f>SUMIFS(Tab_03.Mar[SALDO
ATUAL],Tab_03.Mar[CONTA],$I187)</f>
        <v>95206.93</v>
      </c>
      <c r="G187" s="4">
        <f t="shared" si="5"/>
        <v>0</v>
      </c>
      <c r="H187">
        <v>40295</v>
      </c>
      <c r="I187" s="3" t="s">
        <v>593</v>
      </c>
      <c r="J187" s="3" t="s">
        <v>711</v>
      </c>
      <c r="K187" s="173">
        <v>95206.93</v>
      </c>
      <c r="L187" s="173">
        <v>38505.96</v>
      </c>
      <c r="M187" s="1">
        <v>0</v>
      </c>
      <c r="N187" s="4">
        <v>133712.89000000001</v>
      </c>
      <c r="O187" s="4">
        <f>Tab_04.Abr[[#This Row],[DÉBITO]]-Tab_04.Abr[[#This Row],[CRÉDITO]]</f>
        <v>38505.96</v>
      </c>
    </row>
    <row r="188" spans="2:15" hidden="1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A</v>
      </c>
      <c r="E188" s="2">
        <f>IF($I188="","",COUNTIFS(Tab_00.Trial[CONTA],$I188))</f>
        <v>1</v>
      </c>
      <c r="F188" s="4">
        <f>SUMIFS(Tab_03.Mar[SALDO
ATUAL],Tab_03.Mar[CONTA],$I188)</f>
        <v>12407.88</v>
      </c>
      <c r="G188" s="4">
        <f t="shared" si="5"/>
        <v>0</v>
      </c>
      <c r="H188">
        <v>40339</v>
      </c>
      <c r="I188" s="3" t="s">
        <v>403</v>
      </c>
      <c r="J188" s="3" t="s">
        <v>404</v>
      </c>
      <c r="K188" s="173">
        <v>12407.88</v>
      </c>
      <c r="L188" s="1">
        <v>4135.96</v>
      </c>
      <c r="M188" s="1">
        <v>0</v>
      </c>
      <c r="N188" s="4">
        <v>16543.84</v>
      </c>
      <c r="O188" s="4">
        <f>Tab_04.Abr[[#This Row],[DÉBITO]]-Tab_04.Abr[[#This Row],[CRÉDITO]]</f>
        <v>4135.96</v>
      </c>
    </row>
    <row r="189" spans="2:15" hidden="1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A</v>
      </c>
      <c r="E189" s="2">
        <f>IF($I189="","",COUNTIFS(Tab_00.Trial[CONTA],$I189))</f>
        <v>1</v>
      </c>
      <c r="F189" s="4">
        <f>SUMIFS(Tab_03.Mar[SALDO
ATUAL],Tab_03.Mar[CONTA],$I189)</f>
        <v>76447</v>
      </c>
      <c r="G189" s="4">
        <f t="shared" si="5"/>
        <v>0</v>
      </c>
      <c r="H189">
        <v>40341</v>
      </c>
      <c r="I189" s="3" t="s">
        <v>405</v>
      </c>
      <c r="J189" s="3" t="s">
        <v>406</v>
      </c>
      <c r="K189" s="173">
        <v>76447</v>
      </c>
      <c r="L189" s="1">
        <v>31370</v>
      </c>
      <c r="M189" s="1">
        <v>0</v>
      </c>
      <c r="N189" s="4">
        <v>107817</v>
      </c>
      <c r="O189" s="4">
        <f>Tab_04.Abr[[#This Row],[DÉBITO]]-Tab_04.Abr[[#This Row],[CRÉDITO]]</f>
        <v>31370</v>
      </c>
    </row>
    <row r="190" spans="2:15" hidden="1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A</v>
      </c>
      <c r="E190" s="2">
        <f>IF($I190="","",COUNTIFS(Tab_00.Trial[CONTA],$I190))</f>
        <v>1</v>
      </c>
      <c r="F190" s="4">
        <f>SUMIFS(Tab_03.Mar[SALDO
ATUAL],Tab_03.Mar[CONTA],$I190)</f>
        <v>6352.05</v>
      </c>
      <c r="G190" s="4">
        <f t="shared" si="5"/>
        <v>0</v>
      </c>
      <c r="H190">
        <v>40350</v>
      </c>
      <c r="I190" s="3" t="s">
        <v>407</v>
      </c>
      <c r="J190" s="3" t="s">
        <v>408</v>
      </c>
      <c r="K190" s="173">
        <v>6352.05</v>
      </c>
      <c r="L190" s="1">
        <v>3000</v>
      </c>
      <c r="M190" s="1">
        <v>0</v>
      </c>
      <c r="N190" s="4">
        <v>9352.0499999999993</v>
      </c>
      <c r="O190" s="4">
        <f>Tab_04.Abr[[#This Row],[DÉBITO]]-Tab_04.Abr[[#This Row],[CRÉDITO]]</f>
        <v>3000</v>
      </c>
    </row>
    <row r="191" spans="2:15" hidden="1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S</v>
      </c>
      <c r="E191" s="2">
        <f>IF($I191="","",COUNTIFS(Tab_00.Trial[CONTA],$I191))</f>
        <v>1</v>
      </c>
      <c r="F191" s="4">
        <f>SUMIFS(Tab_03.Mar[SALDO
ATUAL],Tab_03.Mar[CONTA],$I191)</f>
        <v>43531.87</v>
      </c>
      <c r="G191" s="4">
        <f t="shared" si="5"/>
        <v>0</v>
      </c>
      <c r="H191">
        <v>40353</v>
      </c>
      <c r="I191" s="3" t="s">
        <v>594</v>
      </c>
      <c r="J191" s="3" t="s">
        <v>819</v>
      </c>
      <c r="K191" s="173">
        <v>43531.87</v>
      </c>
      <c r="L191" s="1">
        <v>16616.61</v>
      </c>
      <c r="M191" s="1">
        <v>0</v>
      </c>
      <c r="N191" s="4">
        <v>60148.480000000003</v>
      </c>
      <c r="O191" s="4">
        <f>Tab_04.Abr[[#This Row],[DÉBITO]]-Tab_04.Abr[[#This Row],[CRÉDITO]]</f>
        <v>16616.61</v>
      </c>
    </row>
    <row r="192" spans="2:15" hidden="1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A</v>
      </c>
      <c r="E192" s="2">
        <f>IF($I192="","",COUNTIFS(Tab_00.Trial[CONTA],$I192))</f>
        <v>1</v>
      </c>
      <c r="F192" s="4">
        <f>SUMIFS(Tab_03.Mar[SALDO
ATUAL],Tab_03.Mar[CONTA],$I192)</f>
        <v>300</v>
      </c>
      <c r="G192" s="4">
        <f t="shared" si="5"/>
        <v>0</v>
      </c>
      <c r="H192">
        <v>40354</v>
      </c>
      <c r="I192" s="3" t="s">
        <v>411</v>
      </c>
      <c r="J192" s="3" t="s">
        <v>412</v>
      </c>
      <c r="K192" s="173">
        <v>300</v>
      </c>
      <c r="L192" s="173">
        <v>0</v>
      </c>
      <c r="M192" s="173">
        <v>0</v>
      </c>
      <c r="N192" s="4">
        <v>300</v>
      </c>
      <c r="O192" s="4">
        <f>Tab_04.Abr[[#This Row],[DÉBITO]]-Tab_04.Abr[[#This Row],[CRÉDITO]]</f>
        <v>0</v>
      </c>
    </row>
    <row r="193" spans="2:15" hidden="1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5</v>
      </c>
      <c r="D193" s="2" t="str">
        <f>_xlfn.XLOOKUP($I193,Tab_00.Trial[CONTA],Tab_00.Trial[S/A],"",0,1)</f>
        <v>A</v>
      </c>
      <c r="E193" s="2">
        <f>IF($I193="","",COUNTIFS(Tab_00.Trial[CONTA],$I193))</f>
        <v>1</v>
      </c>
      <c r="F193" s="4">
        <f>SUMIFS(Tab_03.Mar[SALDO
ATUAL],Tab_03.Mar[CONTA],$I193)</f>
        <v>43231.87</v>
      </c>
      <c r="G193" s="4">
        <f t="shared" si="5"/>
        <v>0</v>
      </c>
      <c r="H193">
        <v>40355</v>
      </c>
      <c r="I193" s="3" t="s">
        <v>413</v>
      </c>
      <c r="J193" s="3" t="s">
        <v>414</v>
      </c>
      <c r="K193" s="173">
        <v>43231.87</v>
      </c>
      <c r="L193" s="173">
        <v>16616.61</v>
      </c>
      <c r="M193" s="173">
        <v>0</v>
      </c>
      <c r="N193" s="4">
        <v>59848.480000000003</v>
      </c>
      <c r="O193" s="4">
        <f>Tab_04.Abr[[#This Row],[DÉBITO]]-Tab_04.Abr[[#This Row],[CRÉDITO]]</f>
        <v>16616.61</v>
      </c>
    </row>
    <row r="194" spans="2:15" hidden="1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5</v>
      </c>
      <c r="D194" s="2" t="str">
        <f>_xlfn.XLOOKUP($I194,Tab_00.Trial[CONTA],Tab_00.Trial[S/A],"",0,1)</f>
        <v>S</v>
      </c>
      <c r="E194" s="2">
        <f>IF($I194="","",COUNTIFS(Tab_00.Trial[CONTA],$I194))</f>
        <v>1</v>
      </c>
      <c r="F194" s="4">
        <f>SUMIFS(Tab_03.Mar[SALDO
ATUAL],Tab_03.Mar[CONTA],$I194)</f>
        <v>1281.78</v>
      </c>
      <c r="G194" s="4">
        <f t="shared" si="5"/>
        <v>0</v>
      </c>
      <c r="H194">
        <v>40365</v>
      </c>
      <c r="I194" s="3" t="s">
        <v>595</v>
      </c>
      <c r="J194" s="3" t="s">
        <v>420</v>
      </c>
      <c r="K194" s="173">
        <v>1281.78</v>
      </c>
      <c r="L194" s="173">
        <v>427.26</v>
      </c>
      <c r="M194" s="173">
        <v>0</v>
      </c>
      <c r="N194" s="4">
        <v>1709.04</v>
      </c>
      <c r="O194" s="4">
        <f>Tab_04.Abr[[#This Row],[DÉBITO]]-Tab_04.Abr[[#This Row],[CRÉDITO]]</f>
        <v>427.26</v>
      </c>
    </row>
    <row r="195" spans="2:15" hidden="1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A</v>
      </c>
      <c r="E195" s="2">
        <f>IF($I195="","",COUNTIFS(Tab_00.Trial[CONTA],$I195))</f>
        <v>1</v>
      </c>
      <c r="F195" s="4">
        <f>SUMIFS(Tab_03.Mar[SALDO
ATUAL],Tab_03.Mar[CONTA],$I195)</f>
        <v>1281.78</v>
      </c>
      <c r="G195" s="4">
        <f t="shared" si="5"/>
        <v>0</v>
      </c>
      <c r="H195">
        <v>40366</v>
      </c>
      <c r="I195" s="3" t="s">
        <v>419</v>
      </c>
      <c r="J195" s="3" t="s">
        <v>420</v>
      </c>
      <c r="K195" s="173">
        <v>1281.78</v>
      </c>
      <c r="L195" s="173">
        <v>427.26</v>
      </c>
      <c r="M195" s="173">
        <v>0</v>
      </c>
      <c r="N195" s="4">
        <v>1709.04</v>
      </c>
      <c r="O195" s="4">
        <f>Tab_04.Abr[[#This Row],[DÉBITO]]-Tab_04.Abr[[#This Row],[CRÉDITO]]</f>
        <v>427.26</v>
      </c>
    </row>
    <row r="196" spans="2:15" hidden="1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S</v>
      </c>
      <c r="E196" s="2">
        <f>IF($I196="","",COUNTIFS(Tab_00.Trial[CONTA],$I196))</f>
        <v>1</v>
      </c>
      <c r="F196" s="4">
        <f>SUMIFS(Tab_03.Mar[SALDO
ATUAL],Tab_03.Mar[CONTA],$I196)</f>
        <v>2277617.88</v>
      </c>
      <c r="G196" s="4">
        <f>$F196-$K196</f>
        <v>0</v>
      </c>
      <c r="H196">
        <v>40345</v>
      </c>
      <c r="I196" s="3" t="s">
        <v>237</v>
      </c>
      <c r="J196" s="3" t="s">
        <v>702</v>
      </c>
      <c r="K196" s="173">
        <v>2277617.88</v>
      </c>
      <c r="L196" s="173">
        <v>659036.97</v>
      </c>
      <c r="M196" s="173">
        <v>0</v>
      </c>
      <c r="N196" s="4">
        <v>2936654.85</v>
      </c>
      <c r="O196" s="4">
        <f>Tab_04.Abr[[#This Row],[DÉBITO]]-Tab_04.Abr[[#This Row],[CRÉDITO]]</f>
        <v>659036.97</v>
      </c>
    </row>
    <row r="197" spans="2:15" hidden="1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5</v>
      </c>
      <c r="D197" s="2" t="str">
        <f>_xlfn.XLOOKUP($I197,Tab_00.Trial[CONTA],Tab_00.Trial[S/A],"",0,1)</f>
        <v>S</v>
      </c>
      <c r="E197" s="2">
        <f>IF($I197="","",COUNTIFS(Tab_00.Trial[CONTA],$I197))</f>
        <v>1</v>
      </c>
      <c r="F197" s="4">
        <f>SUMIFS(Tab_03.Mar[SALDO
ATUAL],Tab_03.Mar[CONTA],$I197)</f>
        <v>2277617.88</v>
      </c>
      <c r="G197" s="4">
        <f>$F197-$K197</f>
        <v>0</v>
      </c>
      <c r="H197">
        <v>40360</v>
      </c>
      <c r="I197" s="3" t="s">
        <v>238</v>
      </c>
      <c r="J197" s="3" t="s">
        <v>820</v>
      </c>
      <c r="K197" s="173">
        <v>2277617.88</v>
      </c>
      <c r="L197" s="1">
        <v>659036.97</v>
      </c>
      <c r="M197" s="1">
        <v>0</v>
      </c>
      <c r="N197" s="4">
        <v>2936654.85</v>
      </c>
      <c r="O197" s="4">
        <f>Tab_04.Abr[[#This Row],[DÉBITO]]-Tab_04.Abr[[#This Row],[CRÉDITO]]</f>
        <v>659036.97</v>
      </c>
    </row>
    <row r="198" spans="2:15" hidden="1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5</v>
      </c>
      <c r="D198" s="2" t="str">
        <f>_xlfn.XLOOKUP($I198,Tab_00.Trial[CONTA],Tab_00.Trial[S/A],"",0,1)</f>
        <v>A</v>
      </c>
      <c r="E198" s="2">
        <f>IF($I198="","",COUNTIFS(Tab_00.Trial[CONTA],$I198))</f>
        <v>1</v>
      </c>
      <c r="F198" s="4">
        <f>SUMIFS(Tab_03.Mar[SALDO
ATUAL],Tab_03.Mar[CONTA],$I198)</f>
        <v>682368.86</v>
      </c>
      <c r="G198" s="4">
        <f>$F198-$K198</f>
        <v>0</v>
      </c>
      <c r="H198">
        <v>40425</v>
      </c>
      <c r="I198" s="3" t="s">
        <v>421</v>
      </c>
      <c r="J198" s="3" t="s">
        <v>422</v>
      </c>
      <c r="K198" s="173">
        <v>682368.86</v>
      </c>
      <c r="L198" s="173">
        <v>180215.42</v>
      </c>
      <c r="M198" s="1">
        <v>0</v>
      </c>
      <c r="N198" s="4">
        <v>862584.28</v>
      </c>
      <c r="O198" s="4">
        <f>Tab_04.Abr[[#This Row],[DÉBITO]]-Tab_04.Abr[[#This Row],[CRÉDITO]]</f>
        <v>180215.42</v>
      </c>
    </row>
    <row r="199" spans="2:15" hidden="1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5</v>
      </c>
      <c r="D199" s="2" t="str">
        <f>_xlfn.XLOOKUP($I199,Tab_00.Trial[CONTA],Tab_00.Trial[S/A],"",0,1)</f>
        <v>A</v>
      </c>
      <c r="E199" s="2">
        <f>IF($I199="","",COUNTIFS(Tab_00.Trial[CONTA],$I199))</f>
        <v>1</v>
      </c>
      <c r="F199" s="4">
        <f>SUMIFS(Tab_03.Mar[SALDO
ATUAL],Tab_03.Mar[CONTA],$I199)</f>
        <v>382498.04</v>
      </c>
      <c r="G199" s="4">
        <f t="shared" ref="G199:G230" si="6">$F199-$K199</f>
        <v>0</v>
      </c>
      <c r="H199">
        <v>40468</v>
      </c>
      <c r="I199" s="3" t="s">
        <v>738</v>
      </c>
      <c r="J199" s="3" t="s">
        <v>367</v>
      </c>
      <c r="K199" s="173">
        <v>382498.04</v>
      </c>
      <c r="L199" s="173">
        <v>132289.44</v>
      </c>
      <c r="M199" s="1">
        <v>0</v>
      </c>
      <c r="N199" s="4">
        <v>514787.48</v>
      </c>
      <c r="O199" s="4">
        <f>Tab_04.Abr[[#This Row],[DÉBITO]]-Tab_04.Abr[[#This Row],[CRÉDITO]]</f>
        <v>132289.44</v>
      </c>
    </row>
    <row r="200" spans="2:15" hidden="1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5</v>
      </c>
      <c r="D200" s="2" t="str">
        <f>_xlfn.XLOOKUP($I200,Tab_00.Trial[CONTA],Tab_00.Trial[S/A],"",0,1)</f>
        <v>A</v>
      </c>
      <c r="E200" s="2">
        <f>IF($I200="","",COUNTIFS(Tab_00.Trial[CONTA],$I200))</f>
        <v>1</v>
      </c>
      <c r="F200" s="4">
        <f>SUMIFS(Tab_03.Mar[SALDO
ATUAL],Tab_03.Mar[CONTA],$I200)</f>
        <v>1212750.98</v>
      </c>
      <c r="G200" s="4">
        <f t="shared" si="6"/>
        <v>0</v>
      </c>
      <c r="H200">
        <v>40469</v>
      </c>
      <c r="I200" s="3" t="s">
        <v>423</v>
      </c>
      <c r="J200" s="3" t="s">
        <v>424</v>
      </c>
      <c r="K200" s="1">
        <v>1212750.98</v>
      </c>
      <c r="L200" s="1">
        <v>346532.11</v>
      </c>
      <c r="M200" s="1">
        <v>0</v>
      </c>
      <c r="N200" s="4">
        <v>1559283.09</v>
      </c>
      <c r="O200" s="4">
        <f>Tab_04.Abr[[#This Row],[DÉBITO]]-Tab_04.Abr[[#This Row],[CRÉDITO]]</f>
        <v>346532.11</v>
      </c>
    </row>
    <row r="201" spans="2:15" hidden="1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1</v>
      </c>
      <c r="D201" s="2" t="str">
        <f>_xlfn.XLOOKUP($I201,Tab_00.Trial[CONTA],Tab_00.Trial[S/A],"",0,1)</f>
        <v>S</v>
      </c>
      <c r="E201" s="2">
        <f>IF($I201="","",COUNTIFS(Tab_00.Trial[CONTA],$I201))</f>
        <v>1</v>
      </c>
      <c r="F201" s="4">
        <f>SUMIFS(Tab_03.Mar[SALDO
ATUAL],Tab_03.Mar[CONTA],$I201)</f>
        <v>1027226.37</v>
      </c>
      <c r="G201" s="4">
        <f t="shared" si="6"/>
        <v>0</v>
      </c>
      <c r="H201">
        <v>50000</v>
      </c>
      <c r="I201" s="3">
        <v>5</v>
      </c>
      <c r="J201" s="3" t="s">
        <v>705</v>
      </c>
      <c r="K201" s="173">
        <v>1027226.37</v>
      </c>
      <c r="L201" s="173">
        <v>243126.5</v>
      </c>
      <c r="M201" s="1">
        <v>13155.51</v>
      </c>
      <c r="N201" s="4">
        <v>1257197.3600000001</v>
      </c>
      <c r="O201" s="4">
        <f>Tab_04.Abr[[#This Row],[DÉBITO]]-Tab_04.Abr[[#This Row],[CRÉDITO]]</f>
        <v>229970.99</v>
      </c>
    </row>
    <row r="202" spans="2:15" hidden="1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2</v>
      </c>
      <c r="D202" s="2" t="str">
        <f>_xlfn.XLOOKUP($I202,Tab_00.Trial[CONTA],Tab_00.Trial[S/A],"",0,1)</f>
        <v>S</v>
      </c>
      <c r="E202" s="2">
        <f>IF($I202="","",COUNTIFS(Tab_00.Trial[CONTA],$I202))</f>
        <v>1</v>
      </c>
      <c r="F202" s="4">
        <f>SUMIFS(Tab_03.Mar[SALDO
ATUAL],Tab_03.Mar[CONTA],$I202)</f>
        <v>1027145.37</v>
      </c>
      <c r="G202" s="4">
        <f t="shared" si="6"/>
        <v>0</v>
      </c>
      <c r="H202">
        <v>50015</v>
      </c>
      <c r="I202" s="3" t="s">
        <v>599</v>
      </c>
      <c r="J202" s="3" t="s">
        <v>821</v>
      </c>
      <c r="K202" s="1">
        <v>1027145.37</v>
      </c>
      <c r="L202" s="1">
        <v>243126.5</v>
      </c>
      <c r="M202" s="1">
        <v>13155.51</v>
      </c>
      <c r="N202" s="4">
        <v>1257116.3600000001</v>
      </c>
      <c r="O202" s="4">
        <f>Tab_04.Abr[[#This Row],[DÉBITO]]-Tab_04.Abr[[#This Row],[CRÉDITO]]</f>
        <v>229970.99</v>
      </c>
    </row>
    <row r="203" spans="2:15" hidden="1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5</v>
      </c>
      <c r="D203" s="2" t="str">
        <f>_xlfn.XLOOKUP($I203,Tab_00.Trial[CONTA],Tab_00.Trial[S/A],"",0,1)</f>
        <v>S</v>
      </c>
      <c r="E203" s="2">
        <f>IF($I203="","",COUNTIFS(Tab_00.Trial[CONTA],$I203))</f>
        <v>1</v>
      </c>
      <c r="F203" s="4">
        <f>SUMIFS(Tab_03.Mar[SALDO
ATUAL],Tab_03.Mar[CONTA],$I203)</f>
        <v>560407.41</v>
      </c>
      <c r="G203" s="4">
        <f t="shared" si="6"/>
        <v>0</v>
      </c>
      <c r="H203">
        <v>50030</v>
      </c>
      <c r="I203" s="3" t="s">
        <v>600</v>
      </c>
      <c r="J203" s="3" t="s">
        <v>706</v>
      </c>
      <c r="K203" s="173">
        <v>560407.41</v>
      </c>
      <c r="L203" s="173">
        <v>64963.93</v>
      </c>
      <c r="M203" s="1">
        <v>13155.51</v>
      </c>
      <c r="N203" s="4">
        <v>612215.82999999996</v>
      </c>
      <c r="O203" s="4">
        <f>Tab_04.Abr[[#This Row],[DÉBITO]]-Tab_04.Abr[[#This Row],[CRÉDITO]]</f>
        <v>51808.42</v>
      </c>
    </row>
    <row r="204" spans="2:15" hidden="1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5</v>
      </c>
      <c r="D204" s="2" t="str">
        <f>_xlfn.XLOOKUP($I204,Tab_00.Trial[CONTA],Tab_00.Trial[S/A],"",0,1)</f>
        <v>S</v>
      </c>
      <c r="E204" s="2">
        <f>IF($I204="","",COUNTIFS(Tab_00.Trial[CONTA],$I204))</f>
        <v>1</v>
      </c>
      <c r="F204" s="4">
        <f>SUMIFS(Tab_03.Mar[SALDO
ATUAL],Tab_03.Mar[CONTA],$I204)</f>
        <v>314679</v>
      </c>
      <c r="G204" s="4">
        <f t="shared" si="6"/>
        <v>0</v>
      </c>
      <c r="H204">
        <v>50045</v>
      </c>
      <c r="I204" s="3" t="s">
        <v>601</v>
      </c>
      <c r="J204" s="3" t="s">
        <v>707</v>
      </c>
      <c r="K204" s="173">
        <v>314679</v>
      </c>
      <c r="L204" s="173">
        <v>51815.64</v>
      </c>
      <c r="M204" s="1">
        <v>11432.48</v>
      </c>
      <c r="N204" s="4">
        <v>355062.16</v>
      </c>
      <c r="O204" s="4">
        <f>Tab_04.Abr[[#This Row],[DÉBITO]]-Tab_04.Abr[[#This Row],[CRÉDITO]]</f>
        <v>40383.160000000003</v>
      </c>
    </row>
    <row r="205" spans="2:15" hidden="1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5</v>
      </c>
      <c r="D205" s="2" t="str">
        <f>_xlfn.XLOOKUP($I205,Tab_00.Trial[CONTA],Tab_00.Trial[S/A],"",0,1)</f>
        <v>A</v>
      </c>
      <c r="E205" s="2">
        <f>IF($I205="","",COUNTIFS(Tab_00.Trial[CONTA],$I205))</f>
        <v>1</v>
      </c>
      <c r="F205" s="4">
        <f>SUMIFS(Tab_03.Mar[SALDO
ATUAL],Tab_03.Mar[CONTA],$I205)</f>
        <v>162656.29999999999</v>
      </c>
      <c r="G205" s="4">
        <f t="shared" si="6"/>
        <v>0</v>
      </c>
      <c r="H205">
        <v>50060</v>
      </c>
      <c r="I205" s="3" t="s">
        <v>441</v>
      </c>
      <c r="J205" s="3" t="s">
        <v>427</v>
      </c>
      <c r="K205" s="173">
        <v>162656.29999999999</v>
      </c>
      <c r="L205" s="173">
        <v>42704.29</v>
      </c>
      <c r="M205" s="1">
        <v>11432.48</v>
      </c>
      <c r="N205" s="4">
        <v>193928.11</v>
      </c>
      <c r="O205" s="4">
        <f>Tab_04.Abr[[#This Row],[DÉBITO]]-Tab_04.Abr[[#This Row],[CRÉDITO]]</f>
        <v>31271.81</v>
      </c>
    </row>
    <row r="206" spans="2:15" hidden="1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5</v>
      </c>
      <c r="D206" s="2" t="str">
        <f>_xlfn.XLOOKUP($I206,Tab_00.Trial[CONTA],Tab_00.Trial[S/A],"",0,1)</f>
        <v>A</v>
      </c>
      <c r="E206" s="2">
        <f>IF($I206="","",COUNTIFS(Tab_00.Trial[CONTA],$I206))</f>
        <v>1</v>
      </c>
      <c r="F206" s="4">
        <f>SUMIFS(Tab_03.Mar[SALDO
ATUAL],Tab_03.Mar[CONTA],$I206)</f>
        <v>28400.5</v>
      </c>
      <c r="G206" s="4">
        <f t="shared" si="6"/>
        <v>0</v>
      </c>
      <c r="H206">
        <v>50090</v>
      </c>
      <c r="I206" s="3" t="s">
        <v>443</v>
      </c>
      <c r="J206" s="3" t="s">
        <v>431</v>
      </c>
      <c r="K206" s="173">
        <v>28400.5</v>
      </c>
      <c r="L206" s="1">
        <v>2959.89</v>
      </c>
      <c r="M206" s="1">
        <v>0</v>
      </c>
      <c r="N206" s="4">
        <v>31360.39</v>
      </c>
      <c r="O206" s="4">
        <f>Tab_04.Abr[[#This Row],[DÉBITO]]-Tab_04.Abr[[#This Row],[CRÉDITO]]</f>
        <v>2959.89</v>
      </c>
    </row>
    <row r="207" spans="2:15" hidden="1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5</v>
      </c>
      <c r="D207" s="2" t="str">
        <f>_xlfn.XLOOKUP($I207,Tab_00.Trial[CONTA],Tab_00.Trial[S/A],"",0,1)</f>
        <v>A</v>
      </c>
      <c r="E207" s="2">
        <f>IF($I207="","",COUNTIFS(Tab_00.Trial[CONTA],$I207))</f>
        <v>1</v>
      </c>
      <c r="F207" s="4">
        <f>SUMIFS(Tab_03.Mar[SALDO
ATUAL],Tab_03.Mar[CONTA],$I207)</f>
        <v>21653.9</v>
      </c>
      <c r="G207" s="4">
        <f t="shared" si="6"/>
        <v>0</v>
      </c>
      <c r="H207">
        <v>50105</v>
      </c>
      <c r="I207" s="3" t="s">
        <v>444</v>
      </c>
      <c r="J207" s="3" t="s">
        <v>433</v>
      </c>
      <c r="K207" s="1">
        <v>21653.9</v>
      </c>
      <c r="L207" s="1">
        <v>3238.34</v>
      </c>
      <c r="M207" s="1">
        <v>0</v>
      </c>
      <c r="N207" s="4">
        <v>24892.240000000002</v>
      </c>
      <c r="O207" s="4">
        <f>Tab_04.Abr[[#This Row],[DÉBITO]]-Tab_04.Abr[[#This Row],[CRÉDITO]]</f>
        <v>3238.34</v>
      </c>
    </row>
    <row r="208" spans="2:15" hidden="1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5</v>
      </c>
      <c r="D208" s="2" t="str">
        <f>_xlfn.XLOOKUP($I208,Tab_00.Trial[CONTA],Tab_00.Trial[S/A],"",0,1)</f>
        <v>A</v>
      </c>
      <c r="E208" s="2">
        <f>IF($I208="","",COUNTIFS(Tab_00.Trial[CONTA],$I208))</f>
        <v>1</v>
      </c>
      <c r="F208" s="4">
        <f>SUMIFS(Tab_03.Mar[SALDO
ATUAL],Tab_03.Mar[CONTA],$I208)</f>
        <v>85959.77</v>
      </c>
      <c r="G208" s="4">
        <f t="shared" si="6"/>
        <v>0</v>
      </c>
      <c r="H208">
        <v>50120</v>
      </c>
      <c r="I208" s="3" t="s">
        <v>775</v>
      </c>
      <c r="J208" s="3" t="s">
        <v>749</v>
      </c>
      <c r="K208" s="1">
        <v>85959.77</v>
      </c>
      <c r="L208" s="1">
        <v>0</v>
      </c>
      <c r="M208" s="1">
        <v>0</v>
      </c>
      <c r="N208" s="4">
        <v>85959.77</v>
      </c>
      <c r="O208" s="4">
        <f>Tab_04.Abr[[#This Row],[DÉBITO]]-Tab_04.Abr[[#This Row],[CRÉDITO]]</f>
        <v>0</v>
      </c>
    </row>
    <row r="209" spans="2:15" hidden="1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5</v>
      </c>
      <c r="D209" s="2" t="str">
        <f>_xlfn.XLOOKUP($I209,Tab_00.Trial[CONTA],Tab_00.Trial[S/A],"",0,1)</f>
        <v>A</v>
      </c>
      <c r="E209" s="2">
        <f>IF($I209="","",COUNTIFS(Tab_00.Trial[CONTA],$I209))</f>
        <v>1</v>
      </c>
      <c r="F209" s="4">
        <f>SUMIFS(Tab_03.Mar[SALDO
ATUAL],Tab_03.Mar[CONTA],$I209)</f>
        <v>862.74</v>
      </c>
      <c r="G209" s="4">
        <f t="shared" si="6"/>
        <v>0</v>
      </c>
      <c r="H209">
        <v>10167</v>
      </c>
      <c r="I209" s="3" t="s">
        <v>802</v>
      </c>
      <c r="J209" s="3" t="s">
        <v>791</v>
      </c>
      <c r="K209" s="173">
        <v>862.74</v>
      </c>
      <c r="L209" s="173">
        <v>1157.1500000000001</v>
      </c>
      <c r="M209" s="1">
        <v>0</v>
      </c>
      <c r="N209" s="4">
        <v>2019.89</v>
      </c>
      <c r="O209" s="4">
        <f>Tab_04.Abr[[#This Row],[DÉBITO]]-Tab_04.Abr[[#This Row],[CRÉDITO]]</f>
        <v>1157.1500000000001</v>
      </c>
    </row>
    <row r="210" spans="2:15" hidden="1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5</v>
      </c>
      <c r="D210" s="2" t="str">
        <f>_xlfn.XLOOKUP($I210,Tab_00.Trial[CONTA],Tab_00.Trial[S/A],"",0,1)</f>
        <v>A</v>
      </c>
      <c r="E210" s="2">
        <f>IF($I210="","",COUNTIFS(Tab_00.Trial[CONTA],$I210))</f>
        <v>1</v>
      </c>
      <c r="F210" s="4">
        <f>SUMIFS(Tab_03.Mar[SALDO
ATUAL],Tab_03.Mar[CONTA],$I210)</f>
        <v>9458.86</v>
      </c>
      <c r="G210" s="4">
        <f t="shared" si="6"/>
        <v>0</v>
      </c>
      <c r="H210">
        <v>10174</v>
      </c>
      <c r="I210" s="3" t="s">
        <v>803</v>
      </c>
      <c r="J210" s="3" t="s">
        <v>793</v>
      </c>
      <c r="K210" s="173">
        <v>9458.86</v>
      </c>
      <c r="L210" s="173">
        <v>567.08000000000004</v>
      </c>
      <c r="M210" s="1">
        <v>0</v>
      </c>
      <c r="N210" s="4">
        <v>10025.94</v>
      </c>
      <c r="O210" s="4">
        <f>Tab_04.Abr[[#This Row],[DÉBITO]]-Tab_04.Abr[[#This Row],[CRÉDITO]]</f>
        <v>567.08000000000004</v>
      </c>
    </row>
    <row r="211" spans="2:15" hidden="1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5</v>
      </c>
      <c r="D211" s="2" t="str">
        <f>_xlfn.XLOOKUP($I211,Tab_00.Trial[CONTA],Tab_00.Trial[S/A],"",0,1)</f>
        <v>A</v>
      </c>
      <c r="E211" s="2">
        <f>IF($I211="","",COUNTIFS(Tab_00.Trial[CONTA],$I211))</f>
        <v>1</v>
      </c>
      <c r="F211" s="4">
        <f>SUMIFS(Tab_03.Mar[SALDO
ATUAL],Tab_03.Mar[CONTA],$I211)</f>
        <v>71.84</v>
      </c>
      <c r="G211" s="4">
        <f t="shared" si="6"/>
        <v>0</v>
      </c>
      <c r="H211">
        <v>10181</v>
      </c>
      <c r="I211" s="3" t="s">
        <v>804</v>
      </c>
      <c r="J211" s="3" t="s">
        <v>795</v>
      </c>
      <c r="K211" s="173">
        <v>71.84</v>
      </c>
      <c r="L211" s="173">
        <v>29.6</v>
      </c>
      <c r="M211" s="1">
        <v>0</v>
      </c>
      <c r="N211" s="4">
        <v>101.44</v>
      </c>
      <c r="O211" s="4">
        <f>Tab_04.Abr[[#This Row],[DÉBITO]]-Tab_04.Abr[[#This Row],[CRÉDITO]]</f>
        <v>29.6</v>
      </c>
    </row>
    <row r="212" spans="2:15" hidden="1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A</v>
      </c>
      <c r="E212" s="2">
        <f>IF($I212="","",COUNTIFS(Tab_00.Trial[CONTA],$I212))</f>
        <v>1</v>
      </c>
      <c r="F212" s="4">
        <f>SUMIFS(Tab_03.Mar[SALDO
ATUAL],Tab_03.Mar[CONTA],$I212)</f>
        <v>4203.51</v>
      </c>
      <c r="G212" s="4">
        <f t="shared" si="6"/>
        <v>0</v>
      </c>
      <c r="H212">
        <v>10188</v>
      </c>
      <c r="I212" s="3" t="s">
        <v>805</v>
      </c>
      <c r="J212" s="3" t="s">
        <v>797</v>
      </c>
      <c r="K212" s="173">
        <v>4203.51</v>
      </c>
      <c r="L212" s="173">
        <v>867.85</v>
      </c>
      <c r="M212" s="1">
        <v>0</v>
      </c>
      <c r="N212" s="4">
        <v>5071.3599999999997</v>
      </c>
      <c r="O212" s="4">
        <f>Tab_04.Abr[[#This Row],[DÉBITO]]-Tab_04.Abr[[#This Row],[CRÉDITO]]</f>
        <v>867.85</v>
      </c>
    </row>
    <row r="213" spans="2:15" hidden="1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A</v>
      </c>
      <c r="E213" s="2">
        <f>IF($I213="","",COUNTIFS(Tab_00.Trial[CONTA],$I213))</f>
        <v>1</v>
      </c>
      <c r="F213" s="4">
        <f>SUMIFS(Tab_03.Mar[SALDO
ATUAL],Tab_03.Mar[CONTA],$I213)</f>
        <v>1254.74</v>
      </c>
      <c r="G213" s="4">
        <f t="shared" si="6"/>
        <v>0</v>
      </c>
      <c r="H213">
        <v>10202</v>
      </c>
      <c r="I213" s="3" t="s">
        <v>806</v>
      </c>
      <c r="J213" s="3" t="s">
        <v>799</v>
      </c>
      <c r="K213" s="173">
        <v>1254.74</v>
      </c>
      <c r="L213" s="1">
        <v>259.06</v>
      </c>
      <c r="M213" s="1">
        <v>0</v>
      </c>
      <c r="N213" s="4">
        <v>1513.8</v>
      </c>
      <c r="O213" s="4">
        <f>Tab_04.Abr[[#This Row],[DÉBITO]]-Tab_04.Abr[[#This Row],[CRÉDITO]]</f>
        <v>259.06</v>
      </c>
    </row>
    <row r="214" spans="2:15" hidden="1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5</v>
      </c>
      <c r="D214" s="2" t="str">
        <f>_xlfn.XLOOKUP($I214,Tab_00.Trial[CONTA],Tab_00.Trial[S/A],"",0,1)</f>
        <v>A</v>
      </c>
      <c r="E214" s="2">
        <f>IF($I214="","",COUNTIFS(Tab_00.Trial[CONTA],$I214))</f>
        <v>1</v>
      </c>
      <c r="F214" s="4">
        <f>SUMIFS(Tab_03.Mar[SALDO
ATUAL],Tab_03.Mar[CONTA],$I214)</f>
        <v>156.84</v>
      </c>
      <c r="G214" s="4">
        <f t="shared" si="6"/>
        <v>0</v>
      </c>
      <c r="H214">
        <v>10209</v>
      </c>
      <c r="I214" s="3" t="s">
        <v>807</v>
      </c>
      <c r="J214" s="3" t="s">
        <v>801</v>
      </c>
      <c r="K214" s="173">
        <v>156.84</v>
      </c>
      <c r="L214" s="173">
        <v>32.380000000000003</v>
      </c>
      <c r="M214" s="1">
        <v>0</v>
      </c>
      <c r="N214" s="4">
        <v>189.22</v>
      </c>
      <c r="O214" s="4">
        <f>Tab_04.Abr[[#This Row],[DÉBITO]]-Tab_04.Abr[[#This Row],[CRÉDITO]]</f>
        <v>32.380000000000003</v>
      </c>
    </row>
    <row r="215" spans="2:15" hidden="1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S</v>
      </c>
      <c r="E215" s="2">
        <f>IF($I215="","",COUNTIFS(Tab_00.Trial[CONTA],$I215))</f>
        <v>1</v>
      </c>
      <c r="F215" s="4">
        <f>SUMIFS(Tab_03.Mar[SALDO
ATUAL],Tab_03.Mar[CONTA],$I215)</f>
        <v>1014</v>
      </c>
      <c r="G215" s="4">
        <f t="shared" si="6"/>
        <v>0</v>
      </c>
      <c r="H215">
        <v>50150</v>
      </c>
      <c r="I215" s="3" t="s">
        <v>602</v>
      </c>
      <c r="J215" s="3" t="s">
        <v>708</v>
      </c>
      <c r="K215" s="173">
        <v>1014</v>
      </c>
      <c r="L215" s="173">
        <v>1723.03</v>
      </c>
      <c r="M215" s="1">
        <v>1723.03</v>
      </c>
      <c r="N215" s="4">
        <v>1014</v>
      </c>
      <c r="O215" s="4">
        <f>Tab_04.Abr[[#This Row],[DÉBITO]]-Tab_04.Abr[[#This Row],[CRÉDITO]]</f>
        <v>0</v>
      </c>
    </row>
    <row r="216" spans="2:15" hidden="1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A</v>
      </c>
      <c r="E216" s="2">
        <f>IF($I216="","",COUNTIFS(Tab_00.Trial[CONTA],$I216))</f>
        <v>1</v>
      </c>
      <c r="F216" s="4">
        <f>SUMIFS(Tab_03.Mar[SALDO
ATUAL],Tab_03.Mar[CONTA],$I216)</f>
        <v>0</v>
      </c>
      <c r="G216" s="4">
        <f t="shared" si="6"/>
        <v>0</v>
      </c>
      <c r="H216">
        <v>50165</v>
      </c>
      <c r="I216" s="3" t="s">
        <v>772</v>
      </c>
      <c r="J216" s="3" t="s">
        <v>435</v>
      </c>
      <c r="K216" s="1">
        <v>0</v>
      </c>
      <c r="L216" s="1">
        <v>462.53</v>
      </c>
      <c r="M216" s="1">
        <v>462.53</v>
      </c>
      <c r="N216" s="4">
        <v>0</v>
      </c>
      <c r="O216" s="4">
        <f>Tab_04.Abr[[#This Row],[DÉBITO]]-Tab_04.Abr[[#This Row],[CRÉDITO]]</f>
        <v>0</v>
      </c>
    </row>
    <row r="217" spans="2:15" hidden="1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A</v>
      </c>
      <c r="E217" s="2">
        <f>IF($I217="","",COUNTIFS(Tab_00.Trial[CONTA],$I217))</f>
        <v>1</v>
      </c>
      <c r="F217" s="4">
        <f>SUMIFS(Tab_03.Mar[SALDO
ATUAL],Tab_03.Mar[CONTA],$I217)</f>
        <v>0</v>
      </c>
      <c r="G217" s="4">
        <f t="shared" si="6"/>
        <v>0</v>
      </c>
      <c r="H217">
        <v>50195</v>
      </c>
      <c r="I217" s="3" t="s">
        <v>773</v>
      </c>
      <c r="J217" s="3" t="s">
        <v>751</v>
      </c>
      <c r="K217" s="173">
        <v>0</v>
      </c>
      <c r="L217" s="173">
        <v>1260.5</v>
      </c>
      <c r="M217" s="1">
        <v>1260.5</v>
      </c>
      <c r="N217" s="4">
        <v>0</v>
      </c>
      <c r="O217" s="4">
        <f>Tab_04.Abr[[#This Row],[DÉBITO]]-Tab_04.Abr[[#This Row],[CRÉDITO]]</f>
        <v>0</v>
      </c>
    </row>
    <row r="218" spans="2:15" hidden="1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A</v>
      </c>
      <c r="E218" s="2">
        <f>IF($I218="","",COUNTIFS(Tab_00.Trial[CONTA],$I218))</f>
        <v>1</v>
      </c>
      <c r="F218" s="4">
        <f>SUMIFS(Tab_03.Mar[SALDO
ATUAL],Tab_03.Mar[CONTA],$I218)</f>
        <v>1014</v>
      </c>
      <c r="G218" s="4">
        <f t="shared" si="6"/>
        <v>0</v>
      </c>
      <c r="H218">
        <v>50211</v>
      </c>
      <c r="I218" s="3" t="s">
        <v>455</v>
      </c>
      <c r="J218" s="3" t="s">
        <v>456</v>
      </c>
      <c r="K218" s="173">
        <v>1014</v>
      </c>
      <c r="L218" s="173">
        <v>0</v>
      </c>
      <c r="M218" s="1">
        <v>0</v>
      </c>
      <c r="N218" s="4">
        <v>1014</v>
      </c>
      <c r="O218" s="4">
        <f>Tab_04.Abr[[#This Row],[DÉBITO]]-Tab_04.Abr[[#This Row],[CRÉDITO]]</f>
        <v>0</v>
      </c>
    </row>
    <row r="219" spans="2:15" hidden="1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S</v>
      </c>
      <c r="E219" s="2">
        <f>IF($I219="","",COUNTIFS(Tab_00.Trial[CONTA],$I219))</f>
        <v>1</v>
      </c>
      <c r="F219" s="4">
        <f>SUMIFS(Tab_03.Mar[SALDO
ATUAL],Tab_03.Mar[CONTA],$I219)</f>
        <v>244054.41</v>
      </c>
      <c r="G219" s="4">
        <f t="shared" si="6"/>
        <v>0</v>
      </c>
      <c r="H219">
        <v>50215</v>
      </c>
      <c r="I219" s="3" t="s">
        <v>603</v>
      </c>
      <c r="J219" s="3" t="s">
        <v>709</v>
      </c>
      <c r="K219" s="173">
        <v>244054.41</v>
      </c>
      <c r="L219" s="1">
        <v>11195.26</v>
      </c>
      <c r="M219" s="1">
        <v>0</v>
      </c>
      <c r="N219" s="4">
        <v>255249.67</v>
      </c>
      <c r="O219" s="4">
        <f>Tab_04.Abr[[#This Row],[DÉBITO]]-Tab_04.Abr[[#This Row],[CRÉDITO]]</f>
        <v>11195.26</v>
      </c>
    </row>
    <row r="220" spans="2:15" hidden="1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A</v>
      </c>
      <c r="E220" s="2">
        <f>IF($I220="","",COUNTIFS(Tab_00.Trial[CONTA],$I220))</f>
        <v>1</v>
      </c>
      <c r="F220" s="4">
        <f>SUMIFS(Tab_03.Mar[SALDO
ATUAL],Tab_03.Mar[CONTA],$I220)</f>
        <v>43252.27</v>
      </c>
      <c r="G220" s="4">
        <f t="shared" si="6"/>
        <v>0</v>
      </c>
      <c r="H220">
        <v>50225</v>
      </c>
      <c r="I220" s="3" t="s">
        <v>451</v>
      </c>
      <c r="J220" s="3" t="s">
        <v>437</v>
      </c>
      <c r="K220" s="173">
        <v>43252.27</v>
      </c>
      <c r="L220" s="1">
        <v>8380.82</v>
      </c>
      <c r="M220" s="1">
        <v>0</v>
      </c>
      <c r="N220" s="4">
        <v>51633.09</v>
      </c>
      <c r="O220" s="4">
        <f>Tab_04.Abr[[#This Row],[DÉBITO]]-Tab_04.Abr[[#This Row],[CRÉDITO]]</f>
        <v>8380.82</v>
      </c>
    </row>
    <row r="221" spans="2:15" hidden="1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A</v>
      </c>
      <c r="E221" s="2">
        <f>IF($I221="","",COUNTIFS(Tab_00.Trial[CONTA],$I221))</f>
        <v>1</v>
      </c>
      <c r="F221" s="4">
        <f>SUMIFS(Tab_03.Mar[SALDO
ATUAL],Tab_03.Mar[CONTA],$I221)</f>
        <v>199188.25</v>
      </c>
      <c r="G221" s="4">
        <f t="shared" si="6"/>
        <v>0</v>
      </c>
      <c r="H221">
        <v>50240</v>
      </c>
      <c r="I221" s="3" t="s">
        <v>452</v>
      </c>
      <c r="J221" s="3" t="s">
        <v>196</v>
      </c>
      <c r="K221" s="173">
        <v>199188.25</v>
      </c>
      <c r="L221" s="1">
        <v>2501.7199999999998</v>
      </c>
      <c r="M221" s="1">
        <v>0</v>
      </c>
      <c r="N221" s="4">
        <v>201689.97</v>
      </c>
      <c r="O221" s="4">
        <f>Tab_04.Abr[[#This Row],[DÉBITO]]-Tab_04.Abr[[#This Row],[CRÉDITO]]</f>
        <v>2501.7199999999998</v>
      </c>
    </row>
    <row r="222" spans="2:15" hidden="1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A</v>
      </c>
      <c r="E222" s="2">
        <f>IF($I222="","",COUNTIFS(Tab_00.Trial[CONTA],$I222))</f>
        <v>1</v>
      </c>
      <c r="F222" s="4">
        <f>SUMIFS(Tab_03.Mar[SALDO
ATUAL],Tab_03.Mar[CONTA],$I222)</f>
        <v>1613.89</v>
      </c>
      <c r="G222" s="4">
        <f t="shared" si="6"/>
        <v>0</v>
      </c>
      <c r="H222">
        <v>50255</v>
      </c>
      <c r="I222" s="3" t="s">
        <v>453</v>
      </c>
      <c r="J222" s="3" t="s">
        <v>454</v>
      </c>
      <c r="K222" s="173">
        <v>1613.89</v>
      </c>
      <c r="L222" s="173">
        <v>312.72000000000003</v>
      </c>
      <c r="M222" s="1">
        <v>0</v>
      </c>
      <c r="N222" s="4">
        <v>1926.61</v>
      </c>
      <c r="O222" s="4">
        <f>Tab_04.Abr[[#This Row],[DÉBITO]]-Tab_04.Abr[[#This Row],[CRÉDITO]]</f>
        <v>312.72000000000003</v>
      </c>
    </row>
    <row r="223" spans="2:15" hidden="1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S</v>
      </c>
      <c r="E223" s="2">
        <f>IF($I223="","",COUNTIFS(Tab_00.Trial[CONTA],$I223))</f>
        <v>1</v>
      </c>
      <c r="F223" s="4">
        <f>SUMIFS(Tab_03.Mar[SALDO
ATUAL],Tab_03.Mar[CONTA],$I223)</f>
        <v>660</v>
      </c>
      <c r="G223" s="4">
        <f t="shared" si="6"/>
        <v>0</v>
      </c>
      <c r="H223">
        <v>50290</v>
      </c>
      <c r="I223" s="3" t="s">
        <v>604</v>
      </c>
      <c r="J223" s="3" t="s">
        <v>710</v>
      </c>
      <c r="K223" s="173">
        <v>660</v>
      </c>
      <c r="L223" s="173">
        <v>230</v>
      </c>
      <c r="M223" s="1">
        <v>0</v>
      </c>
      <c r="N223" s="4">
        <v>890</v>
      </c>
      <c r="O223" s="4">
        <f>Tab_04.Abr[[#This Row],[DÉBITO]]-Tab_04.Abr[[#This Row],[CRÉDITO]]</f>
        <v>230</v>
      </c>
    </row>
    <row r="224" spans="2:15" hidden="1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A</v>
      </c>
      <c r="E224" s="2">
        <f>IF($I224="","",COUNTIFS(Tab_00.Trial[CONTA],$I224))</f>
        <v>1</v>
      </c>
      <c r="F224" s="4">
        <f>SUMIFS(Tab_03.Mar[SALDO
ATUAL],Tab_03.Mar[CONTA],$I224)</f>
        <v>660</v>
      </c>
      <c r="G224" s="4">
        <f t="shared" si="6"/>
        <v>0</v>
      </c>
      <c r="H224">
        <v>50295</v>
      </c>
      <c r="I224" s="3" t="s">
        <v>457</v>
      </c>
      <c r="J224" s="3" t="s">
        <v>458</v>
      </c>
      <c r="K224" s="173">
        <v>660</v>
      </c>
      <c r="L224" s="173">
        <v>230</v>
      </c>
      <c r="M224" s="1">
        <v>0</v>
      </c>
      <c r="N224" s="4">
        <v>890</v>
      </c>
      <c r="O224" s="4">
        <f>Tab_04.Abr[[#This Row],[DÉBITO]]-Tab_04.Abr[[#This Row],[CRÉDITO]]</f>
        <v>230</v>
      </c>
    </row>
    <row r="225" spans="2:15" hidden="1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S</v>
      </c>
      <c r="E225" s="2">
        <f>IF($I225="","",COUNTIFS(Tab_00.Trial[CONTA],$I225))</f>
        <v>1</v>
      </c>
      <c r="F225" s="4">
        <f>SUMIFS(Tab_03.Mar[SALDO
ATUAL],Tab_03.Mar[CONTA],$I225)</f>
        <v>378070.5</v>
      </c>
      <c r="G225" s="4">
        <f t="shared" si="6"/>
        <v>0</v>
      </c>
      <c r="H225">
        <v>50285</v>
      </c>
      <c r="I225" s="3" t="s">
        <v>605</v>
      </c>
      <c r="J225" s="3" t="s">
        <v>711</v>
      </c>
      <c r="K225" s="173">
        <v>378070.5</v>
      </c>
      <c r="L225" s="173">
        <v>133340.35999999999</v>
      </c>
      <c r="M225" s="1">
        <v>0</v>
      </c>
      <c r="N225" s="4">
        <v>511410.86</v>
      </c>
      <c r="O225" s="4">
        <f>Tab_04.Abr[[#This Row],[DÉBITO]]-Tab_04.Abr[[#This Row],[CRÉDITO]]</f>
        <v>133340.35999999999</v>
      </c>
    </row>
    <row r="226" spans="2:15" hidden="1" x14ac:dyDescent="0.3">
      <c r="B226" s="2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S</v>
      </c>
      <c r="E226" s="2">
        <f>IF($I226="","",COUNTIFS(Tab_00.Trial[CONTA],$I226))</f>
        <v>1</v>
      </c>
      <c r="F226" s="4">
        <f>SUMIFS(Tab_03.Mar[SALDO
ATUAL],Tab_03.Mar[CONTA],$I226)</f>
        <v>129172.26</v>
      </c>
      <c r="G226" s="4">
        <f t="shared" si="6"/>
        <v>0</v>
      </c>
      <c r="H226">
        <v>50300</v>
      </c>
      <c r="I226" s="3" t="s">
        <v>606</v>
      </c>
      <c r="J226" s="3" t="s">
        <v>712</v>
      </c>
      <c r="K226" s="173">
        <v>129172.26</v>
      </c>
      <c r="L226" s="1">
        <v>50374.28</v>
      </c>
      <c r="M226" s="1">
        <v>0</v>
      </c>
      <c r="N226" s="4">
        <v>179546.54</v>
      </c>
      <c r="O226" s="4">
        <f>Tab_04.Abr[[#This Row],[DÉBITO]]-Tab_04.Abr[[#This Row],[CRÉDITO]]</f>
        <v>50374.28</v>
      </c>
    </row>
    <row r="227" spans="2:15" hidden="1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A</v>
      </c>
      <c r="E227" s="2">
        <f>IF($I227="","",COUNTIFS(Tab_00.Trial[CONTA],$I227))</f>
        <v>1</v>
      </c>
      <c r="F227" s="4">
        <f>SUMIFS(Tab_03.Mar[SALDO
ATUAL],Tab_03.Mar[CONTA],$I227)</f>
        <v>22903.86</v>
      </c>
      <c r="G227" s="4">
        <f t="shared" si="6"/>
        <v>0</v>
      </c>
      <c r="H227">
        <v>50315</v>
      </c>
      <c r="I227" s="3" t="s">
        <v>459</v>
      </c>
      <c r="J227" s="3" t="s">
        <v>460</v>
      </c>
      <c r="K227" s="173">
        <v>22903.86</v>
      </c>
      <c r="L227" s="1">
        <v>7678.72</v>
      </c>
      <c r="M227" s="1">
        <v>0</v>
      </c>
      <c r="N227" s="4">
        <v>30582.58</v>
      </c>
      <c r="O227" s="4">
        <f>Tab_04.Abr[[#This Row],[DÉBITO]]-Tab_04.Abr[[#This Row],[CRÉDITO]]</f>
        <v>7678.72</v>
      </c>
    </row>
    <row r="228" spans="2:15" hidden="1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A</v>
      </c>
      <c r="E228" s="2">
        <f>IF($I228="","",COUNTIFS(Tab_00.Trial[CONTA],$I228))</f>
        <v>1</v>
      </c>
      <c r="F228" s="4">
        <f>SUMIFS(Tab_03.Mar[SALDO
ATUAL],Tab_03.Mar[CONTA],$I228)</f>
        <v>44914.68</v>
      </c>
      <c r="G228" s="4">
        <f t="shared" si="6"/>
        <v>0</v>
      </c>
      <c r="H228">
        <v>50330</v>
      </c>
      <c r="I228" s="3" t="s">
        <v>461</v>
      </c>
      <c r="J228" s="3" t="s">
        <v>462</v>
      </c>
      <c r="K228" s="1">
        <v>44914.68</v>
      </c>
      <c r="L228" s="173">
        <v>13657.65</v>
      </c>
      <c r="M228" s="1">
        <v>0</v>
      </c>
      <c r="N228" s="4">
        <v>58572.33</v>
      </c>
      <c r="O228" s="4">
        <f>Tab_04.Abr[[#This Row],[DÉBITO]]-Tab_04.Abr[[#This Row],[CRÉDITO]]</f>
        <v>13657.65</v>
      </c>
    </row>
    <row r="229" spans="2:15" hidden="1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A</v>
      </c>
      <c r="E229" s="2">
        <f>IF($I229="","",COUNTIFS(Tab_00.Trial[CONTA],$I229))</f>
        <v>1</v>
      </c>
      <c r="F229" s="4">
        <f>SUMIFS(Tab_03.Mar[SALDO
ATUAL],Tab_03.Mar[CONTA],$I229)</f>
        <v>0</v>
      </c>
      <c r="G229" s="4">
        <f t="shared" si="6"/>
        <v>0</v>
      </c>
      <c r="H229">
        <v>50345</v>
      </c>
      <c r="I229" s="3" t="s">
        <v>463</v>
      </c>
      <c r="J229" s="3" t="s">
        <v>464</v>
      </c>
      <c r="K229" s="1">
        <v>0</v>
      </c>
      <c r="L229" s="1">
        <v>7166.67</v>
      </c>
      <c r="M229" s="1">
        <v>0</v>
      </c>
      <c r="N229" s="4">
        <v>7166.67</v>
      </c>
      <c r="O229" s="4">
        <f>Tab_04.Abr[[#This Row],[DÉBITO]]-Tab_04.Abr[[#This Row],[CRÉDITO]]</f>
        <v>7166.67</v>
      </c>
    </row>
    <row r="230" spans="2:15" hidden="1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A</v>
      </c>
      <c r="E230" s="2">
        <f>IF($I230="","",COUNTIFS(Tab_00.Trial[CONTA],$I230))</f>
        <v>1</v>
      </c>
      <c r="F230" s="4">
        <f>SUMIFS(Tab_03.Mar[SALDO
ATUAL],Tab_03.Mar[CONTA],$I230)</f>
        <v>13393.35</v>
      </c>
      <c r="G230" s="4">
        <f t="shared" si="6"/>
        <v>0</v>
      </c>
      <c r="H230">
        <v>50360</v>
      </c>
      <c r="I230" s="3" t="s">
        <v>465</v>
      </c>
      <c r="J230" s="3" t="s">
        <v>466</v>
      </c>
      <c r="K230" s="1">
        <v>13393.35</v>
      </c>
      <c r="L230" s="1">
        <v>5884.45</v>
      </c>
      <c r="M230" s="1">
        <v>0</v>
      </c>
      <c r="N230" s="4">
        <v>19277.8</v>
      </c>
      <c r="O230" s="4">
        <f>Tab_04.Abr[[#This Row],[DÉBITO]]-Tab_04.Abr[[#This Row],[CRÉDITO]]</f>
        <v>5884.45</v>
      </c>
    </row>
    <row r="231" spans="2:15" hidden="1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A</v>
      </c>
      <c r="E231" s="2">
        <f>IF($I231="","",COUNTIFS(Tab_00.Trial[CONTA],$I231))</f>
        <v>1</v>
      </c>
      <c r="F231" s="4">
        <f>SUMIFS(Tab_03.Mar[SALDO
ATUAL],Tab_03.Mar[CONTA],$I231)</f>
        <v>13500</v>
      </c>
      <c r="G231" s="4">
        <f t="shared" ref="G231:G233" si="7">$F231-$K231</f>
        <v>0</v>
      </c>
      <c r="H231">
        <v>50375</v>
      </c>
      <c r="I231" s="3" t="s">
        <v>473</v>
      </c>
      <c r="J231" s="3" t="s">
        <v>474</v>
      </c>
      <c r="K231" s="173">
        <v>13500</v>
      </c>
      <c r="L231" s="173">
        <v>4500</v>
      </c>
      <c r="M231" s="1">
        <v>0</v>
      </c>
      <c r="N231" s="4">
        <v>18000</v>
      </c>
      <c r="O231" s="4">
        <f>Tab_04.Abr[[#This Row],[DÉBITO]]-Tab_04.Abr[[#This Row],[CRÉDITO]]</f>
        <v>4500</v>
      </c>
    </row>
    <row r="232" spans="2:15" hidden="1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A</v>
      </c>
      <c r="E232" s="2">
        <f>IF($I232="","",COUNTIFS(Tab_00.Trial[CONTA],$I232))</f>
        <v>1</v>
      </c>
      <c r="F232" s="4">
        <f>SUMIFS(Tab_03.Mar[SALDO
ATUAL],Tab_03.Mar[CONTA],$I232)</f>
        <v>670.68</v>
      </c>
      <c r="G232" s="4">
        <f t="shared" si="7"/>
        <v>0</v>
      </c>
      <c r="H232">
        <v>50405</v>
      </c>
      <c r="I232" s="3" t="s">
        <v>467</v>
      </c>
      <c r="J232" s="3" t="s">
        <v>468</v>
      </c>
      <c r="K232" s="173">
        <v>670.68</v>
      </c>
      <c r="L232" s="173">
        <v>223.56</v>
      </c>
      <c r="M232" s="1">
        <v>0</v>
      </c>
      <c r="N232" s="4">
        <v>894.24</v>
      </c>
      <c r="O232" s="4">
        <f>Tab_04.Abr[[#This Row],[DÉBITO]]-Tab_04.Abr[[#This Row],[CRÉDITO]]</f>
        <v>223.56</v>
      </c>
    </row>
    <row r="233" spans="2:15" hidden="1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A</v>
      </c>
      <c r="E233" s="2">
        <f>IF($I233="","",COUNTIFS(Tab_00.Trial[CONTA],$I233))</f>
        <v>1</v>
      </c>
      <c r="F233" s="4">
        <f>SUMIFS(Tab_03.Mar[SALDO
ATUAL],Tab_03.Mar[CONTA],$I233)</f>
        <v>19799.46</v>
      </c>
      <c r="G233" s="4">
        <f t="shared" si="7"/>
        <v>0</v>
      </c>
      <c r="H233">
        <v>50430</v>
      </c>
      <c r="I233" s="3" t="s">
        <v>469</v>
      </c>
      <c r="J233" s="3" t="s">
        <v>470</v>
      </c>
      <c r="K233" s="173">
        <v>19799.46</v>
      </c>
      <c r="L233" s="1">
        <v>6599.82</v>
      </c>
      <c r="M233" s="1">
        <v>0</v>
      </c>
      <c r="N233" s="4">
        <v>26399.279999999999</v>
      </c>
      <c r="O233" s="4">
        <f>Tab_04.Abr[[#This Row],[DÉBITO]]-Tab_04.Abr[[#This Row],[CRÉDITO]]</f>
        <v>6599.82</v>
      </c>
    </row>
    <row r="234" spans="2:15" hidden="1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A</v>
      </c>
      <c r="E234" s="2">
        <f>IF($I234="","",COUNTIFS(Tab_00.Trial[CONTA],$I234))</f>
        <v>1</v>
      </c>
      <c r="F234" s="4">
        <f>SUMIFS(Tab_03.Mar[SALDO
ATUAL],Tab_03.Mar[CONTA],$I234)</f>
        <v>13990.23</v>
      </c>
      <c r="G234" s="4">
        <f t="shared" ref="G234:G242" si="8">$F234-$K234</f>
        <v>0</v>
      </c>
      <c r="H234">
        <v>50432</v>
      </c>
      <c r="I234" s="3" t="s">
        <v>471</v>
      </c>
      <c r="J234" s="3" t="s">
        <v>472</v>
      </c>
      <c r="K234" s="4">
        <v>13990.23</v>
      </c>
      <c r="L234" s="4">
        <v>4663.41</v>
      </c>
      <c r="M234" s="4">
        <v>0</v>
      </c>
      <c r="N234" s="4">
        <v>18653.64</v>
      </c>
      <c r="O234" s="4">
        <f>Tab_04.Abr[[#This Row],[DÉBITO]]-Tab_04.Abr[[#This Row],[CRÉDITO]]</f>
        <v>4663.41</v>
      </c>
    </row>
    <row r="235" spans="2:15" hidden="1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S</v>
      </c>
      <c r="E235" s="2">
        <f>IF($I235="","",COUNTIFS(Tab_00.Trial[CONTA],$I235))</f>
        <v>1</v>
      </c>
      <c r="F235" s="4">
        <f>SUMIFS(Tab_03.Mar[SALDO
ATUAL],Tab_03.Mar[CONTA],$I235)</f>
        <v>248898.24</v>
      </c>
      <c r="G235" s="4">
        <f t="shared" si="8"/>
        <v>0</v>
      </c>
      <c r="H235">
        <v>50465</v>
      </c>
      <c r="I235" s="3" t="s">
        <v>608</v>
      </c>
      <c r="J235" s="3" t="s">
        <v>713</v>
      </c>
      <c r="K235" s="4">
        <v>248898.24</v>
      </c>
      <c r="L235" s="4">
        <v>82966.080000000002</v>
      </c>
      <c r="M235" s="4">
        <v>0</v>
      </c>
      <c r="N235" s="4">
        <v>331864.32000000001</v>
      </c>
      <c r="O235" s="4">
        <f>Tab_04.Abr[[#This Row],[DÉBITO]]-Tab_04.Abr[[#This Row],[CRÉDITO]]</f>
        <v>82966.080000000002</v>
      </c>
    </row>
    <row r="236" spans="2:15" hidden="1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A</v>
      </c>
      <c r="E236" s="2">
        <f>IF($I236="","",COUNTIFS(Tab_00.Trial[CONTA],$I236))</f>
        <v>1</v>
      </c>
      <c r="F236" s="4">
        <f>SUMIFS(Tab_03.Mar[SALDO
ATUAL],Tab_03.Mar[CONTA],$I236)</f>
        <v>53940.24</v>
      </c>
      <c r="G236" s="4">
        <f t="shared" si="8"/>
        <v>0</v>
      </c>
      <c r="H236">
        <v>50480</v>
      </c>
      <c r="I236" s="3" t="s">
        <v>741</v>
      </c>
      <c r="J236" s="3" t="s">
        <v>742</v>
      </c>
      <c r="K236" s="4">
        <v>53940.24</v>
      </c>
      <c r="L236" s="4">
        <v>17980.080000000002</v>
      </c>
      <c r="M236" s="4">
        <v>0</v>
      </c>
      <c r="N236" s="4">
        <v>71920.320000000007</v>
      </c>
      <c r="O236" s="4">
        <f>Tab_04.Abr[[#This Row],[DÉBITO]]-Tab_04.Abr[[#This Row],[CRÉDITO]]</f>
        <v>17980.080000000002</v>
      </c>
    </row>
    <row r="237" spans="2:15" hidden="1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A</v>
      </c>
      <c r="E237" s="2">
        <f>IF($I237="","",COUNTIFS(Tab_00.Trial[CONTA],$I237))</f>
        <v>1</v>
      </c>
      <c r="F237" s="4">
        <f>SUMIFS(Tab_03.Mar[SALDO
ATUAL],Tab_03.Mar[CONTA],$I237)</f>
        <v>22500</v>
      </c>
      <c r="G237" s="4">
        <f t="shared" si="8"/>
        <v>0</v>
      </c>
      <c r="H237">
        <v>50495</v>
      </c>
      <c r="I237" s="3" t="s">
        <v>833</v>
      </c>
      <c r="J237" s="3" t="s">
        <v>834</v>
      </c>
      <c r="K237" s="4">
        <v>22500</v>
      </c>
      <c r="L237" s="4">
        <v>7500</v>
      </c>
      <c r="M237" s="4">
        <v>0</v>
      </c>
      <c r="N237" s="4">
        <v>30000</v>
      </c>
      <c r="O237" s="4">
        <f>Tab_04.Abr[[#This Row],[DÉBITO]]-Tab_04.Abr[[#This Row],[CRÉDITO]]</f>
        <v>7500</v>
      </c>
    </row>
    <row r="238" spans="2:15" hidden="1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A</v>
      </c>
      <c r="E238" s="2">
        <f>IF($I238="","",COUNTIFS(Tab_00.Trial[CONTA],$I238))</f>
        <v>1</v>
      </c>
      <c r="F238" s="4">
        <f>SUMIFS(Tab_03.Mar[SALDO
ATUAL],Tab_03.Mar[CONTA],$I238)</f>
        <v>172458</v>
      </c>
      <c r="G238" s="4">
        <f t="shared" si="8"/>
        <v>0</v>
      </c>
      <c r="H238">
        <v>50500</v>
      </c>
      <c r="I238" s="3" t="s">
        <v>480</v>
      </c>
      <c r="J238" s="3" t="s">
        <v>481</v>
      </c>
      <c r="K238" s="4">
        <v>172458</v>
      </c>
      <c r="L238" s="4">
        <v>57486</v>
      </c>
      <c r="M238" s="4">
        <v>0</v>
      </c>
      <c r="N238" s="4">
        <v>229944</v>
      </c>
      <c r="O238" s="4">
        <f>Tab_04.Abr[[#This Row],[DÉBITO]]-Tab_04.Abr[[#This Row],[CRÉDITO]]</f>
        <v>57486</v>
      </c>
    </row>
    <row r="239" spans="2:15" hidden="1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S</v>
      </c>
      <c r="E239" s="2">
        <f>IF($I239="","",COUNTIFS(Tab_00.Trial[CONTA],$I239))</f>
        <v>1</v>
      </c>
      <c r="F239" s="4">
        <f>SUMIFS(Tab_03.Mar[SALDO
ATUAL],Tab_03.Mar[CONTA],$I239)</f>
        <v>4891.75</v>
      </c>
      <c r="G239" s="4">
        <f t="shared" si="8"/>
        <v>0</v>
      </c>
      <c r="H239">
        <v>50510</v>
      </c>
      <c r="I239" s="3" t="s">
        <v>609</v>
      </c>
      <c r="J239" s="3" t="s">
        <v>714</v>
      </c>
      <c r="K239" s="4">
        <v>4891.75</v>
      </c>
      <c r="L239" s="4">
        <v>6518.03</v>
      </c>
      <c r="M239" s="4">
        <v>0</v>
      </c>
      <c r="N239" s="4">
        <v>11409.78</v>
      </c>
      <c r="O239" s="4">
        <f>Tab_04.Abr[[#This Row],[DÉBITO]]-Tab_04.Abr[[#This Row],[CRÉDITO]]</f>
        <v>6518.03</v>
      </c>
    </row>
    <row r="240" spans="2:15" hidden="1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S</v>
      </c>
      <c r="E240" s="2">
        <f>IF($I240="","",COUNTIFS(Tab_00.Trial[CONTA],$I240))</f>
        <v>1</v>
      </c>
      <c r="F240" s="4">
        <f>SUMIFS(Tab_03.Mar[SALDO
ATUAL],Tab_03.Mar[CONTA],$I240)</f>
        <v>4891.75</v>
      </c>
      <c r="G240" s="4">
        <f t="shared" si="8"/>
        <v>0</v>
      </c>
      <c r="H240">
        <v>50525</v>
      </c>
      <c r="I240" s="3" t="s">
        <v>610</v>
      </c>
      <c r="J240" s="3" t="s">
        <v>714</v>
      </c>
      <c r="K240" s="4">
        <v>4891.75</v>
      </c>
      <c r="L240" s="4">
        <v>6518.03</v>
      </c>
      <c r="M240" s="4">
        <v>0</v>
      </c>
      <c r="N240" s="4">
        <v>11409.78</v>
      </c>
      <c r="O240" s="4">
        <f>Tab_04.Abr[[#This Row],[DÉBITO]]-Tab_04.Abr[[#This Row],[CRÉDITO]]</f>
        <v>6518.03</v>
      </c>
    </row>
    <row r="241" spans="2:15" hidden="1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A</v>
      </c>
      <c r="E241" s="2">
        <f>IF($I241="","",COUNTIFS(Tab_00.Trial[CONTA],$I241))</f>
        <v>1</v>
      </c>
      <c r="F241" s="4">
        <f>SUMIFS(Tab_03.Mar[SALDO
ATUAL],Tab_03.Mar[CONTA],$I241)</f>
        <v>2236.27</v>
      </c>
      <c r="G241" s="4">
        <f t="shared" si="8"/>
        <v>0</v>
      </c>
      <c r="H241">
        <v>50540</v>
      </c>
      <c r="I241" s="3" t="s">
        <v>482</v>
      </c>
      <c r="J241" s="3" t="s">
        <v>483</v>
      </c>
      <c r="K241" s="4">
        <v>2236.27</v>
      </c>
      <c r="L241" s="4">
        <v>738.03</v>
      </c>
      <c r="M241" s="4">
        <v>0</v>
      </c>
      <c r="N241" s="4">
        <v>2974.3</v>
      </c>
      <c r="O241" s="4">
        <f>Tab_04.Abr[[#This Row],[DÉBITO]]-Tab_04.Abr[[#This Row],[CRÉDITO]]</f>
        <v>738.03</v>
      </c>
    </row>
    <row r="242" spans="2:15" hidden="1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A</v>
      </c>
      <c r="E242" s="2">
        <f>IF($I242="","",COUNTIFS(Tab_00.Trial[CONTA],$I242))</f>
        <v>1</v>
      </c>
      <c r="F242" s="4">
        <f>SUMIFS(Tab_03.Mar[SALDO
ATUAL],Tab_03.Mar[CONTA],$I242)</f>
        <v>0</v>
      </c>
      <c r="G242" s="4">
        <f t="shared" si="8"/>
        <v>0</v>
      </c>
      <c r="H242">
        <v>50555</v>
      </c>
      <c r="I242" s="3" t="s">
        <v>752</v>
      </c>
      <c r="J242" s="3" t="s">
        <v>753</v>
      </c>
      <c r="K242" s="4">
        <v>0</v>
      </c>
      <c r="L242" s="4">
        <v>5000</v>
      </c>
      <c r="M242" s="4">
        <v>0</v>
      </c>
      <c r="N242" s="4">
        <v>5000</v>
      </c>
      <c r="O242" s="4">
        <f>Tab_04.Abr[[#This Row],[DÉBITO]]-Tab_04.Abr[[#This Row],[CRÉDITO]]</f>
        <v>5000</v>
      </c>
    </row>
    <row r="243" spans="2:15" hidden="1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A</v>
      </c>
      <c r="E243" s="2">
        <f>IF($I243="","",COUNTIFS(Tab_00.Trial[CONTA],$I243))</f>
        <v>1</v>
      </c>
      <c r="F243" s="4">
        <f>SUMIFS(Tab_03.Mar[SALDO
ATUAL],Tab_03.Mar[CONTA],$I243)</f>
        <v>2655.48</v>
      </c>
      <c r="G243" s="4">
        <f t="shared" ref="G243:G270" si="9">$F243-$K243</f>
        <v>0</v>
      </c>
      <c r="H243">
        <v>50570</v>
      </c>
      <c r="I243" s="3" t="s">
        <v>484</v>
      </c>
      <c r="J243" s="3" t="s">
        <v>485</v>
      </c>
      <c r="K243" s="4">
        <v>2655.48</v>
      </c>
      <c r="L243" s="4">
        <v>780</v>
      </c>
      <c r="M243" s="4">
        <v>0</v>
      </c>
      <c r="N243" s="4">
        <v>3435.48</v>
      </c>
      <c r="O243" s="4">
        <f>Tab_04.Abr[[#This Row],[DÉBITO]]-Tab_04.Abr[[#This Row],[CRÉDITO]]</f>
        <v>780</v>
      </c>
    </row>
    <row r="244" spans="2:15" hidden="1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S</v>
      </c>
      <c r="E244" s="2">
        <f>IF($I244="","",COUNTIFS(Tab_00.Trial[CONTA],$I244))</f>
        <v>1</v>
      </c>
      <c r="F244" s="4">
        <f>SUMIFS(Tab_03.Mar[SALDO
ATUAL],Tab_03.Mar[CONTA],$I244)</f>
        <v>25641.82</v>
      </c>
      <c r="G244" s="4">
        <f t="shared" si="9"/>
        <v>0</v>
      </c>
      <c r="H244">
        <v>50660</v>
      </c>
      <c r="I244" s="3" t="s">
        <v>612</v>
      </c>
      <c r="J244" s="3" t="s">
        <v>716</v>
      </c>
      <c r="K244" s="4">
        <v>25641.82</v>
      </c>
      <c r="L244" s="4">
        <v>14288.74</v>
      </c>
      <c r="M244" s="4">
        <v>0</v>
      </c>
      <c r="N244" s="4">
        <v>39930.559999999998</v>
      </c>
      <c r="O244" s="4">
        <f>Tab_04.Abr[[#This Row],[DÉBITO]]-Tab_04.Abr[[#This Row],[CRÉDITO]]</f>
        <v>14288.74</v>
      </c>
    </row>
    <row r="245" spans="2:15" hidden="1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S</v>
      </c>
      <c r="E245" s="2">
        <f>IF($I245="","",COUNTIFS(Tab_00.Trial[CONTA],$I245))</f>
        <v>1</v>
      </c>
      <c r="F245" s="4">
        <f>SUMIFS(Tab_03.Mar[SALDO
ATUAL],Tab_03.Mar[CONTA],$I245)</f>
        <v>19862.189999999999</v>
      </c>
      <c r="G245" s="4">
        <f t="shared" si="9"/>
        <v>0</v>
      </c>
      <c r="H245">
        <v>50675</v>
      </c>
      <c r="I245" s="3" t="s">
        <v>613</v>
      </c>
      <c r="J245" s="3" t="s">
        <v>717</v>
      </c>
      <c r="K245" s="4">
        <v>19862.189999999999</v>
      </c>
      <c r="L245" s="4">
        <v>6494.45</v>
      </c>
      <c r="M245" s="4">
        <v>0</v>
      </c>
      <c r="N245" s="4">
        <v>26356.639999999999</v>
      </c>
      <c r="O245" s="4">
        <f>Tab_04.Abr[[#This Row],[DÉBITO]]-Tab_04.Abr[[#This Row],[CRÉDITO]]</f>
        <v>6494.45</v>
      </c>
    </row>
    <row r="246" spans="2:15" hidden="1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A</v>
      </c>
      <c r="E246" s="2">
        <f>IF($I246="","",COUNTIFS(Tab_00.Trial[CONTA],$I246))</f>
        <v>1</v>
      </c>
      <c r="F246" s="4">
        <f>SUMIFS(Tab_03.Mar[SALDO
ATUAL],Tab_03.Mar[CONTA],$I246)</f>
        <v>10495.8</v>
      </c>
      <c r="G246" s="4">
        <f t="shared" si="9"/>
        <v>0</v>
      </c>
      <c r="H246">
        <v>50690</v>
      </c>
      <c r="I246" s="3" t="s">
        <v>491</v>
      </c>
      <c r="J246" s="3" t="s">
        <v>492</v>
      </c>
      <c r="K246" s="4">
        <v>10495.8</v>
      </c>
      <c r="L246" s="4">
        <v>2664.43</v>
      </c>
      <c r="M246" s="4">
        <v>0</v>
      </c>
      <c r="N246" s="4">
        <v>13160.23</v>
      </c>
      <c r="O246" s="4">
        <f>Tab_04.Abr[[#This Row],[DÉBITO]]-Tab_04.Abr[[#This Row],[CRÉDITO]]</f>
        <v>2664.43</v>
      </c>
    </row>
    <row r="247" spans="2:15" hidden="1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A</v>
      </c>
      <c r="E247" s="2">
        <f>IF($I247="","",COUNTIFS(Tab_00.Trial[CONTA],$I247))</f>
        <v>1</v>
      </c>
      <c r="F247" s="4">
        <f>SUMIFS(Tab_03.Mar[SALDO
ATUAL],Tab_03.Mar[CONTA],$I247)</f>
        <v>5149.7</v>
      </c>
      <c r="G247" s="4">
        <f t="shared" si="9"/>
        <v>0</v>
      </c>
      <c r="H247">
        <v>50705</v>
      </c>
      <c r="I247" s="3" t="s">
        <v>493</v>
      </c>
      <c r="J247" s="3" t="s">
        <v>494</v>
      </c>
      <c r="K247" s="4">
        <v>5149.7</v>
      </c>
      <c r="L247" s="4">
        <v>2390.13</v>
      </c>
      <c r="M247" s="4">
        <v>0</v>
      </c>
      <c r="N247" s="4">
        <v>7539.83</v>
      </c>
      <c r="O247" s="4">
        <f>Tab_04.Abr[[#This Row],[DÉBITO]]-Tab_04.Abr[[#This Row],[CRÉDITO]]</f>
        <v>2390.13</v>
      </c>
    </row>
    <row r="248" spans="2:15" hidden="1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A</v>
      </c>
      <c r="E248" s="2">
        <f>IF($I248="","",COUNTIFS(Tab_00.Trial[CONTA],$I248))</f>
        <v>1</v>
      </c>
      <c r="F248" s="4">
        <f>SUMIFS(Tab_03.Mar[SALDO
ATUAL],Tab_03.Mar[CONTA],$I248)</f>
        <v>4216.6899999999996</v>
      </c>
      <c r="G248" s="4">
        <f t="shared" si="9"/>
        <v>0</v>
      </c>
      <c r="H248">
        <v>50720</v>
      </c>
      <c r="I248" s="3" t="s">
        <v>495</v>
      </c>
      <c r="J248" s="3" t="s">
        <v>496</v>
      </c>
      <c r="K248" s="4">
        <v>4216.6899999999996</v>
      </c>
      <c r="L248" s="4">
        <v>1439.89</v>
      </c>
      <c r="M248" s="4">
        <v>0</v>
      </c>
      <c r="N248" s="4">
        <v>5656.58</v>
      </c>
      <c r="O248" s="4">
        <f>Tab_04.Abr[[#This Row],[DÉBITO]]-Tab_04.Abr[[#This Row],[CRÉDITO]]</f>
        <v>1439.89</v>
      </c>
    </row>
    <row r="249" spans="2:15" hidden="1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S</v>
      </c>
      <c r="E249" s="2">
        <f>IF($I249="","",COUNTIFS(Tab_00.Trial[CONTA],$I249))</f>
        <v>1</v>
      </c>
      <c r="F249" s="4">
        <f>SUMIFS(Tab_03.Mar[SALDO
ATUAL],Tab_03.Mar[CONTA],$I249)</f>
        <v>5779.63</v>
      </c>
      <c r="G249" s="4">
        <f t="shared" si="9"/>
        <v>0</v>
      </c>
      <c r="H249">
        <v>50750</v>
      </c>
      <c r="I249" s="3" t="s">
        <v>614</v>
      </c>
      <c r="J249" s="3" t="s">
        <v>718</v>
      </c>
      <c r="K249" s="4">
        <v>5779.63</v>
      </c>
      <c r="L249" s="4">
        <v>7794.29</v>
      </c>
      <c r="M249" s="4">
        <v>0</v>
      </c>
      <c r="N249" s="4">
        <v>13573.92</v>
      </c>
      <c r="O249" s="4">
        <f>Tab_04.Abr[[#This Row],[DÉBITO]]-Tab_04.Abr[[#This Row],[CRÉDITO]]</f>
        <v>7794.29</v>
      </c>
    </row>
    <row r="250" spans="2:15" hidden="1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A</v>
      </c>
      <c r="E250" s="2">
        <f>IF($I250="","",COUNTIFS(Tab_00.Trial[CONTA],$I250))</f>
        <v>1</v>
      </c>
      <c r="F250" s="4">
        <f>SUMIFS(Tab_03.Mar[SALDO
ATUAL],Tab_03.Mar[CONTA],$I250)</f>
        <v>0</v>
      </c>
      <c r="G250" s="4">
        <f t="shared" si="9"/>
        <v>0</v>
      </c>
      <c r="H250">
        <v>50765</v>
      </c>
      <c r="I250" s="3" t="s">
        <v>497</v>
      </c>
      <c r="J250" s="3" t="s">
        <v>498</v>
      </c>
      <c r="K250" s="4">
        <v>0</v>
      </c>
      <c r="L250" s="4">
        <v>95</v>
      </c>
      <c r="M250" s="4">
        <v>0</v>
      </c>
      <c r="N250" s="4">
        <v>95</v>
      </c>
      <c r="O250" s="4">
        <f>Tab_04.Abr[[#This Row],[DÉBITO]]-Tab_04.Abr[[#This Row],[CRÉDITO]]</f>
        <v>95</v>
      </c>
    </row>
    <row r="251" spans="2:15" hidden="1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A</v>
      </c>
      <c r="E251" s="2">
        <f>IF($I251="","",COUNTIFS(Tab_00.Trial[CONTA],$I251))</f>
        <v>1</v>
      </c>
      <c r="F251" s="4">
        <f>SUMIFS(Tab_03.Mar[SALDO
ATUAL],Tab_03.Mar[CONTA],$I251)</f>
        <v>1361.94</v>
      </c>
      <c r="G251" s="4">
        <f t="shared" si="9"/>
        <v>0</v>
      </c>
      <c r="H251">
        <v>50780</v>
      </c>
      <c r="I251" s="3" t="s">
        <v>499</v>
      </c>
      <c r="J251" s="3" t="s">
        <v>500</v>
      </c>
      <c r="K251" s="4">
        <v>1361.94</v>
      </c>
      <c r="L251" s="4">
        <v>2247.4</v>
      </c>
      <c r="M251" s="4">
        <v>0</v>
      </c>
      <c r="N251" s="4">
        <v>3609.34</v>
      </c>
      <c r="O251" s="4">
        <f>Tab_04.Abr[[#This Row],[DÉBITO]]-Tab_04.Abr[[#This Row],[CRÉDITO]]</f>
        <v>2247.4</v>
      </c>
    </row>
    <row r="252" spans="2:15" hidden="1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A</v>
      </c>
      <c r="E252" s="2">
        <f>IF($I252="","",COUNTIFS(Tab_00.Trial[CONTA],$I252))</f>
        <v>1</v>
      </c>
      <c r="F252" s="4">
        <f>SUMIFS(Tab_03.Mar[SALDO
ATUAL],Tab_03.Mar[CONTA],$I252)</f>
        <v>2551.17</v>
      </c>
      <c r="G252" s="4">
        <f t="shared" si="9"/>
        <v>0</v>
      </c>
      <c r="H252">
        <v>50795</v>
      </c>
      <c r="I252" s="3" t="s">
        <v>501</v>
      </c>
      <c r="J252" s="3" t="s">
        <v>502</v>
      </c>
      <c r="K252" s="4">
        <v>2551.17</v>
      </c>
      <c r="L252" s="4">
        <v>4810.78</v>
      </c>
      <c r="M252" s="4">
        <v>0</v>
      </c>
      <c r="N252" s="4">
        <v>7361.95</v>
      </c>
      <c r="O252" s="4">
        <f>Tab_04.Abr[[#This Row],[DÉBITO]]-Tab_04.Abr[[#This Row],[CRÉDITO]]</f>
        <v>4810.78</v>
      </c>
    </row>
    <row r="253" spans="2:15" hidden="1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A</v>
      </c>
      <c r="E253" s="2">
        <f>IF($I253="","",COUNTIFS(Tab_00.Trial[CONTA],$I253))</f>
        <v>1</v>
      </c>
      <c r="F253" s="4">
        <f>SUMIFS(Tab_03.Mar[SALDO
ATUAL],Tab_03.Mar[CONTA],$I253)</f>
        <v>1866.52</v>
      </c>
      <c r="G253" s="4">
        <f t="shared" si="9"/>
        <v>0</v>
      </c>
      <c r="H253">
        <v>50810</v>
      </c>
      <c r="I253" s="3" t="s">
        <v>503</v>
      </c>
      <c r="J253" s="3" t="s">
        <v>504</v>
      </c>
      <c r="K253" s="4">
        <v>1866.52</v>
      </c>
      <c r="L253" s="4">
        <v>641.11</v>
      </c>
      <c r="M253" s="4">
        <v>0</v>
      </c>
      <c r="N253" s="4">
        <v>2507.63</v>
      </c>
      <c r="O253" s="4">
        <f>Tab_04.Abr[[#This Row],[DÉBITO]]-Tab_04.Abr[[#This Row],[CRÉDITO]]</f>
        <v>641.11</v>
      </c>
    </row>
    <row r="254" spans="2:15" hidden="1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S</v>
      </c>
      <c r="E254" s="2">
        <f>IF($I254="","",COUNTIFS(Tab_00.Trial[CONTA],$I254))</f>
        <v>1</v>
      </c>
      <c r="F254" s="4">
        <f>SUMIFS(Tab_03.Mar[SALDO
ATUAL],Tab_03.Mar[CONTA],$I254)</f>
        <v>13360.81</v>
      </c>
      <c r="G254" s="4">
        <f t="shared" si="9"/>
        <v>0</v>
      </c>
      <c r="H254">
        <v>50870</v>
      </c>
      <c r="I254" s="3" t="s">
        <v>615</v>
      </c>
      <c r="J254" s="3" t="s">
        <v>719</v>
      </c>
      <c r="K254" s="4">
        <v>13360.81</v>
      </c>
      <c r="L254" s="4">
        <v>15889.19</v>
      </c>
      <c r="M254" s="4">
        <v>0</v>
      </c>
      <c r="N254" s="4">
        <v>29250</v>
      </c>
      <c r="O254" s="4">
        <f>Tab_04.Abr[[#This Row],[DÉBITO]]-Tab_04.Abr[[#This Row],[CRÉDITO]]</f>
        <v>15889.19</v>
      </c>
    </row>
    <row r="255" spans="2:15" hidden="1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S</v>
      </c>
      <c r="E255" s="2">
        <f>IF($I255="","",COUNTIFS(Tab_00.Trial[CONTA],$I255))</f>
        <v>1</v>
      </c>
      <c r="F255" s="4">
        <f>SUMIFS(Tab_03.Mar[SALDO
ATUAL],Tab_03.Mar[CONTA],$I255)</f>
        <v>863.22</v>
      </c>
      <c r="G255" s="4">
        <f t="shared" si="9"/>
        <v>0</v>
      </c>
      <c r="H255">
        <v>50915</v>
      </c>
      <c r="I255" s="3" t="s">
        <v>617</v>
      </c>
      <c r="J255" s="3" t="s">
        <v>721</v>
      </c>
      <c r="K255" s="4">
        <v>863.22</v>
      </c>
      <c r="L255" s="4">
        <v>287.74</v>
      </c>
      <c r="M255" s="4">
        <v>0</v>
      </c>
      <c r="N255" s="4">
        <v>1150.96</v>
      </c>
      <c r="O255" s="4">
        <f>Tab_04.Abr[[#This Row],[DÉBITO]]-Tab_04.Abr[[#This Row],[CRÉDITO]]</f>
        <v>287.74</v>
      </c>
    </row>
    <row r="256" spans="2:15" hidden="1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A</v>
      </c>
      <c r="E256" s="2">
        <f>IF($I256="","",COUNTIFS(Tab_00.Trial[CONTA],$I256))</f>
        <v>1</v>
      </c>
      <c r="F256" s="4">
        <f>SUMIFS(Tab_03.Mar[SALDO
ATUAL],Tab_03.Mar[CONTA],$I256)</f>
        <v>863.22</v>
      </c>
      <c r="G256" s="4">
        <f t="shared" si="9"/>
        <v>0</v>
      </c>
      <c r="H256">
        <v>50945</v>
      </c>
      <c r="I256" s="3" t="s">
        <v>739</v>
      </c>
      <c r="J256" s="3" t="s">
        <v>740</v>
      </c>
      <c r="K256" s="4">
        <v>863.22</v>
      </c>
      <c r="L256" s="4">
        <v>287.74</v>
      </c>
      <c r="M256" s="4">
        <v>0</v>
      </c>
      <c r="N256" s="4">
        <v>1150.96</v>
      </c>
      <c r="O256" s="4">
        <f>Tab_04.Abr[[#This Row],[DÉBITO]]-Tab_04.Abr[[#This Row],[CRÉDITO]]</f>
        <v>287.74</v>
      </c>
    </row>
    <row r="257" spans="2:15" hidden="1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S</v>
      </c>
      <c r="E257" s="2">
        <f>IF($I257="","",COUNTIFS(Tab_00.Trial[CONTA],$I257))</f>
        <v>1</v>
      </c>
      <c r="F257" s="4">
        <f>SUMIFS(Tab_03.Mar[SALDO
ATUAL],Tab_03.Mar[CONTA],$I257)</f>
        <v>7514.12</v>
      </c>
      <c r="G257" s="4">
        <f t="shared" si="9"/>
        <v>0</v>
      </c>
      <c r="H257">
        <v>50960</v>
      </c>
      <c r="I257" s="3" t="s">
        <v>618</v>
      </c>
      <c r="J257" s="3" t="s">
        <v>722</v>
      </c>
      <c r="K257" s="4">
        <v>7514.12</v>
      </c>
      <c r="L257" s="4">
        <v>2716.14</v>
      </c>
      <c r="M257" s="4">
        <v>0</v>
      </c>
      <c r="N257" s="4">
        <v>10230.26</v>
      </c>
      <c r="O257" s="4">
        <f>Tab_04.Abr[[#This Row],[DÉBITO]]-Tab_04.Abr[[#This Row],[CRÉDITO]]</f>
        <v>2716.14</v>
      </c>
    </row>
    <row r="258" spans="2:15" hidden="1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A</v>
      </c>
      <c r="E258" s="2">
        <f>IF($I258="","",COUNTIFS(Tab_00.Trial[CONTA],$I258))</f>
        <v>1</v>
      </c>
      <c r="F258" s="4">
        <f>SUMIFS(Tab_03.Mar[SALDO
ATUAL],Tab_03.Mar[CONTA],$I258)</f>
        <v>7514.12</v>
      </c>
      <c r="G258" s="4">
        <f t="shared" si="9"/>
        <v>0</v>
      </c>
      <c r="H258">
        <v>50965</v>
      </c>
      <c r="I258" s="3" t="s">
        <v>511</v>
      </c>
      <c r="J258" s="3" t="s">
        <v>512</v>
      </c>
      <c r="K258" s="4">
        <v>7514.12</v>
      </c>
      <c r="L258" s="4">
        <v>2716.14</v>
      </c>
      <c r="M258" s="4">
        <v>0</v>
      </c>
      <c r="N258" s="4">
        <v>10230.26</v>
      </c>
      <c r="O258" s="4">
        <f>Tab_04.Abr[[#This Row],[DÉBITO]]-Tab_04.Abr[[#This Row],[CRÉDITO]]</f>
        <v>2716.14</v>
      </c>
    </row>
    <row r="259" spans="2:15" hidden="1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S</v>
      </c>
      <c r="E259" s="2">
        <f>IF($I259="","",COUNTIFS(Tab_00.Trial[CONTA],$I259))</f>
        <v>1</v>
      </c>
      <c r="F259" s="4">
        <f>SUMIFS(Tab_03.Mar[SALDO
ATUAL],Tab_03.Mar[CONTA],$I259)</f>
        <v>4983.47</v>
      </c>
      <c r="G259" s="4">
        <f t="shared" si="9"/>
        <v>0</v>
      </c>
      <c r="H259">
        <v>50970</v>
      </c>
      <c r="I259" s="3" t="s">
        <v>619</v>
      </c>
      <c r="J259" s="3" t="s">
        <v>420</v>
      </c>
      <c r="K259" s="4">
        <v>4983.47</v>
      </c>
      <c r="L259" s="4">
        <v>12885.31</v>
      </c>
      <c r="M259" s="4">
        <v>0</v>
      </c>
      <c r="N259" s="4">
        <v>17868.78</v>
      </c>
      <c r="O259" s="4">
        <f>Tab_04.Abr[[#This Row],[DÉBITO]]-Tab_04.Abr[[#This Row],[CRÉDITO]]</f>
        <v>12885.31</v>
      </c>
    </row>
    <row r="260" spans="2:15" hidden="1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A</v>
      </c>
      <c r="E260" s="2">
        <f>IF($I260="","",COUNTIFS(Tab_00.Trial[CONTA],$I260))</f>
        <v>1</v>
      </c>
      <c r="F260" s="4">
        <f>SUMIFS(Tab_03.Mar[SALDO
ATUAL],Tab_03.Mar[CONTA],$I260)</f>
        <v>4983.47</v>
      </c>
      <c r="G260" s="4">
        <f t="shared" si="9"/>
        <v>0</v>
      </c>
      <c r="H260">
        <v>50975</v>
      </c>
      <c r="I260" s="3" t="s">
        <v>515</v>
      </c>
      <c r="J260" s="3" t="s">
        <v>420</v>
      </c>
      <c r="K260" s="4">
        <v>4983.47</v>
      </c>
      <c r="L260" s="4">
        <v>12885.31</v>
      </c>
      <c r="M260" s="4">
        <v>0</v>
      </c>
      <c r="N260" s="4">
        <v>17868.78</v>
      </c>
      <c r="O260" s="4">
        <f>Tab_04.Abr[[#This Row],[DÉBITO]]-Tab_04.Abr[[#This Row],[CRÉDITO]]</f>
        <v>12885.31</v>
      </c>
    </row>
    <row r="261" spans="2:15" hidden="1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S</v>
      </c>
      <c r="E261" s="2">
        <f>IF($I261="","",COUNTIFS(Tab_00.Trial[CONTA],$I261))</f>
        <v>1</v>
      </c>
      <c r="F261" s="4">
        <f>SUMIFS(Tab_03.Mar[SALDO
ATUAL],Tab_03.Mar[CONTA],$I261)</f>
        <v>4660.51</v>
      </c>
      <c r="G261" s="4">
        <f t="shared" si="9"/>
        <v>0</v>
      </c>
      <c r="H261">
        <v>50990</v>
      </c>
      <c r="I261" s="3" t="s">
        <v>621</v>
      </c>
      <c r="J261" s="3" t="s">
        <v>723</v>
      </c>
      <c r="K261" s="4">
        <v>4660.51</v>
      </c>
      <c r="L261" s="4">
        <v>2476.92</v>
      </c>
      <c r="M261" s="4">
        <v>0</v>
      </c>
      <c r="N261" s="4">
        <v>7137.43</v>
      </c>
      <c r="O261" s="4">
        <f>Tab_04.Abr[[#This Row],[DÉBITO]]-Tab_04.Abr[[#This Row],[CRÉDITO]]</f>
        <v>2476.92</v>
      </c>
    </row>
    <row r="262" spans="2:15" hidden="1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S</v>
      </c>
      <c r="E262" s="2">
        <f>IF($I262="","",COUNTIFS(Tab_00.Trial[CONTA],$I262))</f>
        <v>1</v>
      </c>
      <c r="F262" s="4">
        <f>SUMIFS(Tab_03.Mar[SALDO
ATUAL],Tab_03.Mar[CONTA],$I262)</f>
        <v>4660.51</v>
      </c>
      <c r="G262" s="4">
        <f t="shared" si="9"/>
        <v>0</v>
      </c>
      <c r="H262">
        <v>51005</v>
      </c>
      <c r="I262" s="3" t="s">
        <v>622</v>
      </c>
      <c r="J262" s="3" t="s">
        <v>723</v>
      </c>
      <c r="K262" s="4">
        <v>4660.51</v>
      </c>
      <c r="L262" s="4">
        <v>2476.92</v>
      </c>
      <c r="M262" s="4">
        <v>0</v>
      </c>
      <c r="N262" s="4">
        <v>7137.43</v>
      </c>
      <c r="O262" s="4">
        <f>Tab_04.Abr[[#This Row],[DÉBITO]]-Tab_04.Abr[[#This Row],[CRÉDITO]]</f>
        <v>2476.92</v>
      </c>
    </row>
    <row r="263" spans="2:15" hidden="1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A</v>
      </c>
      <c r="E263" s="2">
        <f>IF($I263="","",COUNTIFS(Tab_00.Trial[CONTA],$I263))</f>
        <v>1</v>
      </c>
      <c r="F263" s="4">
        <f>SUMIFS(Tab_03.Mar[SALDO
ATUAL],Tab_03.Mar[CONTA],$I263)</f>
        <v>4660.51</v>
      </c>
      <c r="G263" s="4">
        <f t="shared" si="9"/>
        <v>0</v>
      </c>
      <c r="H263">
        <v>51019</v>
      </c>
      <c r="I263" s="3" t="s">
        <v>518</v>
      </c>
      <c r="J263" s="3" t="s">
        <v>519</v>
      </c>
      <c r="K263" s="4">
        <v>4660.51</v>
      </c>
      <c r="L263" s="4">
        <v>2476.92</v>
      </c>
      <c r="M263" s="4">
        <v>0</v>
      </c>
      <c r="N263" s="4">
        <v>7137.43</v>
      </c>
      <c r="O263" s="4">
        <f>Tab_04.Abr[[#This Row],[DÉBITO]]-Tab_04.Abr[[#This Row],[CRÉDITO]]</f>
        <v>2476.92</v>
      </c>
    </row>
    <row r="264" spans="2:15" hidden="1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S</v>
      </c>
      <c r="E264" s="2">
        <f>IF($I264="","",COUNTIFS(Tab_00.Trial[CONTA],$I264))</f>
        <v>1</v>
      </c>
      <c r="F264" s="4">
        <f>SUMIFS(Tab_03.Mar[SALDO
ATUAL],Tab_03.Mar[CONTA],$I264)</f>
        <v>14280.89</v>
      </c>
      <c r="G264" s="4">
        <f t="shared" si="9"/>
        <v>0</v>
      </c>
      <c r="H264">
        <v>51050</v>
      </c>
      <c r="I264" s="3" t="s">
        <v>623</v>
      </c>
      <c r="J264" s="3" t="s">
        <v>724</v>
      </c>
      <c r="K264" s="4">
        <v>14280.89</v>
      </c>
      <c r="L264" s="4">
        <v>3667.05</v>
      </c>
      <c r="M264" s="4">
        <v>0</v>
      </c>
      <c r="N264" s="4">
        <v>17947.939999999999</v>
      </c>
      <c r="O264" s="4">
        <f>Tab_04.Abr[[#This Row],[DÉBITO]]-Tab_04.Abr[[#This Row],[CRÉDITO]]</f>
        <v>3667.05</v>
      </c>
    </row>
    <row r="265" spans="2:15" hidden="1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S</v>
      </c>
      <c r="E265" s="2">
        <f>IF($I265="","",COUNTIFS(Tab_00.Trial[CONTA],$I265))</f>
        <v>1</v>
      </c>
      <c r="F265" s="4">
        <f>SUMIFS(Tab_03.Mar[SALDO
ATUAL],Tab_03.Mar[CONTA],$I265)</f>
        <v>14280.89</v>
      </c>
      <c r="G265" s="4">
        <f t="shared" si="9"/>
        <v>0</v>
      </c>
      <c r="H265">
        <v>51065</v>
      </c>
      <c r="I265" s="3" t="s">
        <v>624</v>
      </c>
      <c r="J265" s="3" t="s">
        <v>724</v>
      </c>
      <c r="K265" s="4">
        <v>14280.89</v>
      </c>
      <c r="L265" s="4">
        <v>3667.05</v>
      </c>
      <c r="M265" s="4">
        <v>0</v>
      </c>
      <c r="N265" s="4">
        <v>17947.939999999999</v>
      </c>
      <c r="O265" s="4">
        <f>Tab_04.Abr[[#This Row],[DÉBITO]]-Tab_04.Abr[[#This Row],[CRÉDITO]]</f>
        <v>3667.05</v>
      </c>
    </row>
    <row r="266" spans="2:15" hidden="1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A</v>
      </c>
      <c r="E266" s="2">
        <f>IF($I266="","",COUNTIFS(Tab_00.Trial[CONTA],$I266))</f>
        <v>1</v>
      </c>
      <c r="F266" s="4">
        <f>SUMIFS(Tab_03.Mar[SALDO
ATUAL],Tab_03.Mar[CONTA],$I266)</f>
        <v>14280.89</v>
      </c>
      <c r="G266" s="4">
        <f t="shared" si="9"/>
        <v>0</v>
      </c>
      <c r="H266">
        <v>51080</v>
      </c>
      <c r="I266" s="3" t="s">
        <v>520</v>
      </c>
      <c r="J266" s="3" t="s">
        <v>521</v>
      </c>
      <c r="K266" s="4">
        <v>14280.89</v>
      </c>
      <c r="L266" s="4">
        <v>3667.05</v>
      </c>
      <c r="M266" s="4">
        <v>0</v>
      </c>
      <c r="N266" s="4">
        <v>17947.939999999999</v>
      </c>
      <c r="O266" s="4">
        <f>Tab_04.Abr[[#This Row],[DÉBITO]]-Tab_04.Abr[[#This Row],[CRÉDITO]]</f>
        <v>3667.05</v>
      </c>
    </row>
    <row r="267" spans="2:15" hidden="1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5</v>
      </c>
      <c r="D267" s="2" t="str">
        <f>_xlfn.XLOOKUP($I267,Tab_00.Trial[CONTA],Tab_00.Trial[S/A],"",0,1)</f>
        <v>S</v>
      </c>
      <c r="E267" s="2">
        <f>IF($I267="","",COUNTIFS(Tab_00.Trial[CONTA],$I267))</f>
        <v>1</v>
      </c>
      <c r="F267" s="4">
        <f>SUMIFS(Tab_03.Mar[SALDO
ATUAL],Tab_03.Mar[CONTA],$I267)</f>
        <v>25831.68</v>
      </c>
      <c r="G267" s="4">
        <f t="shared" si="9"/>
        <v>0</v>
      </c>
      <c r="H267">
        <v>51110</v>
      </c>
      <c r="I267" s="3" t="s">
        <v>625</v>
      </c>
      <c r="J267" s="3" t="s">
        <v>542</v>
      </c>
      <c r="K267" s="4">
        <v>25831.68</v>
      </c>
      <c r="L267" s="4">
        <v>1982.28</v>
      </c>
      <c r="M267" s="4">
        <v>0</v>
      </c>
      <c r="N267" s="4">
        <v>27813.96</v>
      </c>
      <c r="O267" s="4">
        <f>Tab_04.Abr[[#This Row],[DÉBITO]]-Tab_04.Abr[[#This Row],[CRÉDITO]]</f>
        <v>1982.28</v>
      </c>
    </row>
    <row r="268" spans="2:15" hidden="1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5</v>
      </c>
      <c r="D268" s="2" t="str">
        <f>_xlfn.XLOOKUP($I268,Tab_00.Trial[CONTA],Tab_00.Trial[S/A],"",0,1)</f>
        <v>S</v>
      </c>
      <c r="E268" s="2">
        <f>IF($I268="","",COUNTIFS(Tab_00.Trial[CONTA],$I268))</f>
        <v>1</v>
      </c>
      <c r="F268" s="4">
        <f>SUMIFS(Tab_03.Mar[SALDO
ATUAL],Tab_03.Mar[CONTA],$I268)</f>
        <v>15442.9</v>
      </c>
      <c r="G268" s="4">
        <f t="shared" si="9"/>
        <v>0</v>
      </c>
      <c r="H268">
        <v>51125</v>
      </c>
      <c r="I268" s="3" t="s">
        <v>626</v>
      </c>
      <c r="J268" s="3" t="s">
        <v>725</v>
      </c>
      <c r="K268" s="4">
        <v>15442.9</v>
      </c>
      <c r="L268" s="4">
        <v>425.45</v>
      </c>
      <c r="M268" s="4">
        <v>0</v>
      </c>
      <c r="N268" s="4">
        <v>15868.35</v>
      </c>
      <c r="O268" s="4">
        <f>Tab_04.Abr[[#This Row],[DÉBITO]]-Tab_04.Abr[[#This Row],[CRÉDITO]]</f>
        <v>425.45</v>
      </c>
    </row>
    <row r="269" spans="2:15" hidden="1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5</v>
      </c>
      <c r="D269" s="2" t="str">
        <f>_xlfn.XLOOKUP($I269,Tab_00.Trial[CONTA],Tab_00.Trial[S/A],"",0,1)</f>
        <v>A</v>
      </c>
      <c r="E269" s="2">
        <f>IF($I269="","",COUNTIFS(Tab_00.Trial[CONTA],$I269))</f>
        <v>1</v>
      </c>
      <c r="F269" s="4">
        <f>SUMIFS(Tab_03.Mar[SALDO
ATUAL],Tab_03.Mar[CONTA],$I269)</f>
        <v>15412.24</v>
      </c>
      <c r="G269" s="4">
        <f t="shared" si="9"/>
        <v>0</v>
      </c>
      <c r="H269">
        <v>51200</v>
      </c>
      <c r="I269" s="3" t="s">
        <v>522</v>
      </c>
      <c r="J269" s="3" t="s">
        <v>523</v>
      </c>
      <c r="K269" s="4">
        <v>15412.24</v>
      </c>
      <c r="L269" s="4">
        <v>0</v>
      </c>
      <c r="M269" s="4">
        <v>0</v>
      </c>
      <c r="N269" s="4">
        <v>15412.24</v>
      </c>
      <c r="O269" s="4">
        <f>Tab_04.Abr[[#This Row],[DÉBITO]]-Tab_04.Abr[[#This Row],[CRÉDITO]]</f>
        <v>0</v>
      </c>
    </row>
    <row r="270" spans="2:15" hidden="1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A</v>
      </c>
      <c r="E270" s="2">
        <f>IF($I270="","",COUNTIFS(Tab_00.Trial[CONTA],$I270))</f>
        <v>1</v>
      </c>
      <c r="F270" s="4">
        <f>SUMIFS(Tab_03.Mar[SALDO
ATUAL],Tab_03.Mar[CONTA],$I270)</f>
        <v>30.66</v>
      </c>
      <c r="G270" s="4">
        <f t="shared" si="9"/>
        <v>0</v>
      </c>
      <c r="H270">
        <v>51220</v>
      </c>
      <c r="I270" s="3" t="s">
        <v>524</v>
      </c>
      <c r="J270" s="3" t="s">
        <v>525</v>
      </c>
      <c r="K270" s="4">
        <v>30.66</v>
      </c>
      <c r="L270" s="4">
        <v>425.45</v>
      </c>
      <c r="M270" s="4">
        <v>0</v>
      </c>
      <c r="N270" s="4">
        <v>456.11</v>
      </c>
      <c r="O270" s="4">
        <f>Tab_04.Abr[[#This Row],[DÉBITO]]-Tab_04.Abr[[#This Row],[CRÉDITO]]</f>
        <v>425.45</v>
      </c>
    </row>
    <row r="271" spans="2:15" hidden="1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5</v>
      </c>
      <c r="D271" s="2" t="str">
        <f>_xlfn.XLOOKUP($I271,Tab_00.Trial[CONTA],Tab_00.Trial[S/A],"",0,1)</f>
        <v>S</v>
      </c>
      <c r="E271" s="2">
        <f>IF($I271="","",COUNTIFS(Tab_00.Trial[CONTA],$I271))</f>
        <v>1</v>
      </c>
      <c r="F271" s="4">
        <f>SUMIFS(Tab_03.Mar[SALDO
ATUAL],Tab_03.Mar[CONTA],$I271)</f>
        <v>10388.780000000001</v>
      </c>
      <c r="G271" s="4">
        <f t="shared" ref="G271:G276" si="10">$F271-$K271</f>
        <v>0</v>
      </c>
      <c r="H271">
        <v>51230</v>
      </c>
      <c r="I271" s="3" t="s">
        <v>627</v>
      </c>
      <c r="J271" s="3" t="s">
        <v>542</v>
      </c>
      <c r="K271" s="4">
        <v>10388.780000000001</v>
      </c>
      <c r="L271" s="4">
        <v>1556.83</v>
      </c>
      <c r="M271" s="4">
        <v>0</v>
      </c>
      <c r="N271" s="4">
        <v>11945.61</v>
      </c>
      <c r="O271" s="4">
        <f>Tab_04.Abr[[#This Row],[DÉBITO]]-Tab_04.Abr[[#This Row],[CRÉDITO]]</f>
        <v>1556.83</v>
      </c>
    </row>
    <row r="272" spans="2:15" hidden="1" x14ac:dyDescent="0.3">
      <c r="B272" s="2" t="str">
        <f>_xlfn.XLOOKUP($I272,Tab_00.Trial[CONTA],Tab_00.Trial[TP],"",0,1)</f>
        <v>C</v>
      </c>
      <c r="C272" s="2">
        <f>_xlfn.XLOOKUP($I272,Tab_00.Trial[CONTA],Tab_00.Trial[NV],"",0,1)</f>
        <v>5</v>
      </c>
      <c r="D272" s="2" t="str">
        <f>_xlfn.XLOOKUP($I272,Tab_00.Trial[CONTA],Tab_00.Trial[S/A],"",0,1)</f>
        <v>A</v>
      </c>
      <c r="E272" s="2">
        <f>IF($I272="","",COUNTIFS(Tab_00.Trial[CONTA],$I272))</f>
        <v>1</v>
      </c>
      <c r="F272" s="4">
        <f>SUMIFS(Tab_03.Mar[SALDO
ATUAL],Tab_03.Mar[CONTA],$I272)</f>
        <v>349.64</v>
      </c>
      <c r="G272" s="4">
        <f t="shared" si="10"/>
        <v>0</v>
      </c>
      <c r="H272">
        <v>51245</v>
      </c>
      <c r="I272" s="3" t="s">
        <v>528</v>
      </c>
      <c r="J272" s="3" t="s">
        <v>416</v>
      </c>
      <c r="K272" s="4">
        <v>349.64</v>
      </c>
      <c r="L272" s="4">
        <v>50</v>
      </c>
      <c r="M272" s="4">
        <v>0</v>
      </c>
      <c r="N272" s="4">
        <v>399.64</v>
      </c>
      <c r="O272" s="4">
        <f>Tab_04.Abr[[#This Row],[DÉBITO]]-Tab_04.Abr[[#This Row],[CRÉDITO]]</f>
        <v>50</v>
      </c>
    </row>
    <row r="273" spans="2:15" hidden="1" x14ac:dyDescent="0.3">
      <c r="B273" s="2" t="str">
        <f>_xlfn.XLOOKUP($I273,Tab_00.Trial[CONTA],Tab_00.Trial[TP],"",0,1)</f>
        <v>C</v>
      </c>
      <c r="C273" s="2">
        <f>_xlfn.XLOOKUP($I273,Tab_00.Trial[CONTA],Tab_00.Trial[NV],"",0,1)</f>
        <v>5</v>
      </c>
      <c r="D273" s="2" t="str">
        <f>_xlfn.XLOOKUP($I273,Tab_00.Trial[CONTA],Tab_00.Trial[S/A],"",0,1)</f>
        <v>A</v>
      </c>
      <c r="E273" s="2">
        <f>IF($I273="","",COUNTIFS(Tab_00.Trial[CONTA],$I273))</f>
        <v>1</v>
      </c>
      <c r="F273" s="4">
        <f>SUMIFS(Tab_03.Mar[SALDO
ATUAL],Tab_03.Mar[CONTA],$I273)</f>
        <v>176.97</v>
      </c>
      <c r="G273" s="4">
        <f t="shared" si="10"/>
        <v>0</v>
      </c>
      <c r="H273">
        <v>51290</v>
      </c>
      <c r="I273" s="3" t="s">
        <v>531</v>
      </c>
      <c r="J273" s="3" t="s">
        <v>532</v>
      </c>
      <c r="K273" s="4">
        <v>176.97</v>
      </c>
      <c r="L273" s="4">
        <v>93.26</v>
      </c>
      <c r="M273" s="4">
        <v>0</v>
      </c>
      <c r="N273" s="4">
        <v>270.23</v>
      </c>
      <c r="O273" s="4">
        <f>Tab_04.Abr[[#This Row],[DÉBITO]]-Tab_04.Abr[[#This Row],[CRÉDITO]]</f>
        <v>93.26</v>
      </c>
    </row>
    <row r="274" spans="2:15" hidden="1" x14ac:dyDescent="0.3">
      <c r="B274" s="2" t="str">
        <f>_xlfn.XLOOKUP($I274,Tab_00.Trial[CONTA],Tab_00.Trial[TP],"",0,1)</f>
        <v>C</v>
      </c>
      <c r="C274" s="2">
        <f>_xlfn.XLOOKUP($I274,Tab_00.Trial[CONTA],Tab_00.Trial[NV],"",0,1)</f>
        <v>5</v>
      </c>
      <c r="D274" s="2" t="str">
        <f>_xlfn.XLOOKUP($I274,Tab_00.Trial[CONTA],Tab_00.Trial[S/A],"",0,1)</f>
        <v>A</v>
      </c>
      <c r="E274" s="2">
        <f>IF($I274="","",COUNTIFS(Tab_00.Trial[CONTA],$I274))</f>
        <v>1</v>
      </c>
      <c r="F274" s="4">
        <f>SUMIFS(Tab_03.Mar[SALDO
ATUAL],Tab_03.Mar[CONTA],$I274)</f>
        <v>350</v>
      </c>
      <c r="G274" s="4">
        <f t="shared" si="10"/>
        <v>0</v>
      </c>
      <c r="H274">
        <v>51305</v>
      </c>
      <c r="I274" s="3" t="s">
        <v>533</v>
      </c>
      <c r="J274" s="3" t="s">
        <v>534</v>
      </c>
      <c r="K274" s="4">
        <v>350</v>
      </c>
      <c r="L274" s="4">
        <v>0</v>
      </c>
      <c r="M274" s="4">
        <v>0</v>
      </c>
      <c r="N274" s="4">
        <v>350</v>
      </c>
      <c r="O274" s="4">
        <f>Tab_04.Abr[[#This Row],[DÉBITO]]-Tab_04.Abr[[#This Row],[CRÉDITO]]</f>
        <v>0</v>
      </c>
    </row>
    <row r="275" spans="2:15" hidden="1" x14ac:dyDescent="0.3">
      <c r="B275" s="2" t="str">
        <f>_xlfn.XLOOKUP($I275,Tab_00.Trial[CONTA],Tab_00.Trial[TP],"",0,1)</f>
        <v>C</v>
      </c>
      <c r="C275" s="2">
        <f>_xlfn.XLOOKUP($I275,Tab_00.Trial[CONTA],Tab_00.Trial[NV],"",0,1)</f>
        <v>5</v>
      </c>
      <c r="D275" s="2" t="str">
        <f>_xlfn.XLOOKUP($I275,Tab_00.Trial[CONTA],Tab_00.Trial[S/A],"",0,1)</f>
        <v>A</v>
      </c>
      <c r="E275" s="2">
        <f>IF($I275="","",COUNTIFS(Tab_00.Trial[CONTA],$I275))</f>
        <v>1</v>
      </c>
      <c r="F275" s="4">
        <f>SUMIFS(Tab_03.Mar[SALDO
ATUAL],Tab_03.Mar[CONTA],$I275)</f>
        <v>4744.78</v>
      </c>
      <c r="G275" s="4">
        <f t="shared" si="10"/>
        <v>0</v>
      </c>
      <c r="H275">
        <v>51335</v>
      </c>
      <c r="I275" s="3" t="s">
        <v>537</v>
      </c>
      <c r="J275" s="3" t="s">
        <v>538</v>
      </c>
      <c r="K275" s="4">
        <v>4744.78</v>
      </c>
      <c r="L275" s="4">
        <v>0</v>
      </c>
      <c r="M275" s="4">
        <v>0</v>
      </c>
      <c r="N275" s="4">
        <v>4744.78</v>
      </c>
      <c r="O275" s="4">
        <f>Tab_04.Abr[[#This Row],[DÉBITO]]-Tab_04.Abr[[#This Row],[CRÉDITO]]</f>
        <v>0</v>
      </c>
    </row>
    <row r="276" spans="2:15" hidden="1" x14ac:dyDescent="0.3">
      <c r="B276" s="2" t="str">
        <f>_xlfn.XLOOKUP($I276,Tab_00.Trial[CONTA],Tab_00.Trial[TP],"",0,1)</f>
        <v>C</v>
      </c>
      <c r="C276" s="2">
        <f>_xlfn.XLOOKUP($I276,Tab_00.Trial[CONTA],Tab_00.Trial[NV],"",0,1)</f>
        <v>5</v>
      </c>
      <c r="D276" s="2" t="str">
        <f>_xlfn.XLOOKUP($I276,Tab_00.Trial[CONTA],Tab_00.Trial[S/A],"",0,1)</f>
        <v>A</v>
      </c>
      <c r="E276" s="2">
        <f>IF($I276="","",COUNTIFS(Tab_00.Trial[CONTA],$I276))</f>
        <v>1</v>
      </c>
      <c r="F276" s="4">
        <f>SUMIFS(Tab_03.Mar[SALDO
ATUAL],Tab_03.Mar[CONTA],$I276)</f>
        <v>4226.5200000000004</v>
      </c>
      <c r="G276" s="4">
        <f t="shared" si="10"/>
        <v>0</v>
      </c>
      <c r="H276">
        <v>51338</v>
      </c>
      <c r="I276" s="3" t="s">
        <v>539</v>
      </c>
      <c r="J276" s="3" t="s">
        <v>540</v>
      </c>
      <c r="K276" s="4">
        <v>4226.5200000000004</v>
      </c>
      <c r="L276" s="4">
        <v>1253.57</v>
      </c>
      <c r="M276" s="4">
        <v>0</v>
      </c>
      <c r="N276" s="4">
        <v>5480.09</v>
      </c>
      <c r="O276" s="4">
        <f>Tab_04.Abr[[#This Row],[DÉBITO]]-Tab_04.Abr[[#This Row],[CRÉDITO]]</f>
        <v>1253.57</v>
      </c>
    </row>
    <row r="277" spans="2:15" hidden="1" x14ac:dyDescent="0.3">
      <c r="B277" s="2" t="str">
        <f>_xlfn.XLOOKUP($I277,Tab_00.Trial[CONTA],Tab_00.Trial[TP],"",0,1)</f>
        <v>C</v>
      </c>
      <c r="C277" s="2">
        <f>_xlfn.XLOOKUP($I277,Tab_00.Trial[CONTA],Tab_00.Trial[NV],"",0,1)</f>
        <v>5</v>
      </c>
      <c r="D277" s="2" t="str">
        <f>_xlfn.XLOOKUP($I277,Tab_00.Trial[CONTA],Tab_00.Trial[S/A],"",0,1)</f>
        <v>A</v>
      </c>
      <c r="E277" s="2">
        <f>IF($I277="","",COUNTIFS(Tab_00.Trial[CONTA],$I277))</f>
        <v>1</v>
      </c>
      <c r="F277" s="4">
        <f>SUMIFS(Tab_03.Mar[SALDO
ATUAL],Tab_03.Mar[CONTA],$I277)</f>
        <v>540.87</v>
      </c>
      <c r="G277" s="4">
        <f t="shared" ref="G277:G282" si="11">$F277-$K277</f>
        <v>0</v>
      </c>
      <c r="H277">
        <v>51337</v>
      </c>
      <c r="I277" s="3" t="s">
        <v>541</v>
      </c>
      <c r="J277" s="3" t="s">
        <v>542</v>
      </c>
      <c r="K277" s="4">
        <v>540.87</v>
      </c>
      <c r="L277" s="4">
        <v>160</v>
      </c>
      <c r="M277" s="4">
        <v>0</v>
      </c>
      <c r="N277" s="4">
        <v>700.87</v>
      </c>
      <c r="O277" s="4">
        <f>Tab_04.Abr[[#This Row],[DÉBITO]]-Tab_04.Abr[[#This Row],[CRÉDITO]]</f>
        <v>160</v>
      </c>
    </row>
    <row r="278" spans="2:15" hidden="1" x14ac:dyDescent="0.3">
      <c r="B278" s="2" t="str">
        <f>_xlfn.XLOOKUP($I278,Tab_00.Trial[CONTA],Tab_00.Trial[TP],"",0,1)</f>
        <v>C</v>
      </c>
      <c r="C278" s="2">
        <f>_xlfn.XLOOKUP($I278,Tab_00.Trial[CONTA],Tab_00.Trial[NV],"",0,1)</f>
        <v>2</v>
      </c>
      <c r="D278" s="2" t="str">
        <f>_xlfn.XLOOKUP($I278,Tab_00.Trial[CONTA],Tab_00.Trial[S/A],"",0,1)</f>
        <v>S</v>
      </c>
      <c r="E278" s="2">
        <f>IF($I278="","",COUNTIFS(Tab_00.Trial[CONTA],$I278))</f>
        <v>1</v>
      </c>
      <c r="F278" s="4">
        <f>SUMIFS(Tab_03.Mar[SALDO
ATUAL],Tab_03.Mar[CONTA],$I278)</f>
        <v>270</v>
      </c>
      <c r="G278" s="4">
        <f t="shared" si="11"/>
        <v>0</v>
      </c>
      <c r="H278">
        <v>51500</v>
      </c>
      <c r="I278" s="3" t="s">
        <v>630</v>
      </c>
      <c r="J278" s="3" t="s">
        <v>728</v>
      </c>
      <c r="K278" s="4">
        <v>270</v>
      </c>
      <c r="L278" s="4">
        <v>0</v>
      </c>
      <c r="M278" s="4">
        <v>0</v>
      </c>
      <c r="N278" s="4">
        <v>270</v>
      </c>
      <c r="O278" s="4">
        <f>Tab_04.Abr[[#This Row],[DÉBITO]]-Tab_04.Abr[[#This Row],[CRÉDITO]]</f>
        <v>0</v>
      </c>
    </row>
    <row r="279" spans="2:15" hidden="1" x14ac:dyDescent="0.3">
      <c r="B279" s="2" t="str">
        <f>_xlfn.XLOOKUP($I279,Tab_00.Trial[CONTA],Tab_00.Trial[TP],"",0,1)</f>
        <v>C</v>
      </c>
      <c r="C279" s="2">
        <f>_xlfn.XLOOKUP($I279,Tab_00.Trial[CONTA],Tab_00.Trial[NV],"",0,1)</f>
        <v>5</v>
      </c>
      <c r="D279" s="2" t="str">
        <f>_xlfn.XLOOKUP($I279,Tab_00.Trial[CONTA],Tab_00.Trial[S/A],"",0,1)</f>
        <v>S</v>
      </c>
      <c r="E279" s="2">
        <f>IF($I279="","",COUNTIFS(Tab_00.Trial[CONTA],$I279))</f>
        <v>1</v>
      </c>
      <c r="F279" s="4">
        <f>SUMIFS(Tab_03.Mar[SALDO
ATUAL],Tab_03.Mar[CONTA],$I279)</f>
        <v>270</v>
      </c>
      <c r="G279" s="4">
        <f t="shared" si="11"/>
        <v>0</v>
      </c>
      <c r="H279">
        <v>51505</v>
      </c>
      <c r="I279" s="3" t="s">
        <v>631</v>
      </c>
      <c r="J279" s="3" t="s">
        <v>728</v>
      </c>
      <c r="K279" s="4">
        <v>270</v>
      </c>
      <c r="L279" s="4">
        <v>0</v>
      </c>
      <c r="M279" s="4">
        <v>0</v>
      </c>
      <c r="N279" s="4">
        <v>270</v>
      </c>
      <c r="O279" s="4">
        <f>Tab_04.Abr[[#This Row],[DÉBITO]]-Tab_04.Abr[[#This Row],[CRÉDITO]]</f>
        <v>0</v>
      </c>
    </row>
    <row r="280" spans="2:15" hidden="1" x14ac:dyDescent="0.3">
      <c r="B280" s="2" t="str">
        <f>_xlfn.XLOOKUP($I280,Tab_00.Trial[CONTA],Tab_00.Trial[TP],"",0,1)</f>
        <v>C</v>
      </c>
      <c r="C280" s="2">
        <f>_xlfn.XLOOKUP($I280,Tab_00.Trial[CONTA],Tab_00.Trial[NV],"",0,1)</f>
        <v>5</v>
      </c>
      <c r="D280" s="2" t="str">
        <f>_xlfn.XLOOKUP($I280,Tab_00.Trial[CONTA],Tab_00.Trial[S/A],"",0,1)</f>
        <v>S</v>
      </c>
      <c r="E280" s="2">
        <f>IF($I280="","",COUNTIFS(Tab_00.Trial[CONTA],$I280))</f>
        <v>1</v>
      </c>
      <c r="F280" s="4">
        <f>SUMIFS(Tab_03.Mar[SALDO
ATUAL],Tab_03.Mar[CONTA],$I280)</f>
        <v>270</v>
      </c>
      <c r="G280" s="4">
        <f t="shared" si="11"/>
        <v>0</v>
      </c>
      <c r="H280">
        <v>51565</v>
      </c>
      <c r="I280" s="3" t="s">
        <v>633</v>
      </c>
      <c r="J280" s="3" t="s">
        <v>548</v>
      </c>
      <c r="K280" s="4">
        <v>270</v>
      </c>
      <c r="L280" s="4">
        <v>0</v>
      </c>
      <c r="M280" s="4">
        <v>0</v>
      </c>
      <c r="N280" s="4">
        <v>270</v>
      </c>
      <c r="O280" s="4">
        <f>Tab_04.Abr[[#This Row],[DÉBITO]]-Tab_04.Abr[[#This Row],[CRÉDITO]]</f>
        <v>0</v>
      </c>
    </row>
    <row r="281" spans="2:15" hidden="1" x14ac:dyDescent="0.3">
      <c r="B281" s="2" t="str">
        <f>_xlfn.XLOOKUP($I281,Tab_00.Trial[CONTA],Tab_00.Trial[TP],"",0,1)</f>
        <v>C</v>
      </c>
      <c r="C281" s="2">
        <f>_xlfn.XLOOKUP($I281,Tab_00.Trial[CONTA],Tab_00.Trial[NV],"",0,1)</f>
        <v>5</v>
      </c>
      <c r="D281" s="2" t="str">
        <f>_xlfn.XLOOKUP($I281,Tab_00.Trial[CONTA],Tab_00.Trial[S/A],"",0,1)</f>
        <v>A</v>
      </c>
      <c r="E281" s="2">
        <f>IF($I281="","",COUNTIFS(Tab_00.Trial[CONTA],$I281))</f>
        <v>1</v>
      </c>
      <c r="F281" s="4">
        <f>SUMIFS(Tab_03.Mar[SALDO
ATUAL],Tab_03.Mar[CONTA],$I281)</f>
        <v>270</v>
      </c>
      <c r="G281" s="4">
        <f t="shared" si="11"/>
        <v>0</v>
      </c>
      <c r="H281">
        <v>51570</v>
      </c>
      <c r="I281" s="3" t="s">
        <v>547</v>
      </c>
      <c r="J281" s="3" t="s">
        <v>548</v>
      </c>
      <c r="K281" s="4">
        <v>270</v>
      </c>
      <c r="L281" s="4">
        <v>0</v>
      </c>
      <c r="M281" s="4">
        <v>0</v>
      </c>
      <c r="N281" s="4">
        <v>270</v>
      </c>
      <c r="O281" s="4">
        <f>Tab_04.Abr[[#This Row],[DÉBITO]]-Tab_04.Abr[[#This Row],[CRÉDITO]]</f>
        <v>0</v>
      </c>
    </row>
    <row r="282" spans="2:15" hidden="1" x14ac:dyDescent="0.3">
      <c r="B282" s="2" t="str">
        <f>_xlfn.XLOOKUP($I282,Tab_00.Trial[CONTA],Tab_00.Trial[TP],"",0,1)</f>
        <v>C</v>
      </c>
      <c r="C282" s="2">
        <f>_xlfn.XLOOKUP($I282,Tab_00.Trial[CONTA],Tab_00.Trial[NV],"",0,1)</f>
        <v>2</v>
      </c>
      <c r="D282" s="2" t="str">
        <f>_xlfn.XLOOKUP($I282,Tab_00.Trial[CONTA],Tab_00.Trial[S/A],"",0,1)</f>
        <v>S</v>
      </c>
      <c r="E282" s="2">
        <f>IF($I282="","",COUNTIFS(Tab_00.Trial[CONTA],$I282))</f>
        <v>1</v>
      </c>
      <c r="F282" s="4">
        <f>SUMIFS(Tab_03.Mar[SALDO
ATUAL],Tab_03.Mar[CONTA],$I282)</f>
        <v>-189</v>
      </c>
      <c r="G282" s="4">
        <f t="shared" si="11"/>
        <v>0</v>
      </c>
      <c r="H282">
        <v>51590</v>
      </c>
      <c r="I282" s="3" t="s">
        <v>634</v>
      </c>
      <c r="J282" s="3" t="s">
        <v>730</v>
      </c>
      <c r="K282" s="4">
        <v>-189</v>
      </c>
      <c r="L282" s="4">
        <v>0</v>
      </c>
      <c r="M282" s="4">
        <v>0</v>
      </c>
      <c r="N282" s="4">
        <v>-189</v>
      </c>
      <c r="O282" s="4">
        <f>Tab_04.Abr[[#This Row],[DÉBITO]]-Tab_04.Abr[[#This Row],[CRÉDITO]]</f>
        <v>0</v>
      </c>
    </row>
    <row r="283" spans="2:15" hidden="1" x14ac:dyDescent="0.3">
      <c r="B283" s="2" t="str">
        <f>_xlfn.XLOOKUP($I283,Tab_00.Trial[CONTA],Tab_00.Trial[TP],"",0,1)</f>
        <v>C</v>
      </c>
      <c r="C283" s="2">
        <f>_xlfn.XLOOKUP($I283,Tab_00.Trial[CONTA],Tab_00.Trial[NV],"",0,1)</f>
        <v>5</v>
      </c>
      <c r="D283" s="2" t="str">
        <f>_xlfn.XLOOKUP($I283,Tab_00.Trial[CONTA],Tab_00.Trial[S/A],"",0,1)</f>
        <v>S</v>
      </c>
      <c r="E283" s="2">
        <f>IF($I283="","",COUNTIFS(Tab_00.Trial[CONTA],$I283))</f>
        <v>1</v>
      </c>
      <c r="F283" s="4">
        <f>SUMIFS(Tab_03.Mar[SALDO
ATUAL],Tab_03.Mar[CONTA],$I283)</f>
        <v>-189</v>
      </c>
      <c r="G283" s="4">
        <f t="shared" ref="G283:G285" si="12">$F283-$K283</f>
        <v>0</v>
      </c>
      <c r="H283">
        <v>10216</v>
      </c>
      <c r="I283" s="3" t="s">
        <v>825</v>
      </c>
      <c r="J283" s="3" t="s">
        <v>826</v>
      </c>
      <c r="K283" s="4">
        <v>-189</v>
      </c>
      <c r="L283" s="4">
        <v>0</v>
      </c>
      <c r="M283" s="4">
        <v>0</v>
      </c>
      <c r="N283" s="4">
        <v>-189</v>
      </c>
      <c r="O283" s="4">
        <f>Tab_04.Abr[[#This Row],[DÉBITO]]-Tab_04.Abr[[#This Row],[CRÉDITO]]</f>
        <v>0</v>
      </c>
    </row>
    <row r="284" spans="2:15" hidden="1" x14ac:dyDescent="0.3">
      <c r="B284" s="2" t="str">
        <f>_xlfn.XLOOKUP($I284,Tab_00.Trial[CONTA],Tab_00.Trial[TP],"",0,1)</f>
        <v>C</v>
      </c>
      <c r="C284" s="2">
        <f>_xlfn.XLOOKUP($I284,Tab_00.Trial[CONTA],Tab_00.Trial[NV],"",0,1)</f>
        <v>5</v>
      </c>
      <c r="D284" s="2" t="str">
        <f>_xlfn.XLOOKUP($I284,Tab_00.Trial[CONTA],Tab_00.Trial[S/A],"",0,1)</f>
        <v>S</v>
      </c>
      <c r="E284" s="2">
        <f>IF($I284="","",COUNTIFS(Tab_00.Trial[CONTA],$I284))</f>
        <v>1</v>
      </c>
      <c r="F284" s="4">
        <f>SUMIFS(Tab_03.Mar[SALDO
ATUAL],Tab_03.Mar[CONTA],$I284)</f>
        <v>-189</v>
      </c>
      <c r="G284" s="4">
        <f t="shared" si="12"/>
        <v>0</v>
      </c>
      <c r="H284">
        <v>10230</v>
      </c>
      <c r="I284" s="3" t="s">
        <v>827</v>
      </c>
      <c r="J284" s="3" t="s">
        <v>826</v>
      </c>
      <c r="K284" s="4">
        <v>-189</v>
      </c>
      <c r="L284" s="4">
        <v>0</v>
      </c>
      <c r="M284" s="4">
        <v>0</v>
      </c>
      <c r="N284" s="4">
        <v>-189</v>
      </c>
      <c r="O284" s="4">
        <f>Tab_04.Abr[[#This Row],[DÉBITO]]-Tab_04.Abr[[#This Row],[CRÉDITO]]</f>
        <v>0</v>
      </c>
    </row>
    <row r="285" spans="2:15" hidden="1" x14ac:dyDescent="0.3">
      <c r="B285" s="2" t="str">
        <f>_xlfn.XLOOKUP($I285,Tab_00.Trial[CONTA],Tab_00.Trial[TP],"",0,1)</f>
        <v>C</v>
      </c>
      <c r="C285" s="2">
        <f>_xlfn.XLOOKUP($I285,Tab_00.Trial[CONTA],Tab_00.Trial[NV],"",0,1)</f>
        <v>5</v>
      </c>
      <c r="D285" s="2" t="str">
        <f>_xlfn.XLOOKUP($I285,Tab_00.Trial[CONTA],Tab_00.Trial[S/A],"",0,1)</f>
        <v>A</v>
      </c>
      <c r="E285" s="2">
        <f>IF($I285="","",COUNTIFS(Tab_00.Trial[CONTA],$I285))</f>
        <v>1</v>
      </c>
      <c r="F285" s="4">
        <f>SUMIFS(Tab_03.Mar[SALDO
ATUAL],Tab_03.Mar[CONTA],$I285)</f>
        <v>-189</v>
      </c>
      <c r="G285" s="4">
        <f t="shared" si="12"/>
        <v>0</v>
      </c>
      <c r="H285">
        <v>10237</v>
      </c>
      <c r="I285" s="3" t="s">
        <v>828</v>
      </c>
      <c r="J285" s="3" t="s">
        <v>829</v>
      </c>
      <c r="K285" s="4">
        <v>-189</v>
      </c>
      <c r="L285" s="4">
        <v>0</v>
      </c>
      <c r="M285" s="4">
        <v>0</v>
      </c>
      <c r="N285" s="4">
        <v>-189</v>
      </c>
      <c r="O285" s="4">
        <f>Tab_04.Abr[[#This Row],[DÉBITO]]-Tab_04.Abr[[#This Row],[CRÉDITO]]</f>
        <v>0</v>
      </c>
    </row>
  </sheetData>
  <sheetProtection autoFilter="0"/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4AB4E-77C8-4E21-A895-DA92282B4CA5}">
  <sheetPr codeName="Planilha15"/>
  <dimension ref="B1:O284"/>
  <sheetViews>
    <sheetView showGridLines="0" showRowColHeaders="0" zoomScale="85" zoomScaleNormal="85" workbookViewId="0">
      <pane xSplit="7" ySplit="14" topLeftCell="K15" activePane="bottomRight" state="frozen"/>
      <selection activeCell="J28" sqref="J28"/>
      <selection pane="topRight" activeCell="J28" sqref="J28"/>
      <selection pane="bottomLeft" activeCell="J28" sqref="J28"/>
      <selection pane="bottomRight" activeCell="N15" sqref="N15"/>
    </sheetView>
  </sheetViews>
  <sheetFormatPr defaultColWidth="8.88671875" defaultRowHeight="13.8" outlineLevelRow="1" x14ac:dyDescent="0.3"/>
  <cols>
    <col min="1" max="1" width="2.6640625" style="1" customWidth="1"/>
    <col min="2" max="2" width="4.6640625" customWidth="1"/>
    <col min="3" max="5" width="4.6640625" style="2" customWidth="1"/>
    <col min="6" max="7" width="20.6640625" style="4" customWidth="1"/>
    <col min="8" max="8" width="15.6640625" customWidth="1"/>
    <col min="9" max="9" width="17.6640625" customWidth="1"/>
    <col min="10" max="10" width="75.6640625" customWidth="1"/>
    <col min="11" max="11" width="20.6640625" style="2" customWidth="1"/>
    <col min="12" max="13" width="20.6640625" style="3" customWidth="1"/>
    <col min="14" max="15" width="20.6640625" style="4" customWidth="1"/>
    <col min="16" max="16384" width="8.88671875" style="1"/>
  </cols>
  <sheetData>
    <row r="1" spans="2:15" x14ac:dyDescent="0.3">
      <c r="B1" s="2"/>
      <c r="H1" s="3"/>
      <c r="I1" s="3"/>
      <c r="J1" s="3"/>
      <c r="K1" s="4"/>
      <c r="L1" s="4"/>
      <c r="M1" s="4"/>
    </row>
    <row r="2" spans="2:15" outlineLevel="1" x14ac:dyDescent="0.3">
      <c r="B2" s="2" t="s">
        <v>16</v>
      </c>
      <c r="F2" s="7">
        <f ca="1">SUMIFS(INDIRECT("Tab_05.Mai["&amp;F$14&amp;"]"),Tab_05.Mai[TP],$B2,Tab_05.Mai[NV],"A")</f>
        <v>0</v>
      </c>
      <c r="G2" s="7">
        <f ca="1">SUMIFS(INDIRECT("Tab_05.Mai["&amp;G$14&amp;"]"),Tab_05.Mai[TP],$B2,Tab_05.Mai[NV],"A")</f>
        <v>0</v>
      </c>
      <c r="H2" s="3"/>
      <c r="I2" s="3"/>
      <c r="J2" s="88" t="s">
        <v>15</v>
      </c>
      <c r="K2" s="7">
        <f ca="1">SUMIFS(INDIRECT("Tab_05.Mai["&amp;K$14&amp;"]"),Tab_05.Mai[TP],$B2,Tab_05.Mai[S/A],"A")</f>
        <v>83616244.030000001</v>
      </c>
      <c r="L2" s="7">
        <f ca="1">SUMIFS(INDIRECT("Tab_05.Mai["&amp;L$14&amp;"]"),Tab_05.Mai[TP],$B2,Tab_05.Mai[S/A],"A")</f>
        <v>2179588.34</v>
      </c>
      <c r="M2" s="7">
        <f ca="1">SUMIFS(INDIRECT("Tab_05.Mai["&amp;M$14&amp;"]"),Tab_05.Mai[TP],$B2,Tab_05.Mai[S/A],"A")</f>
        <v>1844761.45</v>
      </c>
      <c r="N2" s="7">
        <f ca="1">SUMIFS(INDIRECT("Tab_05.Mai["&amp;N$14&amp;"]"),Tab_05.Mai[TP],$B2,Tab_05.Mai[S/A],"A")</f>
        <v>83951070.920000002</v>
      </c>
      <c r="O2" s="7">
        <f ca="1">SUMIFS(INDIRECT("Tab_05.Mai["&amp;O$14&amp;"]"),Tab_05.Mai[TP],$B2,Tab_05.Mai[S/A],"A")</f>
        <v>334826.89</v>
      </c>
    </row>
    <row r="3" spans="2:15" outlineLevel="1" x14ac:dyDescent="0.3">
      <c r="B3" s="2" t="s">
        <v>116</v>
      </c>
      <c r="F3" s="7">
        <f ca="1">SUMIFS(INDIRECT("Tab_05.Mai["&amp;F$14&amp;"]"),Tab_05.Mai[TP],$B3,Tab_05.Mai[NV],"A")</f>
        <v>0</v>
      </c>
      <c r="G3" s="7">
        <f ca="1">SUMIFS(INDIRECT("Tab_05.Mai["&amp;G$14&amp;"]"),Tab_05.Mai[TP],$B3,Tab_05.Mai[NV],"A")</f>
        <v>0</v>
      </c>
      <c r="H3" s="3"/>
      <c r="I3" s="3"/>
      <c r="J3" s="88" t="s">
        <v>110</v>
      </c>
      <c r="K3" s="7">
        <f ca="1">SUMIFS(INDIRECT("Tab_05.Mai["&amp;K$14&amp;"]"),Tab_05.Mai[TP],$B3,Tab_05.Mai[S/A],"A")</f>
        <v>-83686314.609999999</v>
      </c>
      <c r="L3" s="7">
        <f ca="1">SUMIFS(INDIRECT("Tab_05.Mai["&amp;L$14&amp;"]"),Tab_05.Mai[TP],$B3,Tab_05.Mai[S/A],"A")</f>
        <v>661116.39</v>
      </c>
      <c r="M3" s="7">
        <f ca="1">SUMIFS(INDIRECT("Tab_05.Mai["&amp;M$14&amp;"]"),Tab_05.Mai[TP],$B3,Tab_05.Mai[S/A],"A")</f>
        <v>533437.39</v>
      </c>
      <c r="N3" s="7">
        <f ca="1">SUMIFS(INDIRECT("Tab_05.Mai["&amp;N$14&amp;"]"),Tab_05.Mai[TP],$B3,Tab_05.Mai[S/A],"A")</f>
        <v>-83558635.609999999</v>
      </c>
      <c r="O3" s="7">
        <f ca="1">SUMIFS(INDIRECT("Tab_05.Mai["&amp;O$14&amp;"]"),Tab_05.Mai[TP],$B3,Tab_05.Mai[S/A],"A")</f>
        <v>127679</v>
      </c>
    </row>
    <row r="4" spans="2:15" outlineLevel="1" x14ac:dyDescent="0.3">
      <c r="B4" s="2"/>
      <c r="F4" s="8">
        <f ca="1">SUM(F$2:F$3)</f>
        <v>0</v>
      </c>
      <c r="G4" s="8">
        <f ca="1">SUM(G$2:G$3)</f>
        <v>0</v>
      </c>
      <c r="H4" s="3"/>
      <c r="I4" s="3"/>
      <c r="J4" s="88"/>
      <c r="K4" s="8">
        <f t="shared" ref="K4:O4" ca="1" si="0">SUM(K$2:K$3)</f>
        <v>-70070.58</v>
      </c>
      <c r="L4" s="8">
        <f t="shared" ca="1" si="0"/>
        <v>2840704.73</v>
      </c>
      <c r="M4" s="8">
        <f t="shared" ca="1" si="0"/>
        <v>2378198.84</v>
      </c>
      <c r="N4" s="8">
        <f ca="1">SUM(N$2:N$3)</f>
        <v>392435.31</v>
      </c>
      <c r="O4" s="8">
        <f t="shared" ca="1" si="0"/>
        <v>462505.89</v>
      </c>
    </row>
    <row r="5" spans="2:15" ht="5.0999999999999996" customHeight="1" outlineLevel="1" x14ac:dyDescent="0.3">
      <c r="B5" s="2"/>
      <c r="H5" s="3"/>
      <c r="I5" s="3"/>
      <c r="J5" s="89"/>
      <c r="K5" s="4"/>
      <c r="L5" s="4"/>
      <c r="M5" s="4"/>
    </row>
    <row r="6" spans="2:15" outlineLevel="1" x14ac:dyDescent="0.3">
      <c r="B6" s="2" t="s">
        <v>19</v>
      </c>
      <c r="F6" s="7">
        <f ca="1">SUMIFS(INDIRECT("Tab_05.Mai["&amp;F$14&amp;"]"),Tab_05.Mai[TP],$B6,Tab_05.Mai[NV],"A")</f>
        <v>0</v>
      </c>
      <c r="G6" s="7">
        <f ca="1">SUMIFS(INDIRECT("Tab_05.Mai["&amp;G$14&amp;"]"),Tab_05.Mai[TP],$B6,Tab_05.Mai[NV],"A")</f>
        <v>0</v>
      </c>
      <c r="H6" s="3"/>
      <c r="I6" s="3"/>
      <c r="J6" s="88" t="s">
        <v>18</v>
      </c>
      <c r="K6" s="7">
        <f ca="1">SUMIFS(INDIRECT("Tab_05.Mai["&amp;K$14&amp;"]"),Tab_05.Mai[TP],$B6,Tab_05.Mai[S/A],"A")</f>
        <v>-4786345.3099999996</v>
      </c>
      <c r="L6" s="7">
        <f ca="1">SUMIFS(INDIRECT("Tab_05.Mai["&amp;L$14&amp;"]"),Tab_05.Mai[TP],$B6,Tab_05.Mai[S/A],"A")</f>
        <v>0</v>
      </c>
      <c r="M6" s="7">
        <f ca="1">SUMIFS(INDIRECT("Tab_05.Mai["&amp;M$14&amp;"]"),Tab_05.Mai[TP],$B6,Tab_05.Mai[S/A],"A")</f>
        <v>1538527.4</v>
      </c>
      <c r="N6" s="7">
        <f ca="1">SUMIFS(INDIRECT("Tab_05.Mai["&amp;N$14&amp;"]"),Tab_05.Mai[TP],$B6,Tab_05.Mai[S/A],"A")</f>
        <v>-6324872.71</v>
      </c>
      <c r="O6" s="7">
        <f ca="1">SUMIFS(INDIRECT("Tab_05.Mai["&amp;O$14&amp;"]"),Tab_05.Mai[TP],$B6,Tab_05.Mai[S/A],"A")</f>
        <v>-1538527.4</v>
      </c>
    </row>
    <row r="7" spans="2:15" outlineLevel="1" x14ac:dyDescent="0.3">
      <c r="B7" s="2" t="s">
        <v>20</v>
      </c>
      <c r="F7" s="7">
        <f ca="1">SUMIFS(INDIRECT("Tab_05.Mai["&amp;F$14&amp;"]"),Tab_05.Mai[TP],$B7,Tab_05.Mai[NV],"A")</f>
        <v>0</v>
      </c>
      <c r="G7" s="7">
        <f ca="1">SUMIFS(INDIRECT("Tab_05.Mai["&amp;G$14&amp;"]"),Tab_05.Mai[TP],$B7,Tab_05.Mai[NV],"A")</f>
        <v>0</v>
      </c>
      <c r="H7" s="3"/>
      <c r="I7" s="3"/>
      <c r="J7" s="88" t="s">
        <v>111</v>
      </c>
      <c r="K7" s="7">
        <f ca="1">SUMIFS(INDIRECT("Tab_05.Mai["&amp;K$14&amp;"]"),Tab_05.Mai[TP],$B7,Tab_05.Mai[S/A],"A")</f>
        <v>4856415.8899999997</v>
      </c>
      <c r="L7" s="7">
        <f ca="1">SUMIFS(INDIRECT("Tab_05.Mai["&amp;L$14&amp;"]"),Tab_05.Mai[TP],$B7,Tab_05.Mai[S/A],"A")</f>
        <v>1112204.6499999999</v>
      </c>
      <c r="M7" s="7">
        <f ca="1">SUMIFS(INDIRECT("Tab_05.Mai["&amp;M$14&amp;"]"),Tab_05.Mai[TP],$B7,Tab_05.Mai[S/A],"A")</f>
        <v>36183.14</v>
      </c>
      <c r="N7" s="7">
        <f ca="1">SUMIFS(INDIRECT("Tab_05.Mai["&amp;N$14&amp;"]"),Tab_05.Mai[TP],$B7,Tab_05.Mai[S/A],"A")</f>
        <v>5932437.4000000004</v>
      </c>
      <c r="O7" s="7">
        <f ca="1">SUMIFS(INDIRECT("Tab_05.Mai["&amp;O$14&amp;"]"),Tab_05.Mai[TP],$B7,Tab_05.Mai[S/A],"A")</f>
        <v>1076021.51</v>
      </c>
    </row>
    <row r="8" spans="2:15" outlineLevel="1" x14ac:dyDescent="0.3">
      <c r="B8" s="2"/>
      <c r="F8" s="8">
        <f ca="1">SUM(F$6:F$7)</f>
        <v>0</v>
      </c>
      <c r="G8" s="8">
        <f ca="1">SUM(G$6:G$7)</f>
        <v>0</v>
      </c>
      <c r="H8" s="3"/>
      <c r="I8" s="3"/>
      <c r="J8" s="88"/>
      <c r="K8" s="8">
        <f ca="1">SUM(K$6:K$7)</f>
        <v>70070.58</v>
      </c>
      <c r="L8" s="8">
        <f ca="1">SUM(L$6:L$7)</f>
        <v>1112204.6499999999</v>
      </c>
      <c r="M8" s="8">
        <f ca="1">SUM(M$6:M$7)</f>
        <v>1574710.54</v>
      </c>
      <c r="N8" s="8">
        <f ca="1">SUM(N$6:N$7)</f>
        <v>-392435.31</v>
      </c>
      <c r="O8" s="8">
        <f ca="1">SUM(O$6:O$7)</f>
        <v>-462505.89</v>
      </c>
    </row>
    <row r="9" spans="2:15" ht="5.0999999999999996" customHeight="1" outlineLevel="1" x14ac:dyDescent="0.3">
      <c r="B9" s="2"/>
      <c r="H9" s="3"/>
      <c r="I9" s="3"/>
      <c r="J9" s="89"/>
      <c r="K9" s="4"/>
      <c r="L9" s="4"/>
      <c r="M9" s="4"/>
    </row>
    <row r="10" spans="2:15" x14ac:dyDescent="0.3">
      <c r="B10" s="2"/>
      <c r="F10" s="11">
        <f ca="1">SUM(F$4,F$8)</f>
        <v>0</v>
      </c>
      <c r="G10" s="11">
        <f ca="1">SUM(G$4,G$8)</f>
        <v>0</v>
      </c>
      <c r="H10" s="3"/>
      <c r="I10" s="3"/>
      <c r="J10" s="88" t="s">
        <v>22</v>
      </c>
      <c r="K10" s="11">
        <f t="shared" ref="K10:O10" ca="1" si="1">SUM(K$4,K$8)</f>
        <v>0</v>
      </c>
      <c r="L10" s="11">
        <f t="shared" ca="1" si="1"/>
        <v>3952909.38</v>
      </c>
      <c r="M10" s="11">
        <f t="shared" ca="1" si="1"/>
        <v>3952909.38</v>
      </c>
      <c r="N10" s="11">
        <f ca="1">SUM(N$4,N$8)</f>
        <v>0</v>
      </c>
      <c r="O10" s="11">
        <f t="shared" ca="1" si="1"/>
        <v>0</v>
      </c>
    </row>
    <row r="11" spans="2:15" ht="5.0999999999999996" customHeight="1" x14ac:dyDescent="0.3">
      <c r="B11" s="2"/>
      <c r="H11" s="3"/>
      <c r="I11" s="3"/>
      <c r="J11" s="3"/>
      <c r="K11" s="4"/>
      <c r="L11" s="4"/>
      <c r="M11" s="4"/>
    </row>
    <row r="12" spans="2:15" x14ac:dyDescent="0.3">
      <c r="B12" s="2"/>
      <c r="F12" s="7">
        <f>SUBTOTAL(9,Tab_05.Mai[SALDO FINAL
ANTERIOR])</f>
        <v>0</v>
      </c>
      <c r="G12" s="7">
        <f>SUBTOTAL(9,Tab_05.Mai[DIFERENÇA])</f>
        <v>0</v>
      </c>
      <c r="H12" s="3"/>
      <c r="I12" s="3"/>
      <c r="J12" s="3"/>
      <c r="K12" s="7">
        <f>SUBTOTAL(9,Tab_05.Mai[SALDO
ANTERIOR])</f>
        <v>0</v>
      </c>
      <c r="L12" s="7">
        <f>SUBTOTAL(9,Tab_05.Mai[DÉBITO])</f>
        <v>19764546.899999999</v>
      </c>
      <c r="M12" s="7">
        <f>SUBTOTAL(9,Tab_05.Mai[CRÉDITO])</f>
        <v>19764546.899999999</v>
      </c>
      <c r="N12" s="7">
        <f>SUBTOTAL(9,Tab_05.Mai[SALDO
ATUAL])</f>
        <v>0</v>
      </c>
      <c r="O12" s="7">
        <f>SUBTOTAL(9,Tab_05.Mai[MOVIMENTO])</f>
        <v>0</v>
      </c>
    </row>
    <row r="13" spans="2:15" ht="5.0999999999999996" customHeight="1" x14ac:dyDescent="0.3">
      <c r="B13" s="2"/>
      <c r="H13" s="3"/>
      <c r="I13" s="3"/>
      <c r="J13" s="3"/>
      <c r="K13" s="4"/>
      <c r="L13" s="4"/>
      <c r="M13" s="4"/>
    </row>
    <row r="14" spans="2:15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5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SUMIFS(Tab_04.Abr[SALDO
ATUAL],Tab_04.Abr[CONTA],$I15)</f>
        <v>83616244.030000001</v>
      </c>
      <c r="G15" s="4">
        <f>$F15-$K15</f>
        <v>0</v>
      </c>
      <c r="H15" s="3">
        <v>10000</v>
      </c>
      <c r="I15" s="3">
        <v>1</v>
      </c>
      <c r="J15" s="3" t="s">
        <v>637</v>
      </c>
      <c r="K15" s="4">
        <v>83616244.030000001</v>
      </c>
      <c r="L15" s="4">
        <v>2179588.34</v>
      </c>
      <c r="M15" s="4">
        <v>1844761.45</v>
      </c>
      <c r="N15" s="4">
        <v>83951070.920000002</v>
      </c>
      <c r="O15" s="4">
        <f>Tab_05.Mai[[#This Row],[DÉBITO]]-Tab_05.Mai[[#This Row],[CRÉDITO]]</f>
        <v>334826.89</v>
      </c>
    </row>
    <row r="16" spans="2:15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SUMIFS(Tab_04.Abr[SALDO
ATUAL],Tab_04.Abr[CONTA],$I16)</f>
        <v>10722880.470000001</v>
      </c>
      <c r="G16" s="4">
        <f>$F16-$K16</f>
        <v>0</v>
      </c>
      <c r="H16" s="3">
        <v>10015</v>
      </c>
      <c r="I16" s="3" t="s">
        <v>197</v>
      </c>
      <c r="J16" s="3" t="s">
        <v>247</v>
      </c>
      <c r="K16" s="4">
        <v>10722880.470000001</v>
      </c>
      <c r="L16" s="4">
        <v>1920073.99</v>
      </c>
      <c r="M16" s="4">
        <v>1841094.4</v>
      </c>
      <c r="N16" s="4">
        <v>10801860.060000001</v>
      </c>
      <c r="O16" s="4">
        <f>Tab_05.Mai[[#This Row],[DÉBITO]]-Tab_05.Mai[[#This Row],[CRÉDITO]]</f>
        <v>78979.59</v>
      </c>
    </row>
    <row r="17" spans="2:15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SUMIFS(Tab_04.Abr[SALDO
ATUAL],Tab_04.Abr[CONTA],$I17)</f>
        <v>10295691.26</v>
      </c>
      <c r="G17" s="4">
        <f>$F17-$K17</f>
        <v>0</v>
      </c>
      <c r="H17" s="3">
        <v>10030</v>
      </c>
      <c r="I17" s="3" t="s">
        <v>199</v>
      </c>
      <c r="J17" s="3" t="s">
        <v>638</v>
      </c>
      <c r="K17" s="4">
        <v>10295691.26</v>
      </c>
      <c r="L17" s="4">
        <v>1908887.3</v>
      </c>
      <c r="M17" s="4">
        <v>1829575.39</v>
      </c>
      <c r="N17" s="4">
        <v>10375003.17</v>
      </c>
      <c r="O17" s="4">
        <f>Tab_05.Mai[[#This Row],[DÉBITO]]-Tab_05.Mai[[#This Row],[CRÉDITO]]</f>
        <v>79311.91</v>
      </c>
    </row>
    <row r="18" spans="2:15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SUMIFS(Tab_04.Abr[SALDO
ATUAL],Tab_04.Abr[CONTA],$I18)</f>
        <v>2993.41</v>
      </c>
      <c r="G18" s="4">
        <f t="shared" ref="G18:G49" si="2">$F18-$K18</f>
        <v>0</v>
      </c>
      <c r="H18">
        <v>10045</v>
      </c>
      <c r="I18" s="3" t="s">
        <v>201</v>
      </c>
      <c r="J18" s="3" t="s">
        <v>639</v>
      </c>
      <c r="K18" s="4">
        <v>2993.41</v>
      </c>
      <c r="L18" s="4">
        <v>0</v>
      </c>
      <c r="M18" s="4">
        <v>451.58</v>
      </c>
      <c r="N18" s="4">
        <v>2541.83</v>
      </c>
      <c r="O18" s="4">
        <f>Tab_05.Mai[[#This Row],[DÉBITO]]-Tab_05.Mai[[#This Row],[CRÉDITO]]</f>
        <v>-451.58</v>
      </c>
    </row>
    <row r="19" spans="2:15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SUMIFS(Tab_04.Abr[SALDO
ATUAL],Tab_04.Abr[CONTA],$I19)</f>
        <v>2993.41</v>
      </c>
      <c r="G19" s="4">
        <f t="shared" si="2"/>
        <v>0</v>
      </c>
      <c r="H19">
        <v>10075</v>
      </c>
      <c r="I19" s="3" t="s">
        <v>176</v>
      </c>
      <c r="J19" s="3" t="s">
        <v>274</v>
      </c>
      <c r="K19" s="4">
        <v>2993.41</v>
      </c>
      <c r="L19" s="4">
        <v>0</v>
      </c>
      <c r="M19" s="4">
        <v>451.58</v>
      </c>
      <c r="N19" s="4">
        <v>2541.83</v>
      </c>
      <c r="O19" s="4">
        <f>Tab_05.Mai[[#This Row],[DÉBITO]]-Tab_05.Mai[[#This Row],[CRÉDITO]]</f>
        <v>-451.58</v>
      </c>
    </row>
    <row r="20" spans="2:15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SUMIFS(Tab_04.Abr[SALDO
ATUAL],Tab_04.Abr[CONTA],$I20)</f>
        <v>16601.48</v>
      </c>
      <c r="G20" s="4">
        <f t="shared" si="2"/>
        <v>0</v>
      </c>
      <c r="H20">
        <v>10090</v>
      </c>
      <c r="I20" s="3" t="s">
        <v>202</v>
      </c>
      <c r="J20" s="3" t="s">
        <v>640</v>
      </c>
      <c r="K20" s="4">
        <v>16601.48</v>
      </c>
      <c r="L20" s="4">
        <v>1234348.67</v>
      </c>
      <c r="M20" s="4">
        <v>1242524.17</v>
      </c>
      <c r="N20" s="4">
        <v>8425.98</v>
      </c>
      <c r="O20" s="4">
        <f>Tab_05.Mai[[#This Row],[DÉBITO]]-Tab_05.Mai[[#This Row],[CRÉDITO]]</f>
        <v>-8175.5</v>
      </c>
    </row>
    <row r="21" spans="2:15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SUMIFS(Tab_04.Abr[SALDO
ATUAL],Tab_04.Abr[CONTA],$I21)</f>
        <v>1</v>
      </c>
      <c r="G21" s="4">
        <f t="shared" si="2"/>
        <v>0</v>
      </c>
      <c r="H21">
        <v>10110</v>
      </c>
      <c r="I21" s="3" t="s">
        <v>277</v>
      </c>
      <c r="J21" s="3" t="s">
        <v>278</v>
      </c>
      <c r="K21" s="4">
        <v>1</v>
      </c>
      <c r="L21" s="4">
        <v>1228411.44</v>
      </c>
      <c r="M21" s="4">
        <v>1228411.44</v>
      </c>
      <c r="N21" s="4">
        <v>1</v>
      </c>
      <c r="O21" s="4">
        <f>Tab_05.Mai[[#This Row],[DÉBITO]]-Tab_05.Mai[[#This Row],[CRÉDITO]]</f>
        <v>0</v>
      </c>
    </row>
    <row r="22" spans="2:15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SUMIFS(Tab_04.Abr[SALDO
ATUAL],Tab_04.Abr[CONTA],$I22)</f>
        <v>8590.7000000000007</v>
      </c>
      <c r="G22" s="4">
        <f t="shared" si="2"/>
        <v>0</v>
      </c>
      <c r="H22">
        <v>10131</v>
      </c>
      <c r="I22" s="3" t="s">
        <v>177</v>
      </c>
      <c r="J22" s="3" t="s">
        <v>279</v>
      </c>
      <c r="K22" s="4">
        <v>8590.7000000000007</v>
      </c>
      <c r="L22" s="4">
        <v>5787.33</v>
      </c>
      <c r="M22" s="4">
        <v>13696.83</v>
      </c>
      <c r="N22" s="4">
        <v>681.2</v>
      </c>
      <c r="O22" s="4">
        <f>Tab_05.Mai[[#This Row],[DÉBITO]]-Tab_05.Mai[[#This Row],[CRÉDITO]]</f>
        <v>-7909.5</v>
      </c>
    </row>
    <row r="23" spans="2:15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SUMIFS(Tab_04.Abr[SALDO
ATUAL],Tab_04.Abr[CONTA],$I23)</f>
        <v>8009.78</v>
      </c>
      <c r="G23" s="4">
        <f t="shared" si="2"/>
        <v>0</v>
      </c>
      <c r="H23">
        <v>10132</v>
      </c>
      <c r="I23" s="3" t="s">
        <v>280</v>
      </c>
      <c r="J23" s="3" t="s">
        <v>281</v>
      </c>
      <c r="K23" s="4">
        <v>8009.78</v>
      </c>
      <c r="L23" s="4">
        <v>0</v>
      </c>
      <c r="M23" s="4">
        <v>266</v>
      </c>
      <c r="N23" s="4">
        <v>7743.78</v>
      </c>
      <c r="O23" s="4">
        <f>Tab_05.Mai[[#This Row],[DÉBITO]]-Tab_05.Mai[[#This Row],[CRÉDITO]]</f>
        <v>-266</v>
      </c>
    </row>
    <row r="24" spans="2:15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A</v>
      </c>
      <c r="E24" s="2">
        <f>IF($I24="","",COUNTIFS(Tab_00.Trial[CONTA],$I24))</f>
        <v>1</v>
      </c>
      <c r="F24" s="4">
        <f>SUMIFS(Tab_04.Abr[SALDO
ATUAL],Tab_04.Abr[CONTA],$I24)</f>
        <v>0</v>
      </c>
      <c r="G24" s="4">
        <f t="shared" si="2"/>
        <v>0</v>
      </c>
      <c r="H24">
        <v>10133</v>
      </c>
      <c r="I24" s="3" t="s">
        <v>282</v>
      </c>
      <c r="J24" s="3" t="s">
        <v>283</v>
      </c>
      <c r="K24" s="4">
        <v>0</v>
      </c>
      <c r="L24" s="4">
        <v>149.9</v>
      </c>
      <c r="M24" s="4">
        <v>149.9</v>
      </c>
      <c r="N24" s="4">
        <v>0</v>
      </c>
      <c r="O24" s="4">
        <f>Tab_05.Mai[[#This Row],[DÉBITO]]-Tab_05.Mai[[#This Row],[CRÉDITO]]</f>
        <v>0</v>
      </c>
    </row>
    <row r="25" spans="2:15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S</v>
      </c>
      <c r="E25" s="2">
        <f>IF($I25="","",COUNTIFS(Tab_00.Trial[CONTA],$I25))</f>
        <v>1</v>
      </c>
      <c r="F25" s="4">
        <f>SUMIFS(Tab_04.Abr[SALDO
ATUAL],Tab_04.Abr[CONTA],$I25)</f>
        <v>10276096.369999999</v>
      </c>
      <c r="G25" s="4">
        <f t="shared" si="2"/>
        <v>0</v>
      </c>
      <c r="H25">
        <v>10180</v>
      </c>
      <c r="I25" s="3" t="s">
        <v>203</v>
      </c>
      <c r="J25" s="3" t="s">
        <v>641</v>
      </c>
      <c r="K25" s="4">
        <v>10276096.369999999</v>
      </c>
      <c r="L25" s="4">
        <v>674538.63</v>
      </c>
      <c r="M25" s="4">
        <v>586599.64</v>
      </c>
      <c r="N25" s="4">
        <v>10364035.359999999</v>
      </c>
      <c r="O25" s="4">
        <f>Tab_05.Mai[[#This Row],[DÉBITO]]-Tab_05.Mai[[#This Row],[CRÉDITO]]</f>
        <v>87938.99</v>
      </c>
    </row>
    <row r="26" spans="2:15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SUMIFS(Tab_04.Abr[SALDO
ATUAL],Tab_04.Abr[CONTA],$I26)</f>
        <v>4704925.87</v>
      </c>
      <c r="G26" s="4">
        <f t="shared" si="2"/>
        <v>0</v>
      </c>
      <c r="H26">
        <v>10200</v>
      </c>
      <c r="I26" s="3" t="s">
        <v>178</v>
      </c>
      <c r="J26" s="3" t="s">
        <v>284</v>
      </c>
      <c r="K26" s="4">
        <v>4704925.87</v>
      </c>
      <c r="L26" s="4">
        <v>629172.21</v>
      </c>
      <c r="M26" s="4">
        <v>586599.64</v>
      </c>
      <c r="N26" s="4">
        <v>4747498.4400000004</v>
      </c>
      <c r="O26" s="4">
        <f>Tab_05.Mai[[#This Row],[DÉBITO]]-Tab_05.Mai[[#This Row],[CRÉDITO]]</f>
        <v>42572.57</v>
      </c>
    </row>
    <row r="27" spans="2:15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A</v>
      </c>
      <c r="E27" s="2">
        <f>IF($I27="","",COUNTIFS(Tab_00.Trial[CONTA],$I27))</f>
        <v>1</v>
      </c>
      <c r="F27" s="4">
        <f>SUMIFS(Tab_04.Abr[SALDO
ATUAL],Tab_04.Abr[CONTA],$I27)</f>
        <v>5571170.5</v>
      </c>
      <c r="G27" s="4">
        <f t="shared" si="2"/>
        <v>0</v>
      </c>
      <c r="H27">
        <v>10223</v>
      </c>
      <c r="I27" s="3" t="s">
        <v>287</v>
      </c>
      <c r="J27" s="3" t="s">
        <v>288</v>
      </c>
      <c r="K27" s="4">
        <v>5571170.5</v>
      </c>
      <c r="L27" s="4">
        <v>45366.42</v>
      </c>
      <c r="M27" s="4">
        <v>0</v>
      </c>
      <c r="N27" s="4">
        <v>5616536.9199999999</v>
      </c>
      <c r="O27" s="4">
        <f>Tab_05.Mai[[#This Row],[DÉBITO]]-Tab_05.Mai[[#This Row],[CRÉDITO]]</f>
        <v>45366.42</v>
      </c>
    </row>
    <row r="28" spans="2:15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SUMIFS(Tab_04.Abr[SALDO
ATUAL],Tab_04.Abr[CONTA],$I28)</f>
        <v>99274.97</v>
      </c>
      <c r="G28" s="4">
        <f t="shared" si="2"/>
        <v>0</v>
      </c>
      <c r="H28">
        <v>10270</v>
      </c>
      <c r="I28" s="3" t="s">
        <v>204</v>
      </c>
      <c r="J28" s="3" t="s">
        <v>642</v>
      </c>
      <c r="K28" s="4">
        <v>99274.97</v>
      </c>
      <c r="L28" s="4">
        <v>0</v>
      </c>
      <c r="M28" s="4">
        <v>0</v>
      </c>
      <c r="N28" s="4">
        <v>99274.97</v>
      </c>
      <c r="O28" s="4">
        <f>Tab_05.Mai[[#This Row],[DÉBITO]]-Tab_05.Mai[[#This Row],[CRÉDITO]]</f>
        <v>0</v>
      </c>
    </row>
    <row r="29" spans="2:15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S</v>
      </c>
      <c r="E29" s="2">
        <f>IF($I29="","",COUNTIFS(Tab_00.Trial[CONTA],$I29))</f>
        <v>1</v>
      </c>
      <c r="F29" s="4">
        <f>SUMIFS(Tab_04.Abr[SALDO
ATUAL],Tab_04.Abr[CONTA],$I29)</f>
        <v>99274.97</v>
      </c>
      <c r="G29" s="4">
        <f t="shared" si="2"/>
        <v>0</v>
      </c>
      <c r="H29">
        <v>10345</v>
      </c>
      <c r="I29" s="3" t="s">
        <v>205</v>
      </c>
      <c r="J29" s="3" t="s">
        <v>643</v>
      </c>
      <c r="K29" s="4">
        <v>99274.97</v>
      </c>
      <c r="L29" s="4">
        <v>0</v>
      </c>
      <c r="M29" s="4">
        <v>0</v>
      </c>
      <c r="N29" s="4">
        <v>99274.97</v>
      </c>
      <c r="O29" s="4">
        <f>Tab_05.Mai[[#This Row],[DÉBITO]]-Tab_05.Mai[[#This Row],[CRÉDITO]]</f>
        <v>0</v>
      </c>
    </row>
    <row r="30" spans="2:15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A</v>
      </c>
      <c r="E30" s="2">
        <f>IF($I30="","",COUNTIFS(Tab_00.Trial[CONTA],$I30))</f>
        <v>1</v>
      </c>
      <c r="F30" s="4">
        <f>SUMIFS(Tab_04.Abr[SALDO
ATUAL],Tab_04.Abr[CONTA],$I30)</f>
        <v>99274.97</v>
      </c>
      <c r="G30" s="4">
        <f t="shared" si="2"/>
        <v>0</v>
      </c>
      <c r="H30">
        <v>10377</v>
      </c>
      <c r="I30" s="3" t="s">
        <v>291</v>
      </c>
      <c r="J30" s="3" t="s">
        <v>292</v>
      </c>
      <c r="K30" s="4">
        <v>99274.97</v>
      </c>
      <c r="L30" s="4">
        <v>0</v>
      </c>
      <c r="M30" s="4">
        <v>0</v>
      </c>
      <c r="N30" s="4">
        <v>99274.97</v>
      </c>
      <c r="O30" s="4">
        <f>Tab_05.Mai[[#This Row],[DÉBITO]]-Tab_05.Mai[[#This Row],[CRÉDITO]]</f>
        <v>0</v>
      </c>
    </row>
    <row r="31" spans="2:15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S</v>
      </c>
      <c r="E31" s="2">
        <f>IF($I31="","",COUNTIFS(Tab_00.Trial[CONTA],$I31))</f>
        <v>1</v>
      </c>
      <c r="F31" s="4">
        <f>SUMIFS(Tab_04.Abr[SALDO
ATUAL],Tab_04.Abr[CONTA],$I31)</f>
        <v>15269.35</v>
      </c>
      <c r="G31" s="4">
        <f t="shared" si="2"/>
        <v>0</v>
      </c>
      <c r="H31">
        <v>10630</v>
      </c>
      <c r="I31" s="3" t="s">
        <v>206</v>
      </c>
      <c r="J31" s="3" t="s">
        <v>644</v>
      </c>
      <c r="K31" s="4">
        <v>15269.35</v>
      </c>
      <c r="L31" s="4">
        <v>0</v>
      </c>
      <c r="M31" s="4">
        <v>44.58</v>
      </c>
      <c r="N31" s="4">
        <v>15224.77</v>
      </c>
      <c r="O31" s="4">
        <f>Tab_05.Mai[[#This Row],[DÉBITO]]-Tab_05.Mai[[#This Row],[CRÉDITO]]</f>
        <v>-44.58</v>
      </c>
    </row>
    <row r="32" spans="2:15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S</v>
      </c>
      <c r="E32" s="2">
        <f>IF($I32="","",COUNTIFS(Tab_00.Trial[CONTA],$I32))</f>
        <v>1</v>
      </c>
      <c r="F32" s="4">
        <f>SUMIFS(Tab_04.Abr[SALDO
ATUAL],Tab_04.Abr[CONTA],$I32)</f>
        <v>44.58</v>
      </c>
      <c r="G32" s="4">
        <f t="shared" si="2"/>
        <v>0</v>
      </c>
      <c r="H32">
        <v>10645</v>
      </c>
      <c r="I32" s="3" t="s">
        <v>208</v>
      </c>
      <c r="J32" s="3" t="s">
        <v>139</v>
      </c>
      <c r="K32" s="4">
        <v>44.58</v>
      </c>
      <c r="L32" s="4">
        <v>0</v>
      </c>
      <c r="M32" s="4">
        <v>44.58</v>
      </c>
      <c r="N32" s="4">
        <v>0</v>
      </c>
      <c r="O32" s="4">
        <f>Tab_05.Mai[[#This Row],[DÉBITO]]-Tab_05.Mai[[#This Row],[CRÉDITO]]</f>
        <v>-44.58</v>
      </c>
    </row>
    <row r="33" spans="2:15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A</v>
      </c>
      <c r="E33" s="2">
        <f>IF($I33="","",COUNTIFS(Tab_00.Trial[CONTA],$I33))</f>
        <v>1</v>
      </c>
      <c r="F33" s="4">
        <f>SUMIFS(Tab_04.Abr[SALDO
ATUAL],Tab_04.Abr[CONTA],$I33)</f>
        <v>44.58</v>
      </c>
      <c r="G33" s="4">
        <f t="shared" si="2"/>
        <v>0</v>
      </c>
      <c r="H33">
        <v>10660</v>
      </c>
      <c r="I33" s="3" t="s">
        <v>179</v>
      </c>
      <c r="J33" s="3" t="s">
        <v>293</v>
      </c>
      <c r="K33" s="4">
        <v>44.58</v>
      </c>
      <c r="L33" s="4">
        <v>0</v>
      </c>
      <c r="M33" s="4">
        <v>44.58</v>
      </c>
      <c r="N33" s="4">
        <v>0</v>
      </c>
      <c r="O33" s="4">
        <f>Tab_05.Mai[[#This Row],[DÉBITO]]-Tab_05.Mai[[#This Row],[CRÉDITO]]</f>
        <v>-44.58</v>
      </c>
    </row>
    <row r="34" spans="2:15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S</v>
      </c>
      <c r="E34" s="2">
        <f>IF($I34="","",COUNTIFS(Tab_00.Trial[CONTA],$I34))</f>
        <v>1</v>
      </c>
      <c r="F34" s="4">
        <f>SUMIFS(Tab_04.Abr[SALDO
ATUAL],Tab_04.Abr[CONTA],$I34)</f>
        <v>15224.77</v>
      </c>
      <c r="G34" s="4">
        <f t="shared" si="2"/>
        <v>0</v>
      </c>
      <c r="H34">
        <v>10765</v>
      </c>
      <c r="I34" s="3" t="s">
        <v>551</v>
      </c>
      <c r="J34" s="3" t="s">
        <v>645</v>
      </c>
      <c r="K34" s="4">
        <v>15224.77</v>
      </c>
      <c r="L34" s="4">
        <v>0</v>
      </c>
      <c r="M34" s="4">
        <v>0</v>
      </c>
      <c r="N34" s="4">
        <v>15224.77</v>
      </c>
      <c r="O34" s="4">
        <f>Tab_05.Mai[[#This Row],[DÉBITO]]-Tab_05.Mai[[#This Row],[CRÉDITO]]</f>
        <v>0</v>
      </c>
    </row>
    <row r="35" spans="2:15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A</v>
      </c>
      <c r="E35" s="2">
        <f>IF($I35="","",COUNTIFS(Tab_00.Trial[CONTA],$I35))</f>
        <v>1</v>
      </c>
      <c r="F35" s="4">
        <f>SUMIFS(Tab_04.Abr[SALDO
ATUAL],Tab_04.Abr[CONTA],$I35)</f>
        <v>15224.77</v>
      </c>
      <c r="G35" s="4">
        <f t="shared" si="2"/>
        <v>0</v>
      </c>
      <c r="H35">
        <v>10867</v>
      </c>
      <c r="I35" s="3" t="s">
        <v>831</v>
      </c>
      <c r="J35" s="3" t="s">
        <v>832</v>
      </c>
      <c r="K35" s="4">
        <v>15224.77</v>
      </c>
      <c r="L35" s="4">
        <v>0</v>
      </c>
      <c r="M35" s="4">
        <v>0</v>
      </c>
      <c r="N35" s="4">
        <v>15224.77</v>
      </c>
      <c r="O35" s="4">
        <f>Tab_05.Mai[[#This Row],[DÉBITO]]-Tab_05.Mai[[#This Row],[CRÉDITO]]</f>
        <v>0</v>
      </c>
    </row>
    <row r="36" spans="2:15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S</v>
      </c>
      <c r="E36" s="2">
        <f>IF($I36="","",COUNTIFS(Tab_00.Trial[CONTA],$I36))</f>
        <v>1</v>
      </c>
      <c r="F36" s="4">
        <f>SUMIFS(Tab_04.Abr[SALDO
ATUAL],Tab_04.Abr[CONTA],$I36)</f>
        <v>311218.78000000003</v>
      </c>
      <c r="G36" s="4">
        <f t="shared" si="2"/>
        <v>0</v>
      </c>
      <c r="H36">
        <v>10840</v>
      </c>
      <c r="I36" s="3" t="s">
        <v>840</v>
      </c>
      <c r="J36" s="3" t="s">
        <v>841</v>
      </c>
      <c r="K36" s="4">
        <v>311218.78000000003</v>
      </c>
      <c r="L36" s="4">
        <v>11186.69</v>
      </c>
      <c r="M36" s="4">
        <v>11186.69</v>
      </c>
      <c r="N36" s="4">
        <v>311218.78000000003</v>
      </c>
      <c r="O36" s="4">
        <f>Tab_05.Mai[[#This Row],[DÉBITO]]-Tab_05.Mai[[#This Row],[CRÉDITO]]</f>
        <v>0</v>
      </c>
    </row>
    <row r="37" spans="2:15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S</v>
      </c>
      <c r="E37" s="2">
        <f>IF($I37="","",COUNTIFS(Tab_00.Trial[CONTA],$I37))</f>
        <v>1</v>
      </c>
      <c r="F37" s="4">
        <f>SUMIFS(Tab_04.Abr[SALDO
ATUAL],Tab_04.Abr[CONTA],$I37)</f>
        <v>311218.78000000003</v>
      </c>
      <c r="G37" s="4">
        <f t="shared" si="2"/>
        <v>0</v>
      </c>
      <c r="H37">
        <v>10965</v>
      </c>
      <c r="I37" s="3" t="s">
        <v>842</v>
      </c>
      <c r="J37" s="3" t="s">
        <v>843</v>
      </c>
      <c r="K37" s="4">
        <v>311218.78000000003</v>
      </c>
      <c r="L37" s="4">
        <v>0</v>
      </c>
      <c r="M37" s="4">
        <v>0</v>
      </c>
      <c r="N37" s="4">
        <v>311218.78000000003</v>
      </c>
      <c r="O37" s="4">
        <f>Tab_05.Mai[[#This Row],[DÉBITO]]-Tab_05.Mai[[#This Row],[CRÉDITO]]</f>
        <v>0</v>
      </c>
    </row>
    <row r="38" spans="2:15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A</v>
      </c>
      <c r="E38" s="2">
        <f>IF($I38="","",COUNTIFS(Tab_00.Trial[CONTA],$I38))</f>
        <v>1</v>
      </c>
      <c r="F38" s="4">
        <f>SUMIFS(Tab_04.Abr[SALDO
ATUAL],Tab_04.Abr[CONTA],$I38)</f>
        <v>311218.78000000003</v>
      </c>
      <c r="G38" s="4">
        <f t="shared" si="2"/>
        <v>0</v>
      </c>
      <c r="H38">
        <v>10874</v>
      </c>
      <c r="I38" s="3" t="s">
        <v>844</v>
      </c>
      <c r="J38" s="3" t="s">
        <v>843</v>
      </c>
      <c r="K38" s="4">
        <v>311218.78000000003</v>
      </c>
      <c r="L38" s="4">
        <v>0</v>
      </c>
      <c r="M38" s="4">
        <v>0</v>
      </c>
      <c r="N38" s="4">
        <v>311218.78000000003</v>
      </c>
      <c r="O38" s="4">
        <f>Tab_05.Mai[[#This Row],[DÉBITO]]-Tab_05.Mai[[#This Row],[CRÉDITO]]</f>
        <v>0</v>
      </c>
    </row>
    <row r="39" spans="2:15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S</v>
      </c>
      <c r="E39" s="2">
        <f>IF($I39="","",COUNTIFS(Tab_00.Trial[CONTA],$I39))</f>
        <v>1</v>
      </c>
      <c r="F39" s="4">
        <f>SUMIFS(Tab_04.Abr[SALDO
ATUAL],Tab_04.Abr[CONTA],$I39)</f>
        <v>0</v>
      </c>
      <c r="G39" s="4">
        <f t="shared" si="2"/>
        <v>0</v>
      </c>
      <c r="H39">
        <v>10881</v>
      </c>
      <c r="I39" s="3" t="s">
        <v>864</v>
      </c>
      <c r="J39" s="3" t="s">
        <v>865</v>
      </c>
      <c r="K39" s="4">
        <v>0</v>
      </c>
      <c r="L39" s="4">
        <v>11186.69</v>
      </c>
      <c r="M39" s="4">
        <v>11186.69</v>
      </c>
      <c r="N39" s="4">
        <v>0</v>
      </c>
      <c r="O39" s="4">
        <f>Tab_05.Mai[[#This Row],[DÉBITO]]-Tab_05.Mai[[#This Row],[CRÉDITO]]</f>
        <v>0</v>
      </c>
    </row>
    <row r="40" spans="2:15" x14ac:dyDescent="0.3">
      <c r="B40" s="2" t="str">
        <f>_xlfn.XLOOKUP($I40,Tab_00.Trial[CONTA],Tab_00.Trial[TP],"",0,1)</f>
        <v>A</v>
      </c>
      <c r="C40" s="2">
        <f>_xlfn.XLOOKUP($I40,Tab_00.Trial[CONTA],Tab_00.Trial[NV],"",0,1)</f>
        <v>5</v>
      </c>
      <c r="D40" s="2" t="str">
        <f>_xlfn.XLOOKUP($I40,Tab_00.Trial[CONTA],Tab_00.Trial[S/A],"",0,1)</f>
        <v>A</v>
      </c>
      <c r="E40" s="2">
        <f>IF($I40="","",COUNTIFS(Tab_00.Trial[CONTA],$I40))</f>
        <v>1</v>
      </c>
      <c r="F40" s="4">
        <f>SUMIFS(Tab_04.Abr[SALDO
ATUAL],Tab_04.Abr[CONTA],$I40)</f>
        <v>0</v>
      </c>
      <c r="G40" s="4">
        <f t="shared" si="2"/>
        <v>0</v>
      </c>
      <c r="H40">
        <v>10888</v>
      </c>
      <c r="I40" s="3" t="s">
        <v>867</v>
      </c>
      <c r="J40" s="3" t="s">
        <v>868</v>
      </c>
      <c r="K40" s="4">
        <v>0</v>
      </c>
      <c r="L40" s="4">
        <v>11186.69</v>
      </c>
      <c r="M40" s="4">
        <v>11186.69</v>
      </c>
      <c r="N40" s="4">
        <v>0</v>
      </c>
      <c r="O40" s="4">
        <f>Tab_05.Mai[[#This Row],[DÉBITO]]-Tab_05.Mai[[#This Row],[CRÉDITO]]</f>
        <v>0</v>
      </c>
    </row>
    <row r="41" spans="2:15" x14ac:dyDescent="0.3">
      <c r="B41" s="2" t="str">
        <f>_xlfn.XLOOKUP($I41,Tab_00.Trial[CONTA],Tab_00.Trial[TP],"",0,1)</f>
        <v>A</v>
      </c>
      <c r="C41" s="2">
        <f>_xlfn.XLOOKUP($I41,Tab_00.Trial[CONTA],Tab_00.Trial[NV],"",0,1)</f>
        <v>5</v>
      </c>
      <c r="D41" s="2" t="str">
        <f>_xlfn.XLOOKUP($I41,Tab_00.Trial[CONTA],Tab_00.Trial[S/A],"",0,1)</f>
        <v>S</v>
      </c>
      <c r="E41" s="2">
        <f>IF($I41="","",COUNTIFS(Tab_00.Trial[CONTA],$I41))</f>
        <v>1</v>
      </c>
      <c r="F41" s="4">
        <f>SUMIFS(Tab_04.Abr[SALDO
ATUAL],Tab_04.Abr[CONTA],$I41)</f>
        <v>1426.11</v>
      </c>
      <c r="G41" s="4">
        <f t="shared" si="2"/>
        <v>0</v>
      </c>
      <c r="H41">
        <v>10975</v>
      </c>
      <c r="I41" s="3" t="s">
        <v>209</v>
      </c>
      <c r="J41" s="3" t="s">
        <v>646</v>
      </c>
      <c r="K41" s="4">
        <v>1426.11</v>
      </c>
      <c r="L41" s="4">
        <v>0</v>
      </c>
      <c r="M41" s="4">
        <v>287.74</v>
      </c>
      <c r="N41" s="4">
        <v>1138.3699999999999</v>
      </c>
      <c r="O41" s="4">
        <f>Tab_05.Mai[[#This Row],[DÉBITO]]-Tab_05.Mai[[#This Row],[CRÉDITO]]</f>
        <v>-287.74</v>
      </c>
    </row>
    <row r="42" spans="2:15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S</v>
      </c>
      <c r="E42" s="2">
        <f>IF($I42="","",COUNTIFS(Tab_00.Trial[CONTA],$I42))</f>
        <v>1</v>
      </c>
      <c r="F42" s="4">
        <f>SUMIFS(Tab_04.Abr[SALDO
ATUAL],Tab_04.Abr[CONTA],$I42)</f>
        <v>1426.11</v>
      </c>
      <c r="G42" s="4">
        <f t="shared" si="2"/>
        <v>0</v>
      </c>
      <c r="H42">
        <v>10990</v>
      </c>
      <c r="I42" s="3" t="s">
        <v>210</v>
      </c>
      <c r="J42" s="3" t="s">
        <v>646</v>
      </c>
      <c r="K42" s="4">
        <v>1426.11</v>
      </c>
      <c r="L42" s="4">
        <v>0</v>
      </c>
      <c r="M42" s="4">
        <v>287.74</v>
      </c>
      <c r="N42" s="4">
        <v>1138.3699999999999</v>
      </c>
      <c r="O42" s="4">
        <f>Tab_05.Mai[[#This Row],[DÉBITO]]-Tab_05.Mai[[#This Row],[CRÉDITO]]</f>
        <v>-287.74</v>
      </c>
    </row>
    <row r="43" spans="2:15" x14ac:dyDescent="0.3">
      <c r="B43" s="2" t="str">
        <f>_xlfn.XLOOKUP($I43,Tab_00.Trial[CONTA],Tab_00.Trial[TP],"",0,1)</f>
        <v>A</v>
      </c>
      <c r="C43" s="2">
        <f>_xlfn.XLOOKUP($I43,Tab_00.Trial[CONTA],Tab_00.Trial[NV],"",0,1)</f>
        <v>5</v>
      </c>
      <c r="D43" s="2" t="str">
        <f>_xlfn.XLOOKUP($I43,Tab_00.Trial[CONTA],Tab_00.Trial[S/A],"",0,1)</f>
        <v>A</v>
      </c>
      <c r="E43" s="2">
        <f>IF($I43="","",COUNTIFS(Tab_00.Trial[CONTA],$I43))</f>
        <v>1</v>
      </c>
      <c r="F43" s="4">
        <f>SUMIFS(Tab_04.Abr[SALDO
ATUAL],Tab_04.Abr[CONTA],$I43)</f>
        <v>1426.11</v>
      </c>
      <c r="G43" s="4">
        <f t="shared" si="2"/>
        <v>0</v>
      </c>
      <c r="H43">
        <v>11005</v>
      </c>
      <c r="I43" s="3" t="s">
        <v>298</v>
      </c>
      <c r="J43" s="3" t="s">
        <v>299</v>
      </c>
      <c r="K43" s="4">
        <v>1426.11</v>
      </c>
      <c r="L43" s="4">
        <v>0</v>
      </c>
      <c r="M43" s="4">
        <v>287.74</v>
      </c>
      <c r="N43" s="4">
        <v>1138.3699999999999</v>
      </c>
      <c r="O43" s="4">
        <f>Tab_05.Mai[[#This Row],[DÉBITO]]-Tab_05.Mai[[#This Row],[CRÉDITO]]</f>
        <v>-287.74</v>
      </c>
    </row>
    <row r="44" spans="2:15" x14ac:dyDescent="0.3">
      <c r="B44" s="2" t="str">
        <f>_xlfn.XLOOKUP($I44,Tab_00.Trial[CONTA],Tab_00.Trial[TP],"",0,1)</f>
        <v>A</v>
      </c>
      <c r="C44" s="2">
        <f>_xlfn.XLOOKUP($I44,Tab_00.Trial[CONTA],Tab_00.Trial[NV],"",0,1)</f>
        <v>2</v>
      </c>
      <c r="D44" s="2" t="str">
        <f>_xlfn.XLOOKUP($I44,Tab_00.Trial[CONTA],Tab_00.Trial[S/A],"",0,1)</f>
        <v>S</v>
      </c>
      <c r="E44" s="2">
        <f>IF($I44="","",COUNTIFS(Tab_00.Trial[CONTA],$I44))</f>
        <v>1</v>
      </c>
      <c r="F44" s="4">
        <f>SUMIFS(Tab_04.Abr[SALDO
ATUAL],Tab_04.Abr[CONTA],$I44)</f>
        <v>72893363.560000002</v>
      </c>
      <c r="G44" s="4">
        <f t="shared" si="2"/>
        <v>0</v>
      </c>
      <c r="H44">
        <v>11065</v>
      </c>
      <c r="I44" s="3" t="s">
        <v>211</v>
      </c>
      <c r="J44" s="3" t="s">
        <v>76</v>
      </c>
      <c r="K44" s="4">
        <v>72893363.560000002</v>
      </c>
      <c r="L44" s="4">
        <v>259514.35</v>
      </c>
      <c r="M44" s="4">
        <v>3667.05</v>
      </c>
      <c r="N44" s="4">
        <v>73149210.859999999</v>
      </c>
      <c r="O44" s="4">
        <f>Tab_05.Mai[[#This Row],[DÉBITO]]-Tab_05.Mai[[#This Row],[CRÉDITO]]</f>
        <v>255847.3</v>
      </c>
    </row>
    <row r="45" spans="2:15" x14ac:dyDescent="0.3">
      <c r="B45" s="2" t="str">
        <f>_xlfn.XLOOKUP($I45,Tab_00.Trial[CONTA],Tab_00.Trial[TP],"",0,1)</f>
        <v>A</v>
      </c>
      <c r="C45" s="2">
        <f>_xlfn.XLOOKUP($I45,Tab_00.Trial[CONTA],Tab_00.Trial[NV],"",0,1)</f>
        <v>5</v>
      </c>
      <c r="D45" s="2" t="str">
        <f>_xlfn.XLOOKUP($I45,Tab_00.Trial[CONTA],Tab_00.Trial[S/A],"",0,1)</f>
        <v>S</v>
      </c>
      <c r="E45" s="2">
        <f>IF($I45="","",COUNTIFS(Tab_00.Trial[CONTA],$I45))</f>
        <v>1</v>
      </c>
      <c r="F45" s="4">
        <f>SUMIFS(Tab_04.Abr[SALDO
ATUAL],Tab_04.Abr[CONTA],$I45)</f>
        <v>254045.35</v>
      </c>
      <c r="G45" s="4">
        <f t="shared" si="2"/>
        <v>0</v>
      </c>
      <c r="H45">
        <v>11080</v>
      </c>
      <c r="I45" s="3" t="s">
        <v>552</v>
      </c>
      <c r="J45" s="3" t="s">
        <v>647</v>
      </c>
      <c r="K45" s="4">
        <v>254045.35</v>
      </c>
      <c r="L45" s="4">
        <v>411.92</v>
      </c>
      <c r="M45" s="4">
        <v>0</v>
      </c>
      <c r="N45" s="4">
        <v>254457.27</v>
      </c>
      <c r="O45" s="4">
        <f>Tab_05.Mai[[#This Row],[DÉBITO]]-Tab_05.Mai[[#This Row],[CRÉDITO]]</f>
        <v>411.92</v>
      </c>
    </row>
    <row r="46" spans="2:15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S</v>
      </c>
      <c r="E46" s="2">
        <f>IF($I46="","",COUNTIFS(Tab_00.Trial[CONTA],$I46))</f>
        <v>1</v>
      </c>
      <c r="F46" s="4">
        <f>SUMIFS(Tab_04.Abr[SALDO
ATUAL],Tab_04.Abr[CONTA],$I46)</f>
        <v>254045.35</v>
      </c>
      <c r="G46" s="4">
        <f t="shared" si="2"/>
        <v>0</v>
      </c>
      <c r="H46">
        <v>11125</v>
      </c>
      <c r="I46" s="3" t="s">
        <v>553</v>
      </c>
      <c r="J46" s="3" t="s">
        <v>301</v>
      </c>
      <c r="K46" s="4">
        <v>254045.35</v>
      </c>
      <c r="L46" s="4">
        <v>411.92</v>
      </c>
      <c r="M46" s="4">
        <v>0</v>
      </c>
      <c r="N46" s="4">
        <v>254457.27</v>
      </c>
      <c r="O46" s="4">
        <f>Tab_05.Mai[[#This Row],[DÉBITO]]-Tab_05.Mai[[#This Row],[CRÉDITO]]</f>
        <v>411.92</v>
      </c>
    </row>
    <row r="47" spans="2:15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A</v>
      </c>
      <c r="E47" s="2">
        <f>IF($I47="","",COUNTIFS(Tab_00.Trial[CONTA],$I47))</f>
        <v>1</v>
      </c>
      <c r="F47" s="4">
        <f>SUMIFS(Tab_04.Abr[SALDO
ATUAL],Tab_04.Abr[CONTA],$I47)</f>
        <v>254045.35</v>
      </c>
      <c r="G47" s="4">
        <f t="shared" si="2"/>
        <v>0</v>
      </c>
      <c r="H47">
        <v>11140</v>
      </c>
      <c r="I47" s="3" t="s">
        <v>300</v>
      </c>
      <c r="J47" s="3" t="s">
        <v>301</v>
      </c>
      <c r="K47" s="4">
        <v>254045.35</v>
      </c>
      <c r="L47" s="4">
        <v>411.92</v>
      </c>
      <c r="M47" s="4">
        <v>0</v>
      </c>
      <c r="N47" s="4">
        <v>254457.27</v>
      </c>
      <c r="O47" s="4">
        <f>Tab_05.Mai[[#This Row],[DÉBITO]]-Tab_05.Mai[[#This Row],[CRÉDITO]]</f>
        <v>411.92</v>
      </c>
    </row>
    <row r="48" spans="2:15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S</v>
      </c>
      <c r="E48" s="2">
        <f>IF($I48="","",COUNTIFS(Tab_00.Trial[CONTA],$I48))</f>
        <v>1</v>
      </c>
      <c r="F48" s="4">
        <f>SUMIFS(Tab_04.Abr[SALDO
ATUAL],Tab_04.Abr[CONTA],$I48)</f>
        <v>70282824.340000004</v>
      </c>
      <c r="G48" s="4">
        <f t="shared" si="2"/>
        <v>0</v>
      </c>
      <c r="H48">
        <v>11170</v>
      </c>
      <c r="I48" s="3" t="s">
        <v>554</v>
      </c>
      <c r="J48" s="3" t="s">
        <v>648</v>
      </c>
      <c r="K48" s="4">
        <v>70282824.340000004</v>
      </c>
      <c r="L48" s="4">
        <v>239696.34</v>
      </c>
      <c r="M48" s="4">
        <v>0</v>
      </c>
      <c r="N48" s="4">
        <v>70522520.680000007</v>
      </c>
      <c r="O48" s="4">
        <f>Tab_05.Mai[[#This Row],[DÉBITO]]-Tab_05.Mai[[#This Row],[CRÉDITO]]</f>
        <v>239696.34</v>
      </c>
    </row>
    <row r="49" spans="2:15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S</v>
      </c>
      <c r="E49" s="2">
        <f>IF($I49="","",COUNTIFS(Tab_00.Trial[CONTA],$I49))</f>
        <v>1</v>
      </c>
      <c r="F49" s="4">
        <f>SUMIFS(Tab_04.Abr[SALDO
ATUAL],Tab_04.Abr[CONTA],$I49)</f>
        <v>45344232.229999997</v>
      </c>
      <c r="G49" s="4">
        <f t="shared" si="2"/>
        <v>0</v>
      </c>
      <c r="H49">
        <v>11185</v>
      </c>
      <c r="I49" s="3" t="s">
        <v>555</v>
      </c>
      <c r="J49" s="3" t="s">
        <v>649</v>
      </c>
      <c r="K49" s="4">
        <v>45344232.229999997</v>
      </c>
      <c r="L49" s="4">
        <v>0</v>
      </c>
      <c r="M49" s="4">
        <v>0</v>
      </c>
      <c r="N49" s="4">
        <v>45344232.229999997</v>
      </c>
      <c r="O49" s="4">
        <f>Tab_05.Mai[[#This Row],[DÉBITO]]-Tab_05.Mai[[#This Row],[CRÉDITO]]</f>
        <v>0</v>
      </c>
    </row>
    <row r="50" spans="2:15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A</v>
      </c>
      <c r="E50" s="2">
        <f>IF($I50="","",COUNTIFS(Tab_00.Trial[CONTA],$I50))</f>
        <v>1</v>
      </c>
      <c r="F50" s="4">
        <f>SUMIFS(Tab_04.Abr[SALDO
ATUAL],Tab_04.Abr[CONTA],$I50)</f>
        <v>42477392.43</v>
      </c>
      <c r="G50" s="4">
        <f t="shared" ref="G50:G81" si="3">$F50-$K50</f>
        <v>0</v>
      </c>
      <c r="H50">
        <v>11205</v>
      </c>
      <c r="I50" s="3" t="s">
        <v>302</v>
      </c>
      <c r="J50" s="3" t="s">
        <v>303</v>
      </c>
      <c r="K50" s="4">
        <v>42477392.43</v>
      </c>
      <c r="L50" s="4">
        <v>0</v>
      </c>
      <c r="M50" s="4">
        <v>0</v>
      </c>
      <c r="N50" s="4">
        <v>42477392.43</v>
      </c>
      <c r="O50" s="4">
        <f>Tab_05.Mai[[#This Row],[DÉBITO]]-Tab_05.Mai[[#This Row],[CRÉDITO]]</f>
        <v>0</v>
      </c>
    </row>
    <row r="51" spans="2:15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A</v>
      </c>
      <c r="E51" s="2">
        <f>IF($I51="","",COUNTIFS(Tab_00.Trial[CONTA],$I51))</f>
        <v>1</v>
      </c>
      <c r="F51" s="4">
        <f>SUMIFS(Tab_04.Abr[SALDO
ATUAL],Tab_04.Abr[CONTA],$I51)</f>
        <v>2866839.8</v>
      </c>
      <c r="G51" s="4">
        <f t="shared" si="3"/>
        <v>0</v>
      </c>
      <c r="H51">
        <v>11210</v>
      </c>
      <c r="I51" s="3" t="s">
        <v>304</v>
      </c>
      <c r="J51" s="3" t="s">
        <v>305</v>
      </c>
      <c r="K51" s="4">
        <v>2866839.8</v>
      </c>
      <c r="L51" s="4">
        <v>0</v>
      </c>
      <c r="M51" s="4">
        <v>0</v>
      </c>
      <c r="N51" s="4">
        <v>2866839.8</v>
      </c>
      <c r="O51" s="4">
        <f>Tab_05.Mai[[#This Row],[DÉBITO]]-Tab_05.Mai[[#This Row],[CRÉDITO]]</f>
        <v>0</v>
      </c>
    </row>
    <row r="52" spans="2:15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S</v>
      </c>
      <c r="E52" s="2">
        <f>IF($I52="","",COUNTIFS(Tab_00.Trial[CONTA],$I52))</f>
        <v>1</v>
      </c>
      <c r="F52" s="4">
        <f>SUMIFS(Tab_04.Abr[SALDO
ATUAL],Tab_04.Abr[CONTA],$I52)</f>
        <v>4760.84</v>
      </c>
      <c r="G52" s="4">
        <f t="shared" si="3"/>
        <v>0</v>
      </c>
      <c r="H52">
        <v>11215</v>
      </c>
      <c r="I52" s="3" t="s">
        <v>556</v>
      </c>
      <c r="J52" s="3" t="s">
        <v>650</v>
      </c>
      <c r="K52" s="4">
        <v>4760.84</v>
      </c>
      <c r="L52" s="4">
        <v>0</v>
      </c>
      <c r="M52" s="4">
        <v>0</v>
      </c>
      <c r="N52" s="4">
        <v>4760.84</v>
      </c>
      <c r="O52" s="4">
        <f>Tab_05.Mai[[#This Row],[DÉBITO]]-Tab_05.Mai[[#This Row],[CRÉDITO]]</f>
        <v>0</v>
      </c>
    </row>
    <row r="53" spans="2:15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A</v>
      </c>
      <c r="E53" s="2">
        <f>IF($I53="","",COUNTIFS(Tab_00.Trial[CONTA],$I53))</f>
        <v>1</v>
      </c>
      <c r="F53" s="4">
        <f>SUMIFS(Tab_04.Abr[SALDO
ATUAL],Tab_04.Abr[CONTA],$I53)</f>
        <v>4760.84</v>
      </c>
      <c r="G53" s="4">
        <f t="shared" si="3"/>
        <v>0</v>
      </c>
      <c r="H53">
        <v>11230</v>
      </c>
      <c r="I53" s="3" t="s">
        <v>306</v>
      </c>
      <c r="J53" s="3" t="s">
        <v>307</v>
      </c>
      <c r="K53" s="4">
        <v>4760.84</v>
      </c>
      <c r="L53" s="4">
        <v>0</v>
      </c>
      <c r="M53" s="4">
        <v>0</v>
      </c>
      <c r="N53" s="4">
        <v>4760.84</v>
      </c>
      <c r="O53" s="4">
        <f>Tab_05.Mai[[#This Row],[DÉBITO]]-Tab_05.Mai[[#This Row],[CRÉDITO]]</f>
        <v>0</v>
      </c>
    </row>
    <row r="54" spans="2:15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S</v>
      </c>
      <c r="E54" s="2">
        <f>IF($I54="","",COUNTIFS(Tab_00.Trial[CONTA],$I54))</f>
        <v>1</v>
      </c>
      <c r="F54" s="4">
        <f>SUMIFS(Tab_04.Abr[SALDO
ATUAL],Tab_04.Abr[CONTA],$I54)</f>
        <v>24933831.27</v>
      </c>
      <c r="G54" s="4">
        <f t="shared" si="3"/>
        <v>0</v>
      </c>
      <c r="H54">
        <v>11235</v>
      </c>
      <c r="I54" s="3" t="s">
        <v>557</v>
      </c>
      <c r="J54" s="3" t="s">
        <v>309</v>
      </c>
      <c r="K54" s="4">
        <v>24933831.27</v>
      </c>
      <c r="L54" s="4">
        <v>239696.34</v>
      </c>
      <c r="M54" s="4">
        <v>0</v>
      </c>
      <c r="N54" s="4">
        <v>25173527.609999999</v>
      </c>
      <c r="O54" s="4">
        <f>Tab_05.Mai[[#This Row],[DÉBITO]]-Tab_05.Mai[[#This Row],[CRÉDITO]]</f>
        <v>239696.34</v>
      </c>
    </row>
    <row r="55" spans="2:15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A</v>
      </c>
      <c r="E55" s="2">
        <f>IF($I55="","",COUNTIFS(Tab_00.Trial[CONTA],$I55))</f>
        <v>1</v>
      </c>
      <c r="F55" s="4">
        <f>SUMIFS(Tab_04.Abr[SALDO
ATUAL],Tab_04.Abr[CONTA],$I55)</f>
        <v>24933831.27</v>
      </c>
      <c r="G55" s="4">
        <f t="shared" si="3"/>
        <v>0</v>
      </c>
      <c r="H55">
        <v>11240</v>
      </c>
      <c r="I55" s="3" t="s">
        <v>308</v>
      </c>
      <c r="J55" s="3" t="s">
        <v>309</v>
      </c>
      <c r="K55" s="4">
        <v>24933831.27</v>
      </c>
      <c r="L55" s="4">
        <v>239696.34</v>
      </c>
      <c r="M55" s="4">
        <v>0</v>
      </c>
      <c r="N55" s="4">
        <v>25173527.609999999</v>
      </c>
      <c r="O55" s="4">
        <f>Tab_05.Mai[[#This Row],[DÉBITO]]-Tab_05.Mai[[#This Row],[CRÉDITO]]</f>
        <v>239696.34</v>
      </c>
    </row>
    <row r="56" spans="2:15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S</v>
      </c>
      <c r="E56" s="2">
        <f>IF($I56="","",COUNTIFS(Tab_00.Trial[CONTA],$I56))</f>
        <v>1</v>
      </c>
      <c r="F56" s="4">
        <f>SUMIFS(Tab_04.Abr[SALDO
ATUAL],Tab_04.Abr[CONTA],$I56)</f>
        <v>2356493.87</v>
      </c>
      <c r="G56" s="4">
        <f t="shared" si="3"/>
        <v>0</v>
      </c>
      <c r="H56">
        <v>11245</v>
      </c>
      <c r="I56" s="3" t="s">
        <v>213</v>
      </c>
      <c r="J56" s="3" t="s">
        <v>35</v>
      </c>
      <c r="K56" s="4">
        <v>2356493.87</v>
      </c>
      <c r="L56" s="4">
        <v>19406.09</v>
      </c>
      <c r="M56" s="4">
        <v>3667.05</v>
      </c>
      <c r="N56" s="4">
        <v>2372232.91</v>
      </c>
      <c r="O56" s="4">
        <f>Tab_05.Mai[[#This Row],[DÉBITO]]-Tab_05.Mai[[#This Row],[CRÉDITO]]</f>
        <v>15739.04</v>
      </c>
    </row>
    <row r="57" spans="2:15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S</v>
      </c>
      <c r="E57" s="2">
        <f>IF($I57="","",COUNTIFS(Tab_00.Trial[CONTA],$I57))</f>
        <v>1</v>
      </c>
      <c r="F57" s="4">
        <f>SUMIFS(Tab_04.Abr[SALDO
ATUAL],Tab_04.Abr[CONTA],$I57)</f>
        <v>3526215.82</v>
      </c>
      <c r="G57" s="4">
        <f t="shared" si="3"/>
        <v>0</v>
      </c>
      <c r="H57">
        <v>11260</v>
      </c>
      <c r="I57" s="3" t="s">
        <v>214</v>
      </c>
      <c r="J57" s="3" t="s">
        <v>651</v>
      </c>
      <c r="K57" s="4">
        <v>3526215.82</v>
      </c>
      <c r="L57" s="4">
        <v>19406.09</v>
      </c>
      <c r="M57" s="4">
        <v>0</v>
      </c>
      <c r="N57" s="4">
        <v>3545621.91</v>
      </c>
      <c r="O57" s="4">
        <f>Tab_05.Mai[[#This Row],[DÉBITO]]-Tab_05.Mai[[#This Row],[CRÉDITO]]</f>
        <v>19406.09</v>
      </c>
    </row>
    <row r="58" spans="2:15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A</v>
      </c>
      <c r="E58" s="2">
        <f>IF($I58="","",COUNTIFS(Tab_00.Trial[CONTA],$I58))</f>
        <v>1</v>
      </c>
      <c r="F58" s="4">
        <f>SUMIFS(Tab_04.Abr[SALDO
ATUAL],Tab_04.Abr[CONTA],$I58)</f>
        <v>1379260.84</v>
      </c>
      <c r="G58" s="4">
        <f t="shared" si="3"/>
        <v>0</v>
      </c>
      <c r="H58">
        <v>11275</v>
      </c>
      <c r="I58" s="3" t="s">
        <v>310</v>
      </c>
      <c r="J58" s="3" t="s">
        <v>311</v>
      </c>
      <c r="K58" s="4">
        <v>1379260.84</v>
      </c>
      <c r="L58" s="4">
        <v>0</v>
      </c>
      <c r="M58" s="4">
        <v>0</v>
      </c>
      <c r="N58" s="4">
        <v>1379260.84</v>
      </c>
      <c r="O58" s="4">
        <f>Tab_05.Mai[[#This Row],[DÉBITO]]-Tab_05.Mai[[#This Row],[CRÉDITO]]</f>
        <v>0</v>
      </c>
    </row>
    <row r="59" spans="2:15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A</v>
      </c>
      <c r="E59" s="2">
        <f>IF($I59="","",COUNTIFS(Tab_00.Trial[CONTA],$I59))</f>
        <v>1</v>
      </c>
      <c r="F59" s="4">
        <f>SUMIFS(Tab_04.Abr[SALDO
ATUAL],Tab_04.Abr[CONTA],$I59)</f>
        <v>1271804.96</v>
      </c>
      <c r="G59" s="4">
        <f t="shared" si="3"/>
        <v>0</v>
      </c>
      <c r="H59">
        <v>11290</v>
      </c>
      <c r="I59" s="3" t="s">
        <v>312</v>
      </c>
      <c r="J59" s="3" t="s">
        <v>313</v>
      </c>
      <c r="K59" s="4">
        <v>1271804.96</v>
      </c>
      <c r="L59" s="4">
        <v>18588.89</v>
      </c>
      <c r="M59" s="4">
        <v>0</v>
      </c>
      <c r="N59" s="4">
        <v>1290393.8500000001</v>
      </c>
      <c r="O59" s="4">
        <f>Tab_05.Mai[[#This Row],[DÉBITO]]-Tab_05.Mai[[#This Row],[CRÉDITO]]</f>
        <v>18588.89</v>
      </c>
    </row>
    <row r="60" spans="2:15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A</v>
      </c>
      <c r="E60" s="2">
        <f>IF($I60="","",COUNTIFS(Tab_00.Trial[CONTA],$I60))</f>
        <v>1</v>
      </c>
      <c r="F60" s="4">
        <f>SUMIFS(Tab_04.Abr[SALDO
ATUAL],Tab_04.Abr[CONTA],$I60)</f>
        <v>23000</v>
      </c>
      <c r="G60" s="4">
        <f t="shared" si="3"/>
        <v>0</v>
      </c>
      <c r="H60">
        <v>11320</v>
      </c>
      <c r="I60" s="3" t="s">
        <v>181</v>
      </c>
      <c r="J60" s="3" t="s">
        <v>314</v>
      </c>
      <c r="K60" s="4">
        <v>23000</v>
      </c>
      <c r="L60" s="4">
        <v>0</v>
      </c>
      <c r="M60" s="4">
        <v>0</v>
      </c>
      <c r="N60" s="4">
        <v>23000</v>
      </c>
      <c r="O60" s="4">
        <f>Tab_05.Mai[[#This Row],[DÉBITO]]-Tab_05.Mai[[#This Row],[CRÉDITO]]</f>
        <v>0</v>
      </c>
    </row>
    <row r="61" spans="2:15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SUMIFS(Tab_04.Abr[SALDO
ATUAL],Tab_04.Abr[CONTA],$I61)</f>
        <v>12594</v>
      </c>
      <c r="G61" s="4">
        <f t="shared" si="3"/>
        <v>0</v>
      </c>
      <c r="H61">
        <v>11335</v>
      </c>
      <c r="I61" s="3" t="s">
        <v>182</v>
      </c>
      <c r="J61" s="3" t="s">
        <v>315</v>
      </c>
      <c r="K61" s="4">
        <v>12594</v>
      </c>
      <c r="L61" s="4">
        <v>0</v>
      </c>
      <c r="M61" s="4">
        <v>0</v>
      </c>
      <c r="N61" s="4">
        <v>12594</v>
      </c>
      <c r="O61" s="4">
        <f>Tab_05.Mai[[#This Row],[DÉBITO]]-Tab_05.Mai[[#This Row],[CRÉDITO]]</f>
        <v>0</v>
      </c>
    </row>
    <row r="62" spans="2:15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SUMIFS(Tab_04.Abr[SALDO
ATUAL],Tab_04.Abr[CONTA],$I62)</f>
        <v>224642.85</v>
      </c>
      <c r="G62" s="4">
        <f t="shared" si="3"/>
        <v>0</v>
      </c>
      <c r="H62">
        <v>11350</v>
      </c>
      <c r="I62" s="3" t="s">
        <v>183</v>
      </c>
      <c r="J62" s="3" t="s">
        <v>316</v>
      </c>
      <c r="K62" s="4">
        <v>224642.85</v>
      </c>
      <c r="L62" s="4">
        <v>0</v>
      </c>
      <c r="M62" s="4">
        <v>0</v>
      </c>
      <c r="N62" s="4">
        <v>224642.85</v>
      </c>
      <c r="O62" s="4">
        <f>Tab_05.Mai[[#This Row],[DÉBITO]]-Tab_05.Mai[[#This Row],[CRÉDITO]]</f>
        <v>0</v>
      </c>
    </row>
    <row r="63" spans="2:15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A</v>
      </c>
      <c r="E63" s="2">
        <f>IF($I63="","",COUNTIFS(Tab_00.Trial[CONTA],$I63))</f>
        <v>1</v>
      </c>
      <c r="F63" s="4">
        <f>SUMIFS(Tab_04.Abr[SALDO
ATUAL],Tab_04.Abr[CONTA],$I63)</f>
        <v>7349.9</v>
      </c>
      <c r="G63" s="4">
        <f t="shared" si="3"/>
        <v>0</v>
      </c>
      <c r="H63">
        <v>11365</v>
      </c>
      <c r="I63" s="3" t="s">
        <v>317</v>
      </c>
      <c r="J63" s="3" t="s">
        <v>318</v>
      </c>
      <c r="K63" s="4">
        <v>7349.9</v>
      </c>
      <c r="L63" s="4">
        <v>0</v>
      </c>
      <c r="M63" s="4">
        <v>0</v>
      </c>
      <c r="N63" s="4">
        <v>7349.9</v>
      </c>
      <c r="O63" s="4">
        <f>Tab_05.Mai[[#This Row],[DÉBITO]]-Tab_05.Mai[[#This Row],[CRÉDITO]]</f>
        <v>0</v>
      </c>
    </row>
    <row r="64" spans="2:15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A</v>
      </c>
      <c r="E64" s="2">
        <f>IF($I64="","",COUNTIFS(Tab_00.Trial[CONTA],$I64))</f>
        <v>1</v>
      </c>
      <c r="F64" s="4">
        <f>SUMIFS(Tab_04.Abr[SALDO
ATUAL],Tab_04.Abr[CONTA],$I64)</f>
        <v>128697.03</v>
      </c>
      <c r="G64" s="4">
        <f t="shared" si="3"/>
        <v>0</v>
      </c>
      <c r="H64">
        <v>11380</v>
      </c>
      <c r="I64" s="3" t="s">
        <v>184</v>
      </c>
      <c r="J64" s="3" t="s">
        <v>319</v>
      </c>
      <c r="K64" s="4">
        <v>128697.03</v>
      </c>
      <c r="L64" s="4">
        <v>0</v>
      </c>
      <c r="M64" s="4">
        <v>0</v>
      </c>
      <c r="N64" s="4">
        <v>128697.03</v>
      </c>
      <c r="O64" s="4">
        <f>Tab_05.Mai[[#This Row],[DÉBITO]]-Tab_05.Mai[[#This Row],[CRÉDITO]]</f>
        <v>0</v>
      </c>
    </row>
    <row r="65" spans="2:15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SUMIFS(Tab_04.Abr[SALDO
ATUAL],Tab_04.Abr[CONTA],$I65)</f>
        <v>15029.74</v>
      </c>
      <c r="G65" s="4">
        <f t="shared" si="3"/>
        <v>0</v>
      </c>
      <c r="H65">
        <v>11410</v>
      </c>
      <c r="I65" s="3" t="s">
        <v>185</v>
      </c>
      <c r="J65" s="3" t="s">
        <v>320</v>
      </c>
      <c r="K65" s="4">
        <v>15029.74</v>
      </c>
      <c r="L65" s="4">
        <v>0</v>
      </c>
      <c r="M65" s="4">
        <v>0</v>
      </c>
      <c r="N65" s="4">
        <v>15029.74</v>
      </c>
      <c r="O65" s="4">
        <f>Tab_05.Mai[[#This Row],[DÉBITO]]-Tab_05.Mai[[#This Row],[CRÉDITO]]</f>
        <v>0</v>
      </c>
    </row>
    <row r="66" spans="2:15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A</v>
      </c>
      <c r="E66" s="2">
        <f>IF($I66="","",COUNTIFS(Tab_00.Trial[CONTA],$I66))</f>
        <v>1</v>
      </c>
      <c r="F66" s="4">
        <f>SUMIFS(Tab_04.Abr[SALDO
ATUAL],Tab_04.Abr[CONTA],$I66)</f>
        <v>463836.5</v>
      </c>
      <c r="G66" s="4">
        <f t="shared" si="3"/>
        <v>0</v>
      </c>
      <c r="H66">
        <v>11415</v>
      </c>
      <c r="I66" s="3" t="s">
        <v>321</v>
      </c>
      <c r="J66" s="3" t="s">
        <v>322</v>
      </c>
      <c r="K66" s="4">
        <v>463836.5</v>
      </c>
      <c r="L66" s="4">
        <v>817.2</v>
      </c>
      <c r="M66" s="4">
        <v>0</v>
      </c>
      <c r="N66" s="4">
        <v>464653.7</v>
      </c>
      <c r="O66" s="4">
        <f>Tab_05.Mai[[#This Row],[DÉBITO]]-Tab_05.Mai[[#This Row],[CRÉDITO]]</f>
        <v>817.2</v>
      </c>
    </row>
    <row r="67" spans="2:15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S</v>
      </c>
      <c r="E67" s="2">
        <f>IF($I67="","",COUNTIFS(Tab_00.Trial[CONTA],$I67))</f>
        <v>1</v>
      </c>
      <c r="F67" s="4">
        <f>SUMIFS(Tab_04.Abr[SALDO
ATUAL],Tab_04.Abr[CONTA],$I67)</f>
        <v>-1169721.95</v>
      </c>
      <c r="G67" s="4">
        <f t="shared" si="3"/>
        <v>0</v>
      </c>
      <c r="H67">
        <v>11425</v>
      </c>
      <c r="I67" s="3" t="s">
        <v>215</v>
      </c>
      <c r="J67" s="3" t="s">
        <v>652</v>
      </c>
      <c r="K67" s="4">
        <v>-1169721.95</v>
      </c>
      <c r="L67" s="4">
        <v>0</v>
      </c>
      <c r="M67" s="4">
        <v>3667.05</v>
      </c>
      <c r="N67" s="4">
        <v>-1173389</v>
      </c>
      <c r="O67" s="4">
        <f>Tab_05.Mai[[#This Row],[DÉBITO]]-Tab_05.Mai[[#This Row],[CRÉDITO]]</f>
        <v>-3667.05</v>
      </c>
    </row>
    <row r="68" spans="2:15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A</v>
      </c>
      <c r="E68" s="2">
        <f>IF($I68="","",COUNTIFS(Tab_00.Trial[CONTA],$I68))</f>
        <v>1</v>
      </c>
      <c r="F68" s="4">
        <f>SUMIFS(Tab_04.Abr[SALDO
ATUAL],Tab_04.Abr[CONTA],$I68)</f>
        <v>-658870.76</v>
      </c>
      <c r="G68" s="4">
        <f t="shared" si="3"/>
        <v>0</v>
      </c>
      <c r="H68">
        <v>11440</v>
      </c>
      <c r="I68" s="3" t="s">
        <v>186</v>
      </c>
      <c r="J68" s="3" t="s">
        <v>313</v>
      </c>
      <c r="K68" s="4">
        <v>-658870.76</v>
      </c>
      <c r="L68" s="4">
        <v>0</v>
      </c>
      <c r="M68" s="4">
        <v>2997.93</v>
      </c>
      <c r="N68" s="4">
        <v>-661868.68999999994</v>
      </c>
      <c r="O68" s="4">
        <f>Tab_05.Mai[[#This Row],[DÉBITO]]-Tab_05.Mai[[#This Row],[CRÉDITO]]</f>
        <v>-2997.93</v>
      </c>
    </row>
    <row r="69" spans="2:15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SUMIFS(Tab_04.Abr[SALDO
ATUAL],Tab_04.Abr[CONTA],$I69)</f>
        <v>-17633.61</v>
      </c>
      <c r="G69" s="4">
        <f t="shared" si="3"/>
        <v>0</v>
      </c>
      <c r="H69">
        <v>11470</v>
      </c>
      <c r="I69" s="3" t="s">
        <v>187</v>
      </c>
      <c r="J69" s="3" t="s">
        <v>314</v>
      </c>
      <c r="K69" s="4">
        <v>-17633.61</v>
      </c>
      <c r="L69" s="4">
        <v>0</v>
      </c>
      <c r="M69" s="4">
        <v>191.67</v>
      </c>
      <c r="N69" s="4">
        <v>-17825.28</v>
      </c>
      <c r="O69" s="4">
        <f>Tab_05.Mai[[#This Row],[DÉBITO]]-Tab_05.Mai[[#This Row],[CRÉDITO]]</f>
        <v>-191.67</v>
      </c>
    </row>
    <row r="70" spans="2:15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SUMIFS(Tab_04.Abr[SALDO
ATUAL],Tab_04.Abr[CONTA],$I70)</f>
        <v>-6473.91</v>
      </c>
      <c r="G70" s="4">
        <f t="shared" si="3"/>
        <v>0</v>
      </c>
      <c r="H70">
        <v>11485</v>
      </c>
      <c r="I70" s="3" t="s">
        <v>188</v>
      </c>
      <c r="J70" s="3" t="s">
        <v>315</v>
      </c>
      <c r="K70" s="4">
        <v>-6473.91</v>
      </c>
      <c r="L70" s="4">
        <v>0</v>
      </c>
      <c r="M70" s="4">
        <v>104.95</v>
      </c>
      <c r="N70" s="4">
        <v>-6578.86</v>
      </c>
      <c r="O70" s="4">
        <f>Tab_05.Mai[[#This Row],[DÉBITO]]-Tab_05.Mai[[#This Row],[CRÉDITO]]</f>
        <v>-104.95</v>
      </c>
    </row>
    <row r="71" spans="2:15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SUMIFS(Tab_04.Abr[SALDO
ATUAL],Tab_04.Abr[CONTA],$I71)</f>
        <v>-224642.85</v>
      </c>
      <c r="G71" s="4">
        <f t="shared" si="3"/>
        <v>0</v>
      </c>
      <c r="H71">
        <v>11500</v>
      </c>
      <c r="I71" s="3" t="s">
        <v>189</v>
      </c>
      <c r="J71" s="3" t="s">
        <v>316</v>
      </c>
      <c r="K71" s="4">
        <v>-224642.85</v>
      </c>
      <c r="L71" s="4">
        <v>0</v>
      </c>
      <c r="M71" s="4">
        <v>0</v>
      </c>
      <c r="N71" s="4">
        <v>-224642.85</v>
      </c>
      <c r="O71" s="4">
        <f>Tab_05.Mai[[#This Row],[DÉBITO]]-Tab_05.Mai[[#This Row],[CRÉDITO]]</f>
        <v>0</v>
      </c>
    </row>
    <row r="72" spans="2:15" x14ac:dyDescent="0.3">
      <c r="B72" s="2" t="str">
        <f>_xlfn.XLOOKUP($I72,Tab_00.Trial[CONTA],Tab_00.Trial[TP],"",0,1)</f>
        <v>A</v>
      </c>
      <c r="C72" s="2">
        <f>_xlfn.XLOOKUP($I72,Tab_00.Trial[CONTA],Tab_00.Trial[NV],"",0,1)</f>
        <v>5</v>
      </c>
      <c r="D72" s="2" t="str">
        <f>_xlfn.XLOOKUP($I72,Tab_00.Trial[CONTA],Tab_00.Trial[S/A],"",0,1)</f>
        <v>A</v>
      </c>
      <c r="E72" s="2">
        <f>IF($I72="","",COUNTIFS(Tab_00.Trial[CONTA],$I72))</f>
        <v>1</v>
      </c>
      <c r="F72" s="4">
        <f>SUMIFS(Tab_04.Abr[SALDO
ATUAL],Tab_04.Abr[CONTA],$I72)</f>
        <v>-3942.34</v>
      </c>
      <c r="G72" s="4">
        <f t="shared" si="3"/>
        <v>0</v>
      </c>
      <c r="H72">
        <v>11515</v>
      </c>
      <c r="I72" s="3" t="s">
        <v>190</v>
      </c>
      <c r="J72" s="3" t="s">
        <v>318</v>
      </c>
      <c r="K72" s="4">
        <v>-3942.34</v>
      </c>
      <c r="L72" s="4">
        <v>0</v>
      </c>
      <c r="M72" s="4">
        <v>122.5</v>
      </c>
      <c r="N72" s="4">
        <v>-4064.84</v>
      </c>
      <c r="O72" s="4">
        <f>Tab_05.Mai[[#This Row],[DÉBITO]]-Tab_05.Mai[[#This Row],[CRÉDITO]]</f>
        <v>-122.5</v>
      </c>
    </row>
    <row r="73" spans="2:15" x14ac:dyDescent="0.3">
      <c r="B73" s="2" t="str">
        <f>_xlfn.XLOOKUP($I73,Tab_00.Trial[CONTA],Tab_00.Trial[TP],"",0,1)</f>
        <v>A</v>
      </c>
      <c r="C73" s="2">
        <f>_xlfn.XLOOKUP($I73,Tab_00.Trial[CONTA],Tab_00.Trial[NV],"",0,1)</f>
        <v>5</v>
      </c>
      <c r="D73" s="2" t="str">
        <f>_xlfn.XLOOKUP($I73,Tab_00.Trial[CONTA],Tab_00.Trial[S/A],"",0,1)</f>
        <v>A</v>
      </c>
      <c r="E73" s="2">
        <f>IF($I73="","",COUNTIFS(Tab_00.Trial[CONTA],$I73))</f>
        <v>1</v>
      </c>
      <c r="F73" s="4">
        <f>SUMIFS(Tab_04.Abr[SALDO
ATUAL],Tab_04.Abr[CONTA],$I73)</f>
        <v>-128697.03</v>
      </c>
      <c r="G73" s="4">
        <f t="shared" si="3"/>
        <v>0</v>
      </c>
      <c r="H73">
        <v>11530</v>
      </c>
      <c r="I73" s="3" t="s">
        <v>323</v>
      </c>
      <c r="J73" s="3" t="s">
        <v>319</v>
      </c>
      <c r="K73" s="4">
        <v>-128697.03</v>
      </c>
      <c r="L73" s="4">
        <v>0</v>
      </c>
      <c r="M73" s="4">
        <v>0</v>
      </c>
      <c r="N73" s="4">
        <v>-128697.03</v>
      </c>
      <c r="O73" s="4">
        <f>Tab_05.Mai[[#This Row],[DÉBITO]]-Tab_05.Mai[[#This Row],[CRÉDITO]]</f>
        <v>0</v>
      </c>
    </row>
    <row r="74" spans="2:15" x14ac:dyDescent="0.3">
      <c r="B74" s="2" t="str">
        <f>_xlfn.XLOOKUP($I74,Tab_00.Trial[CONTA],Tab_00.Trial[TP],"",0,1)</f>
        <v>A</v>
      </c>
      <c r="C74" s="2">
        <f>_xlfn.XLOOKUP($I74,Tab_00.Trial[CONTA],Tab_00.Trial[NV],"",0,1)</f>
        <v>5</v>
      </c>
      <c r="D74" s="2" t="str">
        <f>_xlfn.XLOOKUP($I74,Tab_00.Trial[CONTA],Tab_00.Trial[S/A],"",0,1)</f>
        <v>A</v>
      </c>
      <c r="E74" s="2">
        <f>IF($I74="","",COUNTIFS(Tab_00.Trial[CONTA],$I74))</f>
        <v>1</v>
      </c>
      <c r="F74" s="4">
        <f>SUMIFS(Tab_04.Abr[SALDO
ATUAL],Tab_04.Abr[CONTA],$I74)</f>
        <v>-15029.74</v>
      </c>
      <c r="G74" s="4">
        <f t="shared" si="3"/>
        <v>0</v>
      </c>
      <c r="H74">
        <v>11560</v>
      </c>
      <c r="I74" s="3" t="s">
        <v>324</v>
      </c>
      <c r="J74" s="3" t="s">
        <v>320</v>
      </c>
      <c r="K74" s="4">
        <v>-15029.74</v>
      </c>
      <c r="L74" s="4">
        <v>0</v>
      </c>
      <c r="M74" s="4">
        <v>0</v>
      </c>
      <c r="N74" s="4">
        <v>-15029.74</v>
      </c>
      <c r="O74" s="4">
        <f>Tab_05.Mai[[#This Row],[DÉBITO]]-Tab_05.Mai[[#This Row],[CRÉDITO]]</f>
        <v>0</v>
      </c>
    </row>
    <row r="75" spans="2:15" x14ac:dyDescent="0.3">
      <c r="B75" s="2" t="str">
        <f>_xlfn.XLOOKUP($I75,Tab_00.Trial[CONTA],Tab_00.Trial[TP],"",0,1)</f>
        <v>A</v>
      </c>
      <c r="C75" s="2">
        <f>_xlfn.XLOOKUP($I75,Tab_00.Trial[CONTA],Tab_00.Trial[NV],"",0,1)</f>
        <v>5</v>
      </c>
      <c r="D75" s="2" t="str">
        <f>_xlfn.XLOOKUP($I75,Tab_00.Trial[CONTA],Tab_00.Trial[S/A],"",0,1)</f>
        <v>A</v>
      </c>
      <c r="E75" s="2">
        <f>IF($I75="","",COUNTIFS(Tab_00.Trial[CONTA],$I75))</f>
        <v>1</v>
      </c>
      <c r="F75" s="4">
        <f>SUMIFS(Tab_04.Abr[SALDO
ATUAL],Tab_04.Abr[CONTA],$I75)</f>
        <v>-114431.71</v>
      </c>
      <c r="G75" s="4">
        <f t="shared" si="3"/>
        <v>0</v>
      </c>
      <c r="H75">
        <v>11565</v>
      </c>
      <c r="I75" s="3" t="s">
        <v>325</v>
      </c>
      <c r="J75" s="3" t="s">
        <v>322</v>
      </c>
      <c r="K75" s="4">
        <v>-114431.71</v>
      </c>
      <c r="L75" s="4">
        <v>0</v>
      </c>
      <c r="M75" s="4">
        <v>250</v>
      </c>
      <c r="N75" s="4">
        <v>-114681.71</v>
      </c>
      <c r="O75" s="4">
        <f>Tab_05.Mai[[#This Row],[DÉBITO]]-Tab_05.Mai[[#This Row],[CRÉDITO]]</f>
        <v>-250</v>
      </c>
    </row>
    <row r="76" spans="2:15" x14ac:dyDescent="0.3">
      <c r="B76" s="2" t="str">
        <f>_xlfn.XLOOKUP($I76,Tab_00.Trial[CONTA],Tab_00.Trial[TP],"",0,1)</f>
        <v>P</v>
      </c>
      <c r="C76" s="2">
        <f>_xlfn.XLOOKUP($I76,Tab_00.Trial[CONTA],Tab_00.Trial[NV],"",0,1)</f>
        <v>1</v>
      </c>
      <c r="D76" s="2" t="str">
        <f>_xlfn.XLOOKUP($I76,Tab_00.Trial[CONTA],Tab_00.Trial[S/A],"",0,1)</f>
        <v>S</v>
      </c>
      <c r="E76" s="2">
        <f>IF($I76="","",COUNTIFS(Tab_00.Trial[CONTA],$I76))</f>
        <v>1</v>
      </c>
      <c r="F76" s="4">
        <f>SUMIFS(Tab_04.Abr[SALDO
ATUAL],Tab_04.Abr[CONTA],$I76)</f>
        <v>-83686314.609999999</v>
      </c>
      <c r="G76" s="4">
        <f t="shared" si="3"/>
        <v>0</v>
      </c>
      <c r="H76">
        <v>20000</v>
      </c>
      <c r="I76" s="3">
        <v>2</v>
      </c>
      <c r="J76" s="3" t="s">
        <v>653</v>
      </c>
      <c r="K76" s="4">
        <v>-83686314.609999999</v>
      </c>
      <c r="L76" s="4">
        <v>661116.39</v>
      </c>
      <c r="M76" s="4">
        <v>533437.39</v>
      </c>
      <c r="N76" s="4">
        <v>-83558635.609999999</v>
      </c>
      <c r="O76" s="4">
        <f>Tab_05.Mai[[#This Row],[DÉBITO]]-Tab_05.Mai[[#This Row],[CRÉDITO]]</f>
        <v>127679</v>
      </c>
    </row>
    <row r="77" spans="2:15" x14ac:dyDescent="0.3">
      <c r="B77" s="2" t="str">
        <f>_xlfn.XLOOKUP($I77,Tab_00.Trial[CONTA],Tab_00.Trial[TP],"",0,1)</f>
        <v>P</v>
      </c>
      <c r="C77" s="2">
        <f>_xlfn.XLOOKUP($I77,Tab_00.Trial[CONTA],Tab_00.Trial[NV],"",0,1)</f>
        <v>2</v>
      </c>
      <c r="D77" s="2" t="str">
        <f>_xlfn.XLOOKUP($I77,Tab_00.Trial[CONTA],Tab_00.Trial[S/A],"",0,1)</f>
        <v>S</v>
      </c>
      <c r="E77" s="2">
        <f>IF($I77="","",COUNTIFS(Tab_00.Trial[CONTA],$I77))</f>
        <v>1</v>
      </c>
      <c r="F77" s="4">
        <f>SUMIFS(Tab_04.Abr[SALDO
ATUAL],Tab_04.Abr[CONTA],$I77)</f>
        <v>-1551412.84</v>
      </c>
      <c r="G77" s="4">
        <f t="shared" si="3"/>
        <v>0</v>
      </c>
      <c r="H77">
        <v>20015</v>
      </c>
      <c r="I77" s="3" t="s">
        <v>216</v>
      </c>
      <c r="J77" s="3" t="s">
        <v>31</v>
      </c>
      <c r="K77" s="4">
        <v>-1551412.84</v>
      </c>
      <c r="L77" s="4">
        <v>661116.39</v>
      </c>
      <c r="M77" s="4">
        <v>533437.39</v>
      </c>
      <c r="N77" s="4">
        <v>-1423733.84</v>
      </c>
      <c r="O77" s="4">
        <f>Tab_05.Mai[[#This Row],[DÉBITO]]-Tab_05.Mai[[#This Row],[CRÉDITO]]</f>
        <v>127679</v>
      </c>
    </row>
    <row r="78" spans="2:15" x14ac:dyDescent="0.3">
      <c r="B78" s="2" t="str">
        <f>_xlfn.XLOOKUP($I78,Tab_00.Trial[CONTA],Tab_00.Trial[TP],"",0,1)</f>
        <v>P</v>
      </c>
      <c r="C78" s="2">
        <f>_xlfn.XLOOKUP($I78,Tab_00.Trial[CONTA],Tab_00.Trial[NV],"",0,1)</f>
        <v>5</v>
      </c>
      <c r="D78" s="2" t="str">
        <f>_xlfn.XLOOKUP($I78,Tab_00.Trial[CONTA],Tab_00.Trial[S/A],"",0,1)</f>
        <v>S</v>
      </c>
      <c r="E78" s="2">
        <f>IF($I78="","",COUNTIFS(Tab_00.Trial[CONTA],$I78))</f>
        <v>1</v>
      </c>
      <c r="F78" s="4">
        <f>SUMIFS(Tab_04.Abr[SALDO
ATUAL],Tab_04.Abr[CONTA],$I78)</f>
        <v>-313316.90000000002</v>
      </c>
      <c r="G78" s="4">
        <f t="shared" si="3"/>
        <v>0</v>
      </c>
      <c r="H78">
        <v>20030</v>
      </c>
      <c r="I78" s="3" t="s">
        <v>558</v>
      </c>
      <c r="J78" s="3" t="s">
        <v>654</v>
      </c>
      <c r="K78" s="4">
        <v>-313316.90000000002</v>
      </c>
      <c r="L78" s="4">
        <v>149240.24</v>
      </c>
      <c r="M78" s="4">
        <v>175118.31</v>
      </c>
      <c r="N78" s="4">
        <v>-339194.97</v>
      </c>
      <c r="O78" s="4">
        <f>Tab_05.Mai[[#This Row],[DÉBITO]]-Tab_05.Mai[[#This Row],[CRÉDITO]]</f>
        <v>-25878.07</v>
      </c>
    </row>
    <row r="79" spans="2:15" x14ac:dyDescent="0.3">
      <c r="B79" s="2" t="str">
        <f>_xlfn.XLOOKUP($I79,Tab_00.Trial[CONTA],Tab_00.Trial[TP],"",0,1)</f>
        <v>P</v>
      </c>
      <c r="C79" s="2">
        <f>_xlfn.XLOOKUP($I79,Tab_00.Trial[CONTA],Tab_00.Trial[NV],"",0,1)</f>
        <v>5</v>
      </c>
      <c r="D79" s="2" t="str">
        <f>_xlfn.XLOOKUP($I79,Tab_00.Trial[CONTA],Tab_00.Trial[S/A],"",0,1)</f>
        <v>S</v>
      </c>
      <c r="E79" s="2">
        <f>IF($I79="","",COUNTIFS(Tab_00.Trial[CONTA],$I79))</f>
        <v>1</v>
      </c>
      <c r="F79" s="4">
        <f>SUMIFS(Tab_04.Abr[SALDO
ATUAL],Tab_04.Abr[CONTA],$I79)</f>
        <v>0</v>
      </c>
      <c r="G79" s="4">
        <f t="shared" si="3"/>
        <v>0</v>
      </c>
      <c r="H79">
        <v>20045</v>
      </c>
      <c r="I79" s="3" t="s">
        <v>559</v>
      </c>
      <c r="J79" s="3" t="s">
        <v>655</v>
      </c>
      <c r="K79" s="4">
        <v>0</v>
      </c>
      <c r="L79" s="4">
        <v>85878.56</v>
      </c>
      <c r="M79" s="4">
        <v>85878.56</v>
      </c>
      <c r="N79" s="4">
        <v>0</v>
      </c>
      <c r="O79" s="4">
        <f>Tab_05.Mai[[#This Row],[DÉBITO]]-Tab_05.Mai[[#This Row],[CRÉDITO]]</f>
        <v>0</v>
      </c>
    </row>
    <row r="80" spans="2:15" x14ac:dyDescent="0.3">
      <c r="B80" s="2" t="str">
        <f>_xlfn.XLOOKUP($I80,Tab_00.Trial[CONTA],Tab_00.Trial[TP],"",0,1)</f>
        <v>P</v>
      </c>
      <c r="C80" s="2">
        <f>_xlfn.XLOOKUP($I80,Tab_00.Trial[CONTA],Tab_00.Trial[NV],"",0,1)</f>
        <v>5</v>
      </c>
      <c r="D80" s="2" t="str">
        <f>_xlfn.XLOOKUP($I80,Tab_00.Trial[CONTA],Tab_00.Trial[S/A],"",0,1)</f>
        <v>A</v>
      </c>
      <c r="E80" s="2">
        <f>IF($I80="","",COUNTIFS(Tab_00.Trial[CONTA],$I80))</f>
        <v>1</v>
      </c>
      <c r="F80" s="4">
        <f>SUMIFS(Tab_04.Abr[SALDO
ATUAL],Tab_04.Abr[CONTA],$I80)</f>
        <v>0</v>
      </c>
      <c r="G80" s="4">
        <f t="shared" si="3"/>
        <v>0</v>
      </c>
      <c r="H80">
        <v>20060</v>
      </c>
      <c r="I80" s="3" t="s">
        <v>326</v>
      </c>
      <c r="J80" s="3" t="s">
        <v>327</v>
      </c>
      <c r="K80" s="4">
        <v>0</v>
      </c>
      <c r="L80" s="4">
        <v>83479.429999999993</v>
      </c>
      <c r="M80" s="4">
        <v>83479.429999999993</v>
      </c>
      <c r="N80" s="4">
        <v>0</v>
      </c>
      <c r="O80" s="4">
        <f>Tab_05.Mai[[#This Row],[DÉBITO]]-Tab_05.Mai[[#This Row],[CRÉDITO]]</f>
        <v>0</v>
      </c>
    </row>
    <row r="81" spans="2:15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A</v>
      </c>
      <c r="E81" s="2">
        <f>IF($I81="","",COUNTIFS(Tab_00.Trial[CONTA],$I81))</f>
        <v>1</v>
      </c>
      <c r="F81" s="4">
        <f>SUMIFS(Tab_04.Abr[SALDO
ATUAL],Tab_04.Abr[CONTA],$I81)</f>
        <v>0</v>
      </c>
      <c r="G81" s="4">
        <f t="shared" si="3"/>
        <v>0</v>
      </c>
      <c r="H81">
        <v>20075</v>
      </c>
      <c r="I81" s="3" t="s">
        <v>328</v>
      </c>
      <c r="J81" s="3" t="s">
        <v>329</v>
      </c>
      <c r="K81" s="4">
        <v>0</v>
      </c>
      <c r="L81" s="4">
        <v>1210</v>
      </c>
      <c r="M81" s="4">
        <v>1210</v>
      </c>
      <c r="N81" s="4">
        <v>0</v>
      </c>
      <c r="O81" s="4">
        <f>Tab_05.Mai[[#This Row],[DÉBITO]]-Tab_05.Mai[[#This Row],[CRÉDITO]]</f>
        <v>0</v>
      </c>
    </row>
    <row r="82" spans="2:15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A</v>
      </c>
      <c r="E82" s="2">
        <f>IF($I82="","",COUNTIFS(Tab_00.Trial[CONTA],$I82))</f>
        <v>1</v>
      </c>
      <c r="F82" s="4">
        <f>SUMIFS(Tab_04.Abr[SALDO
ATUAL],Tab_04.Abr[CONTA],$I82)</f>
        <v>0</v>
      </c>
      <c r="G82" s="4">
        <f t="shared" ref="G82:G113" si="4">$F82-$K82</f>
        <v>0</v>
      </c>
      <c r="H82">
        <v>20105</v>
      </c>
      <c r="I82" s="3" t="s">
        <v>330</v>
      </c>
      <c r="J82" s="3" t="s">
        <v>331</v>
      </c>
      <c r="K82" s="4">
        <v>0</v>
      </c>
      <c r="L82" s="4">
        <v>1189.1300000000001</v>
      </c>
      <c r="M82" s="4">
        <v>1189.1300000000001</v>
      </c>
      <c r="N82" s="4">
        <v>0</v>
      </c>
      <c r="O82" s="4">
        <f>Tab_05.Mai[[#This Row],[DÉBITO]]-Tab_05.Mai[[#This Row],[CRÉDITO]]</f>
        <v>0</v>
      </c>
    </row>
    <row r="83" spans="2:15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S</v>
      </c>
      <c r="E83" s="2">
        <f>IF($I83="","",COUNTIFS(Tab_00.Trial[CONTA],$I83))</f>
        <v>1</v>
      </c>
      <c r="F83" s="4">
        <f>SUMIFS(Tab_04.Abr[SALDO
ATUAL],Tab_04.Abr[CONTA],$I83)</f>
        <v>-44995.19</v>
      </c>
      <c r="G83" s="4">
        <f t="shared" si="4"/>
        <v>0</v>
      </c>
      <c r="H83">
        <v>20120</v>
      </c>
      <c r="I83" s="3" t="s">
        <v>560</v>
      </c>
      <c r="J83" s="3" t="s">
        <v>656</v>
      </c>
      <c r="K83" s="4">
        <v>-44995.19</v>
      </c>
      <c r="L83" s="4">
        <v>0</v>
      </c>
      <c r="M83" s="4">
        <v>11610.98</v>
      </c>
      <c r="N83" s="4">
        <v>-56606.17</v>
      </c>
      <c r="O83" s="4">
        <f>Tab_05.Mai[[#This Row],[DÉBITO]]-Tab_05.Mai[[#This Row],[CRÉDITO]]</f>
        <v>-11610.98</v>
      </c>
    </row>
    <row r="84" spans="2:15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A</v>
      </c>
      <c r="E84" s="2">
        <f>IF($I84="","",COUNTIFS(Tab_00.Trial[CONTA],$I84))</f>
        <v>1</v>
      </c>
      <c r="F84" s="4">
        <f>SUMIFS(Tab_04.Abr[SALDO
ATUAL],Tab_04.Abr[CONTA],$I84)</f>
        <v>-33133.46</v>
      </c>
      <c r="G84" s="4">
        <f t="shared" si="4"/>
        <v>0</v>
      </c>
      <c r="H84">
        <v>20135</v>
      </c>
      <c r="I84" s="3" t="s">
        <v>332</v>
      </c>
      <c r="J84" s="3" t="s">
        <v>333</v>
      </c>
      <c r="K84" s="4">
        <v>-33133.46</v>
      </c>
      <c r="L84" s="4">
        <v>0</v>
      </c>
      <c r="M84" s="4">
        <v>8550.06</v>
      </c>
      <c r="N84" s="4">
        <v>-41683.519999999997</v>
      </c>
      <c r="O84" s="4">
        <f>Tab_05.Mai[[#This Row],[DÉBITO]]-Tab_05.Mai[[#This Row],[CRÉDITO]]</f>
        <v>-8550.06</v>
      </c>
    </row>
    <row r="85" spans="2:15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A</v>
      </c>
      <c r="E85" s="2">
        <f>IF($I85="","",COUNTIFS(Tab_00.Trial[CONTA],$I85))</f>
        <v>1</v>
      </c>
      <c r="F85" s="4">
        <f>SUMIFS(Tab_04.Abr[SALDO
ATUAL],Tab_04.Abr[CONTA],$I85)</f>
        <v>-2650.62</v>
      </c>
      <c r="G85" s="4">
        <f t="shared" si="4"/>
        <v>0</v>
      </c>
      <c r="H85">
        <v>20150</v>
      </c>
      <c r="I85" s="3" t="s">
        <v>778</v>
      </c>
      <c r="J85" s="3" t="s">
        <v>779</v>
      </c>
      <c r="K85" s="4">
        <v>-2650.62</v>
      </c>
      <c r="L85" s="4">
        <v>0</v>
      </c>
      <c r="M85" s="4">
        <v>684.02</v>
      </c>
      <c r="N85" s="4">
        <v>-3334.64</v>
      </c>
      <c r="O85" s="4">
        <f>Tab_05.Mai[[#This Row],[DÉBITO]]-Tab_05.Mai[[#This Row],[CRÉDITO]]</f>
        <v>-684.02</v>
      </c>
    </row>
    <row r="86" spans="2:15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A</v>
      </c>
      <c r="E86" s="2">
        <f>IF($I86="","",COUNTIFS(Tab_00.Trial[CONTA],$I86))</f>
        <v>1</v>
      </c>
      <c r="F86" s="4">
        <f>SUMIFS(Tab_04.Abr[SALDO
ATUAL],Tab_04.Abr[CONTA],$I86)</f>
        <v>-331.34</v>
      </c>
      <c r="G86" s="4">
        <f t="shared" si="4"/>
        <v>0</v>
      </c>
      <c r="H86">
        <v>20165</v>
      </c>
      <c r="I86" s="3" t="s">
        <v>780</v>
      </c>
      <c r="J86" s="3" t="s">
        <v>781</v>
      </c>
      <c r="K86" s="4">
        <v>-331.34</v>
      </c>
      <c r="L86" s="4">
        <v>0</v>
      </c>
      <c r="M86" s="4">
        <v>85.49</v>
      </c>
      <c r="N86" s="4">
        <v>-416.83</v>
      </c>
      <c r="O86" s="4">
        <f>Tab_05.Mai[[#This Row],[DÉBITO]]-Tab_05.Mai[[#This Row],[CRÉDITO]]</f>
        <v>-85.49</v>
      </c>
    </row>
    <row r="87" spans="2:15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A</v>
      </c>
      <c r="E87" s="2">
        <f>IF($I87="","",COUNTIFS(Tab_00.Trial[CONTA],$I87))</f>
        <v>1</v>
      </c>
      <c r="F87" s="4">
        <f>SUMIFS(Tab_04.Abr[SALDO
ATUAL],Tab_04.Abr[CONTA],$I87)</f>
        <v>-8879.77</v>
      </c>
      <c r="G87" s="4">
        <f t="shared" si="4"/>
        <v>0</v>
      </c>
      <c r="H87">
        <v>10097</v>
      </c>
      <c r="I87" s="3" t="s">
        <v>782</v>
      </c>
      <c r="J87" s="3" t="s">
        <v>783</v>
      </c>
      <c r="K87" s="4">
        <v>-8879.77</v>
      </c>
      <c r="L87" s="4">
        <v>0</v>
      </c>
      <c r="M87" s="4">
        <v>2291.41</v>
      </c>
      <c r="N87" s="4">
        <v>-11171.18</v>
      </c>
      <c r="O87" s="4">
        <f>Tab_05.Mai[[#This Row],[DÉBITO]]-Tab_05.Mai[[#This Row],[CRÉDITO]]</f>
        <v>-2291.41</v>
      </c>
    </row>
    <row r="88" spans="2:15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S</v>
      </c>
      <c r="E88" s="2">
        <f>IF($I88="","",COUNTIFS(Tab_00.Trial[CONTA],$I88))</f>
        <v>1</v>
      </c>
      <c r="F88" s="4">
        <f>SUMIFS(Tab_04.Abr[SALDO
ATUAL],Tab_04.Abr[CONTA],$I88)</f>
        <v>-221867.95</v>
      </c>
      <c r="G88" s="4">
        <f t="shared" si="4"/>
        <v>0</v>
      </c>
      <c r="H88">
        <v>20180</v>
      </c>
      <c r="I88" s="3" t="s">
        <v>561</v>
      </c>
      <c r="J88" s="3" t="s">
        <v>657</v>
      </c>
      <c r="K88" s="4">
        <v>-221867.95</v>
      </c>
      <c r="L88" s="4">
        <v>742.23</v>
      </c>
      <c r="M88" s="4">
        <v>15481.25</v>
      </c>
      <c r="N88" s="4">
        <v>-236606.97</v>
      </c>
      <c r="O88" s="4">
        <f>Tab_05.Mai[[#This Row],[DÉBITO]]-Tab_05.Mai[[#This Row],[CRÉDITO]]</f>
        <v>-14739.02</v>
      </c>
    </row>
    <row r="89" spans="2:15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A</v>
      </c>
      <c r="E89" s="2">
        <f>IF($I89="","",COUNTIFS(Tab_00.Trial[CONTA],$I89))</f>
        <v>1</v>
      </c>
      <c r="F89" s="4">
        <f>SUMIFS(Tab_04.Abr[SALDO
ATUAL],Tab_04.Abr[CONTA],$I89)</f>
        <v>-163377.99</v>
      </c>
      <c r="G89" s="4">
        <f t="shared" si="4"/>
        <v>0</v>
      </c>
      <c r="H89">
        <v>20195</v>
      </c>
      <c r="I89" s="3" t="s">
        <v>334</v>
      </c>
      <c r="J89" s="3" t="s">
        <v>335</v>
      </c>
      <c r="K89" s="4">
        <v>-163377.99</v>
      </c>
      <c r="L89" s="4">
        <v>733.33</v>
      </c>
      <c r="M89" s="4">
        <v>11400.04</v>
      </c>
      <c r="N89" s="4">
        <v>-174044.7</v>
      </c>
      <c r="O89" s="4">
        <f>Tab_05.Mai[[#This Row],[DÉBITO]]-Tab_05.Mai[[#This Row],[CRÉDITO]]</f>
        <v>-10666.71</v>
      </c>
    </row>
    <row r="90" spans="2:15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A</v>
      </c>
      <c r="E90" s="2">
        <f>IF($I90="","",COUNTIFS(Tab_00.Trial[CONTA],$I90))</f>
        <v>1</v>
      </c>
      <c r="F90" s="4">
        <f>SUMIFS(Tab_04.Abr[SALDO
ATUAL],Tab_04.Abr[CONTA],$I90)</f>
        <v>-13011.43</v>
      </c>
      <c r="G90" s="4">
        <f t="shared" si="4"/>
        <v>0</v>
      </c>
      <c r="H90">
        <v>20210</v>
      </c>
      <c r="I90" s="3" t="s">
        <v>784</v>
      </c>
      <c r="J90" s="3" t="s">
        <v>785</v>
      </c>
      <c r="K90" s="4">
        <v>-13011.43</v>
      </c>
      <c r="L90" s="4">
        <v>0</v>
      </c>
      <c r="M90" s="4">
        <v>911.99</v>
      </c>
      <c r="N90" s="4">
        <v>-13923.42</v>
      </c>
      <c r="O90" s="4">
        <f>Tab_05.Mai[[#This Row],[DÉBITO]]-Tab_05.Mai[[#This Row],[CRÉDITO]]</f>
        <v>-911.99</v>
      </c>
    </row>
    <row r="91" spans="2:15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A</v>
      </c>
      <c r="E91" s="2">
        <f>IF($I91="","",COUNTIFS(Tab_00.Trial[CONTA],$I91))</f>
        <v>1</v>
      </c>
      <c r="F91" s="4">
        <f>SUMIFS(Tab_04.Abr[SALDO
ATUAL],Tab_04.Abr[CONTA],$I91)</f>
        <v>-1889.75</v>
      </c>
      <c r="G91" s="4">
        <f t="shared" si="4"/>
        <v>0</v>
      </c>
      <c r="H91">
        <v>20225</v>
      </c>
      <c r="I91" s="3" t="s">
        <v>786</v>
      </c>
      <c r="J91" s="3" t="s">
        <v>787</v>
      </c>
      <c r="K91" s="4">
        <v>-1889.75</v>
      </c>
      <c r="L91" s="4">
        <v>8.9</v>
      </c>
      <c r="M91" s="4">
        <v>114</v>
      </c>
      <c r="N91" s="4">
        <v>-1994.85</v>
      </c>
      <c r="O91" s="4">
        <f>Tab_05.Mai[[#This Row],[DÉBITO]]-Tab_05.Mai[[#This Row],[CRÉDITO]]</f>
        <v>-105.1</v>
      </c>
    </row>
    <row r="92" spans="2:15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A</v>
      </c>
      <c r="E92" s="2">
        <f>IF($I92="","",COUNTIFS(Tab_00.Trial[CONTA],$I92))</f>
        <v>1</v>
      </c>
      <c r="F92" s="4">
        <f>SUMIFS(Tab_04.Abr[SALDO
ATUAL],Tab_04.Abr[CONTA],$I92)</f>
        <v>-43588.78</v>
      </c>
      <c r="G92" s="4">
        <f t="shared" si="4"/>
        <v>0</v>
      </c>
      <c r="H92">
        <v>10104</v>
      </c>
      <c r="I92" s="3" t="s">
        <v>788</v>
      </c>
      <c r="J92" s="3" t="s">
        <v>789</v>
      </c>
      <c r="K92" s="4">
        <v>-43588.78</v>
      </c>
      <c r="L92" s="4">
        <v>0</v>
      </c>
      <c r="M92" s="4">
        <v>3055.22</v>
      </c>
      <c r="N92" s="4">
        <v>-46644</v>
      </c>
      <c r="O92" s="4">
        <f>Tab_05.Mai[[#This Row],[DÉBITO]]-Tab_05.Mai[[#This Row],[CRÉDITO]]</f>
        <v>-3055.22</v>
      </c>
    </row>
    <row r="93" spans="2:15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S</v>
      </c>
      <c r="E93" s="2">
        <f>IF($I93="","",COUNTIFS(Tab_00.Trial[CONTA],$I93))</f>
        <v>1</v>
      </c>
      <c r="F93" s="4">
        <f>SUMIFS(Tab_04.Abr[SALDO
ATUAL],Tab_04.Abr[CONTA],$I93)</f>
        <v>-31551.8</v>
      </c>
      <c r="G93" s="4">
        <f t="shared" si="4"/>
        <v>0</v>
      </c>
      <c r="H93">
        <v>20240</v>
      </c>
      <c r="I93" s="3" t="s">
        <v>562</v>
      </c>
      <c r="J93" s="3" t="s">
        <v>658</v>
      </c>
      <c r="K93" s="4">
        <v>-31551.8</v>
      </c>
      <c r="L93" s="4">
        <v>51775.79</v>
      </c>
      <c r="M93" s="4">
        <v>52604.6</v>
      </c>
      <c r="N93" s="4">
        <v>-32380.61</v>
      </c>
      <c r="O93" s="4">
        <f>Tab_05.Mai[[#This Row],[DÉBITO]]-Tab_05.Mai[[#This Row],[CRÉDITO]]</f>
        <v>-828.81</v>
      </c>
    </row>
    <row r="94" spans="2:15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A</v>
      </c>
      <c r="E94" s="2">
        <f>IF($I94="","",COUNTIFS(Tab_00.Trial[CONTA],$I94))</f>
        <v>1</v>
      </c>
      <c r="F94" s="4">
        <f>SUMIFS(Tab_04.Abr[SALDO
ATUAL],Tab_04.Abr[CONTA],$I94)</f>
        <v>-30763.82</v>
      </c>
      <c r="G94" s="4">
        <f t="shared" si="4"/>
        <v>0</v>
      </c>
      <c r="H94">
        <v>20255</v>
      </c>
      <c r="I94" s="3" t="s">
        <v>336</v>
      </c>
      <c r="J94" s="3" t="s">
        <v>337</v>
      </c>
      <c r="K94" s="4">
        <v>-30763.82</v>
      </c>
      <c r="L94" s="4">
        <v>50987.81</v>
      </c>
      <c r="M94" s="4">
        <v>52091.62</v>
      </c>
      <c r="N94" s="4">
        <v>-31867.63</v>
      </c>
      <c r="O94" s="4">
        <f>Tab_05.Mai[[#This Row],[DÉBITO]]-Tab_05.Mai[[#This Row],[CRÉDITO]]</f>
        <v>-1103.81</v>
      </c>
    </row>
    <row r="95" spans="2:15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A</v>
      </c>
      <c r="E95" s="2">
        <f>IF($I95="","",COUNTIFS(Tab_00.Trial[CONTA],$I95))</f>
        <v>1</v>
      </c>
      <c r="F95" s="4">
        <f>SUMIFS(Tab_04.Abr[SALDO
ATUAL],Tab_04.Abr[CONTA],$I95)</f>
        <v>-787.98</v>
      </c>
      <c r="G95" s="4">
        <f t="shared" si="4"/>
        <v>0</v>
      </c>
      <c r="H95">
        <v>20270</v>
      </c>
      <c r="I95" s="3" t="s">
        <v>338</v>
      </c>
      <c r="J95" s="3" t="s">
        <v>339</v>
      </c>
      <c r="K95" s="4">
        <v>-787.98</v>
      </c>
      <c r="L95" s="4">
        <v>787.98</v>
      </c>
      <c r="M95" s="4">
        <v>512.98</v>
      </c>
      <c r="N95" s="4">
        <v>-512.98</v>
      </c>
      <c r="O95" s="4">
        <f>Tab_05.Mai[[#This Row],[DÉBITO]]-Tab_05.Mai[[#This Row],[CRÉDITO]]</f>
        <v>275</v>
      </c>
    </row>
    <row r="96" spans="2:15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S</v>
      </c>
      <c r="E96" s="2">
        <f>IF($I96="","",COUNTIFS(Tab_00.Trial[CONTA],$I96))</f>
        <v>1</v>
      </c>
      <c r="F96" s="4">
        <f>SUMIFS(Tab_04.Abr[SALDO
ATUAL],Tab_04.Abr[CONTA],$I96)</f>
        <v>-14901.96</v>
      </c>
      <c r="G96" s="4">
        <f t="shared" si="4"/>
        <v>0</v>
      </c>
      <c r="H96">
        <v>20345</v>
      </c>
      <c r="I96" s="3" t="s">
        <v>563</v>
      </c>
      <c r="J96" s="3" t="s">
        <v>659</v>
      </c>
      <c r="K96" s="4">
        <v>-14901.96</v>
      </c>
      <c r="L96" s="4">
        <v>10843.66</v>
      </c>
      <c r="M96" s="4">
        <v>9542.92</v>
      </c>
      <c r="N96" s="4">
        <v>-13601.22</v>
      </c>
      <c r="O96" s="4">
        <f>Tab_05.Mai[[#This Row],[DÉBITO]]-Tab_05.Mai[[#This Row],[CRÉDITO]]</f>
        <v>1300.74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A</v>
      </c>
      <c r="E97" s="2">
        <f>IF($I97="","",COUNTIFS(Tab_00.Trial[CONTA],$I97))</f>
        <v>1</v>
      </c>
      <c r="F97" s="4">
        <f>SUMIFS(Tab_04.Abr[SALDO
ATUAL],Tab_04.Abr[CONTA],$I97)</f>
        <v>-13962.75</v>
      </c>
      <c r="G97" s="4">
        <f t="shared" si="4"/>
        <v>0</v>
      </c>
      <c r="H97">
        <v>20360</v>
      </c>
      <c r="I97" s="3" t="s">
        <v>340</v>
      </c>
      <c r="J97" s="3" t="s">
        <v>341</v>
      </c>
      <c r="K97" s="4">
        <v>-13962.75</v>
      </c>
      <c r="L97" s="4">
        <v>9844.7800000000007</v>
      </c>
      <c r="M97" s="4">
        <v>8467.67</v>
      </c>
      <c r="N97" s="4">
        <v>-12585.64</v>
      </c>
      <c r="O97" s="4">
        <f>Tab_05.Mai[[#This Row],[DÉBITO]]-Tab_05.Mai[[#This Row],[CRÉDITO]]</f>
        <v>1377.11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A</v>
      </c>
      <c r="E98" s="2">
        <f>IF($I98="","",COUNTIFS(Tab_00.Trial[CONTA],$I98))</f>
        <v>1</v>
      </c>
      <c r="F98" s="4">
        <f>SUMIFS(Tab_04.Abr[SALDO
ATUAL],Tab_04.Abr[CONTA],$I98)</f>
        <v>-939.21</v>
      </c>
      <c r="G98" s="4">
        <f t="shared" si="4"/>
        <v>0</v>
      </c>
      <c r="H98">
        <v>20375</v>
      </c>
      <c r="I98" s="3" t="s">
        <v>342</v>
      </c>
      <c r="J98" s="3" t="s">
        <v>343</v>
      </c>
      <c r="K98" s="4">
        <v>-939.21</v>
      </c>
      <c r="L98" s="4">
        <v>998.88</v>
      </c>
      <c r="M98" s="4">
        <v>1075.25</v>
      </c>
      <c r="N98" s="4">
        <v>-1015.58</v>
      </c>
      <c r="O98" s="4">
        <f>Tab_05.Mai[[#This Row],[DÉBITO]]-Tab_05.Mai[[#This Row],[CRÉDITO]]</f>
        <v>-76.37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S</v>
      </c>
      <c r="E99" s="2">
        <f>IF($I99="","",COUNTIFS(Tab_00.Trial[CONTA],$I99))</f>
        <v>1</v>
      </c>
      <c r="F99" s="4">
        <f>SUMIFS(Tab_04.Abr[SALDO
ATUAL],Tab_04.Abr[CONTA],$I99)</f>
        <v>-1193079.8400000001</v>
      </c>
      <c r="G99" s="4">
        <f t="shared" si="4"/>
        <v>0</v>
      </c>
      <c r="H99">
        <v>20390</v>
      </c>
      <c r="I99" s="3" t="s">
        <v>218</v>
      </c>
      <c r="J99" s="3" t="s">
        <v>660</v>
      </c>
      <c r="K99" s="4">
        <v>-1193079.8400000001</v>
      </c>
      <c r="L99" s="4">
        <v>491225.47</v>
      </c>
      <c r="M99" s="4">
        <v>338973.52</v>
      </c>
      <c r="N99" s="4">
        <v>-1040827.89</v>
      </c>
      <c r="O99" s="4">
        <f>Tab_05.Mai[[#This Row],[DÉBITO]]-Tab_05.Mai[[#This Row],[CRÉDITO]]</f>
        <v>152251.95000000001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S</v>
      </c>
      <c r="E100" s="2">
        <f>IF($I100="","",COUNTIFS(Tab_00.Trial[CONTA],$I100))</f>
        <v>1</v>
      </c>
      <c r="F100" s="4">
        <f>SUMIFS(Tab_04.Abr[SALDO
ATUAL],Tab_04.Abr[CONTA],$I100)</f>
        <v>-443731.25</v>
      </c>
      <c r="G100" s="4">
        <f t="shared" si="4"/>
        <v>0</v>
      </c>
      <c r="H100">
        <v>20405</v>
      </c>
      <c r="I100" s="3" t="s">
        <v>219</v>
      </c>
      <c r="J100" s="3" t="s">
        <v>56</v>
      </c>
      <c r="K100" s="4">
        <v>-443731.25</v>
      </c>
      <c r="L100" s="4">
        <v>491225.47</v>
      </c>
      <c r="M100" s="4">
        <v>132025.5</v>
      </c>
      <c r="N100" s="4">
        <v>-84531.28</v>
      </c>
      <c r="O100" s="4">
        <f>Tab_05.Mai[[#This Row],[DÉBITO]]-Tab_05.Mai[[#This Row],[CRÉDITO]]</f>
        <v>359199.97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A</v>
      </c>
      <c r="E101" s="2">
        <f>IF($I101="","",COUNTIFS(Tab_00.Trial[CONTA],$I101))</f>
        <v>1</v>
      </c>
      <c r="F101" s="4">
        <f>SUMIFS(Tab_04.Abr[SALDO
ATUAL],Tab_04.Abr[CONTA],$I101)</f>
        <v>-443731.25</v>
      </c>
      <c r="G101" s="4">
        <f t="shared" si="4"/>
        <v>0</v>
      </c>
      <c r="H101">
        <v>20420</v>
      </c>
      <c r="I101" s="3" t="s">
        <v>344</v>
      </c>
      <c r="J101" s="3" t="s">
        <v>56</v>
      </c>
      <c r="K101" s="4">
        <v>-443731.25</v>
      </c>
      <c r="L101" s="4">
        <v>491225.47</v>
      </c>
      <c r="M101" s="4">
        <v>132025.5</v>
      </c>
      <c r="N101" s="4">
        <v>-84531.28</v>
      </c>
      <c r="O101" s="4">
        <f>Tab_05.Mai[[#This Row],[DÉBITO]]-Tab_05.Mai[[#This Row],[CRÉDITO]]</f>
        <v>359199.97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S</v>
      </c>
      <c r="E102" s="2">
        <f>IF($I102="","",COUNTIFS(Tab_00.Trial[CONTA],$I102))</f>
        <v>1</v>
      </c>
      <c r="F102" s="4">
        <f>SUMIFS(Tab_04.Abr[SALDO
ATUAL],Tab_04.Abr[CONTA],$I102)</f>
        <v>-749348.59</v>
      </c>
      <c r="G102" s="4">
        <f t="shared" si="4"/>
        <v>0</v>
      </c>
      <c r="H102">
        <v>20455</v>
      </c>
      <c r="I102" s="3" t="s">
        <v>220</v>
      </c>
      <c r="J102" s="3" t="s">
        <v>346</v>
      </c>
      <c r="K102" s="4">
        <v>-749348.59</v>
      </c>
      <c r="L102" s="4">
        <v>0</v>
      </c>
      <c r="M102" s="4">
        <v>206948.02</v>
      </c>
      <c r="N102" s="4">
        <v>-956296.61</v>
      </c>
      <c r="O102" s="4">
        <f>Tab_05.Mai[[#This Row],[DÉBITO]]-Tab_05.Mai[[#This Row],[CRÉDITO]]</f>
        <v>-206948.02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A</v>
      </c>
      <c r="E103" s="2">
        <f>IF($I103="","",COUNTIFS(Tab_00.Trial[CONTA],$I103))</f>
        <v>1</v>
      </c>
      <c r="F103" s="4">
        <f>SUMIFS(Tab_04.Abr[SALDO
ATUAL],Tab_04.Abr[CONTA],$I103)</f>
        <v>-749348.59</v>
      </c>
      <c r="G103" s="4">
        <f t="shared" si="4"/>
        <v>0</v>
      </c>
      <c r="H103">
        <v>20460</v>
      </c>
      <c r="I103" s="3" t="s">
        <v>345</v>
      </c>
      <c r="J103" s="3" t="s">
        <v>346</v>
      </c>
      <c r="K103" s="4">
        <v>-749348.59</v>
      </c>
      <c r="L103" s="4">
        <v>0</v>
      </c>
      <c r="M103" s="4">
        <v>206948.02</v>
      </c>
      <c r="N103" s="4">
        <v>-956296.61</v>
      </c>
      <c r="O103" s="4">
        <f>Tab_05.Mai[[#This Row],[DÉBITO]]-Tab_05.Mai[[#This Row],[CRÉDITO]]</f>
        <v>-206948.02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S</v>
      </c>
      <c r="E104" s="2">
        <f>IF($I104="","",COUNTIFS(Tab_00.Trial[CONTA],$I104))</f>
        <v>1</v>
      </c>
      <c r="F104" s="4">
        <f>SUMIFS(Tab_04.Abr[SALDO
ATUAL],Tab_04.Abr[CONTA],$I104)</f>
        <v>-18439.41</v>
      </c>
      <c r="G104" s="4">
        <f t="shared" si="4"/>
        <v>0</v>
      </c>
      <c r="H104">
        <v>20465</v>
      </c>
      <c r="I104" s="3" t="s">
        <v>221</v>
      </c>
      <c r="J104" s="3" t="s">
        <v>661</v>
      </c>
      <c r="K104" s="4">
        <v>-18439.41</v>
      </c>
      <c r="L104" s="4">
        <v>19820.3</v>
      </c>
      <c r="M104" s="4">
        <v>18769.16</v>
      </c>
      <c r="N104" s="4">
        <v>-17388.27</v>
      </c>
      <c r="O104" s="4">
        <f>Tab_05.Mai[[#This Row],[DÉBITO]]-Tab_05.Mai[[#This Row],[CRÉDITO]]</f>
        <v>1051.1400000000001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S</v>
      </c>
      <c r="E105" s="2">
        <f>IF($I105="","",COUNTIFS(Tab_00.Trial[CONTA],$I105))</f>
        <v>1</v>
      </c>
      <c r="F105" s="4">
        <f>SUMIFS(Tab_04.Abr[SALDO
ATUAL],Tab_04.Abr[CONTA],$I105)</f>
        <v>-18439.41</v>
      </c>
      <c r="G105" s="4">
        <f t="shared" si="4"/>
        <v>0</v>
      </c>
      <c r="H105">
        <v>20480</v>
      </c>
      <c r="I105" s="3" t="s">
        <v>222</v>
      </c>
      <c r="J105" s="3" t="s">
        <v>662</v>
      </c>
      <c r="K105" s="4">
        <v>-18439.41</v>
      </c>
      <c r="L105" s="4">
        <v>19820.3</v>
      </c>
      <c r="M105" s="4">
        <v>18769.16</v>
      </c>
      <c r="N105" s="4">
        <v>-17388.27</v>
      </c>
      <c r="O105" s="4">
        <f>Tab_05.Mai[[#This Row],[DÉBITO]]-Tab_05.Mai[[#This Row],[CRÉDITO]]</f>
        <v>1051.1400000000001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A</v>
      </c>
      <c r="E106" s="2">
        <f>IF($I106="","",COUNTIFS(Tab_00.Trial[CONTA],$I106))</f>
        <v>1</v>
      </c>
      <c r="F106" s="4">
        <f>SUMIFS(Tab_04.Abr[SALDO
ATUAL],Tab_04.Abr[CONTA],$I106)</f>
        <v>-555.79999999999995</v>
      </c>
      <c r="G106" s="4">
        <f t="shared" si="4"/>
        <v>0</v>
      </c>
      <c r="H106">
        <v>20495</v>
      </c>
      <c r="I106" s="3" t="s">
        <v>191</v>
      </c>
      <c r="J106" s="3" t="s">
        <v>347</v>
      </c>
      <c r="K106" s="4">
        <v>-555.79999999999995</v>
      </c>
      <c r="L106" s="4">
        <v>722.06</v>
      </c>
      <c r="M106" s="4">
        <v>583.54</v>
      </c>
      <c r="N106" s="4">
        <v>-417.28</v>
      </c>
      <c r="O106" s="4">
        <f>Tab_05.Mai[[#This Row],[DÉBITO]]-Tab_05.Mai[[#This Row],[CRÉDITO]]</f>
        <v>138.52000000000001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A</v>
      </c>
      <c r="E107" s="2">
        <f>IF($I107="","",COUNTIFS(Tab_00.Trial[CONTA],$I107))</f>
        <v>1</v>
      </c>
      <c r="F107" s="4">
        <f>SUMIFS(Tab_04.Abr[SALDO
ATUAL],Tab_04.Abr[CONTA],$I107)</f>
        <v>-15492.44</v>
      </c>
      <c r="G107" s="4">
        <f t="shared" si="4"/>
        <v>0</v>
      </c>
      <c r="H107">
        <v>20510</v>
      </c>
      <c r="I107" s="3" t="s">
        <v>192</v>
      </c>
      <c r="J107" s="3" t="s">
        <v>348</v>
      </c>
      <c r="K107" s="4">
        <v>-15492.44</v>
      </c>
      <c r="L107" s="4">
        <v>15492.44</v>
      </c>
      <c r="M107" s="4">
        <v>15450.8</v>
      </c>
      <c r="N107" s="4">
        <v>-15450.8</v>
      </c>
      <c r="O107" s="4">
        <f>Tab_05.Mai[[#This Row],[DÉBITO]]-Tab_05.Mai[[#This Row],[CRÉDITO]]</f>
        <v>41.64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A</v>
      </c>
      <c r="E108" s="2">
        <f>IF($I108="","",COUNTIFS(Tab_00.Trial[CONTA],$I108))</f>
        <v>1</v>
      </c>
      <c r="F108" s="4">
        <f>SUMIFS(Tab_04.Abr[SALDO
ATUAL],Tab_04.Abr[CONTA],$I108)</f>
        <v>-120.94</v>
      </c>
      <c r="G108" s="4">
        <f t="shared" si="4"/>
        <v>0</v>
      </c>
      <c r="H108">
        <v>20515</v>
      </c>
      <c r="I108" s="3" t="s">
        <v>264</v>
      </c>
      <c r="J108" s="3" t="s">
        <v>349</v>
      </c>
      <c r="K108" s="4">
        <v>-120.94</v>
      </c>
      <c r="L108" s="4">
        <v>134.13999999999999</v>
      </c>
      <c r="M108" s="4">
        <v>572.5</v>
      </c>
      <c r="N108" s="4">
        <v>-559.29999999999995</v>
      </c>
      <c r="O108" s="4">
        <f>Tab_05.Mai[[#This Row],[DÉBITO]]-Tab_05.Mai[[#This Row],[CRÉDITO]]</f>
        <v>-438.36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A</v>
      </c>
      <c r="E109" s="2">
        <f>IF($I109="","",COUNTIFS(Tab_00.Trial[CONTA],$I109))</f>
        <v>1</v>
      </c>
      <c r="F109" s="4">
        <f>SUMIFS(Tab_04.Abr[SALDO
ATUAL],Tab_04.Abr[CONTA],$I109)</f>
        <v>-2247.7800000000002</v>
      </c>
      <c r="G109" s="4">
        <f t="shared" si="4"/>
        <v>0</v>
      </c>
      <c r="H109">
        <v>20525</v>
      </c>
      <c r="I109" s="3" t="s">
        <v>350</v>
      </c>
      <c r="J109" s="3" t="s">
        <v>351</v>
      </c>
      <c r="K109" s="4">
        <v>-2247.7800000000002</v>
      </c>
      <c r="L109" s="4">
        <v>3460.49</v>
      </c>
      <c r="M109" s="4">
        <v>2151.15</v>
      </c>
      <c r="N109" s="4">
        <v>-938.44</v>
      </c>
      <c r="O109" s="4">
        <f>Tab_05.Mai[[#This Row],[DÉBITO]]-Tab_05.Mai[[#This Row],[CRÉDITO]]</f>
        <v>1309.3399999999999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A</v>
      </c>
      <c r="E110" s="2">
        <f>IF($I110="","",COUNTIFS(Tab_00.Trial[CONTA],$I110))</f>
        <v>1</v>
      </c>
      <c r="F110" s="4">
        <f>SUMIFS(Tab_04.Abr[SALDO
ATUAL],Tab_04.Abr[CONTA],$I110)</f>
        <v>-22.45</v>
      </c>
      <c r="G110" s="4">
        <f t="shared" si="4"/>
        <v>0</v>
      </c>
      <c r="H110">
        <v>20540</v>
      </c>
      <c r="I110" s="3" t="s">
        <v>352</v>
      </c>
      <c r="J110" s="3" t="s">
        <v>353</v>
      </c>
      <c r="K110" s="4">
        <v>-22.45</v>
      </c>
      <c r="L110" s="4">
        <v>11.17</v>
      </c>
      <c r="M110" s="4">
        <v>11.17</v>
      </c>
      <c r="N110" s="4">
        <v>-22.45</v>
      </c>
      <c r="O110" s="4">
        <f>Tab_05.Mai[[#This Row],[DÉBITO]]-Tab_05.Mai[[#This Row],[CRÉDITO]]</f>
        <v>0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S</v>
      </c>
      <c r="E111" s="2">
        <f>IF($I111="","",COUNTIFS(Tab_00.Trial[CONTA],$I111))</f>
        <v>1</v>
      </c>
      <c r="F111" s="4">
        <f>SUMIFS(Tab_04.Abr[SALDO
ATUAL],Tab_04.Abr[CONTA],$I111)</f>
        <v>-22727.49</v>
      </c>
      <c r="G111" s="4">
        <f t="shared" si="4"/>
        <v>0</v>
      </c>
      <c r="H111">
        <v>20690</v>
      </c>
      <c r="I111" s="3" t="s">
        <v>224</v>
      </c>
      <c r="J111" s="3" t="s">
        <v>664</v>
      </c>
      <c r="K111" s="4">
        <v>-22727.49</v>
      </c>
      <c r="L111" s="4">
        <v>830.38</v>
      </c>
      <c r="M111" s="4">
        <v>576.4</v>
      </c>
      <c r="N111" s="4">
        <v>-22473.51</v>
      </c>
      <c r="O111" s="4">
        <f>Tab_05.Mai[[#This Row],[DÉBITO]]-Tab_05.Mai[[#This Row],[CRÉDITO]]</f>
        <v>253.98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S</v>
      </c>
      <c r="E112" s="2">
        <f>IF($I112="","",COUNTIFS(Tab_00.Trial[CONTA],$I112))</f>
        <v>1</v>
      </c>
      <c r="F112" s="4">
        <f>SUMIFS(Tab_04.Abr[SALDO
ATUAL],Tab_04.Abr[CONTA],$I112)</f>
        <v>-22727.49</v>
      </c>
      <c r="G112" s="4">
        <f t="shared" si="4"/>
        <v>0</v>
      </c>
      <c r="H112">
        <v>20705</v>
      </c>
      <c r="I112" s="3" t="s">
        <v>225</v>
      </c>
      <c r="J112" s="3" t="s">
        <v>665</v>
      </c>
      <c r="K112" s="4">
        <v>-22727.49</v>
      </c>
      <c r="L112" s="4">
        <v>830.38</v>
      </c>
      <c r="M112" s="4">
        <v>576.4</v>
      </c>
      <c r="N112" s="4">
        <v>-22473.51</v>
      </c>
      <c r="O112" s="4">
        <f>Tab_05.Mai[[#This Row],[DÉBITO]]-Tab_05.Mai[[#This Row],[CRÉDITO]]</f>
        <v>253.98</v>
      </c>
    </row>
    <row r="113" spans="2:15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A</v>
      </c>
      <c r="E113" s="2">
        <f>IF($I113="","",COUNTIFS(Tab_00.Trial[CONTA],$I113))</f>
        <v>1</v>
      </c>
      <c r="F113" s="4">
        <f>SUMIFS(Tab_04.Abr[SALDO
ATUAL],Tab_04.Abr[CONTA],$I113)</f>
        <v>-22727.49</v>
      </c>
      <c r="G113" s="4">
        <f t="shared" si="4"/>
        <v>0</v>
      </c>
      <c r="H113">
        <v>20750</v>
      </c>
      <c r="I113" s="3" t="s">
        <v>356</v>
      </c>
      <c r="J113" s="3" t="s">
        <v>357</v>
      </c>
      <c r="K113" s="4">
        <v>-22727.49</v>
      </c>
      <c r="L113" s="4">
        <v>830.38</v>
      </c>
      <c r="M113" s="4">
        <v>576.4</v>
      </c>
      <c r="N113" s="4">
        <v>-22473.51</v>
      </c>
      <c r="O113" s="4">
        <f>Tab_05.Mai[[#This Row],[DÉBITO]]-Tab_05.Mai[[#This Row],[CRÉDITO]]</f>
        <v>253.98</v>
      </c>
    </row>
    <row r="114" spans="2:15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5</v>
      </c>
      <c r="D114" s="2" t="str">
        <f>_xlfn.XLOOKUP($I114,Tab_00.Trial[CONTA],Tab_00.Trial[S/A],"",0,1)</f>
        <v>S</v>
      </c>
      <c r="E114" s="2">
        <f>IF($I114="","",COUNTIFS(Tab_00.Trial[CONTA],$I114))</f>
        <v>1</v>
      </c>
      <c r="F114" s="4">
        <f>SUMIFS(Tab_04.Abr[SALDO
ATUAL],Tab_04.Abr[CONTA],$I114)</f>
        <v>-3849.2</v>
      </c>
      <c r="G114" s="4">
        <f t="shared" ref="G114:G145" si="5">$F114-$K114</f>
        <v>0</v>
      </c>
      <c r="H114">
        <v>20765</v>
      </c>
      <c r="I114" s="3" t="s">
        <v>564</v>
      </c>
      <c r="J114" s="3" t="s">
        <v>666</v>
      </c>
      <c r="K114" s="4">
        <v>-3849.2</v>
      </c>
      <c r="L114" s="4">
        <v>0</v>
      </c>
      <c r="M114" s="4">
        <v>0</v>
      </c>
      <c r="N114" s="4">
        <v>-3849.2</v>
      </c>
      <c r="O114" s="4">
        <f>Tab_05.Mai[[#This Row],[DÉBITO]]-Tab_05.Mai[[#This Row],[CRÉDITO]]</f>
        <v>0</v>
      </c>
    </row>
    <row r="115" spans="2:15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5</v>
      </c>
      <c r="D115" s="2" t="str">
        <f>_xlfn.XLOOKUP($I115,Tab_00.Trial[CONTA],Tab_00.Trial[S/A],"",0,1)</f>
        <v>S</v>
      </c>
      <c r="E115" s="2">
        <f>IF($I115="","",COUNTIFS(Tab_00.Trial[CONTA],$I115))</f>
        <v>1</v>
      </c>
      <c r="F115" s="4">
        <f>SUMIFS(Tab_04.Abr[SALDO
ATUAL],Tab_04.Abr[CONTA],$I115)</f>
        <v>-3849.2</v>
      </c>
      <c r="G115" s="4">
        <f t="shared" si="5"/>
        <v>0</v>
      </c>
      <c r="H115">
        <v>20780</v>
      </c>
      <c r="I115" s="3" t="s">
        <v>565</v>
      </c>
      <c r="J115" s="3" t="s">
        <v>667</v>
      </c>
      <c r="K115" s="4">
        <v>-3849.2</v>
      </c>
      <c r="L115" s="4">
        <v>0</v>
      </c>
      <c r="M115" s="4">
        <v>0</v>
      </c>
      <c r="N115" s="4">
        <v>-3849.2</v>
      </c>
      <c r="O115" s="4">
        <f>Tab_05.Mai[[#This Row],[DÉBITO]]-Tab_05.Mai[[#This Row],[CRÉDITO]]</f>
        <v>0</v>
      </c>
    </row>
    <row r="116" spans="2:15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5</v>
      </c>
      <c r="D116" s="2" t="str">
        <f>_xlfn.XLOOKUP($I116,Tab_00.Trial[CONTA],Tab_00.Trial[S/A],"",0,1)</f>
        <v>A</v>
      </c>
      <c r="E116" s="2">
        <f>IF($I116="","",COUNTIFS(Tab_00.Trial[CONTA],$I116))</f>
        <v>1</v>
      </c>
      <c r="F116" s="4">
        <f>SUMIFS(Tab_04.Abr[SALDO
ATUAL],Tab_04.Abr[CONTA],$I116)</f>
        <v>-3849.2</v>
      </c>
      <c r="G116" s="4">
        <f t="shared" si="5"/>
        <v>0</v>
      </c>
      <c r="H116">
        <v>20790</v>
      </c>
      <c r="I116" s="3" t="s">
        <v>358</v>
      </c>
      <c r="J116" s="3" t="s">
        <v>359</v>
      </c>
      <c r="K116" s="4">
        <v>-3849.2</v>
      </c>
      <c r="L116" s="4">
        <v>0</v>
      </c>
      <c r="M116" s="4">
        <v>0</v>
      </c>
      <c r="N116" s="4">
        <v>-3849.2</v>
      </c>
      <c r="O116" s="4">
        <f>Tab_05.Mai[[#This Row],[DÉBITO]]-Tab_05.Mai[[#This Row],[CRÉDITO]]</f>
        <v>0</v>
      </c>
    </row>
    <row r="117" spans="2:15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2</v>
      </c>
      <c r="D117" s="2" t="str">
        <f>_xlfn.XLOOKUP($I117,Tab_00.Trial[CONTA],Tab_00.Trial[S/A],"",0,1)</f>
        <v>S</v>
      </c>
      <c r="E117" s="2">
        <f>IF($I117="","",COUNTIFS(Tab_00.Trial[CONTA],$I117))</f>
        <v>1</v>
      </c>
      <c r="F117" s="4">
        <f>SUMIFS(Tab_04.Abr[SALDO
ATUAL],Tab_04.Abr[CONTA],$I117)</f>
        <v>-46934.04</v>
      </c>
      <c r="G117" s="4">
        <f t="shared" si="5"/>
        <v>0</v>
      </c>
      <c r="H117">
        <v>20885</v>
      </c>
      <c r="I117" s="3" t="s">
        <v>226</v>
      </c>
      <c r="J117" s="3" t="s">
        <v>76</v>
      </c>
      <c r="K117" s="4">
        <v>-46934.04</v>
      </c>
      <c r="L117" s="4">
        <v>0</v>
      </c>
      <c r="M117" s="4">
        <v>0</v>
      </c>
      <c r="N117" s="4">
        <v>-46934.04</v>
      </c>
      <c r="O117" s="4">
        <f>Tab_05.Mai[[#This Row],[DÉBITO]]-Tab_05.Mai[[#This Row],[CRÉDITO]]</f>
        <v>0</v>
      </c>
    </row>
    <row r="118" spans="2:15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5</v>
      </c>
      <c r="D118" s="2" t="str">
        <f>_xlfn.XLOOKUP($I118,Tab_00.Trial[CONTA],Tab_00.Trial[S/A],"",0,1)</f>
        <v>S</v>
      </c>
      <c r="E118" s="2">
        <f>IF($I118="","",COUNTIFS(Tab_00.Trial[CONTA],$I118))</f>
        <v>1</v>
      </c>
      <c r="F118" s="4">
        <f>SUMIFS(Tab_04.Abr[SALDO
ATUAL],Tab_04.Abr[CONTA],$I118)</f>
        <v>-46934.04</v>
      </c>
      <c r="G118" s="4">
        <f t="shared" si="5"/>
        <v>0</v>
      </c>
      <c r="H118">
        <v>21110</v>
      </c>
      <c r="I118" s="3" t="s">
        <v>566</v>
      </c>
      <c r="J118" s="3" t="s">
        <v>668</v>
      </c>
      <c r="K118" s="4">
        <v>-46934.04</v>
      </c>
      <c r="L118" s="4">
        <v>0</v>
      </c>
      <c r="M118" s="4">
        <v>0</v>
      </c>
      <c r="N118" s="4">
        <v>-46934.04</v>
      </c>
      <c r="O118" s="4">
        <f>Tab_05.Mai[[#This Row],[DÉBITO]]-Tab_05.Mai[[#This Row],[CRÉDITO]]</f>
        <v>0</v>
      </c>
    </row>
    <row r="119" spans="2:15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5</v>
      </c>
      <c r="D119" s="2" t="str">
        <f>_xlfn.XLOOKUP($I119,Tab_00.Trial[CONTA],Tab_00.Trial[S/A],"",0,1)</f>
        <v>S</v>
      </c>
      <c r="E119" s="2">
        <f>IF($I119="","",COUNTIFS(Tab_00.Trial[CONTA],$I119))</f>
        <v>1</v>
      </c>
      <c r="F119" s="4">
        <f>SUMIFS(Tab_04.Abr[SALDO
ATUAL],Tab_04.Abr[CONTA],$I119)</f>
        <v>-46934.04</v>
      </c>
      <c r="G119" s="4">
        <f t="shared" si="5"/>
        <v>0</v>
      </c>
      <c r="H119">
        <v>21125</v>
      </c>
      <c r="I119" s="3" t="s">
        <v>567</v>
      </c>
      <c r="J119" s="3" t="s">
        <v>669</v>
      </c>
      <c r="K119" s="4">
        <v>-46934.04</v>
      </c>
      <c r="L119" s="4">
        <v>0</v>
      </c>
      <c r="M119" s="4">
        <v>0</v>
      </c>
      <c r="N119" s="4">
        <v>-46934.04</v>
      </c>
      <c r="O119" s="4">
        <f>Tab_05.Mai[[#This Row],[DÉBITO]]-Tab_05.Mai[[#This Row],[CRÉDITO]]</f>
        <v>0</v>
      </c>
    </row>
    <row r="120" spans="2:15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5</v>
      </c>
      <c r="D120" s="2" t="str">
        <f>_xlfn.XLOOKUP($I120,Tab_00.Trial[CONTA],Tab_00.Trial[S/A],"",0,1)</f>
        <v>A</v>
      </c>
      <c r="E120" s="2">
        <f>IF($I120="","",COUNTIFS(Tab_00.Trial[CONTA],$I120))</f>
        <v>1</v>
      </c>
      <c r="F120" s="4">
        <f>SUMIFS(Tab_04.Abr[SALDO
ATUAL],Tab_04.Abr[CONTA],$I120)</f>
        <v>-31934.04</v>
      </c>
      <c r="G120" s="4">
        <f t="shared" si="5"/>
        <v>0</v>
      </c>
      <c r="H120">
        <v>21170</v>
      </c>
      <c r="I120" s="3" t="s">
        <v>360</v>
      </c>
      <c r="J120" s="3" t="s">
        <v>361</v>
      </c>
      <c r="K120" s="4">
        <v>-31934.04</v>
      </c>
      <c r="L120" s="4">
        <v>0</v>
      </c>
      <c r="M120" s="4">
        <v>0</v>
      </c>
      <c r="N120" s="4">
        <v>-31934.04</v>
      </c>
      <c r="O120" s="4">
        <f>Tab_05.Mai[[#This Row],[DÉBITO]]-Tab_05.Mai[[#This Row],[CRÉDITO]]</f>
        <v>0</v>
      </c>
    </row>
    <row r="121" spans="2:15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5</v>
      </c>
      <c r="D121" s="2" t="str">
        <f>_xlfn.XLOOKUP($I121,Tab_00.Trial[CONTA],Tab_00.Trial[S/A],"",0,1)</f>
        <v>A</v>
      </c>
      <c r="E121" s="2">
        <f>IF($I121="","",COUNTIFS(Tab_00.Trial[CONTA],$I121))</f>
        <v>1</v>
      </c>
      <c r="F121" s="4">
        <f>SUMIFS(Tab_04.Abr[SALDO
ATUAL],Tab_04.Abr[CONTA],$I121)</f>
        <v>-15000</v>
      </c>
      <c r="G121" s="4">
        <f t="shared" si="5"/>
        <v>0</v>
      </c>
      <c r="H121">
        <v>21185</v>
      </c>
      <c r="I121" s="3" t="s">
        <v>362</v>
      </c>
      <c r="J121" s="3" t="s">
        <v>363</v>
      </c>
      <c r="K121" s="4">
        <v>-15000</v>
      </c>
      <c r="L121" s="4">
        <v>0</v>
      </c>
      <c r="M121" s="4">
        <v>0</v>
      </c>
      <c r="N121" s="4">
        <v>-15000</v>
      </c>
      <c r="O121" s="4">
        <f>Tab_05.Mai[[#This Row],[DÉBITO]]-Tab_05.Mai[[#This Row],[CRÉDITO]]</f>
        <v>0</v>
      </c>
    </row>
    <row r="122" spans="2:15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2</v>
      </c>
      <c r="D122" s="2" t="str">
        <f>_xlfn.XLOOKUP($I122,Tab_00.Trial[CONTA],Tab_00.Trial[S/A],"",0,1)</f>
        <v>S</v>
      </c>
      <c r="E122" s="2">
        <f>IF($I122="","",COUNTIFS(Tab_00.Trial[CONTA],$I122))</f>
        <v>1</v>
      </c>
      <c r="F122" s="4">
        <f>SUMIFS(Tab_04.Abr[SALDO
ATUAL],Tab_04.Abr[CONTA],$I122)</f>
        <v>-82087967.730000004</v>
      </c>
      <c r="G122" s="4">
        <f t="shared" si="5"/>
        <v>0</v>
      </c>
      <c r="H122">
        <v>21200</v>
      </c>
      <c r="I122" s="3" t="s">
        <v>228</v>
      </c>
      <c r="J122" s="3" t="s">
        <v>670</v>
      </c>
      <c r="K122" s="4">
        <v>-82087967.730000004</v>
      </c>
      <c r="L122" s="4">
        <v>0</v>
      </c>
      <c r="M122" s="4">
        <v>0</v>
      </c>
      <c r="N122" s="4">
        <v>-82087967.730000004</v>
      </c>
      <c r="O122" s="4">
        <f>Tab_05.Mai[[#This Row],[DÉBITO]]-Tab_05.Mai[[#This Row],[CRÉDITO]]</f>
        <v>0</v>
      </c>
    </row>
    <row r="123" spans="2:15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S</v>
      </c>
      <c r="E123" s="2">
        <f>IF($I123="","",COUNTIFS(Tab_00.Trial[CONTA],$I123))</f>
        <v>1</v>
      </c>
      <c r="F123" s="4">
        <f>SUMIFS(Tab_04.Abr[SALDO
ATUAL],Tab_04.Abr[CONTA],$I123)</f>
        <v>-82087967.730000004</v>
      </c>
      <c r="G123" s="4">
        <f t="shared" si="5"/>
        <v>0</v>
      </c>
      <c r="H123">
        <v>21215</v>
      </c>
      <c r="I123" s="3" t="s">
        <v>229</v>
      </c>
      <c r="J123" s="3" t="s">
        <v>670</v>
      </c>
      <c r="K123" s="4">
        <v>-82087967.730000004</v>
      </c>
      <c r="L123" s="4">
        <v>0</v>
      </c>
      <c r="M123" s="4">
        <v>0</v>
      </c>
      <c r="N123" s="4">
        <v>-82087967.730000004</v>
      </c>
      <c r="O123" s="4">
        <f>Tab_05.Mai[[#This Row],[DÉBITO]]-Tab_05.Mai[[#This Row],[CRÉDITO]]</f>
        <v>0</v>
      </c>
    </row>
    <row r="124" spans="2:15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5</v>
      </c>
      <c r="D124" s="2" t="str">
        <f>_xlfn.XLOOKUP($I124,Tab_00.Trial[CONTA],Tab_00.Trial[S/A],"",0,1)</f>
        <v>S</v>
      </c>
      <c r="E124" s="2">
        <f>IF($I124="","",COUNTIFS(Tab_00.Trial[CONTA],$I124))</f>
        <v>1</v>
      </c>
      <c r="F124" s="4">
        <f>SUMIFS(Tab_04.Abr[SALDO
ATUAL],Tab_04.Abr[CONTA],$I124)</f>
        <v>-104784619.59999999</v>
      </c>
      <c r="G124" s="4">
        <f t="shared" si="5"/>
        <v>0</v>
      </c>
      <c r="H124">
        <v>21230</v>
      </c>
      <c r="I124" s="3" t="s">
        <v>230</v>
      </c>
      <c r="J124" s="3" t="s">
        <v>364</v>
      </c>
      <c r="K124" s="4">
        <v>-104784619.59999999</v>
      </c>
      <c r="L124" s="4">
        <v>0</v>
      </c>
      <c r="M124" s="4">
        <v>0</v>
      </c>
      <c r="N124" s="4">
        <v>-104784619.59999999</v>
      </c>
      <c r="O124" s="4">
        <f>Tab_05.Mai[[#This Row],[DÉBITO]]-Tab_05.Mai[[#This Row],[CRÉDITO]]</f>
        <v>0</v>
      </c>
    </row>
    <row r="125" spans="2:15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5</v>
      </c>
      <c r="D125" s="2" t="str">
        <f>_xlfn.XLOOKUP($I125,Tab_00.Trial[CONTA],Tab_00.Trial[S/A],"",0,1)</f>
        <v>A</v>
      </c>
      <c r="E125" s="2">
        <f>IF($I125="","",COUNTIFS(Tab_00.Trial[CONTA],$I125))</f>
        <v>1</v>
      </c>
      <c r="F125" s="4">
        <f>SUMIFS(Tab_04.Abr[SALDO
ATUAL],Tab_04.Abr[CONTA],$I125)</f>
        <v>-104784619.59999999</v>
      </c>
      <c r="G125" s="4">
        <f t="shared" si="5"/>
        <v>0</v>
      </c>
      <c r="H125">
        <v>21245</v>
      </c>
      <c r="I125" s="3" t="s">
        <v>193</v>
      </c>
      <c r="J125" s="3" t="s">
        <v>364</v>
      </c>
      <c r="K125" s="4">
        <v>-104784619.59999999</v>
      </c>
      <c r="L125" s="4">
        <v>0</v>
      </c>
      <c r="M125" s="4">
        <v>0</v>
      </c>
      <c r="N125" s="4">
        <v>-104784619.59999999</v>
      </c>
      <c r="O125" s="4">
        <f>Tab_05.Mai[[#This Row],[DÉBITO]]-Tab_05.Mai[[#This Row],[CRÉDITO]]</f>
        <v>0</v>
      </c>
    </row>
    <row r="126" spans="2:15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S</v>
      </c>
      <c r="E126" s="2">
        <f>IF($I126="","",COUNTIFS(Tab_00.Trial[CONTA],$I126))</f>
        <v>1</v>
      </c>
      <c r="F126" s="4">
        <f>SUMIFS(Tab_04.Abr[SALDO
ATUAL],Tab_04.Abr[CONTA],$I126)</f>
        <v>32587250.850000001</v>
      </c>
      <c r="G126" s="4">
        <f t="shared" si="5"/>
        <v>0</v>
      </c>
      <c r="H126">
        <v>21305</v>
      </c>
      <c r="I126" s="3" t="s">
        <v>568</v>
      </c>
      <c r="J126" s="3" t="s">
        <v>671</v>
      </c>
      <c r="K126" s="4">
        <v>32587250.850000001</v>
      </c>
      <c r="L126" s="4">
        <v>0</v>
      </c>
      <c r="M126" s="4">
        <v>0</v>
      </c>
      <c r="N126" s="4">
        <v>32587250.850000001</v>
      </c>
      <c r="O126" s="4">
        <f>Tab_05.Mai[[#This Row],[DÉBITO]]-Tab_05.Mai[[#This Row],[CRÉDITO]]</f>
        <v>0</v>
      </c>
    </row>
    <row r="127" spans="2:15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A</v>
      </c>
      <c r="E127" s="2">
        <f>IF($I127="","",COUNTIFS(Tab_00.Trial[CONTA],$I127))</f>
        <v>1</v>
      </c>
      <c r="F127" s="4">
        <f>SUMIFS(Tab_04.Abr[SALDO
ATUAL],Tab_04.Abr[CONTA],$I127)</f>
        <v>-827719.82</v>
      </c>
      <c r="G127" s="4">
        <f t="shared" si="5"/>
        <v>0</v>
      </c>
      <c r="H127">
        <v>21320</v>
      </c>
      <c r="I127" s="3" t="s">
        <v>743</v>
      </c>
      <c r="J127" s="3" t="s">
        <v>744</v>
      </c>
      <c r="K127" s="4">
        <v>-827719.82</v>
      </c>
      <c r="L127" s="4">
        <v>0</v>
      </c>
      <c r="M127" s="4">
        <v>0</v>
      </c>
      <c r="N127" s="4">
        <v>-827719.82</v>
      </c>
      <c r="O127" s="4">
        <f>Tab_05.Mai[[#This Row],[DÉBITO]]-Tab_05.Mai[[#This Row],[CRÉDITO]]</f>
        <v>0</v>
      </c>
    </row>
    <row r="128" spans="2:15" x14ac:dyDescent="0.3">
      <c r="B128" s="2" t="str">
        <f>_xlfn.XLOOKUP($I128,Tab_00.Trial[CONTA],Tab_00.Trial[TP],"",0,1)</f>
        <v>P</v>
      </c>
      <c r="C128" s="2">
        <f>_xlfn.XLOOKUP($I128,Tab_00.Trial[CONTA],Tab_00.Trial[NV],"",0,1)</f>
        <v>5</v>
      </c>
      <c r="D128" s="2" t="str">
        <f>_xlfn.XLOOKUP($I128,Tab_00.Trial[CONTA],Tab_00.Trial[S/A],"",0,1)</f>
        <v>A</v>
      </c>
      <c r="E128" s="2">
        <f>IF($I128="","",COUNTIFS(Tab_00.Trial[CONTA],$I128))</f>
        <v>1</v>
      </c>
      <c r="F128" s="4">
        <f>SUMIFS(Tab_04.Abr[SALDO
ATUAL],Tab_04.Abr[CONTA],$I128)</f>
        <v>33414970.670000002</v>
      </c>
      <c r="G128" s="4">
        <f t="shared" si="5"/>
        <v>0</v>
      </c>
      <c r="H128">
        <v>21335</v>
      </c>
      <c r="I128" s="3" t="s">
        <v>365</v>
      </c>
      <c r="J128" s="3" t="s">
        <v>366</v>
      </c>
      <c r="K128" s="4">
        <v>33414970.670000002</v>
      </c>
      <c r="L128" s="4">
        <v>0</v>
      </c>
      <c r="M128" s="4">
        <v>0</v>
      </c>
      <c r="N128" s="4">
        <v>33414970.670000002</v>
      </c>
      <c r="O128" s="4">
        <f>Tab_05.Mai[[#This Row],[DÉBITO]]-Tab_05.Mai[[#This Row],[CRÉDITO]]</f>
        <v>0</v>
      </c>
    </row>
    <row r="129" spans="2:15" x14ac:dyDescent="0.3">
      <c r="B129" s="2" t="str">
        <f>_xlfn.XLOOKUP($I129,Tab_00.Trial[CONTA],Tab_00.Trial[TP],"",0,1)</f>
        <v>P</v>
      </c>
      <c r="C129" s="2">
        <f>_xlfn.XLOOKUP($I129,Tab_00.Trial[CONTA],Tab_00.Trial[NV],"",0,1)</f>
        <v>5</v>
      </c>
      <c r="D129" s="2" t="str">
        <f>_xlfn.XLOOKUP($I129,Tab_00.Trial[CONTA],Tab_00.Trial[S/A],"",0,1)</f>
        <v>S</v>
      </c>
      <c r="E129" s="2">
        <f>IF($I129="","",COUNTIFS(Tab_00.Trial[CONTA],$I129))</f>
        <v>1</v>
      </c>
      <c r="F129" s="4">
        <f>SUMIFS(Tab_04.Abr[SALDO
ATUAL],Tab_04.Abr[CONTA],$I129)</f>
        <v>-9890598.9800000004</v>
      </c>
      <c r="G129" s="4">
        <f t="shared" si="5"/>
        <v>0</v>
      </c>
      <c r="H129">
        <v>21350</v>
      </c>
      <c r="I129" s="3" t="s">
        <v>745</v>
      </c>
      <c r="J129" s="3" t="s">
        <v>746</v>
      </c>
      <c r="K129" s="4">
        <v>-9890598.9800000004</v>
      </c>
      <c r="L129" s="4">
        <v>0</v>
      </c>
      <c r="M129" s="4">
        <v>0</v>
      </c>
      <c r="N129" s="4">
        <v>-9890598.9800000004</v>
      </c>
      <c r="O129" s="4">
        <f>Tab_05.Mai[[#This Row],[DÉBITO]]-Tab_05.Mai[[#This Row],[CRÉDITO]]</f>
        <v>0</v>
      </c>
    </row>
    <row r="130" spans="2:15" x14ac:dyDescent="0.3">
      <c r="B130" s="2" t="str">
        <f>_xlfn.XLOOKUP($I130,Tab_00.Trial[CONTA],Tab_00.Trial[TP],"",0,1)</f>
        <v>P</v>
      </c>
      <c r="C130" s="2">
        <f>_xlfn.XLOOKUP($I130,Tab_00.Trial[CONTA],Tab_00.Trial[NV],"",0,1)</f>
        <v>5</v>
      </c>
      <c r="D130" s="2" t="str">
        <f>_xlfn.XLOOKUP($I130,Tab_00.Trial[CONTA],Tab_00.Trial[S/A],"",0,1)</f>
        <v>A</v>
      </c>
      <c r="E130" s="2">
        <f>IF($I130="","",COUNTIFS(Tab_00.Trial[CONTA],$I130))</f>
        <v>1</v>
      </c>
      <c r="F130" s="4">
        <f>SUMIFS(Tab_04.Abr[SALDO
ATUAL],Tab_04.Abr[CONTA],$I130)</f>
        <v>-9890598.9800000004</v>
      </c>
      <c r="G130" s="4">
        <f t="shared" si="5"/>
        <v>0</v>
      </c>
      <c r="H130">
        <v>21365</v>
      </c>
      <c r="I130" s="3" t="s">
        <v>747</v>
      </c>
      <c r="J130" s="3" t="s">
        <v>746</v>
      </c>
      <c r="K130" s="4">
        <v>-9890598.9800000004</v>
      </c>
      <c r="L130" s="4">
        <v>0</v>
      </c>
      <c r="M130" s="4">
        <v>0</v>
      </c>
      <c r="N130" s="4">
        <v>-9890598.9800000004</v>
      </c>
      <c r="O130" s="4">
        <f>Tab_05.Mai[[#This Row],[DÉBITO]]-Tab_05.Mai[[#This Row],[CRÉDITO]]</f>
        <v>0</v>
      </c>
    </row>
    <row r="131" spans="2:15" x14ac:dyDescent="0.3">
      <c r="B131" s="2" t="str">
        <f>_xlfn.XLOOKUP($I131,Tab_00.Trial[CONTA],Tab_00.Trial[TP],"",0,1)</f>
        <v>R</v>
      </c>
      <c r="C131" s="2">
        <f>_xlfn.XLOOKUP($I131,Tab_00.Trial[CONTA],Tab_00.Trial[NV],"",0,1)</f>
        <v>1</v>
      </c>
      <c r="D131" s="2" t="str">
        <f>_xlfn.XLOOKUP($I131,Tab_00.Trial[CONTA],Tab_00.Trial[S/A],"",0,1)</f>
        <v>S</v>
      </c>
      <c r="E131" s="2">
        <f>IF($I131="","",COUNTIFS(Tab_00.Trial[CONTA],$I131))</f>
        <v>1</v>
      </c>
      <c r="F131" s="4">
        <f>SUMIFS(Tab_04.Abr[SALDO
ATUAL],Tab_04.Abr[CONTA],$I131)</f>
        <v>-4786345.3099999996</v>
      </c>
      <c r="G131" s="4">
        <f t="shared" si="5"/>
        <v>0</v>
      </c>
      <c r="H131">
        <v>30000</v>
      </c>
      <c r="I131" s="3">
        <v>3</v>
      </c>
      <c r="J131" s="3" t="s">
        <v>672</v>
      </c>
      <c r="K131" s="4">
        <v>-4786345.3099999996</v>
      </c>
      <c r="L131" s="4">
        <v>0</v>
      </c>
      <c r="M131" s="4">
        <v>1538527.4</v>
      </c>
      <c r="N131" s="4">
        <v>-6324872.71</v>
      </c>
      <c r="O131" s="4">
        <f>Tab_05.Mai[[#This Row],[DÉBITO]]-Tab_05.Mai[[#This Row],[CRÉDITO]]</f>
        <v>-1538527.4</v>
      </c>
    </row>
    <row r="132" spans="2:15" x14ac:dyDescent="0.3">
      <c r="B132" s="2" t="str">
        <f>_xlfn.XLOOKUP($I132,Tab_00.Trial[CONTA],Tab_00.Trial[TP],"",0,1)</f>
        <v>R</v>
      </c>
      <c r="C132" s="2">
        <f>_xlfn.XLOOKUP($I132,Tab_00.Trial[CONTA],Tab_00.Trial[NV],"",0,1)</f>
        <v>2</v>
      </c>
      <c r="D132" s="2" t="str">
        <f>_xlfn.XLOOKUP($I132,Tab_00.Trial[CONTA],Tab_00.Trial[S/A],"",0,1)</f>
        <v>S</v>
      </c>
      <c r="E132" s="2">
        <f>IF($I132="","",COUNTIFS(Tab_00.Trial[CONTA],$I132))</f>
        <v>1</v>
      </c>
      <c r="F132" s="4">
        <f>SUMIFS(Tab_04.Abr[SALDO
ATUAL],Tab_04.Abr[CONTA],$I132)</f>
        <v>-2339734.73</v>
      </c>
      <c r="G132" s="4">
        <f t="shared" si="5"/>
        <v>0</v>
      </c>
      <c r="H132">
        <v>30030</v>
      </c>
      <c r="I132" s="3" t="s">
        <v>231</v>
      </c>
      <c r="J132" s="3" t="s">
        <v>673</v>
      </c>
      <c r="K132" s="4">
        <v>-2339734.73</v>
      </c>
      <c r="L132" s="4">
        <v>0</v>
      </c>
      <c r="M132" s="4">
        <v>758787.94</v>
      </c>
      <c r="N132" s="4">
        <v>-3098522.67</v>
      </c>
      <c r="O132" s="4">
        <f>Tab_05.Mai[[#This Row],[DÉBITO]]-Tab_05.Mai[[#This Row],[CRÉDITO]]</f>
        <v>-758787.94</v>
      </c>
    </row>
    <row r="133" spans="2:15" x14ac:dyDescent="0.3">
      <c r="B133" s="2" t="str">
        <f>_xlfn.XLOOKUP($I133,Tab_00.Trial[CONTA],Tab_00.Trial[TP],"",0,1)</f>
        <v>R</v>
      </c>
      <c r="C133" s="2">
        <f>_xlfn.XLOOKUP($I133,Tab_00.Trial[CONTA],Tab_00.Trial[NV],"",0,1)</f>
        <v>5</v>
      </c>
      <c r="D133" s="2" t="str">
        <f>_xlfn.XLOOKUP($I133,Tab_00.Trial[CONTA],Tab_00.Trial[S/A],"",0,1)</f>
        <v>S</v>
      </c>
      <c r="E133" s="2">
        <f>IF($I133="","",COUNTIFS(Tab_00.Trial[CONTA],$I133))</f>
        <v>1</v>
      </c>
      <c r="F133" s="4">
        <f>SUMIFS(Tab_04.Abr[SALDO
ATUAL],Tab_04.Abr[CONTA],$I133)</f>
        <v>-1377371.76</v>
      </c>
      <c r="G133" s="4">
        <f t="shared" si="5"/>
        <v>0</v>
      </c>
      <c r="H133">
        <v>30045</v>
      </c>
      <c r="I133" s="3" t="s">
        <v>232</v>
      </c>
      <c r="J133" s="3" t="s">
        <v>674</v>
      </c>
      <c r="K133" s="4">
        <v>-1377371.76</v>
      </c>
      <c r="L133" s="4">
        <v>0</v>
      </c>
      <c r="M133" s="4">
        <v>470540.5</v>
      </c>
      <c r="N133" s="4">
        <v>-1847912.26</v>
      </c>
      <c r="O133" s="4">
        <f>Tab_05.Mai[[#This Row],[DÉBITO]]-Tab_05.Mai[[#This Row],[CRÉDITO]]</f>
        <v>-470540.5</v>
      </c>
    </row>
    <row r="134" spans="2:15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5</v>
      </c>
      <c r="D134" s="2" t="str">
        <f>_xlfn.XLOOKUP($I134,Tab_00.Trial[CONTA],Tab_00.Trial[S/A],"",0,1)</f>
        <v>S</v>
      </c>
      <c r="E134" s="2">
        <f>IF($I134="","",COUNTIFS(Tab_00.Trial[CONTA],$I134))</f>
        <v>1</v>
      </c>
      <c r="F134" s="4">
        <f>SUMIFS(Tab_04.Abr[SALDO
ATUAL],Tab_04.Abr[CONTA],$I134)</f>
        <v>-514787.48</v>
      </c>
      <c r="G134" s="4">
        <f t="shared" si="5"/>
        <v>0</v>
      </c>
      <c r="H134">
        <v>30470</v>
      </c>
      <c r="I134" s="3" t="s">
        <v>233</v>
      </c>
      <c r="J134" s="3" t="s">
        <v>675</v>
      </c>
      <c r="K134" s="4">
        <v>-514787.48</v>
      </c>
      <c r="L134" s="4">
        <v>0</v>
      </c>
      <c r="M134" s="4">
        <v>137859.68</v>
      </c>
      <c r="N134" s="4">
        <v>-652647.16</v>
      </c>
      <c r="O134" s="4">
        <f>Tab_05.Mai[[#This Row],[DÉBITO]]-Tab_05.Mai[[#This Row],[CRÉDITO]]</f>
        <v>-137859.68</v>
      </c>
    </row>
    <row r="135" spans="2:15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5</v>
      </c>
      <c r="D135" s="2" t="str">
        <f>_xlfn.XLOOKUP($I135,Tab_00.Trial[CONTA],Tab_00.Trial[S/A],"",0,1)</f>
        <v>A</v>
      </c>
      <c r="E135" s="2">
        <f>IF($I135="","",COUNTIFS(Tab_00.Trial[CONTA],$I135))</f>
        <v>1</v>
      </c>
      <c r="F135" s="4">
        <f>SUMIFS(Tab_04.Abr[SALDO
ATUAL],Tab_04.Abr[CONTA],$I135)</f>
        <v>-514787.48</v>
      </c>
      <c r="G135" s="4">
        <f t="shared" si="5"/>
        <v>0</v>
      </c>
      <c r="H135">
        <v>30471</v>
      </c>
      <c r="I135" s="3" t="s">
        <v>194</v>
      </c>
      <c r="J135" s="3" t="s">
        <v>367</v>
      </c>
      <c r="K135" s="4">
        <v>-514787.48</v>
      </c>
      <c r="L135" s="4">
        <v>0</v>
      </c>
      <c r="M135" s="4">
        <v>137859.68</v>
      </c>
      <c r="N135" s="4">
        <v>-652647.16</v>
      </c>
      <c r="O135" s="4">
        <f>Tab_05.Mai[[#This Row],[DÉBITO]]-Tab_05.Mai[[#This Row],[CRÉDITO]]</f>
        <v>-137859.68</v>
      </c>
    </row>
    <row r="136" spans="2:15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S</v>
      </c>
      <c r="E136" s="2">
        <f>IF($I136="","",COUNTIFS(Tab_00.Trial[CONTA],$I136))</f>
        <v>1</v>
      </c>
      <c r="F136" s="4">
        <f>SUMIFS(Tab_04.Abr[SALDO
ATUAL],Tab_04.Abr[CONTA],$I136)</f>
        <v>-862584.28</v>
      </c>
      <c r="G136" s="4">
        <f t="shared" si="5"/>
        <v>0</v>
      </c>
      <c r="H136">
        <v>30475</v>
      </c>
      <c r="I136" s="3" t="s">
        <v>735</v>
      </c>
      <c r="J136" s="3" t="s">
        <v>736</v>
      </c>
      <c r="K136" s="4">
        <v>-862584.28</v>
      </c>
      <c r="L136" s="4">
        <v>0</v>
      </c>
      <c r="M136" s="4">
        <v>332680.82</v>
      </c>
      <c r="N136" s="4">
        <v>-1195265.1000000001</v>
      </c>
      <c r="O136" s="4">
        <f>Tab_05.Mai[[#This Row],[DÉBITO]]-Tab_05.Mai[[#This Row],[CRÉDITO]]</f>
        <v>-332680.82</v>
      </c>
    </row>
    <row r="137" spans="2:15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A</v>
      </c>
      <c r="E137" s="2">
        <f>IF($I137="","",COUNTIFS(Tab_00.Trial[CONTA],$I137))</f>
        <v>1</v>
      </c>
      <c r="F137" s="4">
        <f>SUMIFS(Tab_04.Abr[SALDO
ATUAL],Tab_04.Abr[CONTA],$I137)</f>
        <v>-862584.28</v>
      </c>
      <c r="G137" s="4">
        <f t="shared" si="5"/>
        <v>0</v>
      </c>
      <c r="H137">
        <v>30476</v>
      </c>
      <c r="I137" s="3" t="s">
        <v>737</v>
      </c>
      <c r="J137" s="3" t="s">
        <v>814</v>
      </c>
      <c r="K137" s="4">
        <v>-862584.28</v>
      </c>
      <c r="L137" s="4">
        <v>0</v>
      </c>
      <c r="M137" s="4">
        <v>332680.82</v>
      </c>
      <c r="N137" s="4">
        <v>-1195265.1000000001</v>
      </c>
      <c r="O137" s="4">
        <f>Tab_05.Mai[[#This Row],[DÉBITO]]-Tab_05.Mai[[#This Row],[CRÉDITO]]</f>
        <v>-332680.82</v>
      </c>
    </row>
    <row r="138" spans="2:15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S</v>
      </c>
      <c r="E138" s="2">
        <f>IF($I138="","",COUNTIFS(Tab_00.Trial[CONTA],$I138))</f>
        <v>1</v>
      </c>
      <c r="F138" s="4">
        <f>SUMIFS(Tab_04.Abr[SALDO
ATUAL],Tab_04.Abr[CONTA],$I138)</f>
        <v>-962362.97</v>
      </c>
      <c r="G138" s="4">
        <f t="shared" si="5"/>
        <v>0</v>
      </c>
      <c r="H138">
        <v>30645</v>
      </c>
      <c r="I138" s="3" t="s">
        <v>569</v>
      </c>
      <c r="J138" s="3" t="s">
        <v>676</v>
      </c>
      <c r="K138" s="4">
        <v>-962362.97</v>
      </c>
      <c r="L138" s="4">
        <v>0</v>
      </c>
      <c r="M138" s="4">
        <v>288247.44</v>
      </c>
      <c r="N138" s="4">
        <v>-1250610.4099999999</v>
      </c>
      <c r="O138" s="4">
        <f>Tab_05.Mai[[#This Row],[DÉBITO]]-Tab_05.Mai[[#This Row],[CRÉDITO]]</f>
        <v>-288247.44</v>
      </c>
    </row>
    <row r="139" spans="2:15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S</v>
      </c>
      <c r="E139" s="2">
        <f>IF($I139="","",COUNTIFS(Tab_00.Trial[CONTA],$I139))</f>
        <v>1</v>
      </c>
      <c r="F139" s="4">
        <f>SUMIFS(Tab_04.Abr[SALDO
ATUAL],Tab_04.Abr[CONTA],$I139)</f>
        <v>-630498.65</v>
      </c>
      <c r="G139" s="4">
        <f t="shared" si="5"/>
        <v>0</v>
      </c>
      <c r="H139">
        <v>30660</v>
      </c>
      <c r="I139" s="3" t="s">
        <v>570</v>
      </c>
      <c r="J139" s="3" t="s">
        <v>677</v>
      </c>
      <c r="K139" s="4">
        <v>-630498.65</v>
      </c>
      <c r="L139" s="4">
        <v>0</v>
      </c>
      <c r="M139" s="4">
        <v>205281.36</v>
      </c>
      <c r="N139" s="4">
        <v>-835780.01</v>
      </c>
      <c r="O139" s="4">
        <f>Tab_05.Mai[[#This Row],[DÉBITO]]-Tab_05.Mai[[#This Row],[CRÉDITO]]</f>
        <v>-205281.36</v>
      </c>
    </row>
    <row r="140" spans="2:15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A</v>
      </c>
      <c r="E140" s="2">
        <f>IF($I140="","",COUNTIFS(Tab_00.Trial[CONTA],$I140))</f>
        <v>1</v>
      </c>
      <c r="F140" s="4">
        <f>SUMIFS(Tab_04.Abr[SALDO
ATUAL],Tab_04.Abr[CONTA],$I140)</f>
        <v>-241930.76</v>
      </c>
      <c r="G140" s="4">
        <f t="shared" si="5"/>
        <v>0</v>
      </c>
      <c r="H140">
        <v>30675</v>
      </c>
      <c r="I140" s="3" t="s">
        <v>368</v>
      </c>
      <c r="J140" s="3" t="s">
        <v>369</v>
      </c>
      <c r="K140" s="4">
        <v>-241930.76</v>
      </c>
      <c r="L140" s="4">
        <v>0</v>
      </c>
      <c r="M140" s="4">
        <v>159244</v>
      </c>
      <c r="N140" s="4">
        <v>-401174.76</v>
      </c>
      <c r="O140" s="4">
        <f>Tab_05.Mai[[#This Row],[DÉBITO]]-Tab_05.Mai[[#This Row],[CRÉDITO]]</f>
        <v>-159244</v>
      </c>
    </row>
    <row r="141" spans="2:15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5</v>
      </c>
      <c r="D141" s="2" t="str">
        <f>_xlfn.XLOOKUP($I141,Tab_00.Trial[CONTA],Tab_00.Trial[S/A],"",0,1)</f>
        <v>A</v>
      </c>
      <c r="E141" s="2">
        <f>IF($I141="","",COUNTIFS(Tab_00.Trial[CONTA],$I141))</f>
        <v>1</v>
      </c>
      <c r="F141" s="4">
        <f>SUMIFS(Tab_04.Abr[SALDO
ATUAL],Tab_04.Abr[CONTA],$I141)</f>
        <v>-236231.01</v>
      </c>
      <c r="G141" s="4">
        <f t="shared" si="5"/>
        <v>0</v>
      </c>
      <c r="H141">
        <v>30690</v>
      </c>
      <c r="I141" s="3" t="s">
        <v>370</v>
      </c>
      <c r="J141" s="3" t="s">
        <v>371</v>
      </c>
      <c r="K141" s="4">
        <v>-236231.01</v>
      </c>
      <c r="L141" s="4">
        <v>0</v>
      </c>
      <c r="M141" s="4">
        <v>34850.67</v>
      </c>
      <c r="N141" s="4">
        <v>-271081.68</v>
      </c>
      <c r="O141" s="4">
        <f>Tab_05.Mai[[#This Row],[DÉBITO]]-Tab_05.Mai[[#This Row],[CRÉDITO]]</f>
        <v>-34850.67</v>
      </c>
    </row>
    <row r="142" spans="2:15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A</v>
      </c>
      <c r="E142" s="2">
        <f>IF($I142="","",COUNTIFS(Tab_00.Trial[CONTA],$I142))</f>
        <v>1</v>
      </c>
      <c r="F142" s="4">
        <f>SUMIFS(Tab_04.Abr[SALDO
ATUAL],Tab_04.Abr[CONTA],$I142)</f>
        <v>-5670.16</v>
      </c>
      <c r="G142" s="4">
        <f t="shared" si="5"/>
        <v>0</v>
      </c>
      <c r="H142">
        <v>30705</v>
      </c>
      <c r="I142" s="3" t="s">
        <v>372</v>
      </c>
      <c r="J142" s="3" t="s">
        <v>373</v>
      </c>
      <c r="K142" s="4">
        <v>-5670.16</v>
      </c>
      <c r="L142" s="4">
        <v>0</v>
      </c>
      <c r="M142" s="4">
        <v>0</v>
      </c>
      <c r="N142" s="4">
        <v>-5670.16</v>
      </c>
      <c r="O142" s="4">
        <f>Tab_05.Mai[[#This Row],[DÉBITO]]-Tab_05.Mai[[#This Row],[CRÉDITO]]</f>
        <v>0</v>
      </c>
    </row>
    <row r="143" spans="2:15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A</v>
      </c>
      <c r="E143" s="2">
        <f>IF($I143="","",COUNTIFS(Tab_00.Trial[CONTA],$I143))</f>
        <v>1</v>
      </c>
      <c r="F143" s="4">
        <f>SUMIFS(Tab_04.Abr[SALDO
ATUAL],Tab_04.Abr[CONTA],$I143)</f>
        <v>-89524.57</v>
      </c>
      <c r="G143" s="4">
        <f t="shared" si="5"/>
        <v>0</v>
      </c>
      <c r="H143">
        <v>30710</v>
      </c>
      <c r="I143" s="3" t="s">
        <v>845</v>
      </c>
      <c r="J143" s="3" t="s">
        <v>846</v>
      </c>
      <c r="K143" s="4">
        <v>-89524.57</v>
      </c>
      <c r="L143" s="4">
        <v>0</v>
      </c>
      <c r="M143" s="4">
        <v>0</v>
      </c>
      <c r="N143" s="4">
        <v>-89524.57</v>
      </c>
      <c r="O143" s="4">
        <f>Tab_05.Mai[[#This Row],[DÉBITO]]-Tab_05.Mai[[#This Row],[CRÉDITO]]</f>
        <v>0</v>
      </c>
    </row>
    <row r="144" spans="2:15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5</v>
      </c>
      <c r="D144" s="2" t="str">
        <f>_xlfn.XLOOKUP($I144,Tab_00.Trial[CONTA],Tab_00.Trial[S/A],"",0,1)</f>
        <v>A</v>
      </c>
      <c r="E144" s="2">
        <f>IF($I144="","",COUNTIFS(Tab_00.Trial[CONTA],$I144))</f>
        <v>1</v>
      </c>
      <c r="F144" s="4">
        <f>SUMIFS(Tab_04.Abr[SALDO
ATUAL],Tab_04.Abr[CONTA],$I144)</f>
        <v>-57142.15</v>
      </c>
      <c r="G144" s="4">
        <f t="shared" si="5"/>
        <v>0</v>
      </c>
      <c r="H144">
        <v>10895</v>
      </c>
      <c r="I144" s="3" t="s">
        <v>927</v>
      </c>
      <c r="J144" s="3" t="s">
        <v>928</v>
      </c>
      <c r="K144" s="4">
        <v>-57142.15</v>
      </c>
      <c r="L144" s="4">
        <v>0</v>
      </c>
      <c r="M144" s="4">
        <v>11186.69</v>
      </c>
      <c r="N144" s="4">
        <v>-68328.84</v>
      </c>
      <c r="O144" s="4">
        <f>Tab_05.Mai[[#This Row],[DÉBITO]]-Tab_05.Mai[[#This Row],[CRÉDITO]]</f>
        <v>-11186.69</v>
      </c>
    </row>
    <row r="145" spans="2:15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5</v>
      </c>
      <c r="D145" s="2" t="str">
        <f>_xlfn.XLOOKUP($I145,Tab_00.Trial[CONTA],Tab_00.Trial[S/A],"",0,1)</f>
        <v>S</v>
      </c>
      <c r="E145" s="2">
        <f>IF($I145="","",COUNTIFS(Tab_00.Trial[CONTA],$I145))</f>
        <v>1</v>
      </c>
      <c r="F145" s="4">
        <f>SUMIFS(Tab_04.Abr[SALDO
ATUAL],Tab_04.Abr[CONTA],$I145)</f>
        <v>-331864.32000000001</v>
      </c>
      <c r="G145" s="4">
        <f t="shared" si="5"/>
        <v>0</v>
      </c>
      <c r="H145">
        <v>30720</v>
      </c>
      <c r="I145" s="3" t="s">
        <v>571</v>
      </c>
      <c r="J145" s="3" t="s">
        <v>377</v>
      </c>
      <c r="K145" s="4">
        <v>-331864.32000000001</v>
      </c>
      <c r="L145" s="4">
        <v>0</v>
      </c>
      <c r="M145" s="4">
        <v>82966.080000000002</v>
      </c>
      <c r="N145" s="4">
        <v>-414830.4</v>
      </c>
      <c r="O145" s="4">
        <f>Tab_05.Mai[[#This Row],[DÉBITO]]-Tab_05.Mai[[#This Row],[CRÉDITO]]</f>
        <v>-82966.080000000002</v>
      </c>
    </row>
    <row r="146" spans="2:15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5</v>
      </c>
      <c r="D146" s="2" t="str">
        <f>_xlfn.XLOOKUP($I146,Tab_00.Trial[CONTA],Tab_00.Trial[S/A],"",0,1)</f>
        <v>A</v>
      </c>
      <c r="E146" s="2">
        <f>IF($I146="","",COUNTIFS(Tab_00.Trial[CONTA],$I146))</f>
        <v>1</v>
      </c>
      <c r="F146" s="4">
        <f>SUMIFS(Tab_04.Abr[SALDO
ATUAL],Tab_04.Abr[CONTA],$I146)</f>
        <v>-331864.32000000001</v>
      </c>
      <c r="G146" s="4">
        <f t="shared" ref="G146:G177" si="6">$F146-$K146</f>
        <v>0</v>
      </c>
      <c r="H146">
        <v>30735</v>
      </c>
      <c r="I146" s="3" t="s">
        <v>376</v>
      </c>
      <c r="J146" s="3" t="s">
        <v>377</v>
      </c>
      <c r="K146" s="4">
        <v>-331864.32000000001</v>
      </c>
      <c r="L146" s="4">
        <v>0</v>
      </c>
      <c r="M146" s="4">
        <v>82966.080000000002</v>
      </c>
      <c r="N146" s="4">
        <v>-414830.4</v>
      </c>
      <c r="O146" s="4">
        <f>Tab_05.Mai[[#This Row],[DÉBITO]]-Tab_05.Mai[[#This Row],[CRÉDITO]]</f>
        <v>-82966.080000000002</v>
      </c>
    </row>
    <row r="147" spans="2:15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2</v>
      </c>
      <c r="D147" s="2" t="str">
        <f>_xlfn.XLOOKUP($I147,Tab_00.Trial[CONTA],Tab_00.Trial[S/A],"",0,1)</f>
        <v>S</v>
      </c>
      <c r="E147" s="2">
        <f>IF($I147="","",COUNTIFS(Tab_00.Trial[CONTA],$I147))</f>
        <v>1</v>
      </c>
      <c r="F147" s="4">
        <f>SUMIFS(Tab_04.Abr[SALDO
ATUAL],Tab_04.Abr[CONTA],$I147)</f>
        <v>-1738052.66</v>
      </c>
      <c r="G147" s="4">
        <f t="shared" si="6"/>
        <v>0</v>
      </c>
      <c r="H147">
        <v>31065</v>
      </c>
      <c r="I147" s="3" t="s">
        <v>574</v>
      </c>
      <c r="J147" s="3" t="s">
        <v>680</v>
      </c>
      <c r="K147" s="4">
        <v>-1738052.66</v>
      </c>
      <c r="L147" s="4">
        <v>0</v>
      </c>
      <c r="M147" s="4">
        <v>453004.42</v>
      </c>
      <c r="N147" s="4">
        <v>-2191057.08</v>
      </c>
      <c r="O147" s="4">
        <f>Tab_05.Mai[[#This Row],[DÉBITO]]-Tab_05.Mai[[#This Row],[CRÉDITO]]</f>
        <v>-453004.42</v>
      </c>
    </row>
    <row r="148" spans="2:15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S</v>
      </c>
      <c r="E148" s="2">
        <f>IF($I148="","",COUNTIFS(Tab_00.Trial[CONTA],$I148))</f>
        <v>1</v>
      </c>
      <c r="F148" s="4">
        <f>SUMIFS(Tab_04.Abr[SALDO
ATUAL],Tab_04.Abr[CONTA],$I148)</f>
        <v>-1738052.66</v>
      </c>
      <c r="G148" s="4">
        <f t="shared" si="6"/>
        <v>0</v>
      </c>
      <c r="H148">
        <v>31260</v>
      </c>
      <c r="I148" s="3" t="s">
        <v>580</v>
      </c>
      <c r="J148" s="3" t="s">
        <v>816</v>
      </c>
      <c r="K148" s="4">
        <v>-1738052.66</v>
      </c>
      <c r="L148" s="4">
        <v>0</v>
      </c>
      <c r="M148" s="4">
        <v>453004.42</v>
      </c>
      <c r="N148" s="4">
        <v>-2191057.08</v>
      </c>
      <c r="O148" s="4">
        <f>Tab_05.Mai[[#This Row],[DÉBITO]]-Tab_05.Mai[[#This Row],[CRÉDITO]]</f>
        <v>-453004.42</v>
      </c>
    </row>
    <row r="149" spans="2:15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5</v>
      </c>
      <c r="D149" s="2" t="str">
        <f>_xlfn.XLOOKUP($I149,Tab_00.Trial[CONTA],Tab_00.Trial[S/A],"",0,1)</f>
        <v>S</v>
      </c>
      <c r="E149" s="2">
        <f>IF($I149="","",COUNTIFS(Tab_00.Trial[CONTA],$I149))</f>
        <v>1</v>
      </c>
      <c r="F149" s="4">
        <f>SUMIFS(Tab_04.Abr[SALDO
ATUAL],Tab_04.Abr[CONTA],$I149)</f>
        <v>-1738052.66</v>
      </c>
      <c r="G149" s="4">
        <f t="shared" si="6"/>
        <v>0</v>
      </c>
      <c r="H149">
        <v>31275</v>
      </c>
      <c r="I149" s="3" t="s">
        <v>581</v>
      </c>
      <c r="J149" s="3" t="s">
        <v>687</v>
      </c>
      <c r="K149" s="4">
        <v>-1738052.66</v>
      </c>
      <c r="L149" s="4">
        <v>0</v>
      </c>
      <c r="M149" s="4">
        <v>453004.42</v>
      </c>
      <c r="N149" s="4">
        <v>-2191057.08</v>
      </c>
      <c r="O149" s="4">
        <f>Tab_05.Mai[[#This Row],[DÉBITO]]-Tab_05.Mai[[#This Row],[CRÉDITO]]</f>
        <v>-453004.42</v>
      </c>
    </row>
    <row r="150" spans="2:15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5</v>
      </c>
      <c r="D150" s="2" t="str">
        <f>_xlfn.XLOOKUP($I150,Tab_00.Trial[CONTA],Tab_00.Trial[S/A],"",0,1)</f>
        <v>A</v>
      </c>
      <c r="E150" s="2">
        <f>IF($I150="","",COUNTIFS(Tab_00.Trial[CONTA],$I150))</f>
        <v>1</v>
      </c>
      <c r="F150" s="4">
        <f>SUMIFS(Tab_04.Abr[SALDO
ATUAL],Tab_04.Abr[CONTA],$I150)</f>
        <v>-1704834.52</v>
      </c>
      <c r="G150" s="4">
        <f t="shared" si="6"/>
        <v>0</v>
      </c>
      <c r="H150">
        <v>31291</v>
      </c>
      <c r="I150" s="3" t="s">
        <v>387</v>
      </c>
      <c r="J150" s="3" t="s">
        <v>388</v>
      </c>
      <c r="K150" s="4">
        <v>-1704834.52</v>
      </c>
      <c r="L150" s="4">
        <v>0</v>
      </c>
      <c r="M150" s="4">
        <v>440421.58</v>
      </c>
      <c r="N150" s="4">
        <v>-2145256.1</v>
      </c>
      <c r="O150" s="4">
        <f>Tab_05.Mai[[#This Row],[DÉBITO]]-Tab_05.Mai[[#This Row],[CRÉDITO]]</f>
        <v>-440421.58</v>
      </c>
    </row>
    <row r="151" spans="2:15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5</v>
      </c>
      <c r="D151" s="2" t="str">
        <f>_xlfn.XLOOKUP($I151,Tab_00.Trial[CONTA],Tab_00.Trial[S/A],"",0,1)</f>
        <v>A</v>
      </c>
      <c r="E151" s="2">
        <f>IF($I151="","",COUNTIFS(Tab_00.Trial[CONTA],$I151))</f>
        <v>1</v>
      </c>
      <c r="F151" s="4">
        <f>SUMIFS(Tab_04.Abr[SALDO
ATUAL],Tab_04.Abr[CONTA],$I151)</f>
        <v>-33218.14</v>
      </c>
      <c r="G151" s="4">
        <f t="shared" si="6"/>
        <v>0</v>
      </c>
      <c r="H151">
        <v>31292</v>
      </c>
      <c r="I151" s="3" t="s">
        <v>389</v>
      </c>
      <c r="J151" s="3" t="s">
        <v>390</v>
      </c>
      <c r="K151" s="4">
        <v>-33218.14</v>
      </c>
      <c r="L151" s="4">
        <v>0</v>
      </c>
      <c r="M151" s="4">
        <v>12582.84</v>
      </c>
      <c r="N151" s="4">
        <v>-45800.98</v>
      </c>
      <c r="O151" s="4">
        <f>Tab_05.Mai[[#This Row],[DÉBITO]]-Tab_05.Mai[[#This Row],[CRÉDITO]]</f>
        <v>-12582.84</v>
      </c>
    </row>
    <row r="152" spans="2:15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2</v>
      </c>
      <c r="D152" s="2" t="str">
        <f>_xlfn.XLOOKUP($I152,Tab_00.Trial[CONTA],Tab_00.Trial[S/A],"",0,1)</f>
        <v>S</v>
      </c>
      <c r="E152" s="2">
        <f>IF($I152="","",COUNTIFS(Tab_00.Trial[CONTA],$I152))</f>
        <v>1</v>
      </c>
      <c r="F152" s="4">
        <f>SUMIFS(Tab_04.Abr[SALDO
ATUAL],Tab_04.Abr[CONTA],$I152)</f>
        <v>-703557.92</v>
      </c>
      <c r="G152" s="4">
        <f t="shared" si="6"/>
        <v>0</v>
      </c>
      <c r="H152">
        <v>31470</v>
      </c>
      <c r="I152" s="3" t="s">
        <v>582</v>
      </c>
      <c r="J152" s="3" t="s">
        <v>688</v>
      </c>
      <c r="K152" s="4">
        <v>-703557.92</v>
      </c>
      <c r="L152" s="4">
        <v>0</v>
      </c>
      <c r="M152" s="4">
        <v>326235.03999999998</v>
      </c>
      <c r="N152" s="4">
        <v>-1029792.96</v>
      </c>
      <c r="O152" s="4">
        <f>Tab_05.Mai[[#This Row],[DÉBITO]]-Tab_05.Mai[[#This Row],[CRÉDITO]]</f>
        <v>-326235.03999999998</v>
      </c>
    </row>
    <row r="153" spans="2:15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5</v>
      </c>
      <c r="D153" s="2" t="str">
        <f>_xlfn.XLOOKUP($I153,Tab_00.Trial[CONTA],Tab_00.Trial[S/A],"",0,1)</f>
        <v>S</v>
      </c>
      <c r="E153" s="2">
        <f>IF($I153="","",COUNTIFS(Tab_00.Trial[CONTA],$I153))</f>
        <v>1</v>
      </c>
      <c r="F153" s="4">
        <f>SUMIFS(Tab_04.Abr[SALDO
ATUAL],Tab_04.Abr[CONTA],$I153)</f>
        <v>-73.349999999999994</v>
      </c>
      <c r="G153" s="4">
        <f t="shared" si="6"/>
        <v>0</v>
      </c>
      <c r="H153">
        <v>31590</v>
      </c>
      <c r="I153" s="3" t="s">
        <v>583</v>
      </c>
      <c r="J153" s="3" t="s">
        <v>689</v>
      </c>
      <c r="K153" s="4">
        <v>-73.349999999999994</v>
      </c>
      <c r="L153" s="4">
        <v>0</v>
      </c>
      <c r="M153" s="4">
        <v>7.0000000000000007E-2</v>
      </c>
      <c r="N153" s="4">
        <v>-73.42</v>
      </c>
      <c r="O153" s="4">
        <f>Tab_05.Mai[[#This Row],[DÉBITO]]-Tab_05.Mai[[#This Row],[CRÉDITO]]</f>
        <v>-7.0000000000000007E-2</v>
      </c>
    </row>
    <row r="154" spans="2:15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5</v>
      </c>
      <c r="D154" s="2" t="str">
        <f>_xlfn.XLOOKUP($I154,Tab_00.Trial[CONTA],Tab_00.Trial[S/A],"",0,1)</f>
        <v>S</v>
      </c>
      <c r="E154" s="2">
        <f>IF($I154="","",COUNTIFS(Tab_00.Trial[CONTA],$I154))</f>
        <v>1</v>
      </c>
      <c r="F154" s="4">
        <f>SUMIFS(Tab_04.Abr[SALDO
ATUAL],Tab_04.Abr[CONTA],$I154)</f>
        <v>-73.349999999999994</v>
      </c>
      <c r="G154" s="4">
        <f t="shared" si="6"/>
        <v>0</v>
      </c>
      <c r="H154">
        <v>31605</v>
      </c>
      <c r="I154" s="3" t="s">
        <v>584</v>
      </c>
      <c r="J154" s="3" t="s">
        <v>689</v>
      </c>
      <c r="K154" s="4">
        <v>-73.349999999999994</v>
      </c>
      <c r="L154" s="4">
        <v>0</v>
      </c>
      <c r="M154" s="4">
        <v>7.0000000000000007E-2</v>
      </c>
      <c r="N154" s="4">
        <v>-73.42</v>
      </c>
      <c r="O154" s="4">
        <f>Tab_05.Mai[[#This Row],[DÉBITO]]-Tab_05.Mai[[#This Row],[CRÉDITO]]</f>
        <v>-7.0000000000000007E-2</v>
      </c>
    </row>
    <row r="155" spans="2:15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5</v>
      </c>
      <c r="D155" s="2" t="str">
        <f>_xlfn.XLOOKUP($I155,Tab_00.Trial[CONTA],Tab_00.Trial[S/A],"",0,1)</f>
        <v>A</v>
      </c>
      <c r="E155" s="2">
        <f>IF($I155="","",COUNTIFS(Tab_00.Trial[CONTA],$I155))</f>
        <v>1</v>
      </c>
      <c r="F155" s="4">
        <f>SUMIFS(Tab_04.Abr[SALDO
ATUAL],Tab_04.Abr[CONTA],$I155)</f>
        <v>-73.349999999999994</v>
      </c>
      <c r="G155" s="4">
        <f t="shared" si="6"/>
        <v>0</v>
      </c>
      <c r="H155">
        <v>31645</v>
      </c>
      <c r="I155" s="3" t="s">
        <v>391</v>
      </c>
      <c r="J155" s="3" t="s">
        <v>392</v>
      </c>
      <c r="K155" s="4">
        <v>-73.349999999999994</v>
      </c>
      <c r="L155" s="4">
        <v>0</v>
      </c>
      <c r="M155" s="4">
        <v>7.0000000000000007E-2</v>
      </c>
      <c r="N155" s="4">
        <v>-73.42</v>
      </c>
      <c r="O155" s="4">
        <f>Tab_05.Mai[[#This Row],[DÉBITO]]-Tab_05.Mai[[#This Row],[CRÉDITO]]</f>
        <v>-7.0000000000000007E-2</v>
      </c>
    </row>
    <row r="156" spans="2:15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5</v>
      </c>
      <c r="D156" s="2" t="str">
        <f>_xlfn.XLOOKUP($I156,Tab_00.Trial[CONTA],Tab_00.Trial[S/A],"",0,1)</f>
        <v>S</v>
      </c>
      <c r="E156" s="2">
        <f>IF($I156="","",COUNTIFS(Tab_00.Trial[CONTA],$I156))</f>
        <v>1</v>
      </c>
      <c r="F156" s="4">
        <f>SUMIFS(Tab_04.Abr[SALDO
ATUAL],Tab_04.Abr[CONTA],$I156)</f>
        <v>-703484.57</v>
      </c>
      <c r="G156" s="4">
        <f t="shared" si="6"/>
        <v>0</v>
      </c>
      <c r="H156">
        <v>31650</v>
      </c>
      <c r="I156" s="3" t="s">
        <v>585</v>
      </c>
      <c r="J156" s="3" t="s">
        <v>690</v>
      </c>
      <c r="K156" s="4">
        <v>-703484.57</v>
      </c>
      <c r="L156" s="4">
        <v>0</v>
      </c>
      <c r="M156" s="4">
        <v>326234.96999999997</v>
      </c>
      <c r="N156" s="4">
        <v>-1029719.54</v>
      </c>
      <c r="O156" s="4">
        <f>Tab_05.Mai[[#This Row],[DÉBITO]]-Tab_05.Mai[[#This Row],[CRÉDITO]]</f>
        <v>-326234.96999999997</v>
      </c>
    </row>
    <row r="157" spans="2:15" x14ac:dyDescent="0.3">
      <c r="B157" s="2" t="str">
        <f>_xlfn.XLOOKUP($I157,Tab_00.Trial[CONTA],Tab_00.Trial[TP],"",0,1)</f>
        <v>R</v>
      </c>
      <c r="C157" s="2">
        <f>_xlfn.XLOOKUP($I157,Tab_00.Trial[CONTA],Tab_00.Trial[NV],"",0,1)</f>
        <v>5</v>
      </c>
      <c r="D157" s="2" t="str">
        <f>_xlfn.XLOOKUP($I157,Tab_00.Trial[CONTA],Tab_00.Trial[S/A],"",0,1)</f>
        <v>S</v>
      </c>
      <c r="E157" s="2">
        <f>IF($I157="","",COUNTIFS(Tab_00.Trial[CONTA],$I157))</f>
        <v>1</v>
      </c>
      <c r="F157" s="4">
        <f>SUMIFS(Tab_04.Abr[SALDO
ATUAL],Tab_04.Abr[CONTA],$I157)</f>
        <v>-703484.57</v>
      </c>
      <c r="G157" s="4">
        <f t="shared" si="6"/>
        <v>0</v>
      </c>
      <c r="H157">
        <v>31665</v>
      </c>
      <c r="I157" s="3" t="s">
        <v>586</v>
      </c>
      <c r="J157" s="3" t="s">
        <v>394</v>
      </c>
      <c r="K157" s="4">
        <v>-703484.57</v>
      </c>
      <c r="L157" s="4">
        <v>0</v>
      </c>
      <c r="M157" s="4">
        <v>326234.96999999997</v>
      </c>
      <c r="N157" s="4">
        <v>-1029719.54</v>
      </c>
      <c r="O157" s="4">
        <f>Tab_05.Mai[[#This Row],[DÉBITO]]-Tab_05.Mai[[#This Row],[CRÉDITO]]</f>
        <v>-326234.96999999997</v>
      </c>
    </row>
    <row r="158" spans="2:15" x14ac:dyDescent="0.3">
      <c r="B158" s="2" t="str">
        <f>_xlfn.XLOOKUP($I158,Tab_00.Trial[CONTA],Tab_00.Trial[TP],"",0,1)</f>
        <v>R</v>
      </c>
      <c r="C158" s="2">
        <f>_xlfn.XLOOKUP($I158,Tab_00.Trial[CONTA],Tab_00.Trial[NV],"",0,1)</f>
        <v>5</v>
      </c>
      <c r="D158" s="2" t="str">
        <f>_xlfn.XLOOKUP($I158,Tab_00.Trial[CONTA],Tab_00.Trial[S/A],"",0,1)</f>
        <v>A</v>
      </c>
      <c r="E158" s="2">
        <f>IF($I158="","",COUNTIFS(Tab_00.Trial[CONTA],$I158))</f>
        <v>1</v>
      </c>
      <c r="F158" s="4">
        <f>SUMIFS(Tab_04.Abr[SALDO
ATUAL],Tab_04.Abr[CONTA],$I158)</f>
        <v>-703484.57</v>
      </c>
      <c r="G158" s="4">
        <f t="shared" si="6"/>
        <v>0</v>
      </c>
      <c r="H158">
        <v>31680</v>
      </c>
      <c r="I158" s="3" t="s">
        <v>393</v>
      </c>
      <c r="J158" s="3" t="s">
        <v>394</v>
      </c>
      <c r="K158" s="4">
        <v>-703484.57</v>
      </c>
      <c r="L158" s="4">
        <v>0</v>
      </c>
      <c r="M158" s="4">
        <v>326234.96999999997</v>
      </c>
      <c r="N158" s="4">
        <v>-1029719.54</v>
      </c>
      <c r="O158" s="4">
        <f>Tab_05.Mai[[#This Row],[DÉBITO]]-Tab_05.Mai[[#This Row],[CRÉDITO]]</f>
        <v>-326234.96999999997</v>
      </c>
    </row>
    <row r="159" spans="2:15" x14ac:dyDescent="0.3">
      <c r="B159" s="2" t="str">
        <f>_xlfn.XLOOKUP($I159,Tab_00.Trial[CONTA],Tab_00.Trial[TP],"",0,1)</f>
        <v>R</v>
      </c>
      <c r="C159" s="2">
        <f>_xlfn.XLOOKUP($I159,Tab_00.Trial[CONTA],Tab_00.Trial[NV],"",0,1)</f>
        <v>2</v>
      </c>
      <c r="D159" s="2" t="str">
        <f>_xlfn.XLOOKUP($I159,Tab_00.Trial[CONTA],Tab_00.Trial[S/A],"",0,1)</f>
        <v>S</v>
      </c>
      <c r="E159" s="2">
        <f>IF($I159="","",COUNTIFS(Tab_00.Trial[CONTA],$I159))</f>
        <v>1</v>
      </c>
      <c r="F159" s="4">
        <f>SUMIFS(Tab_04.Abr[SALDO
ATUAL],Tab_04.Abr[CONTA],$I159)</f>
        <v>-5000</v>
      </c>
      <c r="G159" s="4">
        <f t="shared" si="6"/>
        <v>0</v>
      </c>
      <c r="H159">
        <v>31725</v>
      </c>
      <c r="I159" s="3" t="s">
        <v>587</v>
      </c>
      <c r="J159" s="3" t="s">
        <v>691</v>
      </c>
      <c r="K159" s="4">
        <v>-5000</v>
      </c>
      <c r="L159" s="4">
        <v>0</v>
      </c>
      <c r="M159" s="4">
        <v>500</v>
      </c>
      <c r="N159" s="4">
        <v>-5500</v>
      </c>
      <c r="O159" s="4">
        <f>Tab_05.Mai[[#This Row],[DÉBITO]]-Tab_05.Mai[[#This Row],[CRÉDITO]]</f>
        <v>-500</v>
      </c>
    </row>
    <row r="160" spans="2:15" x14ac:dyDescent="0.3">
      <c r="B160" s="2" t="str">
        <f>_xlfn.XLOOKUP($I160,Tab_00.Trial[CONTA],Tab_00.Trial[TP],"",0,1)</f>
        <v>R</v>
      </c>
      <c r="C160" s="2">
        <f>_xlfn.XLOOKUP($I160,Tab_00.Trial[CONTA],Tab_00.Trial[NV],"",0,1)</f>
        <v>5</v>
      </c>
      <c r="D160" s="2" t="str">
        <f>_xlfn.XLOOKUP($I160,Tab_00.Trial[CONTA],Tab_00.Trial[S/A],"",0,1)</f>
        <v>S</v>
      </c>
      <c r="E160" s="2">
        <f>IF($I160="","",COUNTIFS(Tab_00.Trial[CONTA],$I160))</f>
        <v>1</v>
      </c>
      <c r="F160" s="4">
        <f>SUMIFS(Tab_04.Abr[SALDO
ATUAL],Tab_04.Abr[CONTA],$I160)</f>
        <v>-5000</v>
      </c>
      <c r="G160" s="4">
        <f t="shared" si="6"/>
        <v>0</v>
      </c>
      <c r="H160">
        <v>30722</v>
      </c>
      <c r="I160" s="3" t="s">
        <v>588</v>
      </c>
      <c r="J160" s="3" t="s">
        <v>692</v>
      </c>
      <c r="K160" s="4">
        <v>-5000</v>
      </c>
      <c r="L160" s="4">
        <v>0</v>
      </c>
      <c r="M160" s="4">
        <v>500</v>
      </c>
      <c r="N160" s="4">
        <v>-5500</v>
      </c>
      <c r="O160" s="4">
        <f>Tab_05.Mai[[#This Row],[DÉBITO]]-Tab_05.Mai[[#This Row],[CRÉDITO]]</f>
        <v>-500</v>
      </c>
    </row>
    <row r="161" spans="2:15" x14ac:dyDescent="0.3">
      <c r="B161" s="2" t="str">
        <f>_xlfn.XLOOKUP($I161,Tab_00.Trial[CONTA],Tab_00.Trial[TP],"",0,1)</f>
        <v>R</v>
      </c>
      <c r="C161" s="2">
        <f>_xlfn.XLOOKUP($I161,Tab_00.Trial[CONTA],Tab_00.Trial[NV],"",0,1)</f>
        <v>5</v>
      </c>
      <c r="D161" s="2" t="str">
        <f>_xlfn.XLOOKUP($I161,Tab_00.Trial[CONTA],Tab_00.Trial[S/A],"",0,1)</f>
        <v>S</v>
      </c>
      <c r="E161" s="2">
        <f>IF($I161="","",COUNTIFS(Tab_00.Trial[CONTA],$I161))</f>
        <v>1</v>
      </c>
      <c r="F161" s="4">
        <f>SUMIFS(Tab_04.Abr[SALDO
ATUAL],Tab_04.Abr[CONTA],$I161)</f>
        <v>-5000</v>
      </c>
      <c r="G161" s="4">
        <f t="shared" si="6"/>
        <v>0</v>
      </c>
      <c r="H161">
        <v>30729</v>
      </c>
      <c r="I161" s="3" t="s">
        <v>589</v>
      </c>
      <c r="J161" s="3" t="s">
        <v>692</v>
      </c>
      <c r="K161" s="4">
        <v>-5000</v>
      </c>
      <c r="L161" s="4">
        <v>0</v>
      </c>
      <c r="M161" s="4">
        <v>500</v>
      </c>
      <c r="N161" s="4">
        <v>-5500</v>
      </c>
      <c r="O161" s="4">
        <f>Tab_05.Mai[[#This Row],[DÉBITO]]-Tab_05.Mai[[#This Row],[CRÉDITO]]</f>
        <v>-500</v>
      </c>
    </row>
    <row r="162" spans="2:15" x14ac:dyDescent="0.3">
      <c r="B162" s="2" t="str">
        <f>_xlfn.XLOOKUP($I162,Tab_00.Trial[CONTA],Tab_00.Trial[TP],"",0,1)</f>
        <v>R</v>
      </c>
      <c r="C162" s="2">
        <f>_xlfn.XLOOKUP($I162,Tab_00.Trial[CONTA],Tab_00.Trial[NV],"",0,1)</f>
        <v>5</v>
      </c>
      <c r="D162" s="2" t="str">
        <f>_xlfn.XLOOKUP($I162,Tab_00.Trial[CONTA],Tab_00.Trial[S/A],"",0,1)</f>
        <v>A</v>
      </c>
      <c r="E162" s="2">
        <f>IF($I162="","",COUNTIFS(Tab_00.Trial[CONTA],$I162))</f>
        <v>1</v>
      </c>
      <c r="F162" s="4">
        <f>SUMIFS(Tab_04.Abr[SALDO
ATUAL],Tab_04.Abr[CONTA],$I162)</f>
        <v>-5000</v>
      </c>
      <c r="G162" s="4">
        <f t="shared" si="6"/>
        <v>0</v>
      </c>
      <c r="H162">
        <v>30736</v>
      </c>
      <c r="I162" s="3" t="s">
        <v>395</v>
      </c>
      <c r="J162" s="3" t="s">
        <v>396</v>
      </c>
      <c r="K162" s="4">
        <v>-5000</v>
      </c>
      <c r="L162" s="4">
        <v>0</v>
      </c>
      <c r="M162" s="4">
        <v>500</v>
      </c>
      <c r="N162" s="4">
        <v>-5500</v>
      </c>
      <c r="O162" s="4">
        <f>Tab_05.Mai[[#This Row],[DÉBITO]]-Tab_05.Mai[[#This Row],[CRÉDITO]]</f>
        <v>-500</v>
      </c>
    </row>
    <row r="163" spans="2:15" x14ac:dyDescent="0.3">
      <c r="B163" s="2" t="str">
        <f>_xlfn.XLOOKUP($I163,Tab_00.Trial[CONTA],Tab_00.Trial[TP],"",0,1)</f>
        <v>C</v>
      </c>
      <c r="C163" s="2">
        <f>_xlfn.XLOOKUP($I163,Tab_00.Trial[CONTA],Tab_00.Trial[NV],"",0,1)</f>
        <v>1</v>
      </c>
      <c r="D163" s="2" t="str">
        <f>_xlfn.XLOOKUP($I163,Tab_00.Trial[CONTA],Tab_00.Trial[S/A],"",0,1)</f>
        <v>S</v>
      </c>
      <c r="E163" s="2">
        <f>IF($I163="","",COUNTIFS(Tab_00.Trial[CONTA],$I163))</f>
        <v>1</v>
      </c>
      <c r="F163" s="4">
        <f>SUMIFS(Tab_04.Abr[SALDO
ATUAL],Tab_04.Abr[CONTA],$I163)</f>
        <v>3599218.53</v>
      </c>
      <c r="G163" s="4">
        <f t="shared" si="6"/>
        <v>0</v>
      </c>
      <c r="H163">
        <v>40000</v>
      </c>
      <c r="I163" s="3">
        <v>4</v>
      </c>
      <c r="J163" s="3" t="s">
        <v>693</v>
      </c>
      <c r="K163" s="4">
        <v>3599218.53</v>
      </c>
      <c r="L163" s="4">
        <v>883879.55</v>
      </c>
      <c r="M163" s="4">
        <v>22065.35</v>
      </c>
      <c r="N163" s="4">
        <v>4461032.7300000004</v>
      </c>
      <c r="O163" s="4">
        <f>Tab_05.Mai[[#This Row],[DÉBITO]]-Tab_05.Mai[[#This Row],[CRÉDITO]]</f>
        <v>861814.2</v>
      </c>
    </row>
    <row r="164" spans="2:15" x14ac:dyDescent="0.3">
      <c r="B164" s="2" t="str">
        <f>_xlfn.XLOOKUP($I164,Tab_00.Trial[CONTA],Tab_00.Trial[TP],"",0,1)</f>
        <v>C</v>
      </c>
      <c r="C164" s="2">
        <f>_xlfn.XLOOKUP($I164,Tab_00.Trial[CONTA],Tab_00.Trial[NV],"",0,1)</f>
        <v>2</v>
      </c>
      <c r="D164" s="2" t="str">
        <f>_xlfn.XLOOKUP($I164,Tab_00.Trial[CONTA],Tab_00.Trial[S/A],"",0,1)</f>
        <v>S</v>
      </c>
      <c r="E164" s="2">
        <f>IF($I164="","",COUNTIFS(Tab_00.Trial[CONTA],$I164))</f>
        <v>1</v>
      </c>
      <c r="F164" s="4">
        <f>SUMIFS(Tab_04.Abr[SALDO
ATUAL],Tab_04.Abr[CONTA],$I164)</f>
        <v>3599218.53</v>
      </c>
      <c r="G164" s="4">
        <f t="shared" si="6"/>
        <v>0</v>
      </c>
      <c r="H164">
        <v>40015</v>
      </c>
      <c r="I164" s="3" t="s">
        <v>234</v>
      </c>
      <c r="J164" s="3" t="s">
        <v>817</v>
      </c>
      <c r="K164" s="4">
        <v>3599218.53</v>
      </c>
      <c r="L164" s="4">
        <v>883879.55</v>
      </c>
      <c r="M164" s="4">
        <v>22065.35</v>
      </c>
      <c r="N164" s="4">
        <v>4461032.7300000004</v>
      </c>
      <c r="O164" s="4">
        <f>Tab_05.Mai[[#This Row],[DÉBITO]]-Tab_05.Mai[[#This Row],[CRÉDITO]]</f>
        <v>861814.2</v>
      </c>
    </row>
    <row r="165" spans="2:15" x14ac:dyDescent="0.3">
      <c r="B165" s="2" t="str">
        <f>_xlfn.XLOOKUP($I165,Tab_00.Trial[CONTA],Tab_00.Trial[TP],"",0,1)</f>
        <v>C</v>
      </c>
      <c r="C165" s="2">
        <f>_xlfn.XLOOKUP($I165,Tab_00.Trial[CONTA],Tab_00.Trial[NV],"",0,1)</f>
        <v>5</v>
      </c>
      <c r="D165" s="2" t="str">
        <f>_xlfn.XLOOKUP($I165,Tab_00.Trial[CONTA],Tab_00.Trial[S/A],"",0,1)</f>
        <v>S</v>
      </c>
      <c r="E165" s="2">
        <f>IF($I165="","",COUNTIFS(Tab_00.Trial[CONTA],$I165))</f>
        <v>1</v>
      </c>
      <c r="F165" s="4">
        <f>SUMIFS(Tab_04.Abr[SALDO
ATUAL],Tab_04.Abr[CONTA],$I165)</f>
        <v>662563.68000000005</v>
      </c>
      <c r="G165" s="4">
        <f t="shared" si="6"/>
        <v>0</v>
      </c>
      <c r="H165">
        <v>40030</v>
      </c>
      <c r="I165" s="3" t="s">
        <v>235</v>
      </c>
      <c r="J165" s="3" t="s">
        <v>818</v>
      </c>
      <c r="K165" s="4">
        <v>662563.68000000005</v>
      </c>
      <c r="L165" s="4">
        <v>206391.03</v>
      </c>
      <c r="M165" s="4">
        <v>22065.35</v>
      </c>
      <c r="N165" s="4">
        <v>846889.36</v>
      </c>
      <c r="O165" s="4">
        <f>Tab_05.Mai[[#This Row],[DÉBITO]]-Tab_05.Mai[[#This Row],[CRÉDITO]]</f>
        <v>184325.68</v>
      </c>
    </row>
    <row r="166" spans="2:15" x14ac:dyDescent="0.3">
      <c r="B166" s="2" t="str">
        <f>_xlfn.XLOOKUP($I166,Tab_00.Trial[CONTA],Tab_00.Trial[TP],"",0,1)</f>
        <v>C</v>
      </c>
      <c r="C166" s="2">
        <f>_xlfn.XLOOKUP($I166,Tab_00.Trial[CONTA],Tab_00.Trial[NV],"",0,1)</f>
        <v>5</v>
      </c>
      <c r="D166" s="2" t="str">
        <f>_xlfn.XLOOKUP($I166,Tab_00.Trial[CONTA],Tab_00.Trial[S/A],"",0,1)</f>
        <v>S</v>
      </c>
      <c r="E166" s="2">
        <f>IF($I166="","",COUNTIFS(Tab_00.Trial[CONTA],$I166))</f>
        <v>1</v>
      </c>
      <c r="F166" s="4">
        <f>SUMIFS(Tab_04.Abr[SALDO
ATUAL],Tab_04.Abr[CONTA],$I166)</f>
        <v>269489.52</v>
      </c>
      <c r="G166" s="4">
        <f t="shared" si="6"/>
        <v>0</v>
      </c>
      <c r="H166">
        <v>40045</v>
      </c>
      <c r="I166" s="3" t="s">
        <v>236</v>
      </c>
      <c r="J166" s="3" t="s">
        <v>696</v>
      </c>
      <c r="K166" s="4">
        <v>269489.52</v>
      </c>
      <c r="L166" s="4">
        <v>100166.8</v>
      </c>
      <c r="M166" s="4">
        <v>17126.39</v>
      </c>
      <c r="N166" s="4">
        <v>352529.93</v>
      </c>
      <c r="O166" s="4">
        <f>Tab_05.Mai[[#This Row],[DÉBITO]]-Tab_05.Mai[[#This Row],[CRÉDITO]]</f>
        <v>83040.41</v>
      </c>
    </row>
    <row r="167" spans="2:15" x14ac:dyDescent="0.3">
      <c r="B167" s="2" t="str">
        <f>_xlfn.XLOOKUP($I167,Tab_00.Trial[CONTA],Tab_00.Trial[TP],"",0,1)</f>
        <v>C</v>
      </c>
      <c r="C167" s="2">
        <f>_xlfn.XLOOKUP($I167,Tab_00.Trial[CONTA],Tab_00.Trial[NV],"",0,1)</f>
        <v>5</v>
      </c>
      <c r="D167" s="2" t="str">
        <f>_xlfn.XLOOKUP($I167,Tab_00.Trial[CONTA],Tab_00.Trial[S/A],"",0,1)</f>
        <v>A</v>
      </c>
      <c r="E167" s="2">
        <f>IF($I167="","",COUNTIFS(Tab_00.Trial[CONTA],$I167))</f>
        <v>1</v>
      </c>
      <c r="F167" s="4">
        <f>SUMIFS(Tab_04.Abr[SALDO
ATUAL],Tab_04.Abr[CONTA],$I167)</f>
        <v>170393.05</v>
      </c>
      <c r="G167" s="4">
        <f t="shared" si="6"/>
        <v>0</v>
      </c>
      <c r="H167">
        <v>40060</v>
      </c>
      <c r="I167" s="3" t="s">
        <v>195</v>
      </c>
      <c r="J167" s="3" t="s">
        <v>427</v>
      </c>
      <c r="K167" s="4">
        <v>170393.05</v>
      </c>
      <c r="L167" s="4">
        <v>82450.12</v>
      </c>
      <c r="M167" s="4">
        <v>17117.490000000002</v>
      </c>
      <c r="N167" s="4">
        <v>235725.68</v>
      </c>
      <c r="O167" s="4">
        <f>Tab_05.Mai[[#This Row],[DÉBITO]]-Tab_05.Mai[[#This Row],[CRÉDITO]]</f>
        <v>65332.63</v>
      </c>
    </row>
    <row r="168" spans="2:15" x14ac:dyDescent="0.3">
      <c r="B168" s="2" t="str">
        <f>_xlfn.XLOOKUP($I168,Tab_00.Trial[CONTA],Tab_00.Trial[TP],"",0,1)</f>
        <v>C</v>
      </c>
      <c r="C168" s="2">
        <f>_xlfn.XLOOKUP($I168,Tab_00.Trial[CONTA],Tab_00.Trial[NV],"",0,1)</f>
        <v>5</v>
      </c>
      <c r="D168" s="2" t="str">
        <f>_xlfn.XLOOKUP($I168,Tab_00.Trial[CONTA],Tab_00.Trial[S/A],"",0,1)</f>
        <v>A</v>
      </c>
      <c r="E168" s="2">
        <f>IF($I168="","",COUNTIFS(Tab_00.Trial[CONTA],$I168))</f>
        <v>1</v>
      </c>
      <c r="F168" s="4">
        <f>SUMIFS(Tab_04.Abr[SALDO
ATUAL],Tab_04.Abr[CONTA],$I168)</f>
        <v>31810.63</v>
      </c>
      <c r="G168" s="4">
        <f t="shared" si="6"/>
        <v>0</v>
      </c>
      <c r="H168">
        <v>40075</v>
      </c>
      <c r="I168" s="3" t="s">
        <v>430</v>
      </c>
      <c r="J168" s="3" t="s">
        <v>431</v>
      </c>
      <c r="K168" s="4">
        <v>31810.63</v>
      </c>
      <c r="L168" s="4">
        <v>8440.17</v>
      </c>
      <c r="M168" s="4">
        <v>0</v>
      </c>
      <c r="N168" s="4">
        <v>40250.800000000003</v>
      </c>
      <c r="O168" s="4">
        <f>Tab_05.Mai[[#This Row],[DÉBITO]]-Tab_05.Mai[[#This Row],[CRÉDITO]]</f>
        <v>8440.17</v>
      </c>
    </row>
    <row r="169" spans="2:15" x14ac:dyDescent="0.3">
      <c r="B169" s="2" t="str">
        <f>_xlfn.XLOOKUP($I169,Tab_00.Trial[CONTA],Tab_00.Trial[TP],"",0,1)</f>
        <v>C</v>
      </c>
      <c r="C169" s="2">
        <f>_xlfn.XLOOKUP($I169,Tab_00.Trial[CONTA],Tab_00.Trial[NV],"",0,1)</f>
        <v>5</v>
      </c>
      <c r="D169" s="2" t="str">
        <f>_xlfn.XLOOKUP($I169,Tab_00.Trial[CONTA],Tab_00.Trial[S/A],"",0,1)</f>
        <v>A</v>
      </c>
      <c r="E169" s="2">
        <f>IF($I169="","",COUNTIFS(Tab_00.Trial[CONTA],$I169))</f>
        <v>1</v>
      </c>
      <c r="F169" s="4">
        <f>SUMIFS(Tab_04.Abr[SALDO
ATUAL],Tab_04.Abr[CONTA],$I169)</f>
        <v>20180.080000000002</v>
      </c>
      <c r="G169" s="4">
        <f t="shared" si="6"/>
        <v>0</v>
      </c>
      <c r="H169">
        <v>40085</v>
      </c>
      <c r="I169" s="3" t="s">
        <v>432</v>
      </c>
      <c r="J169" s="3" t="s">
        <v>433</v>
      </c>
      <c r="K169" s="4">
        <v>20180.080000000002</v>
      </c>
      <c r="L169" s="4">
        <v>5045.05</v>
      </c>
      <c r="M169" s="4">
        <v>0</v>
      </c>
      <c r="N169" s="4">
        <v>25225.13</v>
      </c>
      <c r="O169" s="4">
        <f>Tab_05.Mai[[#This Row],[DÉBITO]]-Tab_05.Mai[[#This Row],[CRÉDITO]]</f>
        <v>5045.05</v>
      </c>
    </row>
    <row r="170" spans="2:15" x14ac:dyDescent="0.3">
      <c r="B170" s="2" t="str">
        <f>_xlfn.XLOOKUP($I170,Tab_00.Trial[CONTA],Tab_00.Trial[TP],"",0,1)</f>
        <v>C</v>
      </c>
      <c r="C170" s="2">
        <f>_xlfn.XLOOKUP($I170,Tab_00.Trial[CONTA],Tab_00.Trial[NV],"",0,1)</f>
        <v>5</v>
      </c>
      <c r="D170" s="2" t="str">
        <f>_xlfn.XLOOKUP($I170,Tab_00.Trial[CONTA],Tab_00.Trial[S/A],"",0,1)</f>
        <v>A</v>
      </c>
      <c r="E170" s="2">
        <f>IF($I170="","",COUNTIFS(Tab_00.Trial[CONTA],$I170))</f>
        <v>1</v>
      </c>
      <c r="F170" s="4">
        <f>SUMIFS(Tab_04.Abr[SALDO
ATUAL],Tab_04.Abr[CONTA],$I170)</f>
        <v>38252.639999999999</v>
      </c>
      <c r="G170" s="4">
        <f t="shared" si="6"/>
        <v>0</v>
      </c>
      <c r="H170">
        <v>10111</v>
      </c>
      <c r="I170" s="3" t="s">
        <v>790</v>
      </c>
      <c r="J170" s="3" t="s">
        <v>791</v>
      </c>
      <c r="K170" s="4">
        <v>38252.639999999999</v>
      </c>
      <c r="L170" s="4">
        <v>1802.78</v>
      </c>
      <c r="M170" s="4">
        <v>0</v>
      </c>
      <c r="N170" s="4">
        <v>40055.42</v>
      </c>
      <c r="O170" s="4">
        <f>Tab_05.Mai[[#This Row],[DÉBITO]]-Tab_05.Mai[[#This Row],[CRÉDITO]]</f>
        <v>1802.78</v>
      </c>
    </row>
    <row r="171" spans="2:15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5</v>
      </c>
      <c r="D171" s="2" t="str">
        <f>_xlfn.XLOOKUP($I171,Tab_00.Trial[CONTA],Tab_00.Trial[S/A],"",0,1)</f>
        <v>A</v>
      </c>
      <c r="E171" s="2">
        <f>IF($I171="","",COUNTIFS(Tab_00.Trial[CONTA],$I171))</f>
        <v>1</v>
      </c>
      <c r="F171" s="4">
        <f>SUMIFS(Tab_04.Abr[SALDO
ATUAL],Tab_04.Abr[CONTA],$I171)</f>
        <v>1441.01</v>
      </c>
      <c r="G171" s="4">
        <f t="shared" si="6"/>
        <v>0</v>
      </c>
      <c r="H171">
        <v>10118</v>
      </c>
      <c r="I171" s="3" t="s">
        <v>792</v>
      </c>
      <c r="J171" s="3" t="s">
        <v>793</v>
      </c>
      <c r="K171" s="4">
        <v>1441.01</v>
      </c>
      <c r="L171" s="4">
        <v>538.13</v>
      </c>
      <c r="M171" s="4">
        <v>0</v>
      </c>
      <c r="N171" s="4">
        <v>1979.14</v>
      </c>
      <c r="O171" s="4">
        <f>Tab_05.Mai[[#This Row],[DÉBITO]]-Tab_05.Mai[[#This Row],[CRÉDITO]]</f>
        <v>538.13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5</v>
      </c>
      <c r="D172" s="2" t="str">
        <f>_xlfn.XLOOKUP($I172,Tab_00.Trial[CONTA],Tab_00.Trial[S/A],"",0,1)</f>
        <v>A</v>
      </c>
      <c r="E172" s="2">
        <f>IF($I172="","",COUNTIFS(Tab_00.Trial[CONTA],$I172))</f>
        <v>1</v>
      </c>
      <c r="F172" s="4">
        <f>SUMIFS(Tab_04.Abr[SALDO
ATUAL],Tab_04.Abr[CONTA],$I172)</f>
        <v>187.72</v>
      </c>
      <c r="G172" s="4">
        <f t="shared" si="6"/>
        <v>0</v>
      </c>
      <c r="H172">
        <v>10139</v>
      </c>
      <c r="I172" s="3" t="s">
        <v>794</v>
      </c>
      <c r="J172" s="3" t="s">
        <v>795</v>
      </c>
      <c r="K172" s="4">
        <v>187.72</v>
      </c>
      <c r="L172" s="4">
        <v>84.41</v>
      </c>
      <c r="M172" s="4">
        <v>8.9</v>
      </c>
      <c r="N172" s="4">
        <v>263.23</v>
      </c>
      <c r="O172" s="4">
        <f>Tab_05.Mai[[#This Row],[DÉBITO]]-Tab_05.Mai[[#This Row],[CRÉDITO]]</f>
        <v>75.510000000000005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A</v>
      </c>
      <c r="E173" s="2">
        <f>IF($I173="","",COUNTIFS(Tab_00.Trial[CONTA],$I173))</f>
        <v>1</v>
      </c>
      <c r="F173" s="4">
        <f>SUMIFS(Tab_04.Abr[SALDO
ATUAL],Tab_04.Abr[CONTA],$I173)</f>
        <v>5408.21</v>
      </c>
      <c r="G173" s="4">
        <f t="shared" si="6"/>
        <v>0</v>
      </c>
      <c r="H173">
        <v>10146</v>
      </c>
      <c r="I173" s="3" t="s">
        <v>796</v>
      </c>
      <c r="J173" s="3" t="s">
        <v>797</v>
      </c>
      <c r="K173" s="4">
        <v>5408.21</v>
      </c>
      <c r="L173" s="4">
        <v>1352.1</v>
      </c>
      <c r="M173" s="4">
        <v>0</v>
      </c>
      <c r="N173" s="4">
        <v>6760.31</v>
      </c>
      <c r="O173" s="4">
        <f>Tab_05.Mai[[#This Row],[DÉBITO]]-Tab_05.Mai[[#This Row],[CRÉDITO]]</f>
        <v>1352.1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A</v>
      </c>
      <c r="E174" s="2">
        <f>IF($I174="","",COUNTIFS(Tab_00.Trial[CONTA],$I174))</f>
        <v>1</v>
      </c>
      <c r="F174" s="4">
        <f>SUMIFS(Tab_04.Abr[SALDO
ATUAL],Tab_04.Abr[CONTA],$I174)</f>
        <v>1614.37</v>
      </c>
      <c r="G174" s="4">
        <f t="shared" si="6"/>
        <v>0</v>
      </c>
      <c r="H174">
        <v>10153</v>
      </c>
      <c r="I174" s="3" t="s">
        <v>798</v>
      </c>
      <c r="J174" s="3" t="s">
        <v>799</v>
      </c>
      <c r="K174" s="4">
        <v>1614.37</v>
      </c>
      <c r="L174" s="4">
        <v>403.61</v>
      </c>
      <c r="M174" s="4">
        <v>0</v>
      </c>
      <c r="N174" s="4">
        <v>2017.98</v>
      </c>
      <c r="O174" s="4">
        <f>Tab_05.Mai[[#This Row],[DÉBITO]]-Tab_05.Mai[[#This Row],[CRÉDITO]]</f>
        <v>403.61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A</v>
      </c>
      <c r="E175" s="2">
        <f>IF($I175="","",COUNTIFS(Tab_00.Trial[CONTA],$I175))</f>
        <v>1</v>
      </c>
      <c r="F175" s="4">
        <f>SUMIFS(Tab_04.Abr[SALDO
ATUAL],Tab_04.Abr[CONTA],$I175)</f>
        <v>201.81</v>
      </c>
      <c r="G175" s="4">
        <f t="shared" si="6"/>
        <v>0</v>
      </c>
      <c r="H175">
        <v>10160</v>
      </c>
      <c r="I175" s="3" t="s">
        <v>800</v>
      </c>
      <c r="J175" s="3" t="s">
        <v>801</v>
      </c>
      <c r="K175" s="4">
        <v>201.81</v>
      </c>
      <c r="L175" s="4">
        <v>50.43</v>
      </c>
      <c r="M175" s="4">
        <v>0</v>
      </c>
      <c r="N175" s="4">
        <v>252.24</v>
      </c>
      <c r="O175" s="4">
        <f>Tab_05.Mai[[#This Row],[DÉBITO]]-Tab_05.Mai[[#This Row],[CRÉDITO]]</f>
        <v>50.43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S</v>
      </c>
      <c r="E176" s="2">
        <f>IF($I176="","",COUNTIFS(Tab_00.Trial[CONTA],$I176))</f>
        <v>1</v>
      </c>
      <c r="F176" s="4">
        <f>SUMIFS(Tab_04.Abr[SALDO
ATUAL],Tab_04.Abr[CONTA],$I176)</f>
        <v>104970.22</v>
      </c>
      <c r="G176" s="4">
        <f t="shared" si="6"/>
        <v>0</v>
      </c>
      <c r="H176">
        <v>40150</v>
      </c>
      <c r="I176" s="3" t="s">
        <v>590</v>
      </c>
      <c r="J176" s="3" t="s">
        <v>697</v>
      </c>
      <c r="K176" s="4">
        <v>104970.22</v>
      </c>
      <c r="L176" s="4">
        <v>24148.37</v>
      </c>
      <c r="M176" s="4">
        <v>3416.79</v>
      </c>
      <c r="N176" s="4">
        <v>125701.8</v>
      </c>
      <c r="O176" s="4">
        <f>Tab_05.Mai[[#This Row],[DÉBITO]]-Tab_05.Mai[[#This Row],[CRÉDITO]]</f>
        <v>20731.580000000002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A</v>
      </c>
      <c r="E177" s="2">
        <f>IF($I177="","",COUNTIFS(Tab_00.Trial[CONTA],$I177))</f>
        <v>1</v>
      </c>
      <c r="F177" s="4">
        <f>SUMIFS(Tab_04.Abr[SALDO
ATUAL],Tab_04.Abr[CONTA],$I177)</f>
        <v>100788.89</v>
      </c>
      <c r="G177" s="4">
        <f t="shared" si="6"/>
        <v>0</v>
      </c>
      <c r="H177">
        <v>40165</v>
      </c>
      <c r="I177" s="3" t="s">
        <v>434</v>
      </c>
      <c r="J177" s="3" t="s">
        <v>435</v>
      </c>
      <c r="K177" s="4">
        <v>100788.89</v>
      </c>
      <c r="L177" s="4">
        <v>22174.67</v>
      </c>
      <c r="M177" s="4">
        <v>1548.49</v>
      </c>
      <c r="N177" s="4">
        <v>121415.07</v>
      </c>
      <c r="O177" s="4">
        <f>Tab_05.Mai[[#This Row],[DÉBITO]]-Tab_05.Mai[[#This Row],[CRÉDITO]]</f>
        <v>20626.18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A</v>
      </c>
      <c r="E178" s="2">
        <f>IF($I178="","",COUNTIFS(Tab_00.Trial[CONTA],$I178))</f>
        <v>1</v>
      </c>
      <c r="F178" s="4">
        <f>SUMIFS(Tab_04.Abr[SALDO
ATUAL],Tab_04.Abr[CONTA],$I178)</f>
        <v>4181.33</v>
      </c>
      <c r="G178" s="4">
        <f t="shared" ref="G178:G197" si="7">$F178-$K178</f>
        <v>0</v>
      </c>
      <c r="H178">
        <v>40195</v>
      </c>
      <c r="I178" s="3" t="s">
        <v>750</v>
      </c>
      <c r="J178" s="3" t="s">
        <v>751</v>
      </c>
      <c r="K178" s="4">
        <v>4181.33</v>
      </c>
      <c r="L178" s="4">
        <v>1973.7</v>
      </c>
      <c r="M178" s="4">
        <v>1868.3</v>
      </c>
      <c r="N178" s="4">
        <v>4286.7299999999996</v>
      </c>
      <c r="O178" s="4">
        <f>Tab_05.Mai[[#This Row],[DÉBITO]]-Tab_05.Mai[[#This Row],[CRÉDITO]]</f>
        <v>105.4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S</v>
      </c>
      <c r="E179" s="2">
        <f>IF($I179="","",COUNTIFS(Tab_00.Trial[CONTA],$I179))</f>
        <v>1</v>
      </c>
      <c r="F179" s="4">
        <f>SUMIFS(Tab_04.Abr[SALDO
ATUAL],Tab_04.Abr[CONTA],$I179)</f>
        <v>86154.76</v>
      </c>
      <c r="G179" s="4">
        <f t="shared" si="7"/>
        <v>0</v>
      </c>
      <c r="H179">
        <v>40210</v>
      </c>
      <c r="I179" s="3" t="s">
        <v>591</v>
      </c>
      <c r="J179" s="3" t="s">
        <v>698</v>
      </c>
      <c r="K179" s="4">
        <v>86154.76</v>
      </c>
      <c r="L179" s="4">
        <v>27278.26</v>
      </c>
      <c r="M179" s="4">
        <v>1522.17</v>
      </c>
      <c r="N179" s="4">
        <v>111910.85</v>
      </c>
      <c r="O179" s="4">
        <f>Tab_05.Mai[[#This Row],[DÉBITO]]-Tab_05.Mai[[#This Row],[CRÉDITO]]</f>
        <v>25756.09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A</v>
      </c>
      <c r="E180" s="2">
        <f>IF($I180="","",COUNTIFS(Tab_00.Trial[CONTA],$I180))</f>
        <v>1</v>
      </c>
      <c r="F180" s="4">
        <f>SUMIFS(Tab_04.Abr[SALDO
ATUAL],Tab_04.Abr[CONTA],$I180)</f>
        <v>69437.960000000006</v>
      </c>
      <c r="G180" s="4">
        <f t="shared" si="7"/>
        <v>0</v>
      </c>
      <c r="H180">
        <v>40225</v>
      </c>
      <c r="I180" s="3" t="s">
        <v>436</v>
      </c>
      <c r="J180" s="3" t="s">
        <v>437</v>
      </c>
      <c r="K180" s="4">
        <v>69437.960000000006</v>
      </c>
      <c r="L180" s="4">
        <v>20549.78</v>
      </c>
      <c r="M180" s="4">
        <v>0</v>
      </c>
      <c r="N180" s="4">
        <v>89987.74</v>
      </c>
      <c r="O180" s="4">
        <f>Tab_05.Mai[[#This Row],[DÉBITO]]-Tab_05.Mai[[#This Row],[CRÉDITO]]</f>
        <v>20549.78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A</v>
      </c>
      <c r="E181" s="2">
        <f>IF($I181="","",COUNTIFS(Tab_00.Trial[CONTA],$I181))</f>
        <v>1</v>
      </c>
      <c r="F181" s="4">
        <f>SUMIFS(Tab_04.Abr[SALDO
ATUAL],Tab_04.Abr[CONTA],$I181)</f>
        <v>14412.32</v>
      </c>
      <c r="G181" s="4">
        <f t="shared" si="7"/>
        <v>0</v>
      </c>
      <c r="H181">
        <v>40240</v>
      </c>
      <c r="I181" s="3" t="s">
        <v>438</v>
      </c>
      <c r="J181" s="3" t="s">
        <v>196</v>
      </c>
      <c r="K181" s="4">
        <v>14412.32</v>
      </c>
      <c r="L181" s="4">
        <v>5965.95</v>
      </c>
      <c r="M181" s="4">
        <v>1522.17</v>
      </c>
      <c r="N181" s="4">
        <v>18856.099999999999</v>
      </c>
      <c r="O181" s="4">
        <f>Tab_05.Mai[[#This Row],[DÉBITO]]-Tab_05.Mai[[#This Row],[CRÉDITO]]</f>
        <v>4443.78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A</v>
      </c>
      <c r="E182" s="2">
        <f>IF($I182="","",COUNTIFS(Tab_00.Trial[CONTA],$I182))</f>
        <v>1</v>
      </c>
      <c r="F182" s="4">
        <f>SUMIFS(Tab_04.Abr[SALDO
ATUAL],Tab_04.Abr[CONTA],$I182)</f>
        <v>2304.48</v>
      </c>
      <c r="G182" s="4">
        <f t="shared" si="7"/>
        <v>0</v>
      </c>
      <c r="H182">
        <v>40255</v>
      </c>
      <c r="I182" s="3" t="s">
        <v>439</v>
      </c>
      <c r="J182" s="3" t="s">
        <v>440</v>
      </c>
      <c r="K182" s="4">
        <v>2304.48</v>
      </c>
      <c r="L182" s="4">
        <v>762.53</v>
      </c>
      <c r="M182" s="4">
        <v>0</v>
      </c>
      <c r="N182" s="4">
        <v>3067.01</v>
      </c>
      <c r="O182" s="4">
        <f>Tab_05.Mai[[#This Row],[DÉBITO]]-Tab_05.Mai[[#This Row],[CRÉDITO]]</f>
        <v>762.53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S</v>
      </c>
      <c r="E183" s="2">
        <f>IF($I183="","",COUNTIFS(Tab_00.Trial[CONTA],$I183))</f>
        <v>1</v>
      </c>
      <c r="F183" s="4">
        <f>SUMIFS(Tab_04.Abr[SALDO
ATUAL],Tab_04.Abr[CONTA],$I183)</f>
        <v>6378.77</v>
      </c>
      <c r="G183" s="4">
        <f t="shared" si="7"/>
        <v>0</v>
      </c>
      <c r="H183">
        <v>40285</v>
      </c>
      <c r="I183" s="3" t="s">
        <v>592</v>
      </c>
      <c r="J183" s="3" t="s">
        <v>699</v>
      </c>
      <c r="K183" s="4">
        <v>6378.77</v>
      </c>
      <c r="L183" s="4">
        <v>0</v>
      </c>
      <c r="M183" s="4">
        <v>0</v>
      </c>
      <c r="N183" s="4">
        <v>6378.77</v>
      </c>
      <c r="O183" s="4">
        <f>Tab_05.Mai[[#This Row],[DÉBITO]]-Tab_05.Mai[[#This Row],[CRÉDITO]]</f>
        <v>0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A</v>
      </c>
      <c r="E184" s="2">
        <f>IF($I184="","",COUNTIFS(Tab_00.Trial[CONTA],$I184))</f>
        <v>1</v>
      </c>
      <c r="F184" s="4">
        <f>SUMIFS(Tab_04.Abr[SALDO
ATUAL],Tab_04.Abr[CONTA],$I184)</f>
        <v>6378.77</v>
      </c>
      <c r="G184" s="4">
        <f t="shared" si="7"/>
        <v>0</v>
      </c>
      <c r="H184">
        <v>40300</v>
      </c>
      <c r="I184" s="3" t="s">
        <v>397</v>
      </c>
      <c r="J184" s="3" t="s">
        <v>398</v>
      </c>
      <c r="K184" s="4">
        <v>6378.77</v>
      </c>
      <c r="L184" s="4">
        <v>0</v>
      </c>
      <c r="M184" s="4">
        <v>0</v>
      </c>
      <c r="N184" s="4">
        <v>6378.77</v>
      </c>
      <c r="O184" s="4">
        <f>Tab_05.Mai[[#This Row],[DÉBITO]]-Tab_05.Mai[[#This Row],[CRÉDITO]]</f>
        <v>0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S</v>
      </c>
      <c r="E185" s="2">
        <f>IF($I185="","",COUNTIFS(Tab_00.Trial[CONTA],$I185))</f>
        <v>1</v>
      </c>
      <c r="F185" s="4">
        <f>SUMIFS(Tab_04.Abr[SALDO
ATUAL],Tab_04.Abr[CONTA],$I185)</f>
        <v>133712.89000000001</v>
      </c>
      <c r="G185" s="4">
        <f t="shared" si="7"/>
        <v>0</v>
      </c>
      <c r="H185">
        <v>40295</v>
      </c>
      <c r="I185" s="3" t="s">
        <v>593</v>
      </c>
      <c r="J185" s="3" t="s">
        <v>711</v>
      </c>
      <c r="K185" s="4">
        <v>133712.89000000001</v>
      </c>
      <c r="L185" s="4">
        <v>41455.96</v>
      </c>
      <c r="M185" s="4">
        <v>0</v>
      </c>
      <c r="N185" s="4">
        <v>175168.85</v>
      </c>
      <c r="O185" s="4">
        <f>Tab_05.Mai[[#This Row],[DÉBITO]]-Tab_05.Mai[[#This Row],[CRÉDITO]]</f>
        <v>41455.96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A</v>
      </c>
      <c r="E186" s="2">
        <f>IF($I186="","",COUNTIFS(Tab_00.Trial[CONTA],$I186))</f>
        <v>1</v>
      </c>
      <c r="F186" s="4">
        <f>SUMIFS(Tab_04.Abr[SALDO
ATUAL],Tab_04.Abr[CONTA],$I186)</f>
        <v>16543.84</v>
      </c>
      <c r="G186" s="4">
        <f t="shared" si="7"/>
        <v>0</v>
      </c>
      <c r="H186">
        <v>40339</v>
      </c>
      <c r="I186" s="3" t="s">
        <v>403</v>
      </c>
      <c r="J186" s="3" t="s">
        <v>404</v>
      </c>
      <c r="K186" s="4">
        <v>16543.84</v>
      </c>
      <c r="L186" s="4">
        <v>4135.96</v>
      </c>
      <c r="M186" s="4">
        <v>0</v>
      </c>
      <c r="N186" s="4">
        <v>20679.8</v>
      </c>
      <c r="O186" s="4">
        <f>Tab_05.Mai[[#This Row],[DÉBITO]]-Tab_05.Mai[[#This Row],[CRÉDITO]]</f>
        <v>4135.96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A</v>
      </c>
      <c r="E187" s="2">
        <f>IF($I187="","",COUNTIFS(Tab_00.Trial[CONTA],$I187))</f>
        <v>1</v>
      </c>
      <c r="F187" s="4">
        <f>SUMIFS(Tab_04.Abr[SALDO
ATUAL],Tab_04.Abr[CONTA],$I187)</f>
        <v>107817</v>
      </c>
      <c r="G187" s="4">
        <f t="shared" si="7"/>
        <v>0</v>
      </c>
      <c r="H187">
        <v>40341</v>
      </c>
      <c r="I187" s="3" t="s">
        <v>405</v>
      </c>
      <c r="J187" s="3" t="s">
        <v>406</v>
      </c>
      <c r="K187" s="4">
        <v>107817</v>
      </c>
      <c r="L187" s="4">
        <v>31320</v>
      </c>
      <c r="M187" s="4">
        <v>0</v>
      </c>
      <c r="N187" s="4">
        <v>139137</v>
      </c>
      <c r="O187" s="4">
        <f>Tab_05.Mai[[#This Row],[DÉBITO]]-Tab_05.Mai[[#This Row],[CRÉDITO]]</f>
        <v>31320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A</v>
      </c>
      <c r="E188" s="2">
        <f>IF($I188="","",COUNTIFS(Tab_00.Trial[CONTA],$I188))</f>
        <v>1</v>
      </c>
      <c r="F188" s="4">
        <f>SUMIFS(Tab_04.Abr[SALDO
ATUAL],Tab_04.Abr[CONTA],$I188)</f>
        <v>9352.0499999999993</v>
      </c>
      <c r="G188" s="4">
        <f t="shared" si="7"/>
        <v>0</v>
      </c>
      <c r="H188">
        <v>40350</v>
      </c>
      <c r="I188" s="3" t="s">
        <v>407</v>
      </c>
      <c r="J188" s="3" t="s">
        <v>408</v>
      </c>
      <c r="K188" s="4">
        <v>9352.0499999999993</v>
      </c>
      <c r="L188" s="4">
        <v>6000</v>
      </c>
      <c r="M188" s="4">
        <v>0</v>
      </c>
      <c r="N188" s="4">
        <v>15352.05</v>
      </c>
      <c r="O188" s="4">
        <f>Tab_05.Mai[[#This Row],[DÉBITO]]-Tab_05.Mai[[#This Row],[CRÉDITO]]</f>
        <v>6000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S</v>
      </c>
      <c r="E189" s="2">
        <f>IF($I189="","",COUNTIFS(Tab_00.Trial[CONTA],$I189))</f>
        <v>1</v>
      </c>
      <c r="F189" s="4">
        <f>SUMIFS(Tab_04.Abr[SALDO
ATUAL],Tab_04.Abr[CONTA],$I189)</f>
        <v>60148.480000000003</v>
      </c>
      <c r="G189" s="4">
        <f t="shared" si="7"/>
        <v>0</v>
      </c>
      <c r="H189">
        <v>40353</v>
      </c>
      <c r="I189" s="3" t="s">
        <v>594</v>
      </c>
      <c r="J189" s="3" t="s">
        <v>819</v>
      </c>
      <c r="K189" s="4">
        <v>60148.480000000003</v>
      </c>
      <c r="L189" s="4">
        <v>12075.06</v>
      </c>
      <c r="M189" s="4">
        <v>0</v>
      </c>
      <c r="N189" s="4">
        <v>72223.539999999994</v>
      </c>
      <c r="O189" s="4">
        <f>Tab_05.Mai[[#This Row],[DÉBITO]]-Tab_05.Mai[[#This Row],[CRÉDITO]]</f>
        <v>12075.06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A</v>
      </c>
      <c r="E190" s="2">
        <f>IF($I190="","",COUNTIFS(Tab_00.Trial[CONTA],$I190))</f>
        <v>1</v>
      </c>
      <c r="F190" s="4">
        <f>SUMIFS(Tab_04.Abr[SALDO
ATUAL],Tab_04.Abr[CONTA],$I190)</f>
        <v>300</v>
      </c>
      <c r="G190" s="4">
        <f t="shared" si="7"/>
        <v>0</v>
      </c>
      <c r="H190">
        <v>40354</v>
      </c>
      <c r="I190" s="3" t="s">
        <v>411</v>
      </c>
      <c r="J190" s="3" t="s">
        <v>412</v>
      </c>
      <c r="K190" s="4">
        <v>300</v>
      </c>
      <c r="L190" s="4">
        <v>0</v>
      </c>
      <c r="M190" s="4">
        <v>0</v>
      </c>
      <c r="N190" s="4">
        <v>300</v>
      </c>
      <c r="O190" s="4">
        <f>Tab_05.Mai[[#This Row],[DÉBITO]]-Tab_05.Mai[[#This Row],[CRÉDITO]]</f>
        <v>0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A</v>
      </c>
      <c r="E191" s="2">
        <f>IF($I191="","",COUNTIFS(Tab_00.Trial[CONTA],$I191))</f>
        <v>1</v>
      </c>
      <c r="F191" s="4">
        <f>SUMIFS(Tab_04.Abr[SALDO
ATUAL],Tab_04.Abr[CONTA],$I191)</f>
        <v>59848.480000000003</v>
      </c>
      <c r="G191" s="4">
        <f t="shared" si="7"/>
        <v>0</v>
      </c>
      <c r="H191">
        <v>40355</v>
      </c>
      <c r="I191" s="3" t="s">
        <v>413</v>
      </c>
      <c r="J191" s="3" t="s">
        <v>414</v>
      </c>
      <c r="K191" s="4">
        <v>59848.480000000003</v>
      </c>
      <c r="L191" s="4">
        <v>12075.06</v>
      </c>
      <c r="M191" s="4">
        <v>0</v>
      </c>
      <c r="N191" s="4">
        <v>71923.539999999994</v>
      </c>
      <c r="O191" s="4">
        <f>Tab_05.Mai[[#This Row],[DÉBITO]]-Tab_05.Mai[[#This Row],[CRÉDITO]]</f>
        <v>12075.06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S</v>
      </c>
      <c r="E192" s="2">
        <f>IF($I192="","",COUNTIFS(Tab_00.Trial[CONTA],$I192))</f>
        <v>1</v>
      </c>
      <c r="F192" s="4">
        <f>SUMIFS(Tab_04.Abr[SALDO
ATUAL],Tab_04.Abr[CONTA],$I192)</f>
        <v>1709.04</v>
      </c>
      <c r="G192" s="4">
        <f t="shared" si="7"/>
        <v>0</v>
      </c>
      <c r="H192">
        <v>40365</v>
      </c>
      <c r="I192" s="3" t="s">
        <v>595</v>
      </c>
      <c r="J192" s="3" t="s">
        <v>420</v>
      </c>
      <c r="K192" s="4">
        <v>1709.04</v>
      </c>
      <c r="L192" s="4">
        <v>1266.58</v>
      </c>
      <c r="M192" s="4">
        <v>0</v>
      </c>
      <c r="N192" s="4">
        <v>2975.62</v>
      </c>
      <c r="O192" s="4">
        <f>Tab_05.Mai[[#This Row],[DÉBITO]]-Tab_05.Mai[[#This Row],[CRÉDITO]]</f>
        <v>1266.58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5</v>
      </c>
      <c r="D193" s="2" t="str">
        <f>_xlfn.XLOOKUP($I193,Tab_00.Trial[CONTA],Tab_00.Trial[S/A],"",0,1)</f>
        <v>A</v>
      </c>
      <c r="E193" s="2">
        <f>IF($I193="","",COUNTIFS(Tab_00.Trial[CONTA],$I193))</f>
        <v>1</v>
      </c>
      <c r="F193" s="4">
        <f>SUMIFS(Tab_04.Abr[SALDO
ATUAL],Tab_04.Abr[CONTA],$I193)</f>
        <v>1709.04</v>
      </c>
      <c r="G193" s="4">
        <f t="shared" si="7"/>
        <v>0</v>
      </c>
      <c r="H193">
        <v>40366</v>
      </c>
      <c r="I193" s="3" t="s">
        <v>419</v>
      </c>
      <c r="J193" s="3" t="s">
        <v>420</v>
      </c>
      <c r="K193" s="4">
        <v>1709.04</v>
      </c>
      <c r="L193" s="4">
        <v>1266.58</v>
      </c>
      <c r="M193" s="4">
        <v>0</v>
      </c>
      <c r="N193" s="4">
        <v>2975.62</v>
      </c>
      <c r="O193" s="4">
        <f>Tab_05.Mai[[#This Row],[DÉBITO]]-Tab_05.Mai[[#This Row],[CRÉDITO]]</f>
        <v>1266.58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5</v>
      </c>
      <c r="D194" s="2" t="str">
        <f>_xlfn.XLOOKUP($I194,Tab_00.Trial[CONTA],Tab_00.Trial[S/A],"",0,1)</f>
        <v>S</v>
      </c>
      <c r="E194" s="2">
        <f>IF($I194="","",COUNTIFS(Tab_00.Trial[CONTA],$I194))</f>
        <v>1</v>
      </c>
      <c r="F194" s="4">
        <f>SUMIFS(Tab_04.Abr[SALDO
ATUAL],Tab_04.Abr[CONTA],$I194)</f>
        <v>2936654.85</v>
      </c>
      <c r="G194" s="4">
        <f t="shared" si="7"/>
        <v>0</v>
      </c>
      <c r="H194">
        <v>40345</v>
      </c>
      <c r="I194" s="3" t="s">
        <v>237</v>
      </c>
      <c r="J194" s="3" t="s">
        <v>702</v>
      </c>
      <c r="K194" s="4">
        <v>2936654.85</v>
      </c>
      <c r="L194" s="4">
        <v>677488.52</v>
      </c>
      <c r="M194" s="4">
        <v>0</v>
      </c>
      <c r="N194" s="4">
        <v>3614143.37</v>
      </c>
      <c r="O194" s="4">
        <f>Tab_05.Mai[[#This Row],[DÉBITO]]-Tab_05.Mai[[#This Row],[CRÉDITO]]</f>
        <v>677488.52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S</v>
      </c>
      <c r="E195" s="2">
        <f>IF($I195="","",COUNTIFS(Tab_00.Trial[CONTA],$I195))</f>
        <v>1</v>
      </c>
      <c r="F195" s="4">
        <f>SUMIFS(Tab_04.Abr[SALDO
ATUAL],Tab_04.Abr[CONTA],$I195)</f>
        <v>2936654.85</v>
      </c>
      <c r="G195" s="4">
        <f t="shared" si="7"/>
        <v>0</v>
      </c>
      <c r="H195">
        <v>40360</v>
      </c>
      <c r="I195" s="3" t="s">
        <v>238</v>
      </c>
      <c r="J195" s="3" t="s">
        <v>820</v>
      </c>
      <c r="K195" s="4">
        <v>2936654.85</v>
      </c>
      <c r="L195" s="4">
        <v>677488.52</v>
      </c>
      <c r="M195" s="4">
        <v>0</v>
      </c>
      <c r="N195" s="4">
        <v>3614143.37</v>
      </c>
      <c r="O195" s="4">
        <f>Tab_05.Mai[[#This Row],[DÉBITO]]-Tab_05.Mai[[#This Row],[CRÉDITO]]</f>
        <v>677488.52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A</v>
      </c>
      <c r="E196" s="2">
        <f>IF($I196="","",COUNTIFS(Tab_00.Trial[CONTA],$I196))</f>
        <v>1</v>
      </c>
      <c r="F196" s="4">
        <f>SUMIFS(Tab_04.Abr[SALDO
ATUAL],Tab_04.Abr[CONTA],$I196)</f>
        <v>862584.28</v>
      </c>
      <c r="G196" s="4">
        <f t="shared" si="7"/>
        <v>0</v>
      </c>
      <c r="H196">
        <v>40425</v>
      </c>
      <c r="I196" s="3" t="s">
        <v>421</v>
      </c>
      <c r="J196" s="3" t="s">
        <v>422</v>
      </c>
      <c r="K196" s="4">
        <v>862584.28</v>
      </c>
      <c r="L196" s="4">
        <v>332680.82</v>
      </c>
      <c r="M196" s="4">
        <v>0</v>
      </c>
      <c r="N196" s="4">
        <v>1195265.1000000001</v>
      </c>
      <c r="O196" s="4">
        <f>Tab_05.Mai[[#This Row],[DÉBITO]]-Tab_05.Mai[[#This Row],[CRÉDITO]]</f>
        <v>332680.82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5</v>
      </c>
      <c r="D197" s="2" t="str">
        <f>_xlfn.XLOOKUP($I197,Tab_00.Trial[CONTA],Tab_00.Trial[S/A],"",0,1)</f>
        <v>A</v>
      </c>
      <c r="E197" s="2">
        <f>IF($I197="","",COUNTIFS(Tab_00.Trial[CONTA],$I197))</f>
        <v>1</v>
      </c>
      <c r="F197" s="4">
        <f>SUMIFS(Tab_04.Abr[SALDO
ATUAL],Tab_04.Abr[CONTA],$I197)</f>
        <v>514787.48</v>
      </c>
      <c r="G197" s="4">
        <f t="shared" si="7"/>
        <v>0</v>
      </c>
      <c r="H197">
        <v>40468</v>
      </c>
      <c r="I197" s="3" t="s">
        <v>738</v>
      </c>
      <c r="J197" s="3" t="s">
        <v>367</v>
      </c>
      <c r="K197" s="4">
        <v>514787.48</v>
      </c>
      <c r="L197" s="4">
        <v>137859.68</v>
      </c>
      <c r="M197" s="4">
        <v>0</v>
      </c>
      <c r="N197" s="4">
        <v>652647.16</v>
      </c>
      <c r="O197" s="4">
        <f>Tab_05.Mai[[#This Row],[DÉBITO]]-Tab_05.Mai[[#This Row],[CRÉDITO]]</f>
        <v>137859.68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5</v>
      </c>
      <c r="D198" s="2" t="str">
        <f>_xlfn.XLOOKUP($I198,Tab_00.Trial[CONTA],Tab_00.Trial[S/A],"",0,1)</f>
        <v>A</v>
      </c>
      <c r="E198" s="2">
        <f>IF($I198="","",COUNTIFS(Tab_00.Trial[CONTA],$I198))</f>
        <v>1</v>
      </c>
      <c r="F198" s="4">
        <f>SUMIFS(Tab_04.Abr[SALDO
ATUAL],Tab_04.Abr[CONTA],$I198)</f>
        <v>1559283.09</v>
      </c>
      <c r="G198" s="4">
        <f>$F198-$K198</f>
        <v>0</v>
      </c>
      <c r="H198">
        <v>40469</v>
      </c>
      <c r="I198" s="3" t="s">
        <v>423</v>
      </c>
      <c r="J198" s="3" t="s">
        <v>424</v>
      </c>
      <c r="K198" s="4">
        <v>1559283.09</v>
      </c>
      <c r="L198" s="4">
        <v>206948.02</v>
      </c>
      <c r="M198" s="4">
        <v>0</v>
      </c>
      <c r="N198" s="4">
        <v>1766231.11</v>
      </c>
      <c r="O198" s="4">
        <f>Tab_05.Mai[[#This Row],[DÉBITO]]-Tab_05.Mai[[#This Row],[CRÉDITO]]</f>
        <v>206948.02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1</v>
      </c>
      <c r="D199" s="2" t="str">
        <f>_xlfn.XLOOKUP($I199,Tab_00.Trial[CONTA],Tab_00.Trial[S/A],"",0,1)</f>
        <v>S</v>
      </c>
      <c r="E199" s="2">
        <f>IF($I199="","",COUNTIFS(Tab_00.Trial[CONTA],$I199))</f>
        <v>1</v>
      </c>
      <c r="F199" s="4">
        <f>SUMIFS(Tab_04.Abr[SALDO
ATUAL],Tab_04.Abr[CONTA],$I199)</f>
        <v>1257197.3600000001</v>
      </c>
      <c r="G199" s="4">
        <f t="shared" ref="G199:G230" si="8">$F199-$K199</f>
        <v>0</v>
      </c>
      <c r="H199">
        <v>50000</v>
      </c>
      <c r="I199" s="3">
        <v>5</v>
      </c>
      <c r="J199" s="3" t="s">
        <v>705</v>
      </c>
      <c r="K199" s="4">
        <v>1257197.3600000001</v>
      </c>
      <c r="L199" s="4">
        <v>228325.1</v>
      </c>
      <c r="M199" s="4">
        <v>14117.79</v>
      </c>
      <c r="N199" s="4">
        <v>1471404.67</v>
      </c>
      <c r="O199" s="4">
        <f>Tab_05.Mai[[#This Row],[DÉBITO]]-Tab_05.Mai[[#This Row],[CRÉDITO]]</f>
        <v>214207.31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2</v>
      </c>
      <c r="D200" s="2" t="str">
        <f>_xlfn.XLOOKUP($I200,Tab_00.Trial[CONTA],Tab_00.Trial[S/A],"",0,1)</f>
        <v>S</v>
      </c>
      <c r="E200" s="2">
        <f>IF($I200="","",COUNTIFS(Tab_00.Trial[CONTA],$I200))</f>
        <v>1</v>
      </c>
      <c r="F200" s="4">
        <f>SUMIFS(Tab_04.Abr[SALDO
ATUAL],Tab_04.Abr[CONTA],$I200)</f>
        <v>1257116.3600000001</v>
      </c>
      <c r="G200" s="4">
        <f t="shared" si="8"/>
        <v>0</v>
      </c>
      <c r="H200">
        <v>50015</v>
      </c>
      <c r="I200" s="3" t="s">
        <v>599</v>
      </c>
      <c r="J200" s="3" t="s">
        <v>821</v>
      </c>
      <c r="K200" s="4">
        <v>1257116.3600000001</v>
      </c>
      <c r="L200" s="4">
        <v>228325.1</v>
      </c>
      <c r="M200" s="4">
        <v>14117.79</v>
      </c>
      <c r="N200" s="4">
        <v>1471323.67</v>
      </c>
      <c r="O200" s="4">
        <f>Tab_05.Mai[[#This Row],[DÉBITO]]-Tab_05.Mai[[#This Row],[CRÉDITO]]</f>
        <v>214207.31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5</v>
      </c>
      <c r="D201" s="2" t="str">
        <f>_xlfn.XLOOKUP($I201,Tab_00.Trial[CONTA],Tab_00.Trial[S/A],"",0,1)</f>
        <v>S</v>
      </c>
      <c r="E201" s="2">
        <f>IF($I201="","",COUNTIFS(Tab_00.Trial[CONTA],$I201))</f>
        <v>1</v>
      </c>
      <c r="F201" s="4">
        <f>SUMIFS(Tab_04.Abr[SALDO
ATUAL],Tab_04.Abr[CONTA],$I201)</f>
        <v>612215.82999999996</v>
      </c>
      <c r="G201" s="4">
        <f t="shared" si="8"/>
        <v>0</v>
      </c>
      <c r="H201">
        <v>50030</v>
      </c>
      <c r="I201" s="3" t="s">
        <v>600</v>
      </c>
      <c r="J201" s="3" t="s">
        <v>706</v>
      </c>
      <c r="K201" s="4">
        <v>612215.82999999996</v>
      </c>
      <c r="L201" s="4">
        <v>65743.850000000006</v>
      </c>
      <c r="M201" s="4">
        <v>13967.89</v>
      </c>
      <c r="N201" s="4">
        <v>663991.79</v>
      </c>
      <c r="O201" s="4">
        <f>Tab_05.Mai[[#This Row],[DÉBITO]]-Tab_05.Mai[[#This Row],[CRÉDITO]]</f>
        <v>51775.96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5</v>
      </c>
      <c r="D202" s="2" t="str">
        <f>_xlfn.XLOOKUP($I202,Tab_00.Trial[CONTA],Tab_00.Trial[S/A],"",0,1)</f>
        <v>S</v>
      </c>
      <c r="E202" s="2">
        <f>IF($I202="","",COUNTIFS(Tab_00.Trial[CONTA],$I202))</f>
        <v>1</v>
      </c>
      <c r="F202" s="4">
        <f>SUMIFS(Tab_04.Abr[SALDO
ATUAL],Tab_04.Abr[CONTA],$I202)</f>
        <v>355062.16</v>
      </c>
      <c r="G202" s="4">
        <f t="shared" si="8"/>
        <v>0</v>
      </c>
      <c r="H202">
        <v>50045</v>
      </c>
      <c r="I202" s="3" t="s">
        <v>601</v>
      </c>
      <c r="J202" s="3" t="s">
        <v>707</v>
      </c>
      <c r="K202" s="4">
        <v>355062.16</v>
      </c>
      <c r="L202" s="4">
        <v>52556.51</v>
      </c>
      <c r="M202" s="4">
        <v>12165.81</v>
      </c>
      <c r="N202" s="4">
        <v>395452.86</v>
      </c>
      <c r="O202" s="4">
        <f>Tab_05.Mai[[#This Row],[DÉBITO]]-Tab_05.Mai[[#This Row],[CRÉDITO]]</f>
        <v>40390.699999999997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5</v>
      </c>
      <c r="D203" s="2" t="str">
        <f>_xlfn.XLOOKUP($I203,Tab_00.Trial[CONTA],Tab_00.Trial[S/A],"",0,1)</f>
        <v>A</v>
      </c>
      <c r="E203" s="2">
        <f>IF($I203="","",COUNTIFS(Tab_00.Trial[CONTA],$I203))</f>
        <v>1</v>
      </c>
      <c r="F203" s="4">
        <f>SUMIFS(Tab_04.Abr[SALDO
ATUAL],Tab_04.Abr[CONTA],$I203)</f>
        <v>193928.11</v>
      </c>
      <c r="G203" s="4">
        <f t="shared" si="8"/>
        <v>0</v>
      </c>
      <c r="H203">
        <v>50060</v>
      </c>
      <c r="I203" s="3" t="s">
        <v>441</v>
      </c>
      <c r="J203" s="3" t="s">
        <v>427</v>
      </c>
      <c r="K203" s="4">
        <v>193928.11</v>
      </c>
      <c r="L203" s="4">
        <v>42704.29</v>
      </c>
      <c r="M203" s="4">
        <v>11432.48</v>
      </c>
      <c r="N203" s="4">
        <v>225199.92</v>
      </c>
      <c r="O203" s="4">
        <f>Tab_05.Mai[[#This Row],[DÉBITO]]-Tab_05.Mai[[#This Row],[CRÉDITO]]</f>
        <v>31271.81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5</v>
      </c>
      <c r="D204" s="2" t="str">
        <f>_xlfn.XLOOKUP($I204,Tab_00.Trial[CONTA],Tab_00.Trial[S/A],"",0,1)</f>
        <v>A</v>
      </c>
      <c r="E204" s="2">
        <f>IF($I204="","",COUNTIFS(Tab_00.Trial[CONTA],$I204))</f>
        <v>1</v>
      </c>
      <c r="F204" s="4">
        <f>SUMIFS(Tab_04.Abr[SALDO
ATUAL],Tab_04.Abr[CONTA],$I204)</f>
        <v>31360.39</v>
      </c>
      <c r="G204" s="4">
        <f t="shared" si="8"/>
        <v>0</v>
      </c>
      <c r="H204">
        <v>50090</v>
      </c>
      <c r="I204" s="3" t="s">
        <v>443</v>
      </c>
      <c r="J204" s="3" t="s">
        <v>431</v>
      </c>
      <c r="K204" s="4">
        <v>31360.39</v>
      </c>
      <c r="L204" s="4">
        <v>2959.87</v>
      </c>
      <c r="M204" s="4">
        <v>733.33</v>
      </c>
      <c r="N204" s="4">
        <v>33586.93</v>
      </c>
      <c r="O204" s="4">
        <f>Tab_05.Mai[[#This Row],[DÉBITO]]-Tab_05.Mai[[#This Row],[CRÉDITO]]</f>
        <v>2226.54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5</v>
      </c>
      <c r="D205" s="2" t="str">
        <f>_xlfn.XLOOKUP($I205,Tab_00.Trial[CONTA],Tab_00.Trial[S/A],"",0,1)</f>
        <v>A</v>
      </c>
      <c r="E205" s="2">
        <f>IF($I205="","",COUNTIFS(Tab_00.Trial[CONTA],$I205))</f>
        <v>1</v>
      </c>
      <c r="F205" s="4">
        <f>SUMIFS(Tab_04.Abr[SALDO
ATUAL],Tab_04.Abr[CONTA],$I205)</f>
        <v>24892.240000000002</v>
      </c>
      <c r="G205" s="4">
        <f t="shared" si="8"/>
        <v>0</v>
      </c>
      <c r="H205">
        <v>50105</v>
      </c>
      <c r="I205" s="3" t="s">
        <v>444</v>
      </c>
      <c r="J205" s="3" t="s">
        <v>433</v>
      </c>
      <c r="K205" s="4">
        <v>24892.240000000002</v>
      </c>
      <c r="L205" s="4">
        <v>3505.01</v>
      </c>
      <c r="M205" s="4">
        <v>0</v>
      </c>
      <c r="N205" s="4">
        <v>28397.25</v>
      </c>
      <c r="O205" s="4">
        <f>Tab_05.Mai[[#This Row],[DÉBITO]]-Tab_05.Mai[[#This Row],[CRÉDITO]]</f>
        <v>3505.01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5</v>
      </c>
      <c r="D206" s="2" t="str">
        <f>_xlfn.XLOOKUP($I206,Tab_00.Trial[CONTA],Tab_00.Trial[S/A],"",0,1)</f>
        <v>A</v>
      </c>
      <c r="E206" s="2">
        <f>IF($I206="","",COUNTIFS(Tab_00.Trial[CONTA],$I206))</f>
        <v>1</v>
      </c>
      <c r="F206" s="4">
        <f>SUMIFS(Tab_04.Abr[SALDO
ATUAL],Tab_04.Abr[CONTA],$I206)</f>
        <v>85959.77</v>
      </c>
      <c r="G206" s="4">
        <f t="shared" si="8"/>
        <v>0</v>
      </c>
      <c r="H206">
        <v>50120</v>
      </c>
      <c r="I206" s="3" t="s">
        <v>775</v>
      </c>
      <c r="J206" s="3" t="s">
        <v>749</v>
      </c>
      <c r="K206" s="4">
        <v>85959.77</v>
      </c>
      <c r="L206" s="4">
        <v>0</v>
      </c>
      <c r="M206" s="4">
        <v>0</v>
      </c>
      <c r="N206" s="4">
        <v>85959.77</v>
      </c>
      <c r="O206" s="4">
        <f>Tab_05.Mai[[#This Row],[DÉBITO]]-Tab_05.Mai[[#This Row],[CRÉDITO]]</f>
        <v>0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5</v>
      </c>
      <c r="D207" s="2" t="str">
        <f>_xlfn.XLOOKUP($I207,Tab_00.Trial[CONTA],Tab_00.Trial[S/A],"",0,1)</f>
        <v>A</v>
      </c>
      <c r="E207" s="2">
        <f>IF($I207="","",COUNTIFS(Tab_00.Trial[CONTA],$I207))</f>
        <v>1</v>
      </c>
      <c r="F207" s="4">
        <f>SUMIFS(Tab_04.Abr[SALDO
ATUAL],Tab_04.Abr[CONTA],$I207)</f>
        <v>0</v>
      </c>
      <c r="G207" s="4">
        <f t="shared" si="8"/>
        <v>0</v>
      </c>
      <c r="H207">
        <v>50205</v>
      </c>
      <c r="I207" s="3" t="s">
        <v>447</v>
      </c>
      <c r="J207" s="3" t="s">
        <v>448</v>
      </c>
      <c r="K207" s="4">
        <v>0</v>
      </c>
      <c r="L207" s="4">
        <v>476.67</v>
      </c>
      <c r="M207" s="4">
        <v>0</v>
      </c>
      <c r="N207" s="4">
        <v>476.67</v>
      </c>
      <c r="O207" s="4">
        <f>Tab_05.Mai[[#This Row],[DÉBITO]]-Tab_05.Mai[[#This Row],[CRÉDITO]]</f>
        <v>476.67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5</v>
      </c>
      <c r="D208" s="2" t="str">
        <f>_xlfn.XLOOKUP($I208,Tab_00.Trial[CONTA],Tab_00.Trial[S/A],"",0,1)</f>
        <v>A</v>
      </c>
      <c r="E208" s="2">
        <f>IF($I208="","",COUNTIFS(Tab_00.Trial[CONTA],$I208))</f>
        <v>1</v>
      </c>
      <c r="F208" s="4">
        <f>SUMIFS(Tab_04.Abr[SALDO
ATUAL],Tab_04.Abr[CONTA],$I208)</f>
        <v>2019.89</v>
      </c>
      <c r="G208" s="4">
        <f t="shared" si="8"/>
        <v>0</v>
      </c>
      <c r="H208">
        <v>10167</v>
      </c>
      <c r="I208" s="3" t="s">
        <v>802</v>
      </c>
      <c r="J208" s="3" t="s">
        <v>791</v>
      </c>
      <c r="K208" s="4">
        <v>2019.89</v>
      </c>
      <c r="L208" s="4">
        <v>1252.44</v>
      </c>
      <c r="M208" s="4">
        <v>0</v>
      </c>
      <c r="N208" s="4">
        <v>3272.33</v>
      </c>
      <c r="O208" s="4">
        <f>Tab_05.Mai[[#This Row],[DÉBITO]]-Tab_05.Mai[[#This Row],[CRÉDITO]]</f>
        <v>1252.44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5</v>
      </c>
      <c r="D209" s="2" t="str">
        <f>_xlfn.XLOOKUP($I209,Tab_00.Trial[CONTA],Tab_00.Trial[S/A],"",0,1)</f>
        <v>A</v>
      </c>
      <c r="E209" s="2">
        <f>IF($I209="","",COUNTIFS(Tab_00.Trial[CONTA],$I209))</f>
        <v>1</v>
      </c>
      <c r="F209" s="4">
        <f>SUMIFS(Tab_04.Abr[SALDO
ATUAL],Tab_04.Abr[CONTA],$I209)</f>
        <v>10025.94</v>
      </c>
      <c r="G209" s="4">
        <f t="shared" si="8"/>
        <v>0</v>
      </c>
      <c r="H209">
        <v>10174</v>
      </c>
      <c r="I209" s="3" t="s">
        <v>803</v>
      </c>
      <c r="J209" s="3" t="s">
        <v>793</v>
      </c>
      <c r="K209" s="4">
        <v>10025.94</v>
      </c>
      <c r="L209" s="4">
        <v>373.86</v>
      </c>
      <c r="M209" s="4">
        <v>0</v>
      </c>
      <c r="N209" s="4">
        <v>10399.799999999999</v>
      </c>
      <c r="O209" s="4">
        <f>Tab_05.Mai[[#This Row],[DÉBITO]]-Tab_05.Mai[[#This Row],[CRÉDITO]]</f>
        <v>373.86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5</v>
      </c>
      <c r="D210" s="2" t="str">
        <f>_xlfn.XLOOKUP($I210,Tab_00.Trial[CONTA],Tab_00.Trial[S/A],"",0,1)</f>
        <v>A</v>
      </c>
      <c r="E210" s="2">
        <f>IF($I210="","",COUNTIFS(Tab_00.Trial[CONTA],$I210))</f>
        <v>1</v>
      </c>
      <c r="F210" s="4">
        <f>SUMIFS(Tab_04.Abr[SALDO
ATUAL],Tab_04.Abr[CONTA],$I210)</f>
        <v>101.44</v>
      </c>
      <c r="G210" s="4">
        <f t="shared" si="8"/>
        <v>0</v>
      </c>
      <c r="H210">
        <v>10181</v>
      </c>
      <c r="I210" s="3" t="s">
        <v>804</v>
      </c>
      <c r="J210" s="3" t="s">
        <v>795</v>
      </c>
      <c r="K210" s="4">
        <v>101.44</v>
      </c>
      <c r="L210" s="4">
        <v>29.59</v>
      </c>
      <c r="M210" s="4">
        <v>0</v>
      </c>
      <c r="N210" s="4">
        <v>131.03</v>
      </c>
      <c r="O210" s="4">
        <f>Tab_05.Mai[[#This Row],[DÉBITO]]-Tab_05.Mai[[#This Row],[CRÉDITO]]</f>
        <v>29.59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5</v>
      </c>
      <c r="D211" s="2" t="str">
        <f>_xlfn.XLOOKUP($I211,Tab_00.Trial[CONTA],Tab_00.Trial[S/A],"",0,1)</f>
        <v>A</v>
      </c>
      <c r="E211" s="2">
        <f>IF($I211="","",COUNTIFS(Tab_00.Trial[CONTA],$I211))</f>
        <v>1</v>
      </c>
      <c r="F211" s="4">
        <f>SUMIFS(Tab_04.Abr[SALDO
ATUAL],Tab_04.Abr[CONTA],$I211)</f>
        <v>5071.3599999999997</v>
      </c>
      <c r="G211" s="4">
        <f t="shared" si="8"/>
        <v>0</v>
      </c>
      <c r="H211">
        <v>10188</v>
      </c>
      <c r="I211" s="3" t="s">
        <v>805</v>
      </c>
      <c r="J211" s="3" t="s">
        <v>797</v>
      </c>
      <c r="K211" s="4">
        <v>5071.3599999999997</v>
      </c>
      <c r="L211" s="4">
        <v>939.31</v>
      </c>
      <c r="M211" s="4">
        <v>0</v>
      </c>
      <c r="N211" s="4">
        <v>6010.67</v>
      </c>
      <c r="O211" s="4">
        <f>Tab_05.Mai[[#This Row],[DÉBITO]]-Tab_05.Mai[[#This Row],[CRÉDITO]]</f>
        <v>939.31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A</v>
      </c>
      <c r="E212" s="2">
        <f>IF($I212="","",COUNTIFS(Tab_00.Trial[CONTA],$I212))</f>
        <v>1</v>
      </c>
      <c r="F212" s="4">
        <f>SUMIFS(Tab_04.Abr[SALDO
ATUAL],Tab_04.Abr[CONTA],$I212)</f>
        <v>1513.8</v>
      </c>
      <c r="G212" s="4">
        <f t="shared" si="8"/>
        <v>0</v>
      </c>
      <c r="H212">
        <v>10202</v>
      </c>
      <c r="I212" s="3" t="s">
        <v>806</v>
      </c>
      <c r="J212" s="3" t="s">
        <v>799</v>
      </c>
      <c r="K212" s="4">
        <v>1513.8</v>
      </c>
      <c r="L212" s="4">
        <v>280.41000000000003</v>
      </c>
      <c r="M212" s="4">
        <v>0</v>
      </c>
      <c r="N212" s="4">
        <v>1794.21</v>
      </c>
      <c r="O212" s="4">
        <f>Tab_05.Mai[[#This Row],[DÉBITO]]-Tab_05.Mai[[#This Row],[CRÉDITO]]</f>
        <v>280.41000000000003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A</v>
      </c>
      <c r="E213" s="2">
        <f>IF($I213="","",COUNTIFS(Tab_00.Trial[CONTA],$I213))</f>
        <v>1</v>
      </c>
      <c r="F213" s="4">
        <f>SUMIFS(Tab_04.Abr[SALDO
ATUAL],Tab_04.Abr[CONTA],$I213)</f>
        <v>189.22</v>
      </c>
      <c r="G213" s="4">
        <f t="shared" si="8"/>
        <v>0</v>
      </c>
      <c r="H213">
        <v>10209</v>
      </c>
      <c r="I213" s="3" t="s">
        <v>807</v>
      </c>
      <c r="J213" s="3" t="s">
        <v>801</v>
      </c>
      <c r="K213" s="4">
        <v>189.22</v>
      </c>
      <c r="L213" s="4">
        <v>35.06</v>
      </c>
      <c r="M213" s="4">
        <v>0</v>
      </c>
      <c r="N213" s="4">
        <v>224.28</v>
      </c>
      <c r="O213" s="4">
        <f>Tab_05.Mai[[#This Row],[DÉBITO]]-Tab_05.Mai[[#This Row],[CRÉDITO]]</f>
        <v>35.06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5</v>
      </c>
      <c r="D214" s="2" t="str">
        <f>_xlfn.XLOOKUP($I214,Tab_00.Trial[CONTA],Tab_00.Trial[S/A],"",0,1)</f>
        <v>S</v>
      </c>
      <c r="E214" s="2">
        <f>IF($I214="","",COUNTIFS(Tab_00.Trial[CONTA],$I214))</f>
        <v>1</v>
      </c>
      <c r="F214" s="4">
        <f>SUMIFS(Tab_04.Abr[SALDO
ATUAL],Tab_04.Abr[CONTA],$I214)</f>
        <v>1014</v>
      </c>
      <c r="G214" s="4">
        <f t="shared" si="8"/>
        <v>0</v>
      </c>
      <c r="H214">
        <v>50150</v>
      </c>
      <c r="I214" s="3" t="s">
        <v>602</v>
      </c>
      <c r="J214" s="3" t="s">
        <v>708</v>
      </c>
      <c r="K214" s="4">
        <v>1014</v>
      </c>
      <c r="L214" s="4">
        <v>1802.08</v>
      </c>
      <c r="M214" s="4">
        <v>1802.08</v>
      </c>
      <c r="N214" s="4">
        <v>1014</v>
      </c>
      <c r="O214" s="4">
        <f>Tab_05.Mai[[#This Row],[DÉBITO]]-Tab_05.Mai[[#This Row],[CRÉDITO]]</f>
        <v>0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A</v>
      </c>
      <c r="E215" s="2">
        <f>IF($I215="","",COUNTIFS(Tab_00.Trial[CONTA],$I215))</f>
        <v>1</v>
      </c>
      <c r="F215" s="4">
        <f>SUMIFS(Tab_04.Abr[SALDO
ATUAL],Tab_04.Abr[CONTA],$I215)</f>
        <v>0</v>
      </c>
      <c r="G215" s="4">
        <f t="shared" si="8"/>
        <v>0</v>
      </c>
      <c r="H215">
        <v>50165</v>
      </c>
      <c r="I215" s="3" t="s">
        <v>772</v>
      </c>
      <c r="J215" s="3" t="s">
        <v>435</v>
      </c>
      <c r="K215" s="4">
        <v>0</v>
      </c>
      <c r="L215" s="4">
        <v>541.58000000000004</v>
      </c>
      <c r="M215" s="4">
        <v>541.58000000000004</v>
      </c>
      <c r="N215" s="4">
        <v>0</v>
      </c>
      <c r="O215" s="4">
        <f>Tab_05.Mai[[#This Row],[DÉBITO]]-Tab_05.Mai[[#This Row],[CRÉDITO]]</f>
        <v>0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A</v>
      </c>
      <c r="E216" s="2">
        <f>IF($I216="","",COUNTIFS(Tab_00.Trial[CONTA],$I216))</f>
        <v>1</v>
      </c>
      <c r="F216" s="4">
        <f>SUMIFS(Tab_04.Abr[SALDO
ATUAL],Tab_04.Abr[CONTA],$I216)</f>
        <v>0</v>
      </c>
      <c r="G216" s="4">
        <f t="shared" si="8"/>
        <v>0</v>
      </c>
      <c r="H216">
        <v>50195</v>
      </c>
      <c r="I216" s="3" t="s">
        <v>773</v>
      </c>
      <c r="J216" s="3" t="s">
        <v>751</v>
      </c>
      <c r="K216" s="4">
        <v>0</v>
      </c>
      <c r="L216" s="4">
        <v>1260.5</v>
      </c>
      <c r="M216" s="4">
        <v>1260.5</v>
      </c>
      <c r="N216" s="4">
        <v>0</v>
      </c>
      <c r="O216" s="4">
        <f>Tab_05.Mai[[#This Row],[DÉBITO]]-Tab_05.Mai[[#This Row],[CRÉDITO]]</f>
        <v>0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A</v>
      </c>
      <c r="E217" s="2">
        <f>IF($I217="","",COUNTIFS(Tab_00.Trial[CONTA],$I217))</f>
        <v>1</v>
      </c>
      <c r="F217" s="4">
        <f>SUMIFS(Tab_04.Abr[SALDO
ATUAL],Tab_04.Abr[CONTA],$I217)</f>
        <v>1014</v>
      </c>
      <c r="G217" s="4">
        <f t="shared" si="8"/>
        <v>0</v>
      </c>
      <c r="H217">
        <v>50211</v>
      </c>
      <c r="I217" s="3" t="s">
        <v>455</v>
      </c>
      <c r="J217" s="3" t="s">
        <v>456</v>
      </c>
      <c r="K217" s="4">
        <v>1014</v>
      </c>
      <c r="L217" s="4">
        <v>0</v>
      </c>
      <c r="M217" s="4">
        <v>0</v>
      </c>
      <c r="N217" s="4">
        <v>1014</v>
      </c>
      <c r="O217" s="4">
        <f>Tab_05.Mai[[#This Row],[DÉBITO]]-Tab_05.Mai[[#This Row],[CRÉDITO]]</f>
        <v>0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S</v>
      </c>
      <c r="E218" s="2">
        <f>IF($I218="","",COUNTIFS(Tab_00.Trial[CONTA],$I218))</f>
        <v>1</v>
      </c>
      <c r="F218" s="4">
        <f>SUMIFS(Tab_04.Abr[SALDO
ATUAL],Tab_04.Abr[CONTA],$I218)</f>
        <v>255249.67</v>
      </c>
      <c r="G218" s="4">
        <f t="shared" si="8"/>
        <v>0</v>
      </c>
      <c r="H218">
        <v>50215</v>
      </c>
      <c r="I218" s="3" t="s">
        <v>603</v>
      </c>
      <c r="J218" s="3" t="s">
        <v>709</v>
      </c>
      <c r="K218" s="4">
        <v>255249.67</v>
      </c>
      <c r="L218" s="4">
        <v>11195.26</v>
      </c>
      <c r="M218" s="4">
        <v>0</v>
      </c>
      <c r="N218" s="4">
        <v>266444.93</v>
      </c>
      <c r="O218" s="4">
        <f>Tab_05.Mai[[#This Row],[DÉBITO]]-Tab_05.Mai[[#This Row],[CRÉDITO]]</f>
        <v>11195.26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A</v>
      </c>
      <c r="E219" s="2">
        <f>IF($I219="","",COUNTIFS(Tab_00.Trial[CONTA],$I219))</f>
        <v>1</v>
      </c>
      <c r="F219" s="4">
        <f>SUMIFS(Tab_04.Abr[SALDO
ATUAL],Tab_04.Abr[CONTA],$I219)</f>
        <v>51633.09</v>
      </c>
      <c r="G219" s="4">
        <f t="shared" si="8"/>
        <v>0</v>
      </c>
      <c r="H219">
        <v>50225</v>
      </c>
      <c r="I219" s="3" t="s">
        <v>451</v>
      </c>
      <c r="J219" s="3" t="s">
        <v>437</v>
      </c>
      <c r="K219" s="4">
        <v>51633.09</v>
      </c>
      <c r="L219" s="4">
        <v>8380.82</v>
      </c>
      <c r="M219" s="4">
        <v>0</v>
      </c>
      <c r="N219" s="4">
        <v>60013.91</v>
      </c>
      <c r="O219" s="4">
        <f>Tab_05.Mai[[#This Row],[DÉBITO]]-Tab_05.Mai[[#This Row],[CRÉDITO]]</f>
        <v>8380.82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A</v>
      </c>
      <c r="E220" s="2">
        <f>IF($I220="","",COUNTIFS(Tab_00.Trial[CONTA],$I220))</f>
        <v>1</v>
      </c>
      <c r="F220" s="4">
        <f>SUMIFS(Tab_04.Abr[SALDO
ATUAL],Tab_04.Abr[CONTA],$I220)</f>
        <v>201689.97</v>
      </c>
      <c r="G220" s="4">
        <f t="shared" si="8"/>
        <v>0</v>
      </c>
      <c r="H220">
        <v>50240</v>
      </c>
      <c r="I220" s="3" t="s">
        <v>452</v>
      </c>
      <c r="J220" s="3" t="s">
        <v>196</v>
      </c>
      <c r="K220" s="4">
        <v>201689.97</v>
      </c>
      <c r="L220" s="4">
        <v>2501.7199999999998</v>
      </c>
      <c r="M220" s="4">
        <v>0</v>
      </c>
      <c r="N220" s="4">
        <v>204191.69</v>
      </c>
      <c r="O220" s="4">
        <f>Tab_05.Mai[[#This Row],[DÉBITO]]-Tab_05.Mai[[#This Row],[CRÉDITO]]</f>
        <v>2501.7199999999998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A</v>
      </c>
      <c r="E221" s="2">
        <f>IF($I221="","",COUNTIFS(Tab_00.Trial[CONTA],$I221))</f>
        <v>1</v>
      </c>
      <c r="F221" s="4">
        <f>SUMIFS(Tab_04.Abr[SALDO
ATUAL],Tab_04.Abr[CONTA],$I221)</f>
        <v>1926.61</v>
      </c>
      <c r="G221" s="4">
        <f t="shared" si="8"/>
        <v>0</v>
      </c>
      <c r="H221">
        <v>50255</v>
      </c>
      <c r="I221" s="3" t="s">
        <v>453</v>
      </c>
      <c r="J221" s="3" t="s">
        <v>454</v>
      </c>
      <c r="K221" s="4">
        <v>1926.61</v>
      </c>
      <c r="L221" s="4">
        <v>312.72000000000003</v>
      </c>
      <c r="M221" s="4">
        <v>0</v>
      </c>
      <c r="N221" s="4">
        <v>2239.33</v>
      </c>
      <c r="O221" s="4">
        <f>Tab_05.Mai[[#This Row],[DÉBITO]]-Tab_05.Mai[[#This Row],[CRÉDITO]]</f>
        <v>312.72000000000003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S</v>
      </c>
      <c r="E222" s="2">
        <f>IF($I222="","",COUNTIFS(Tab_00.Trial[CONTA],$I222))</f>
        <v>1</v>
      </c>
      <c r="F222" s="4">
        <f>SUMIFS(Tab_04.Abr[SALDO
ATUAL],Tab_04.Abr[CONTA],$I222)</f>
        <v>890</v>
      </c>
      <c r="G222" s="4">
        <f t="shared" si="8"/>
        <v>0</v>
      </c>
      <c r="H222">
        <v>50290</v>
      </c>
      <c r="I222" s="3" t="s">
        <v>604</v>
      </c>
      <c r="J222" s="3" t="s">
        <v>710</v>
      </c>
      <c r="K222" s="4">
        <v>890</v>
      </c>
      <c r="L222" s="4">
        <v>190</v>
      </c>
      <c r="M222" s="4">
        <v>0</v>
      </c>
      <c r="N222" s="4">
        <v>1080</v>
      </c>
      <c r="O222" s="4">
        <f>Tab_05.Mai[[#This Row],[DÉBITO]]-Tab_05.Mai[[#This Row],[CRÉDITO]]</f>
        <v>190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A</v>
      </c>
      <c r="E223" s="2">
        <f>IF($I223="","",COUNTIFS(Tab_00.Trial[CONTA],$I223))</f>
        <v>1</v>
      </c>
      <c r="F223" s="4">
        <f>SUMIFS(Tab_04.Abr[SALDO
ATUAL],Tab_04.Abr[CONTA],$I223)</f>
        <v>890</v>
      </c>
      <c r="G223" s="4">
        <f t="shared" si="8"/>
        <v>0</v>
      </c>
      <c r="H223">
        <v>50295</v>
      </c>
      <c r="I223" s="3" t="s">
        <v>457</v>
      </c>
      <c r="J223" s="3" t="s">
        <v>458</v>
      </c>
      <c r="K223" s="4">
        <v>890</v>
      </c>
      <c r="L223" s="4">
        <v>190</v>
      </c>
      <c r="M223" s="4">
        <v>0</v>
      </c>
      <c r="N223" s="4">
        <v>1080</v>
      </c>
      <c r="O223" s="4">
        <f>Tab_05.Mai[[#This Row],[DÉBITO]]-Tab_05.Mai[[#This Row],[CRÉDITO]]</f>
        <v>190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S</v>
      </c>
      <c r="E224" s="2">
        <f>IF($I224="","",COUNTIFS(Tab_00.Trial[CONTA],$I224))</f>
        <v>1</v>
      </c>
      <c r="F224" s="4">
        <f>SUMIFS(Tab_04.Abr[SALDO
ATUAL],Tab_04.Abr[CONTA],$I224)</f>
        <v>511410.86</v>
      </c>
      <c r="G224" s="4">
        <f t="shared" si="8"/>
        <v>0</v>
      </c>
      <c r="H224">
        <v>50285</v>
      </c>
      <c r="I224" s="3" t="s">
        <v>605</v>
      </c>
      <c r="J224" s="3" t="s">
        <v>711</v>
      </c>
      <c r="K224" s="4">
        <v>511410.86</v>
      </c>
      <c r="L224" s="4">
        <v>139724.43</v>
      </c>
      <c r="M224" s="4">
        <v>0</v>
      </c>
      <c r="N224" s="4">
        <v>651135.29</v>
      </c>
      <c r="O224" s="4">
        <f>Tab_05.Mai[[#This Row],[DÉBITO]]-Tab_05.Mai[[#This Row],[CRÉDITO]]</f>
        <v>139724.43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S</v>
      </c>
      <c r="E225" s="2">
        <f>IF($I225="","",COUNTIFS(Tab_00.Trial[CONTA],$I225))</f>
        <v>1</v>
      </c>
      <c r="F225" s="4">
        <f>SUMIFS(Tab_04.Abr[SALDO
ATUAL],Tab_04.Abr[CONTA],$I225)</f>
        <v>179546.54</v>
      </c>
      <c r="G225" s="4">
        <f t="shared" si="8"/>
        <v>0</v>
      </c>
      <c r="H225">
        <v>50300</v>
      </c>
      <c r="I225" s="3" t="s">
        <v>606</v>
      </c>
      <c r="J225" s="3" t="s">
        <v>712</v>
      </c>
      <c r="K225" s="4">
        <v>179546.54</v>
      </c>
      <c r="L225" s="4">
        <v>56758.35</v>
      </c>
      <c r="M225" s="4">
        <v>0</v>
      </c>
      <c r="N225" s="4">
        <v>236304.89</v>
      </c>
      <c r="O225" s="4">
        <f>Tab_05.Mai[[#This Row],[DÉBITO]]-Tab_05.Mai[[#This Row],[CRÉDITO]]</f>
        <v>56758.35</v>
      </c>
    </row>
    <row r="226" spans="2:15" x14ac:dyDescent="0.3">
      <c r="B226" s="2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A</v>
      </c>
      <c r="E226" s="2">
        <f>IF($I226="","",COUNTIFS(Tab_00.Trial[CONTA],$I226))</f>
        <v>1</v>
      </c>
      <c r="F226" s="4">
        <f>SUMIFS(Tab_04.Abr[SALDO
ATUAL],Tab_04.Abr[CONTA],$I226)</f>
        <v>30582.58</v>
      </c>
      <c r="G226" s="4">
        <f t="shared" si="8"/>
        <v>0</v>
      </c>
      <c r="H226">
        <v>50315</v>
      </c>
      <c r="I226" s="3" t="s">
        <v>459</v>
      </c>
      <c r="J226" s="3" t="s">
        <v>460</v>
      </c>
      <c r="K226" s="4">
        <v>30582.58</v>
      </c>
      <c r="L226" s="4">
        <v>7634.62</v>
      </c>
      <c r="M226" s="4">
        <v>0</v>
      </c>
      <c r="N226" s="4">
        <v>38217.199999999997</v>
      </c>
      <c r="O226" s="4">
        <f>Tab_05.Mai[[#This Row],[DÉBITO]]-Tab_05.Mai[[#This Row],[CRÉDITO]]</f>
        <v>7634.62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A</v>
      </c>
      <c r="E227" s="2">
        <f>IF($I227="","",COUNTIFS(Tab_00.Trial[CONTA],$I227))</f>
        <v>1</v>
      </c>
      <c r="F227" s="4">
        <f>SUMIFS(Tab_04.Abr[SALDO
ATUAL],Tab_04.Abr[CONTA],$I227)</f>
        <v>58572.33</v>
      </c>
      <c r="G227" s="4">
        <f t="shared" si="8"/>
        <v>0</v>
      </c>
      <c r="H227">
        <v>50330</v>
      </c>
      <c r="I227" s="3" t="s">
        <v>461</v>
      </c>
      <c r="J227" s="3" t="s">
        <v>462</v>
      </c>
      <c r="K227" s="4">
        <v>58572.33</v>
      </c>
      <c r="L227" s="4">
        <v>20954.43</v>
      </c>
      <c r="M227" s="4">
        <v>0</v>
      </c>
      <c r="N227" s="4">
        <v>79526.759999999995</v>
      </c>
      <c r="O227" s="4">
        <f>Tab_05.Mai[[#This Row],[DÉBITO]]-Tab_05.Mai[[#This Row],[CRÉDITO]]</f>
        <v>20954.43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A</v>
      </c>
      <c r="E228" s="2">
        <f>IF($I228="","",COUNTIFS(Tab_00.Trial[CONTA],$I228))</f>
        <v>1</v>
      </c>
      <c r="F228" s="4">
        <f>SUMIFS(Tab_04.Abr[SALDO
ATUAL],Tab_04.Abr[CONTA],$I228)</f>
        <v>7166.67</v>
      </c>
      <c r="G228" s="4">
        <f t="shared" si="8"/>
        <v>0</v>
      </c>
      <c r="H228">
        <v>50345</v>
      </c>
      <c r="I228" s="3" t="s">
        <v>463</v>
      </c>
      <c r="J228" s="3" t="s">
        <v>464</v>
      </c>
      <c r="K228" s="4">
        <v>7166.67</v>
      </c>
      <c r="L228" s="4">
        <v>7166.67</v>
      </c>
      <c r="M228" s="4">
        <v>0</v>
      </c>
      <c r="N228" s="4">
        <v>14333.34</v>
      </c>
      <c r="O228" s="4">
        <f>Tab_05.Mai[[#This Row],[DÉBITO]]-Tab_05.Mai[[#This Row],[CRÉDITO]]</f>
        <v>7166.67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A</v>
      </c>
      <c r="E229" s="2">
        <f>IF($I229="","",COUNTIFS(Tab_00.Trial[CONTA],$I229))</f>
        <v>1</v>
      </c>
      <c r="F229" s="4">
        <f>SUMIFS(Tab_04.Abr[SALDO
ATUAL],Tab_04.Abr[CONTA],$I229)</f>
        <v>19277.8</v>
      </c>
      <c r="G229" s="4">
        <f t="shared" si="8"/>
        <v>0</v>
      </c>
      <c r="H229">
        <v>50360</v>
      </c>
      <c r="I229" s="3" t="s">
        <v>465</v>
      </c>
      <c r="J229" s="3" t="s">
        <v>466</v>
      </c>
      <c r="K229" s="4">
        <v>19277.8</v>
      </c>
      <c r="L229" s="4">
        <v>5015.84</v>
      </c>
      <c r="M229" s="4">
        <v>0</v>
      </c>
      <c r="N229" s="4">
        <v>24293.64</v>
      </c>
      <c r="O229" s="4">
        <f>Tab_05.Mai[[#This Row],[DÉBITO]]-Tab_05.Mai[[#This Row],[CRÉDITO]]</f>
        <v>5015.84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A</v>
      </c>
      <c r="E230" s="2">
        <f>IF($I230="","",COUNTIFS(Tab_00.Trial[CONTA],$I230))</f>
        <v>1</v>
      </c>
      <c r="F230" s="4">
        <f>SUMIFS(Tab_04.Abr[SALDO
ATUAL],Tab_04.Abr[CONTA],$I230)</f>
        <v>18000</v>
      </c>
      <c r="G230" s="4">
        <f t="shared" si="8"/>
        <v>0</v>
      </c>
      <c r="H230">
        <v>50375</v>
      </c>
      <c r="I230" s="3" t="s">
        <v>473</v>
      </c>
      <c r="J230" s="3" t="s">
        <v>474</v>
      </c>
      <c r="K230" s="4">
        <v>18000</v>
      </c>
      <c r="L230" s="4">
        <v>4500</v>
      </c>
      <c r="M230" s="4">
        <v>0</v>
      </c>
      <c r="N230" s="4">
        <v>22500</v>
      </c>
      <c r="O230" s="4">
        <f>Tab_05.Mai[[#This Row],[DÉBITO]]-Tab_05.Mai[[#This Row],[CRÉDITO]]</f>
        <v>4500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A</v>
      </c>
      <c r="E231" s="2">
        <f>IF($I231="","",COUNTIFS(Tab_00.Trial[CONTA],$I231))</f>
        <v>1</v>
      </c>
      <c r="F231" s="4">
        <f>SUMIFS(Tab_04.Abr[SALDO
ATUAL],Tab_04.Abr[CONTA],$I231)</f>
        <v>894.24</v>
      </c>
      <c r="G231" s="4">
        <f t="shared" ref="G231:G233" si="9">$F231-$K231</f>
        <v>0</v>
      </c>
      <c r="H231">
        <v>50405</v>
      </c>
      <c r="I231" s="3" t="s">
        <v>467</v>
      </c>
      <c r="J231" s="3" t="s">
        <v>468</v>
      </c>
      <c r="K231" s="4">
        <v>894.24</v>
      </c>
      <c r="L231" s="4">
        <v>223.56</v>
      </c>
      <c r="M231" s="4">
        <v>0</v>
      </c>
      <c r="N231" s="4">
        <v>1117.8</v>
      </c>
      <c r="O231" s="4">
        <f>Tab_05.Mai[[#This Row],[DÉBITO]]-Tab_05.Mai[[#This Row],[CRÉDITO]]</f>
        <v>223.56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A</v>
      </c>
      <c r="E232" s="2">
        <f>IF($I232="","",COUNTIFS(Tab_00.Trial[CONTA],$I232))</f>
        <v>1</v>
      </c>
      <c r="F232" s="4">
        <f>SUMIFS(Tab_04.Abr[SALDO
ATUAL],Tab_04.Abr[CONTA],$I232)</f>
        <v>26399.279999999999</v>
      </c>
      <c r="G232" s="4">
        <f t="shared" si="9"/>
        <v>0</v>
      </c>
      <c r="H232">
        <v>50430</v>
      </c>
      <c r="I232" s="3" t="s">
        <v>469</v>
      </c>
      <c r="J232" s="3" t="s">
        <v>470</v>
      </c>
      <c r="K232" s="4">
        <v>26399.279999999999</v>
      </c>
      <c r="L232" s="4">
        <v>6599.82</v>
      </c>
      <c r="M232" s="4">
        <v>0</v>
      </c>
      <c r="N232" s="4">
        <v>32999.1</v>
      </c>
      <c r="O232" s="4">
        <f>Tab_05.Mai[[#This Row],[DÉBITO]]-Tab_05.Mai[[#This Row],[CRÉDITO]]</f>
        <v>6599.82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A</v>
      </c>
      <c r="E233" s="2">
        <f>IF($I233="","",COUNTIFS(Tab_00.Trial[CONTA],$I233))</f>
        <v>1</v>
      </c>
      <c r="F233" s="4">
        <f>SUMIFS(Tab_04.Abr[SALDO
ATUAL],Tab_04.Abr[CONTA],$I233)</f>
        <v>18653.64</v>
      </c>
      <c r="G233" s="4">
        <f t="shared" si="9"/>
        <v>0</v>
      </c>
      <c r="H233">
        <v>50432</v>
      </c>
      <c r="I233" s="3" t="s">
        <v>471</v>
      </c>
      <c r="J233" s="3" t="s">
        <v>472</v>
      </c>
      <c r="K233" s="4">
        <v>18653.64</v>
      </c>
      <c r="L233" s="4">
        <v>4663.41</v>
      </c>
      <c r="M233" s="4">
        <v>0</v>
      </c>
      <c r="N233" s="4">
        <v>23317.05</v>
      </c>
      <c r="O233" s="4">
        <f>Tab_05.Mai[[#This Row],[DÉBITO]]-Tab_05.Mai[[#This Row],[CRÉDITO]]</f>
        <v>4663.41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S</v>
      </c>
      <c r="E234" s="2">
        <f>IF($I234="","",COUNTIFS(Tab_00.Trial[CONTA],$I234))</f>
        <v>1</v>
      </c>
      <c r="F234" s="4">
        <f>SUMIFS(Tab_04.Abr[SALDO
ATUAL],Tab_04.Abr[CONTA],$I234)</f>
        <v>331864.32000000001</v>
      </c>
      <c r="G234" s="4">
        <f t="shared" ref="G234:G242" si="10">$F234-$K234</f>
        <v>0</v>
      </c>
      <c r="H234">
        <v>50465</v>
      </c>
      <c r="I234" s="3" t="s">
        <v>608</v>
      </c>
      <c r="J234" s="3" t="s">
        <v>713</v>
      </c>
      <c r="K234" s="4">
        <v>331864.32000000001</v>
      </c>
      <c r="L234" s="4">
        <v>82966.080000000002</v>
      </c>
      <c r="M234" s="4">
        <v>0</v>
      </c>
      <c r="N234" s="4">
        <v>414830.4</v>
      </c>
      <c r="O234" s="4">
        <f>Tab_05.Mai[[#This Row],[DÉBITO]]-Tab_05.Mai[[#This Row],[CRÉDITO]]</f>
        <v>82966.080000000002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A</v>
      </c>
      <c r="E235" s="2">
        <f>IF($I235="","",COUNTIFS(Tab_00.Trial[CONTA],$I235))</f>
        <v>1</v>
      </c>
      <c r="F235" s="4">
        <f>SUMIFS(Tab_04.Abr[SALDO
ATUAL],Tab_04.Abr[CONTA],$I235)</f>
        <v>71920.320000000007</v>
      </c>
      <c r="G235" s="4">
        <f t="shared" si="10"/>
        <v>0</v>
      </c>
      <c r="H235">
        <v>50480</v>
      </c>
      <c r="I235" s="3" t="s">
        <v>741</v>
      </c>
      <c r="J235" s="3" t="s">
        <v>742</v>
      </c>
      <c r="K235" s="4">
        <v>71920.320000000007</v>
      </c>
      <c r="L235" s="4">
        <v>17980.080000000002</v>
      </c>
      <c r="M235" s="4">
        <v>0</v>
      </c>
      <c r="N235" s="4">
        <v>89900.4</v>
      </c>
      <c r="O235" s="4">
        <f>Tab_05.Mai[[#This Row],[DÉBITO]]-Tab_05.Mai[[#This Row],[CRÉDITO]]</f>
        <v>17980.080000000002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A</v>
      </c>
      <c r="E236" s="2">
        <f>IF($I236="","",COUNTIFS(Tab_00.Trial[CONTA],$I236))</f>
        <v>1</v>
      </c>
      <c r="F236" s="4">
        <f>SUMIFS(Tab_04.Abr[SALDO
ATUAL],Tab_04.Abr[CONTA],$I236)</f>
        <v>30000</v>
      </c>
      <c r="G236" s="4">
        <f t="shared" si="10"/>
        <v>0</v>
      </c>
      <c r="H236">
        <v>50495</v>
      </c>
      <c r="I236" s="3" t="s">
        <v>833</v>
      </c>
      <c r="J236" s="3" t="s">
        <v>834</v>
      </c>
      <c r="K236" s="4">
        <v>30000</v>
      </c>
      <c r="L236" s="4">
        <v>7500</v>
      </c>
      <c r="M236" s="4">
        <v>0</v>
      </c>
      <c r="N236" s="4">
        <v>37500</v>
      </c>
      <c r="O236" s="4">
        <f>Tab_05.Mai[[#This Row],[DÉBITO]]-Tab_05.Mai[[#This Row],[CRÉDITO]]</f>
        <v>7500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A</v>
      </c>
      <c r="E237" s="2">
        <f>IF($I237="","",COUNTIFS(Tab_00.Trial[CONTA],$I237))</f>
        <v>1</v>
      </c>
      <c r="F237" s="4">
        <f>SUMIFS(Tab_04.Abr[SALDO
ATUAL],Tab_04.Abr[CONTA],$I237)</f>
        <v>229944</v>
      </c>
      <c r="G237" s="4">
        <f t="shared" si="10"/>
        <v>0</v>
      </c>
      <c r="H237">
        <v>50500</v>
      </c>
      <c r="I237" s="3" t="s">
        <v>480</v>
      </c>
      <c r="J237" s="3" t="s">
        <v>481</v>
      </c>
      <c r="K237" s="4">
        <v>229944</v>
      </c>
      <c r="L237" s="4">
        <v>57486</v>
      </c>
      <c r="M237" s="4">
        <v>0</v>
      </c>
      <c r="N237" s="4">
        <v>287430</v>
      </c>
      <c r="O237" s="4">
        <f>Tab_05.Mai[[#This Row],[DÉBITO]]-Tab_05.Mai[[#This Row],[CRÉDITO]]</f>
        <v>57486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S</v>
      </c>
      <c r="E238" s="2">
        <f>IF($I238="","",COUNTIFS(Tab_00.Trial[CONTA],$I238))</f>
        <v>1</v>
      </c>
      <c r="F238" s="4">
        <f>SUMIFS(Tab_04.Abr[SALDO
ATUAL],Tab_04.Abr[CONTA],$I238)</f>
        <v>11409.78</v>
      </c>
      <c r="G238" s="4">
        <f t="shared" si="10"/>
        <v>0</v>
      </c>
      <c r="H238">
        <v>50510</v>
      </c>
      <c r="I238" s="3" t="s">
        <v>609</v>
      </c>
      <c r="J238" s="3" t="s">
        <v>714</v>
      </c>
      <c r="K238" s="4">
        <v>11409.78</v>
      </c>
      <c r="L238" s="4">
        <v>517.5</v>
      </c>
      <c r="M238" s="4">
        <v>0</v>
      </c>
      <c r="N238" s="4">
        <v>11927.28</v>
      </c>
      <c r="O238" s="4">
        <f>Tab_05.Mai[[#This Row],[DÉBITO]]-Tab_05.Mai[[#This Row],[CRÉDITO]]</f>
        <v>517.5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S</v>
      </c>
      <c r="E239" s="2">
        <f>IF($I239="","",COUNTIFS(Tab_00.Trial[CONTA],$I239))</f>
        <v>1</v>
      </c>
      <c r="F239" s="4">
        <f>SUMIFS(Tab_04.Abr[SALDO
ATUAL],Tab_04.Abr[CONTA],$I239)</f>
        <v>11409.78</v>
      </c>
      <c r="G239" s="4">
        <f t="shared" si="10"/>
        <v>0</v>
      </c>
      <c r="H239">
        <v>50525</v>
      </c>
      <c r="I239" s="3" t="s">
        <v>610</v>
      </c>
      <c r="J239" s="3" t="s">
        <v>714</v>
      </c>
      <c r="K239" s="4">
        <v>11409.78</v>
      </c>
      <c r="L239" s="4">
        <v>517.5</v>
      </c>
      <c r="M239" s="4">
        <v>0</v>
      </c>
      <c r="N239" s="4">
        <v>11927.28</v>
      </c>
      <c r="O239" s="4">
        <f>Tab_05.Mai[[#This Row],[DÉBITO]]-Tab_05.Mai[[#This Row],[CRÉDITO]]</f>
        <v>517.5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A</v>
      </c>
      <c r="E240" s="2">
        <f>IF($I240="","",COUNTIFS(Tab_00.Trial[CONTA],$I240))</f>
        <v>1</v>
      </c>
      <c r="F240" s="4">
        <f>SUMIFS(Tab_04.Abr[SALDO
ATUAL],Tab_04.Abr[CONTA],$I240)</f>
        <v>2974.3</v>
      </c>
      <c r="G240" s="4">
        <f t="shared" si="10"/>
        <v>0</v>
      </c>
      <c r="H240">
        <v>50540</v>
      </c>
      <c r="I240" s="3" t="s">
        <v>482</v>
      </c>
      <c r="J240" s="3" t="s">
        <v>483</v>
      </c>
      <c r="K240" s="4">
        <v>2974.3</v>
      </c>
      <c r="L240" s="4">
        <v>463.94</v>
      </c>
      <c r="M240" s="4">
        <v>0</v>
      </c>
      <c r="N240" s="4">
        <v>3438.24</v>
      </c>
      <c r="O240" s="4">
        <f>Tab_05.Mai[[#This Row],[DÉBITO]]-Tab_05.Mai[[#This Row],[CRÉDITO]]</f>
        <v>463.94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A</v>
      </c>
      <c r="E241" s="2">
        <f>IF($I241="","",COUNTIFS(Tab_00.Trial[CONTA],$I241))</f>
        <v>1</v>
      </c>
      <c r="F241" s="4">
        <f>SUMIFS(Tab_04.Abr[SALDO
ATUAL],Tab_04.Abr[CONTA],$I241)</f>
        <v>5000</v>
      </c>
      <c r="G241" s="4">
        <f t="shared" si="10"/>
        <v>0</v>
      </c>
      <c r="H241">
        <v>50555</v>
      </c>
      <c r="I241" s="3" t="s">
        <v>752</v>
      </c>
      <c r="J241" s="3" t="s">
        <v>753</v>
      </c>
      <c r="K241" s="4">
        <v>5000</v>
      </c>
      <c r="L241" s="4">
        <v>0</v>
      </c>
      <c r="M241" s="4">
        <v>0</v>
      </c>
      <c r="N241" s="4">
        <v>5000</v>
      </c>
      <c r="O241" s="4">
        <f>Tab_05.Mai[[#This Row],[DÉBITO]]-Tab_05.Mai[[#This Row],[CRÉDITO]]</f>
        <v>0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A</v>
      </c>
      <c r="E242" s="2">
        <f>IF($I242="","",COUNTIFS(Tab_00.Trial[CONTA],$I242))</f>
        <v>1</v>
      </c>
      <c r="F242" s="4">
        <f>SUMIFS(Tab_04.Abr[SALDO
ATUAL],Tab_04.Abr[CONTA],$I242)</f>
        <v>3435.48</v>
      </c>
      <c r="G242" s="4">
        <f t="shared" si="10"/>
        <v>0</v>
      </c>
      <c r="H242">
        <v>50570</v>
      </c>
      <c r="I242" s="3" t="s">
        <v>484</v>
      </c>
      <c r="J242" s="3" t="s">
        <v>485</v>
      </c>
      <c r="K242" s="4">
        <v>3435.48</v>
      </c>
      <c r="L242" s="4">
        <v>53.56</v>
      </c>
      <c r="M242" s="4">
        <v>0</v>
      </c>
      <c r="N242" s="4">
        <v>3489.04</v>
      </c>
      <c r="O242" s="4">
        <f>Tab_05.Mai[[#This Row],[DÉBITO]]-Tab_05.Mai[[#This Row],[CRÉDITO]]</f>
        <v>53.56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S</v>
      </c>
      <c r="E243" s="2">
        <f>IF($I243="","",COUNTIFS(Tab_00.Trial[CONTA],$I243))</f>
        <v>1</v>
      </c>
      <c r="F243" s="4">
        <f>SUMIFS(Tab_04.Abr[SALDO
ATUAL],Tab_04.Abr[CONTA],$I243)</f>
        <v>39930.559999999998</v>
      </c>
      <c r="G243" s="4">
        <f t="shared" ref="G243:G270" si="11">$F243-$K243</f>
        <v>0</v>
      </c>
      <c r="H243">
        <v>50660</v>
      </c>
      <c r="I243" s="3" t="s">
        <v>612</v>
      </c>
      <c r="J243" s="3" t="s">
        <v>716</v>
      </c>
      <c r="K243" s="4">
        <v>39930.559999999998</v>
      </c>
      <c r="L243" s="4">
        <v>9004.27</v>
      </c>
      <c r="M243" s="4">
        <v>149.9</v>
      </c>
      <c r="N243" s="4">
        <v>48784.93</v>
      </c>
      <c r="O243" s="4">
        <f>Tab_05.Mai[[#This Row],[DÉBITO]]-Tab_05.Mai[[#This Row],[CRÉDITO]]</f>
        <v>8854.3700000000008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S</v>
      </c>
      <c r="E244" s="2">
        <f>IF($I244="","",COUNTIFS(Tab_00.Trial[CONTA],$I244))</f>
        <v>1</v>
      </c>
      <c r="F244" s="4">
        <f>SUMIFS(Tab_04.Abr[SALDO
ATUAL],Tab_04.Abr[CONTA],$I244)</f>
        <v>26356.639999999999</v>
      </c>
      <c r="G244" s="4">
        <f t="shared" si="11"/>
        <v>0</v>
      </c>
      <c r="H244">
        <v>50675</v>
      </c>
      <c r="I244" s="3" t="s">
        <v>613</v>
      </c>
      <c r="J244" s="3" t="s">
        <v>717</v>
      </c>
      <c r="K244" s="4">
        <v>26356.639999999999</v>
      </c>
      <c r="L244" s="4">
        <v>6202.26</v>
      </c>
      <c r="M244" s="4">
        <v>0</v>
      </c>
      <c r="N244" s="4">
        <v>32558.9</v>
      </c>
      <c r="O244" s="4">
        <f>Tab_05.Mai[[#This Row],[DÉBITO]]-Tab_05.Mai[[#This Row],[CRÉDITO]]</f>
        <v>6202.26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A</v>
      </c>
      <c r="E245" s="2">
        <f>IF($I245="","",COUNTIFS(Tab_00.Trial[CONTA],$I245))</f>
        <v>1</v>
      </c>
      <c r="F245" s="4">
        <f>SUMIFS(Tab_04.Abr[SALDO
ATUAL],Tab_04.Abr[CONTA],$I245)</f>
        <v>13160.23</v>
      </c>
      <c r="G245" s="4">
        <f t="shared" si="11"/>
        <v>0</v>
      </c>
      <c r="H245">
        <v>50690</v>
      </c>
      <c r="I245" s="3" t="s">
        <v>491</v>
      </c>
      <c r="J245" s="3" t="s">
        <v>492</v>
      </c>
      <c r="K245" s="4">
        <v>13160.23</v>
      </c>
      <c r="L245" s="4">
        <v>3313.41</v>
      </c>
      <c r="M245" s="4">
        <v>0</v>
      </c>
      <c r="N245" s="4">
        <v>16473.64</v>
      </c>
      <c r="O245" s="4">
        <f>Tab_05.Mai[[#This Row],[DÉBITO]]-Tab_05.Mai[[#This Row],[CRÉDITO]]</f>
        <v>3313.41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A</v>
      </c>
      <c r="E246" s="2">
        <f>IF($I246="","",COUNTIFS(Tab_00.Trial[CONTA],$I246))</f>
        <v>1</v>
      </c>
      <c r="F246" s="4">
        <f>SUMIFS(Tab_04.Abr[SALDO
ATUAL],Tab_04.Abr[CONTA],$I246)</f>
        <v>7539.83</v>
      </c>
      <c r="G246" s="4">
        <f t="shared" si="11"/>
        <v>0</v>
      </c>
      <c r="H246">
        <v>50705</v>
      </c>
      <c r="I246" s="3" t="s">
        <v>493</v>
      </c>
      <c r="J246" s="3" t="s">
        <v>494</v>
      </c>
      <c r="K246" s="4">
        <v>7539.83</v>
      </c>
      <c r="L246" s="4">
        <v>1448.96</v>
      </c>
      <c r="M246" s="4">
        <v>0</v>
      </c>
      <c r="N246" s="4">
        <v>8988.7900000000009</v>
      </c>
      <c r="O246" s="4">
        <f>Tab_05.Mai[[#This Row],[DÉBITO]]-Tab_05.Mai[[#This Row],[CRÉDITO]]</f>
        <v>1448.96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A</v>
      </c>
      <c r="E247" s="2">
        <f>IF($I247="","",COUNTIFS(Tab_00.Trial[CONTA],$I247))</f>
        <v>1</v>
      </c>
      <c r="F247" s="4">
        <f>SUMIFS(Tab_04.Abr[SALDO
ATUAL],Tab_04.Abr[CONTA],$I247)</f>
        <v>5656.58</v>
      </c>
      <c r="G247" s="4">
        <f t="shared" si="11"/>
        <v>0</v>
      </c>
      <c r="H247">
        <v>50720</v>
      </c>
      <c r="I247" s="3" t="s">
        <v>495</v>
      </c>
      <c r="J247" s="3" t="s">
        <v>496</v>
      </c>
      <c r="K247" s="4">
        <v>5656.58</v>
      </c>
      <c r="L247" s="4">
        <v>1439.89</v>
      </c>
      <c r="M247" s="4">
        <v>0</v>
      </c>
      <c r="N247" s="4">
        <v>7096.47</v>
      </c>
      <c r="O247" s="4">
        <f>Tab_05.Mai[[#This Row],[DÉBITO]]-Tab_05.Mai[[#This Row],[CRÉDITO]]</f>
        <v>1439.89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S</v>
      </c>
      <c r="E248" s="2">
        <f>IF($I248="","",COUNTIFS(Tab_00.Trial[CONTA],$I248))</f>
        <v>1</v>
      </c>
      <c r="F248" s="4">
        <f>SUMIFS(Tab_04.Abr[SALDO
ATUAL],Tab_04.Abr[CONTA],$I248)</f>
        <v>13573.92</v>
      </c>
      <c r="G248" s="4">
        <f t="shared" si="11"/>
        <v>0</v>
      </c>
      <c r="H248">
        <v>50750</v>
      </c>
      <c r="I248" s="3" t="s">
        <v>614</v>
      </c>
      <c r="J248" s="3" t="s">
        <v>718</v>
      </c>
      <c r="K248" s="4">
        <v>13573.92</v>
      </c>
      <c r="L248" s="4">
        <v>2802.01</v>
      </c>
      <c r="M248" s="4">
        <v>149.9</v>
      </c>
      <c r="N248" s="4">
        <v>16226.03</v>
      </c>
      <c r="O248" s="4">
        <f>Tab_05.Mai[[#This Row],[DÉBITO]]-Tab_05.Mai[[#This Row],[CRÉDITO]]</f>
        <v>2652.11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A</v>
      </c>
      <c r="E249" s="2">
        <f>IF($I249="","",COUNTIFS(Tab_00.Trial[CONTA],$I249))</f>
        <v>1</v>
      </c>
      <c r="F249" s="4">
        <f>SUMIFS(Tab_04.Abr[SALDO
ATUAL],Tab_04.Abr[CONTA],$I249)</f>
        <v>95</v>
      </c>
      <c r="G249" s="4">
        <f t="shared" si="11"/>
        <v>0</v>
      </c>
      <c r="H249">
        <v>50765</v>
      </c>
      <c r="I249" s="3" t="s">
        <v>497</v>
      </c>
      <c r="J249" s="3" t="s">
        <v>498</v>
      </c>
      <c r="K249" s="4">
        <v>95</v>
      </c>
      <c r="L249" s="4">
        <v>0</v>
      </c>
      <c r="M249" s="4">
        <v>0</v>
      </c>
      <c r="N249" s="4">
        <v>95</v>
      </c>
      <c r="O249" s="4">
        <f>Tab_05.Mai[[#This Row],[DÉBITO]]-Tab_05.Mai[[#This Row],[CRÉDITO]]</f>
        <v>0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A</v>
      </c>
      <c r="E250" s="2">
        <f>IF($I250="","",COUNTIFS(Tab_00.Trial[CONTA],$I250))</f>
        <v>1</v>
      </c>
      <c r="F250" s="4">
        <f>SUMIFS(Tab_04.Abr[SALDO
ATUAL],Tab_04.Abr[CONTA],$I250)</f>
        <v>3609.34</v>
      </c>
      <c r="G250" s="4">
        <f t="shared" si="11"/>
        <v>0</v>
      </c>
      <c r="H250">
        <v>50780</v>
      </c>
      <c r="I250" s="3" t="s">
        <v>499</v>
      </c>
      <c r="J250" s="3" t="s">
        <v>500</v>
      </c>
      <c r="K250" s="4">
        <v>3609.34</v>
      </c>
      <c r="L250" s="4">
        <v>2080</v>
      </c>
      <c r="M250" s="4">
        <v>0</v>
      </c>
      <c r="N250" s="4">
        <v>5689.34</v>
      </c>
      <c r="O250" s="4">
        <f>Tab_05.Mai[[#This Row],[DÉBITO]]-Tab_05.Mai[[#This Row],[CRÉDITO]]</f>
        <v>2080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A</v>
      </c>
      <c r="E251" s="2">
        <f>IF($I251="","",COUNTIFS(Tab_00.Trial[CONTA],$I251))</f>
        <v>1</v>
      </c>
      <c r="F251" s="4">
        <f>SUMIFS(Tab_04.Abr[SALDO
ATUAL],Tab_04.Abr[CONTA],$I251)</f>
        <v>7361.95</v>
      </c>
      <c r="G251" s="4">
        <f t="shared" si="11"/>
        <v>0</v>
      </c>
      <c r="H251">
        <v>50795</v>
      </c>
      <c r="I251" s="3" t="s">
        <v>501</v>
      </c>
      <c r="J251" s="3" t="s">
        <v>502</v>
      </c>
      <c r="K251" s="4">
        <v>7361.95</v>
      </c>
      <c r="L251" s="4">
        <v>115.5</v>
      </c>
      <c r="M251" s="4">
        <v>0</v>
      </c>
      <c r="N251" s="4">
        <v>7477.45</v>
      </c>
      <c r="O251" s="4">
        <f>Tab_05.Mai[[#This Row],[DÉBITO]]-Tab_05.Mai[[#This Row],[CRÉDITO]]</f>
        <v>115.5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A</v>
      </c>
      <c r="E252" s="2">
        <f>IF($I252="","",COUNTIFS(Tab_00.Trial[CONTA],$I252))</f>
        <v>1</v>
      </c>
      <c r="F252" s="4">
        <f>SUMIFS(Tab_04.Abr[SALDO
ATUAL],Tab_04.Abr[CONTA],$I252)</f>
        <v>2507.63</v>
      </c>
      <c r="G252" s="4">
        <f t="shared" si="11"/>
        <v>0</v>
      </c>
      <c r="H252">
        <v>50810</v>
      </c>
      <c r="I252" s="3" t="s">
        <v>503</v>
      </c>
      <c r="J252" s="3" t="s">
        <v>504</v>
      </c>
      <c r="K252" s="4">
        <v>2507.63</v>
      </c>
      <c r="L252" s="4">
        <v>606.51</v>
      </c>
      <c r="M252" s="4">
        <v>149.9</v>
      </c>
      <c r="N252" s="4">
        <v>2964.24</v>
      </c>
      <c r="O252" s="4">
        <f>Tab_05.Mai[[#This Row],[DÉBITO]]-Tab_05.Mai[[#This Row],[CRÉDITO]]</f>
        <v>456.61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S</v>
      </c>
      <c r="E253" s="2">
        <f>IF($I253="","",COUNTIFS(Tab_00.Trial[CONTA],$I253))</f>
        <v>1</v>
      </c>
      <c r="F253" s="4">
        <f>SUMIFS(Tab_04.Abr[SALDO
ATUAL],Tab_04.Abr[CONTA],$I253)</f>
        <v>29250</v>
      </c>
      <c r="G253" s="4">
        <f t="shared" si="11"/>
        <v>0</v>
      </c>
      <c r="H253">
        <v>50870</v>
      </c>
      <c r="I253" s="3" t="s">
        <v>615</v>
      </c>
      <c r="J253" s="3" t="s">
        <v>719</v>
      </c>
      <c r="K253" s="4">
        <v>29250</v>
      </c>
      <c r="L253" s="4">
        <v>4504.12</v>
      </c>
      <c r="M253" s="4">
        <v>0</v>
      </c>
      <c r="N253" s="4">
        <v>33754.120000000003</v>
      </c>
      <c r="O253" s="4">
        <f>Tab_05.Mai[[#This Row],[DÉBITO]]-Tab_05.Mai[[#This Row],[CRÉDITO]]</f>
        <v>4504.12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S</v>
      </c>
      <c r="E254" s="2">
        <f>IF($I254="","",COUNTIFS(Tab_00.Trial[CONTA],$I254))</f>
        <v>1</v>
      </c>
      <c r="F254" s="4">
        <f>SUMIFS(Tab_04.Abr[SALDO
ATUAL],Tab_04.Abr[CONTA],$I254)</f>
        <v>1150.96</v>
      </c>
      <c r="G254" s="4">
        <f t="shared" si="11"/>
        <v>0</v>
      </c>
      <c r="H254">
        <v>50915</v>
      </c>
      <c r="I254" s="3" t="s">
        <v>617</v>
      </c>
      <c r="J254" s="3" t="s">
        <v>721</v>
      </c>
      <c r="K254" s="4">
        <v>1150.96</v>
      </c>
      <c r="L254" s="4">
        <v>287.74</v>
      </c>
      <c r="M254" s="4">
        <v>0</v>
      </c>
      <c r="N254" s="4">
        <v>1438.7</v>
      </c>
      <c r="O254" s="4">
        <f>Tab_05.Mai[[#This Row],[DÉBITO]]-Tab_05.Mai[[#This Row],[CRÉDITO]]</f>
        <v>287.74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A</v>
      </c>
      <c r="E255" s="2">
        <f>IF($I255="","",COUNTIFS(Tab_00.Trial[CONTA],$I255))</f>
        <v>1</v>
      </c>
      <c r="F255" s="4">
        <f>SUMIFS(Tab_04.Abr[SALDO
ATUAL],Tab_04.Abr[CONTA],$I255)</f>
        <v>1150.96</v>
      </c>
      <c r="G255" s="4">
        <f t="shared" si="11"/>
        <v>0</v>
      </c>
      <c r="H255">
        <v>50945</v>
      </c>
      <c r="I255" s="3" t="s">
        <v>739</v>
      </c>
      <c r="J255" s="3" t="s">
        <v>740</v>
      </c>
      <c r="K255" s="4">
        <v>1150.96</v>
      </c>
      <c r="L255" s="4">
        <v>287.74</v>
      </c>
      <c r="M255" s="4">
        <v>0</v>
      </c>
      <c r="N255" s="4">
        <v>1438.7</v>
      </c>
      <c r="O255" s="4">
        <f>Tab_05.Mai[[#This Row],[DÉBITO]]-Tab_05.Mai[[#This Row],[CRÉDITO]]</f>
        <v>287.74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S</v>
      </c>
      <c r="E256" s="2">
        <f>IF($I256="","",COUNTIFS(Tab_00.Trial[CONTA],$I256))</f>
        <v>1</v>
      </c>
      <c r="F256" s="4">
        <f>SUMIFS(Tab_04.Abr[SALDO
ATUAL],Tab_04.Abr[CONTA],$I256)</f>
        <v>10230.26</v>
      </c>
      <c r="G256" s="4">
        <f t="shared" si="11"/>
        <v>0</v>
      </c>
      <c r="H256">
        <v>50960</v>
      </c>
      <c r="I256" s="3" t="s">
        <v>618</v>
      </c>
      <c r="J256" s="3" t="s">
        <v>722</v>
      </c>
      <c r="K256" s="4">
        <v>10230.26</v>
      </c>
      <c r="L256" s="4">
        <v>2582.0300000000002</v>
      </c>
      <c r="M256" s="4">
        <v>0</v>
      </c>
      <c r="N256" s="4">
        <v>12812.29</v>
      </c>
      <c r="O256" s="4">
        <f>Tab_05.Mai[[#This Row],[DÉBITO]]-Tab_05.Mai[[#This Row],[CRÉDITO]]</f>
        <v>2582.0300000000002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A</v>
      </c>
      <c r="E257" s="2">
        <f>IF($I257="","",COUNTIFS(Tab_00.Trial[CONTA],$I257))</f>
        <v>1</v>
      </c>
      <c r="F257" s="4">
        <f>SUMIFS(Tab_04.Abr[SALDO
ATUAL],Tab_04.Abr[CONTA],$I257)</f>
        <v>10230.26</v>
      </c>
      <c r="G257" s="4">
        <f t="shared" si="11"/>
        <v>0</v>
      </c>
      <c r="H257">
        <v>50965</v>
      </c>
      <c r="I257" s="3" t="s">
        <v>511</v>
      </c>
      <c r="J257" s="3" t="s">
        <v>512</v>
      </c>
      <c r="K257" s="4">
        <v>10230.26</v>
      </c>
      <c r="L257" s="4">
        <v>2582.0300000000002</v>
      </c>
      <c r="M257" s="4">
        <v>0</v>
      </c>
      <c r="N257" s="4">
        <v>12812.29</v>
      </c>
      <c r="O257" s="4">
        <f>Tab_05.Mai[[#This Row],[DÉBITO]]-Tab_05.Mai[[#This Row],[CRÉDITO]]</f>
        <v>2582.0300000000002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S</v>
      </c>
      <c r="E258" s="2">
        <f>IF($I258="","",COUNTIFS(Tab_00.Trial[CONTA],$I258))</f>
        <v>1</v>
      </c>
      <c r="F258" s="4">
        <f>SUMIFS(Tab_04.Abr[SALDO
ATUAL],Tab_04.Abr[CONTA],$I258)</f>
        <v>17868.78</v>
      </c>
      <c r="G258" s="4">
        <f t="shared" si="11"/>
        <v>0</v>
      </c>
      <c r="H258">
        <v>50970</v>
      </c>
      <c r="I258" s="3" t="s">
        <v>619</v>
      </c>
      <c r="J258" s="3" t="s">
        <v>420</v>
      </c>
      <c r="K258" s="4">
        <v>17868.78</v>
      </c>
      <c r="L258" s="4">
        <v>1634.35</v>
      </c>
      <c r="M258" s="4">
        <v>0</v>
      </c>
      <c r="N258" s="4">
        <v>19503.13</v>
      </c>
      <c r="O258" s="4">
        <f>Tab_05.Mai[[#This Row],[DÉBITO]]-Tab_05.Mai[[#This Row],[CRÉDITO]]</f>
        <v>1634.35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A</v>
      </c>
      <c r="E259" s="2">
        <f>IF($I259="","",COUNTIFS(Tab_00.Trial[CONTA],$I259))</f>
        <v>1</v>
      </c>
      <c r="F259" s="4">
        <f>SUMIFS(Tab_04.Abr[SALDO
ATUAL],Tab_04.Abr[CONTA],$I259)</f>
        <v>17868.78</v>
      </c>
      <c r="G259" s="4">
        <f t="shared" si="11"/>
        <v>0</v>
      </c>
      <c r="H259">
        <v>50975</v>
      </c>
      <c r="I259" s="3" t="s">
        <v>515</v>
      </c>
      <c r="J259" s="3" t="s">
        <v>420</v>
      </c>
      <c r="K259" s="4">
        <v>17868.78</v>
      </c>
      <c r="L259" s="4">
        <v>1634.35</v>
      </c>
      <c r="M259" s="4">
        <v>0</v>
      </c>
      <c r="N259" s="4">
        <v>19503.13</v>
      </c>
      <c r="O259" s="4">
        <f>Tab_05.Mai[[#This Row],[DÉBITO]]-Tab_05.Mai[[#This Row],[CRÉDITO]]</f>
        <v>1634.35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S</v>
      </c>
      <c r="E260" s="2">
        <f>IF($I260="","",COUNTIFS(Tab_00.Trial[CONTA],$I260))</f>
        <v>1</v>
      </c>
      <c r="F260" s="4">
        <f>SUMIFS(Tab_04.Abr[SALDO
ATUAL],Tab_04.Abr[CONTA],$I260)</f>
        <v>7137.43</v>
      </c>
      <c r="G260" s="4">
        <f t="shared" si="11"/>
        <v>0</v>
      </c>
      <c r="H260">
        <v>50990</v>
      </c>
      <c r="I260" s="3" t="s">
        <v>621</v>
      </c>
      <c r="J260" s="3" t="s">
        <v>723</v>
      </c>
      <c r="K260" s="4">
        <v>7137.43</v>
      </c>
      <c r="L260" s="4">
        <v>1451.38</v>
      </c>
      <c r="M260" s="4">
        <v>0</v>
      </c>
      <c r="N260" s="4">
        <v>8588.81</v>
      </c>
      <c r="O260" s="4">
        <f>Tab_05.Mai[[#This Row],[DÉBITO]]-Tab_05.Mai[[#This Row],[CRÉDITO]]</f>
        <v>1451.38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S</v>
      </c>
      <c r="E261" s="2">
        <f>IF($I261="","",COUNTIFS(Tab_00.Trial[CONTA],$I261))</f>
        <v>1</v>
      </c>
      <c r="F261" s="4">
        <f>SUMIFS(Tab_04.Abr[SALDO
ATUAL],Tab_04.Abr[CONTA],$I261)</f>
        <v>7137.43</v>
      </c>
      <c r="G261" s="4">
        <f t="shared" si="11"/>
        <v>0</v>
      </c>
      <c r="H261">
        <v>51005</v>
      </c>
      <c r="I261" s="3" t="s">
        <v>622</v>
      </c>
      <c r="J261" s="3" t="s">
        <v>723</v>
      </c>
      <c r="K261" s="4">
        <v>7137.43</v>
      </c>
      <c r="L261" s="4">
        <v>1451.38</v>
      </c>
      <c r="M261" s="4">
        <v>0</v>
      </c>
      <c r="N261" s="4">
        <v>8588.81</v>
      </c>
      <c r="O261" s="4">
        <f>Tab_05.Mai[[#This Row],[DÉBITO]]-Tab_05.Mai[[#This Row],[CRÉDITO]]</f>
        <v>1451.38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A</v>
      </c>
      <c r="E262" s="2">
        <f>IF($I262="","",COUNTIFS(Tab_00.Trial[CONTA],$I262))</f>
        <v>1</v>
      </c>
      <c r="F262" s="4">
        <f>SUMIFS(Tab_04.Abr[SALDO
ATUAL],Tab_04.Abr[CONTA],$I262)</f>
        <v>7137.43</v>
      </c>
      <c r="G262" s="4">
        <f t="shared" si="11"/>
        <v>0</v>
      </c>
      <c r="H262">
        <v>51019</v>
      </c>
      <c r="I262" s="3" t="s">
        <v>518</v>
      </c>
      <c r="J262" s="3" t="s">
        <v>519</v>
      </c>
      <c r="K262" s="4">
        <v>7137.43</v>
      </c>
      <c r="L262" s="4">
        <v>1451.38</v>
      </c>
      <c r="M262" s="4">
        <v>0</v>
      </c>
      <c r="N262" s="4">
        <v>8588.81</v>
      </c>
      <c r="O262" s="4">
        <f>Tab_05.Mai[[#This Row],[DÉBITO]]-Tab_05.Mai[[#This Row],[CRÉDITO]]</f>
        <v>1451.38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S</v>
      </c>
      <c r="E263" s="2">
        <f>IF($I263="","",COUNTIFS(Tab_00.Trial[CONTA],$I263))</f>
        <v>1</v>
      </c>
      <c r="F263" s="4">
        <f>SUMIFS(Tab_04.Abr[SALDO
ATUAL],Tab_04.Abr[CONTA],$I263)</f>
        <v>17947.939999999999</v>
      </c>
      <c r="G263" s="4">
        <f t="shared" si="11"/>
        <v>0</v>
      </c>
      <c r="H263">
        <v>51050</v>
      </c>
      <c r="I263" s="3" t="s">
        <v>623</v>
      </c>
      <c r="J263" s="3" t="s">
        <v>724</v>
      </c>
      <c r="K263" s="4">
        <v>17947.939999999999</v>
      </c>
      <c r="L263" s="4">
        <v>3667.05</v>
      </c>
      <c r="M263" s="4">
        <v>0</v>
      </c>
      <c r="N263" s="4">
        <v>21614.99</v>
      </c>
      <c r="O263" s="4">
        <f>Tab_05.Mai[[#This Row],[DÉBITO]]-Tab_05.Mai[[#This Row],[CRÉDITO]]</f>
        <v>3667.05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S</v>
      </c>
      <c r="E264" s="2">
        <f>IF($I264="","",COUNTIFS(Tab_00.Trial[CONTA],$I264))</f>
        <v>1</v>
      </c>
      <c r="F264" s="4">
        <f>SUMIFS(Tab_04.Abr[SALDO
ATUAL],Tab_04.Abr[CONTA],$I264)</f>
        <v>17947.939999999999</v>
      </c>
      <c r="G264" s="4">
        <f t="shared" si="11"/>
        <v>0</v>
      </c>
      <c r="H264">
        <v>51065</v>
      </c>
      <c r="I264" s="3" t="s">
        <v>624</v>
      </c>
      <c r="J264" s="3" t="s">
        <v>724</v>
      </c>
      <c r="K264" s="4">
        <v>17947.939999999999</v>
      </c>
      <c r="L264" s="4">
        <v>3667.05</v>
      </c>
      <c r="M264" s="4">
        <v>0</v>
      </c>
      <c r="N264" s="4">
        <v>21614.99</v>
      </c>
      <c r="O264" s="4">
        <f>Tab_05.Mai[[#This Row],[DÉBITO]]-Tab_05.Mai[[#This Row],[CRÉDITO]]</f>
        <v>3667.05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A</v>
      </c>
      <c r="E265" s="2">
        <f>IF($I265="","",COUNTIFS(Tab_00.Trial[CONTA],$I265))</f>
        <v>1</v>
      </c>
      <c r="F265" s="4">
        <f>SUMIFS(Tab_04.Abr[SALDO
ATUAL],Tab_04.Abr[CONTA],$I265)</f>
        <v>17947.939999999999</v>
      </c>
      <c r="G265" s="4">
        <f t="shared" si="11"/>
        <v>0</v>
      </c>
      <c r="H265">
        <v>51080</v>
      </c>
      <c r="I265" s="3" t="s">
        <v>520</v>
      </c>
      <c r="J265" s="3" t="s">
        <v>521</v>
      </c>
      <c r="K265" s="4">
        <v>17947.939999999999</v>
      </c>
      <c r="L265" s="4">
        <v>3667.05</v>
      </c>
      <c r="M265" s="4">
        <v>0</v>
      </c>
      <c r="N265" s="4">
        <v>21614.99</v>
      </c>
      <c r="O265" s="4">
        <f>Tab_05.Mai[[#This Row],[DÉBITO]]-Tab_05.Mai[[#This Row],[CRÉDITO]]</f>
        <v>3667.05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S</v>
      </c>
      <c r="E266" s="2">
        <f>IF($I266="","",COUNTIFS(Tab_00.Trial[CONTA],$I266))</f>
        <v>1</v>
      </c>
      <c r="F266" s="4">
        <f>SUMIFS(Tab_04.Abr[SALDO
ATUAL],Tab_04.Abr[CONTA],$I266)</f>
        <v>27813.96</v>
      </c>
      <c r="G266" s="4">
        <f t="shared" si="11"/>
        <v>0</v>
      </c>
      <c r="H266">
        <v>51110</v>
      </c>
      <c r="I266" s="3" t="s">
        <v>625</v>
      </c>
      <c r="J266" s="3" t="s">
        <v>542</v>
      </c>
      <c r="K266" s="4">
        <v>27813.96</v>
      </c>
      <c r="L266" s="4">
        <v>3712.5</v>
      </c>
      <c r="M266" s="4">
        <v>0</v>
      </c>
      <c r="N266" s="4">
        <v>31526.46</v>
      </c>
      <c r="O266" s="4">
        <f>Tab_05.Mai[[#This Row],[DÉBITO]]-Tab_05.Mai[[#This Row],[CRÉDITO]]</f>
        <v>3712.5</v>
      </c>
    </row>
    <row r="267" spans="2:15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5</v>
      </c>
      <c r="D267" s="2" t="str">
        <f>_xlfn.XLOOKUP($I267,Tab_00.Trial[CONTA],Tab_00.Trial[S/A],"",0,1)</f>
        <v>S</v>
      </c>
      <c r="E267" s="2">
        <f>IF($I267="","",COUNTIFS(Tab_00.Trial[CONTA],$I267))</f>
        <v>1</v>
      </c>
      <c r="F267" s="4">
        <f>SUMIFS(Tab_04.Abr[SALDO
ATUAL],Tab_04.Abr[CONTA],$I267)</f>
        <v>15868.35</v>
      </c>
      <c r="G267" s="4">
        <f t="shared" si="11"/>
        <v>0</v>
      </c>
      <c r="H267">
        <v>51125</v>
      </c>
      <c r="I267" s="3" t="s">
        <v>626</v>
      </c>
      <c r="J267" s="3" t="s">
        <v>725</v>
      </c>
      <c r="K267" s="4">
        <v>15868.35</v>
      </c>
      <c r="L267" s="4">
        <v>115.5</v>
      </c>
      <c r="M267" s="4">
        <v>0</v>
      </c>
      <c r="N267" s="4">
        <v>15983.85</v>
      </c>
      <c r="O267" s="4">
        <f>Tab_05.Mai[[#This Row],[DÉBITO]]-Tab_05.Mai[[#This Row],[CRÉDITO]]</f>
        <v>115.5</v>
      </c>
    </row>
    <row r="268" spans="2:15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5</v>
      </c>
      <c r="D268" s="2" t="str">
        <f>_xlfn.XLOOKUP($I268,Tab_00.Trial[CONTA],Tab_00.Trial[S/A],"",0,1)</f>
        <v>A</v>
      </c>
      <c r="E268" s="2">
        <f>IF($I268="","",COUNTIFS(Tab_00.Trial[CONTA],$I268))</f>
        <v>1</v>
      </c>
      <c r="F268" s="4">
        <f>SUMIFS(Tab_04.Abr[SALDO
ATUAL],Tab_04.Abr[CONTA],$I268)</f>
        <v>15412.24</v>
      </c>
      <c r="G268" s="4">
        <f t="shared" si="11"/>
        <v>0</v>
      </c>
      <c r="H268">
        <v>51200</v>
      </c>
      <c r="I268" s="3" t="s">
        <v>522</v>
      </c>
      <c r="J268" s="3" t="s">
        <v>523</v>
      </c>
      <c r="K268" s="4">
        <v>15412.24</v>
      </c>
      <c r="L268" s="4">
        <v>115.5</v>
      </c>
      <c r="M268" s="4">
        <v>0</v>
      </c>
      <c r="N268" s="4">
        <v>15527.74</v>
      </c>
      <c r="O268" s="4">
        <f>Tab_05.Mai[[#This Row],[DÉBITO]]-Tab_05.Mai[[#This Row],[CRÉDITO]]</f>
        <v>115.5</v>
      </c>
    </row>
    <row r="269" spans="2:15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5</v>
      </c>
      <c r="D269" s="2" t="str">
        <f>_xlfn.XLOOKUP($I269,Tab_00.Trial[CONTA],Tab_00.Trial[S/A],"",0,1)</f>
        <v>A</v>
      </c>
      <c r="E269" s="2">
        <f>IF($I269="","",COUNTIFS(Tab_00.Trial[CONTA],$I269))</f>
        <v>1</v>
      </c>
      <c r="F269" s="4">
        <f>SUMIFS(Tab_04.Abr[SALDO
ATUAL],Tab_04.Abr[CONTA],$I269)</f>
        <v>456.11</v>
      </c>
      <c r="G269" s="4">
        <f t="shared" si="11"/>
        <v>0</v>
      </c>
      <c r="H269">
        <v>51220</v>
      </c>
      <c r="I269" s="3" t="s">
        <v>524</v>
      </c>
      <c r="J269" s="3" t="s">
        <v>525</v>
      </c>
      <c r="K269" s="4">
        <v>456.11</v>
      </c>
      <c r="L269" s="4">
        <v>0</v>
      </c>
      <c r="M269" s="4">
        <v>0</v>
      </c>
      <c r="N269" s="4">
        <v>456.11</v>
      </c>
      <c r="O269" s="4">
        <f>Tab_05.Mai[[#This Row],[DÉBITO]]-Tab_05.Mai[[#This Row],[CRÉDITO]]</f>
        <v>0</v>
      </c>
    </row>
    <row r="270" spans="2:15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S</v>
      </c>
      <c r="E270" s="2">
        <f>IF($I270="","",COUNTIFS(Tab_00.Trial[CONTA],$I270))</f>
        <v>1</v>
      </c>
      <c r="F270" s="4">
        <f>SUMIFS(Tab_04.Abr[SALDO
ATUAL],Tab_04.Abr[CONTA],$I270)</f>
        <v>11945.61</v>
      </c>
      <c r="G270" s="4">
        <f t="shared" si="11"/>
        <v>0</v>
      </c>
      <c r="H270">
        <v>51230</v>
      </c>
      <c r="I270" s="3" t="s">
        <v>627</v>
      </c>
      <c r="J270" s="3" t="s">
        <v>542</v>
      </c>
      <c r="K270" s="4">
        <v>11945.61</v>
      </c>
      <c r="L270" s="4">
        <v>3597</v>
      </c>
      <c r="M270" s="4">
        <v>0</v>
      </c>
      <c r="N270" s="4">
        <v>15542.61</v>
      </c>
      <c r="O270" s="4">
        <f>Tab_05.Mai[[#This Row],[DÉBITO]]-Tab_05.Mai[[#This Row],[CRÉDITO]]</f>
        <v>3597</v>
      </c>
    </row>
    <row r="271" spans="2:15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5</v>
      </c>
      <c r="D271" s="2" t="str">
        <f>_xlfn.XLOOKUP($I271,Tab_00.Trial[CONTA],Tab_00.Trial[S/A],"",0,1)</f>
        <v>A</v>
      </c>
      <c r="E271" s="2">
        <f>IF($I271="","",COUNTIFS(Tab_00.Trial[CONTA],$I271))</f>
        <v>1</v>
      </c>
      <c r="F271" s="4">
        <f>SUMIFS(Tab_04.Abr[SALDO
ATUAL],Tab_04.Abr[CONTA],$I271)</f>
        <v>399.64</v>
      </c>
      <c r="G271" s="4">
        <f t="shared" ref="G271:G275" si="12">$F271-$K271</f>
        <v>0</v>
      </c>
      <c r="H271">
        <v>51245</v>
      </c>
      <c r="I271" s="3" t="s">
        <v>528</v>
      </c>
      <c r="J271" s="3" t="s">
        <v>416</v>
      </c>
      <c r="K271" s="4">
        <v>399.64</v>
      </c>
      <c r="L271" s="4">
        <v>94.81</v>
      </c>
      <c r="M271" s="4">
        <v>0</v>
      </c>
      <c r="N271" s="4">
        <v>494.45</v>
      </c>
      <c r="O271" s="4">
        <f>Tab_05.Mai[[#This Row],[DÉBITO]]-Tab_05.Mai[[#This Row],[CRÉDITO]]</f>
        <v>94.81</v>
      </c>
    </row>
    <row r="272" spans="2:15" x14ac:dyDescent="0.3">
      <c r="B272" s="2" t="str">
        <f>_xlfn.XLOOKUP($I272,Tab_00.Trial[CONTA],Tab_00.Trial[TP],"",0,1)</f>
        <v>C</v>
      </c>
      <c r="C272" s="2">
        <f>_xlfn.XLOOKUP($I272,Tab_00.Trial[CONTA],Tab_00.Trial[NV],"",0,1)</f>
        <v>5</v>
      </c>
      <c r="D272" s="2" t="str">
        <f>_xlfn.XLOOKUP($I272,Tab_00.Trial[CONTA],Tab_00.Trial[S/A],"",0,1)</f>
        <v>A</v>
      </c>
      <c r="E272" s="2">
        <f>IF($I272="","",COUNTIFS(Tab_00.Trial[CONTA],$I272))</f>
        <v>1</v>
      </c>
      <c r="F272" s="4">
        <f>SUMIFS(Tab_04.Abr[SALDO
ATUAL],Tab_04.Abr[CONTA],$I272)</f>
        <v>270.23</v>
      </c>
      <c r="G272" s="4">
        <f t="shared" si="12"/>
        <v>0</v>
      </c>
      <c r="H272">
        <v>51290</v>
      </c>
      <c r="I272" s="3" t="s">
        <v>531</v>
      </c>
      <c r="J272" s="3" t="s">
        <v>532</v>
      </c>
      <c r="K272" s="4">
        <v>270.23</v>
      </c>
      <c r="L272" s="4">
        <v>153.81</v>
      </c>
      <c r="M272" s="4">
        <v>0</v>
      </c>
      <c r="N272" s="4">
        <v>424.04</v>
      </c>
      <c r="O272" s="4">
        <f>Tab_05.Mai[[#This Row],[DÉBITO]]-Tab_05.Mai[[#This Row],[CRÉDITO]]</f>
        <v>153.81</v>
      </c>
    </row>
    <row r="273" spans="2:15" x14ac:dyDescent="0.3">
      <c r="B273" s="2" t="str">
        <f>_xlfn.XLOOKUP($I273,Tab_00.Trial[CONTA],Tab_00.Trial[TP],"",0,1)</f>
        <v>C</v>
      </c>
      <c r="C273" s="2">
        <f>_xlfn.XLOOKUP($I273,Tab_00.Trial[CONTA],Tab_00.Trial[NV],"",0,1)</f>
        <v>5</v>
      </c>
      <c r="D273" s="2" t="str">
        <f>_xlfn.XLOOKUP($I273,Tab_00.Trial[CONTA],Tab_00.Trial[S/A],"",0,1)</f>
        <v>A</v>
      </c>
      <c r="E273" s="2">
        <f>IF($I273="","",COUNTIFS(Tab_00.Trial[CONTA],$I273))</f>
        <v>1</v>
      </c>
      <c r="F273" s="4">
        <f>SUMIFS(Tab_04.Abr[SALDO
ATUAL],Tab_04.Abr[CONTA],$I273)</f>
        <v>350</v>
      </c>
      <c r="G273" s="4">
        <f t="shared" si="12"/>
        <v>0</v>
      </c>
      <c r="H273">
        <v>51305</v>
      </c>
      <c r="I273" s="3" t="s">
        <v>533</v>
      </c>
      <c r="J273" s="3" t="s">
        <v>534</v>
      </c>
      <c r="K273" s="4">
        <v>350</v>
      </c>
      <c r="L273" s="4">
        <v>1400</v>
      </c>
      <c r="M273" s="4">
        <v>0</v>
      </c>
      <c r="N273" s="4">
        <v>1750</v>
      </c>
      <c r="O273" s="4">
        <f>Tab_05.Mai[[#This Row],[DÉBITO]]-Tab_05.Mai[[#This Row],[CRÉDITO]]</f>
        <v>1400</v>
      </c>
    </row>
    <row r="274" spans="2:15" x14ac:dyDescent="0.3">
      <c r="B274" s="2" t="str">
        <f>_xlfn.XLOOKUP($I274,Tab_00.Trial[CONTA],Tab_00.Trial[TP],"",0,1)</f>
        <v>C</v>
      </c>
      <c r="C274" s="2">
        <f>_xlfn.XLOOKUP($I274,Tab_00.Trial[CONTA],Tab_00.Trial[NV],"",0,1)</f>
        <v>5</v>
      </c>
      <c r="D274" s="2" t="str">
        <f>_xlfn.XLOOKUP($I274,Tab_00.Trial[CONTA],Tab_00.Trial[S/A],"",0,1)</f>
        <v>A</v>
      </c>
      <c r="E274" s="2">
        <f>IF($I274="","",COUNTIFS(Tab_00.Trial[CONTA],$I274))</f>
        <v>1</v>
      </c>
      <c r="F274" s="4">
        <f>SUMIFS(Tab_04.Abr[SALDO
ATUAL],Tab_04.Abr[CONTA],$I274)</f>
        <v>4744.78</v>
      </c>
      <c r="G274" s="4">
        <f t="shared" si="12"/>
        <v>0</v>
      </c>
      <c r="H274">
        <v>51335</v>
      </c>
      <c r="I274" s="3" t="s">
        <v>537</v>
      </c>
      <c r="J274" s="3" t="s">
        <v>538</v>
      </c>
      <c r="K274" s="4">
        <v>4744.78</v>
      </c>
      <c r="L274" s="4">
        <v>0</v>
      </c>
      <c r="M274" s="4">
        <v>0</v>
      </c>
      <c r="N274" s="4">
        <v>4744.78</v>
      </c>
      <c r="O274" s="4">
        <f>Tab_05.Mai[[#This Row],[DÉBITO]]-Tab_05.Mai[[#This Row],[CRÉDITO]]</f>
        <v>0</v>
      </c>
    </row>
    <row r="275" spans="2:15" x14ac:dyDescent="0.3">
      <c r="B275" s="2" t="str">
        <f>_xlfn.XLOOKUP($I275,Tab_00.Trial[CONTA],Tab_00.Trial[TP],"",0,1)</f>
        <v>C</v>
      </c>
      <c r="C275" s="2">
        <f>_xlfn.XLOOKUP($I275,Tab_00.Trial[CONTA],Tab_00.Trial[NV],"",0,1)</f>
        <v>5</v>
      </c>
      <c r="D275" s="2" t="str">
        <f>_xlfn.XLOOKUP($I275,Tab_00.Trial[CONTA],Tab_00.Trial[S/A],"",0,1)</f>
        <v>A</v>
      </c>
      <c r="E275" s="2">
        <f>IF($I275="","",COUNTIFS(Tab_00.Trial[CONTA],$I275))</f>
        <v>1</v>
      </c>
      <c r="F275" s="4">
        <f>SUMIFS(Tab_04.Abr[SALDO
ATUAL],Tab_04.Abr[CONTA],$I275)</f>
        <v>5480.09</v>
      </c>
      <c r="G275" s="4">
        <f t="shared" si="12"/>
        <v>0</v>
      </c>
      <c r="H275">
        <v>51338</v>
      </c>
      <c r="I275" s="3" t="s">
        <v>539</v>
      </c>
      <c r="J275" s="3" t="s">
        <v>540</v>
      </c>
      <c r="K275" s="4">
        <v>5480.09</v>
      </c>
      <c r="L275" s="4">
        <v>1648.48</v>
      </c>
      <c r="M275" s="4">
        <v>0</v>
      </c>
      <c r="N275" s="4">
        <v>7128.57</v>
      </c>
      <c r="O275" s="4">
        <f>Tab_05.Mai[[#This Row],[DÉBITO]]-Tab_05.Mai[[#This Row],[CRÉDITO]]</f>
        <v>1648.48</v>
      </c>
    </row>
    <row r="276" spans="2:15" x14ac:dyDescent="0.3">
      <c r="B276" s="2" t="str">
        <f>_xlfn.XLOOKUP($I276,Tab_00.Trial[CONTA],Tab_00.Trial[TP],"",0,1)</f>
        <v>C</v>
      </c>
      <c r="C276" s="2">
        <f>_xlfn.XLOOKUP($I276,Tab_00.Trial[CONTA],Tab_00.Trial[NV],"",0,1)</f>
        <v>5</v>
      </c>
      <c r="D276" s="2" t="str">
        <f>_xlfn.XLOOKUP($I276,Tab_00.Trial[CONTA],Tab_00.Trial[S/A],"",0,1)</f>
        <v>A</v>
      </c>
      <c r="E276" s="2">
        <f>IF($I276="","",COUNTIFS(Tab_00.Trial[CONTA],$I276))</f>
        <v>1</v>
      </c>
      <c r="F276" s="4">
        <f>SUMIFS(Tab_04.Abr[SALDO
ATUAL],Tab_04.Abr[CONTA],$I276)</f>
        <v>700.87</v>
      </c>
      <c r="G276" s="4">
        <f t="shared" ref="G276:G281" si="13">$F276-$K276</f>
        <v>0</v>
      </c>
      <c r="H276">
        <v>51337</v>
      </c>
      <c r="I276" s="3" t="s">
        <v>541</v>
      </c>
      <c r="J276" s="3" t="s">
        <v>542</v>
      </c>
      <c r="K276" s="4">
        <v>700.87</v>
      </c>
      <c r="L276" s="4">
        <v>299.89999999999998</v>
      </c>
      <c r="M276" s="4">
        <v>0</v>
      </c>
      <c r="N276" s="4">
        <v>1000.77</v>
      </c>
      <c r="O276" s="4">
        <f>Tab_05.Mai[[#This Row],[DÉBITO]]-Tab_05.Mai[[#This Row],[CRÉDITO]]</f>
        <v>299.89999999999998</v>
      </c>
    </row>
    <row r="277" spans="2:15" x14ac:dyDescent="0.3">
      <c r="B277" s="2" t="str">
        <f>_xlfn.XLOOKUP($I277,Tab_00.Trial[CONTA],Tab_00.Trial[TP],"",0,1)</f>
        <v>C</v>
      </c>
      <c r="C277" s="2">
        <f>_xlfn.XLOOKUP($I277,Tab_00.Trial[CONTA],Tab_00.Trial[NV],"",0,1)</f>
        <v>2</v>
      </c>
      <c r="D277" s="2" t="str">
        <f>_xlfn.XLOOKUP($I277,Tab_00.Trial[CONTA],Tab_00.Trial[S/A],"",0,1)</f>
        <v>S</v>
      </c>
      <c r="E277" s="2">
        <f>IF($I277="","",COUNTIFS(Tab_00.Trial[CONTA],$I277))</f>
        <v>1</v>
      </c>
      <c r="F277" s="4">
        <f>SUMIFS(Tab_04.Abr[SALDO
ATUAL],Tab_04.Abr[CONTA],$I277)</f>
        <v>270</v>
      </c>
      <c r="G277" s="4">
        <f t="shared" si="13"/>
        <v>0</v>
      </c>
      <c r="H277">
        <v>51500</v>
      </c>
      <c r="I277" s="3" t="s">
        <v>630</v>
      </c>
      <c r="J277" s="3" t="s">
        <v>728</v>
      </c>
      <c r="K277" s="4">
        <v>270</v>
      </c>
      <c r="L277" s="4">
        <v>0</v>
      </c>
      <c r="M277" s="4">
        <v>0</v>
      </c>
      <c r="N277" s="4">
        <v>270</v>
      </c>
      <c r="O277" s="4">
        <f>Tab_05.Mai[[#This Row],[DÉBITO]]-Tab_05.Mai[[#This Row],[CRÉDITO]]</f>
        <v>0</v>
      </c>
    </row>
    <row r="278" spans="2:15" x14ac:dyDescent="0.3">
      <c r="B278" s="2" t="str">
        <f>_xlfn.XLOOKUP($I278,Tab_00.Trial[CONTA],Tab_00.Trial[TP],"",0,1)</f>
        <v>C</v>
      </c>
      <c r="C278" s="2">
        <f>_xlfn.XLOOKUP($I278,Tab_00.Trial[CONTA],Tab_00.Trial[NV],"",0,1)</f>
        <v>5</v>
      </c>
      <c r="D278" s="2" t="str">
        <f>_xlfn.XLOOKUP($I278,Tab_00.Trial[CONTA],Tab_00.Trial[S/A],"",0,1)</f>
        <v>S</v>
      </c>
      <c r="E278" s="2">
        <f>IF($I278="","",COUNTIFS(Tab_00.Trial[CONTA],$I278))</f>
        <v>1</v>
      </c>
      <c r="F278" s="4">
        <f>SUMIFS(Tab_04.Abr[SALDO
ATUAL],Tab_04.Abr[CONTA],$I278)</f>
        <v>270</v>
      </c>
      <c r="G278" s="4">
        <f t="shared" si="13"/>
        <v>0</v>
      </c>
      <c r="H278">
        <v>51505</v>
      </c>
      <c r="I278" s="3" t="s">
        <v>631</v>
      </c>
      <c r="J278" s="3" t="s">
        <v>728</v>
      </c>
      <c r="K278" s="4">
        <v>270</v>
      </c>
      <c r="L278" s="4">
        <v>0</v>
      </c>
      <c r="M278" s="4">
        <v>0</v>
      </c>
      <c r="N278" s="4">
        <v>270</v>
      </c>
      <c r="O278" s="4">
        <f>Tab_05.Mai[[#This Row],[DÉBITO]]-Tab_05.Mai[[#This Row],[CRÉDITO]]</f>
        <v>0</v>
      </c>
    </row>
    <row r="279" spans="2:15" x14ac:dyDescent="0.3">
      <c r="B279" s="2" t="str">
        <f>_xlfn.XLOOKUP($I279,Tab_00.Trial[CONTA],Tab_00.Trial[TP],"",0,1)</f>
        <v>C</v>
      </c>
      <c r="C279" s="2">
        <f>_xlfn.XLOOKUP($I279,Tab_00.Trial[CONTA],Tab_00.Trial[NV],"",0,1)</f>
        <v>5</v>
      </c>
      <c r="D279" s="2" t="str">
        <f>_xlfn.XLOOKUP($I279,Tab_00.Trial[CONTA],Tab_00.Trial[S/A],"",0,1)</f>
        <v>S</v>
      </c>
      <c r="E279" s="2">
        <f>IF($I279="","",COUNTIFS(Tab_00.Trial[CONTA],$I279))</f>
        <v>1</v>
      </c>
      <c r="F279" s="4">
        <f>SUMIFS(Tab_04.Abr[SALDO
ATUAL],Tab_04.Abr[CONTA],$I279)</f>
        <v>270</v>
      </c>
      <c r="G279" s="4">
        <f t="shared" si="13"/>
        <v>0</v>
      </c>
      <c r="H279">
        <v>51565</v>
      </c>
      <c r="I279" s="3" t="s">
        <v>633</v>
      </c>
      <c r="J279" s="3" t="s">
        <v>548</v>
      </c>
      <c r="K279" s="4">
        <v>270</v>
      </c>
      <c r="L279" s="4">
        <v>0</v>
      </c>
      <c r="M279" s="4">
        <v>0</v>
      </c>
      <c r="N279" s="4">
        <v>270</v>
      </c>
      <c r="O279" s="4">
        <f>Tab_05.Mai[[#This Row],[DÉBITO]]-Tab_05.Mai[[#This Row],[CRÉDITO]]</f>
        <v>0</v>
      </c>
    </row>
    <row r="280" spans="2:15" x14ac:dyDescent="0.3">
      <c r="B280" s="2" t="str">
        <f>_xlfn.XLOOKUP($I280,Tab_00.Trial[CONTA],Tab_00.Trial[TP],"",0,1)</f>
        <v>C</v>
      </c>
      <c r="C280" s="2">
        <f>_xlfn.XLOOKUP($I280,Tab_00.Trial[CONTA],Tab_00.Trial[NV],"",0,1)</f>
        <v>5</v>
      </c>
      <c r="D280" s="2" t="str">
        <f>_xlfn.XLOOKUP($I280,Tab_00.Trial[CONTA],Tab_00.Trial[S/A],"",0,1)</f>
        <v>A</v>
      </c>
      <c r="E280" s="2">
        <f>IF($I280="","",COUNTIFS(Tab_00.Trial[CONTA],$I280))</f>
        <v>1</v>
      </c>
      <c r="F280" s="4">
        <f>SUMIFS(Tab_04.Abr[SALDO
ATUAL],Tab_04.Abr[CONTA],$I280)</f>
        <v>270</v>
      </c>
      <c r="G280" s="4">
        <f t="shared" si="13"/>
        <v>0</v>
      </c>
      <c r="H280">
        <v>51570</v>
      </c>
      <c r="I280" s="3" t="s">
        <v>547</v>
      </c>
      <c r="J280" s="3" t="s">
        <v>548</v>
      </c>
      <c r="K280" s="4">
        <v>270</v>
      </c>
      <c r="L280" s="4">
        <v>0</v>
      </c>
      <c r="M280" s="4">
        <v>0</v>
      </c>
      <c r="N280" s="4">
        <v>270</v>
      </c>
      <c r="O280" s="4">
        <f>Tab_05.Mai[[#This Row],[DÉBITO]]-Tab_05.Mai[[#This Row],[CRÉDITO]]</f>
        <v>0</v>
      </c>
    </row>
    <row r="281" spans="2:15" x14ac:dyDescent="0.3">
      <c r="B281" s="2" t="str">
        <f>_xlfn.XLOOKUP($I281,Tab_00.Trial[CONTA],Tab_00.Trial[TP],"",0,1)</f>
        <v>C</v>
      </c>
      <c r="C281" s="2">
        <f>_xlfn.XLOOKUP($I281,Tab_00.Trial[CONTA],Tab_00.Trial[NV],"",0,1)</f>
        <v>2</v>
      </c>
      <c r="D281" s="2" t="str">
        <f>_xlfn.XLOOKUP($I281,Tab_00.Trial[CONTA],Tab_00.Trial[S/A],"",0,1)</f>
        <v>S</v>
      </c>
      <c r="E281" s="2">
        <f>IF($I281="","",COUNTIFS(Tab_00.Trial[CONTA],$I281))</f>
        <v>1</v>
      </c>
      <c r="F281" s="4">
        <f>SUMIFS(Tab_04.Abr[SALDO
ATUAL],Tab_04.Abr[CONTA],$I281)</f>
        <v>-189</v>
      </c>
      <c r="G281" s="4">
        <f t="shared" si="13"/>
        <v>0</v>
      </c>
      <c r="H281">
        <v>51590</v>
      </c>
      <c r="I281" s="3" t="s">
        <v>634</v>
      </c>
      <c r="J281" s="3" t="s">
        <v>730</v>
      </c>
      <c r="K281" s="4">
        <v>-189</v>
      </c>
      <c r="L281" s="4">
        <v>0</v>
      </c>
      <c r="M281" s="4">
        <v>0</v>
      </c>
      <c r="N281" s="4">
        <v>-189</v>
      </c>
      <c r="O281" s="4">
        <f>Tab_05.Mai[[#This Row],[DÉBITO]]-Tab_05.Mai[[#This Row],[CRÉDITO]]</f>
        <v>0</v>
      </c>
    </row>
    <row r="282" spans="2:15" x14ac:dyDescent="0.3">
      <c r="B282" s="2" t="str">
        <f>_xlfn.XLOOKUP($I282,Tab_00.Trial[CONTA],Tab_00.Trial[TP],"",0,1)</f>
        <v>C</v>
      </c>
      <c r="C282" s="2">
        <f>_xlfn.XLOOKUP($I282,Tab_00.Trial[CONTA],Tab_00.Trial[NV],"",0,1)</f>
        <v>5</v>
      </c>
      <c r="D282" s="2" t="str">
        <f>_xlfn.XLOOKUP($I282,Tab_00.Trial[CONTA],Tab_00.Trial[S/A],"",0,1)</f>
        <v>S</v>
      </c>
      <c r="E282" s="2">
        <f>IF($I282="","",COUNTIFS(Tab_00.Trial[CONTA],$I282))</f>
        <v>1</v>
      </c>
      <c r="F282" s="4">
        <f>SUMIFS(Tab_04.Abr[SALDO
ATUAL],Tab_04.Abr[CONTA],$I282)</f>
        <v>-189</v>
      </c>
      <c r="G282" s="4">
        <f t="shared" ref="G282:G284" si="14">$F282-$K282</f>
        <v>0</v>
      </c>
      <c r="H282">
        <v>10216</v>
      </c>
      <c r="I282" s="3" t="s">
        <v>825</v>
      </c>
      <c r="J282" s="3" t="s">
        <v>826</v>
      </c>
      <c r="K282" s="4">
        <v>-189</v>
      </c>
      <c r="L282" s="4">
        <v>0</v>
      </c>
      <c r="M282" s="4">
        <v>0</v>
      </c>
      <c r="N282" s="4">
        <v>-189</v>
      </c>
      <c r="O282" s="4">
        <f>Tab_05.Mai[[#This Row],[DÉBITO]]-Tab_05.Mai[[#This Row],[CRÉDITO]]</f>
        <v>0</v>
      </c>
    </row>
    <row r="283" spans="2:15" x14ac:dyDescent="0.3">
      <c r="B283" s="2" t="str">
        <f>_xlfn.XLOOKUP($I283,Tab_00.Trial[CONTA],Tab_00.Trial[TP],"",0,1)</f>
        <v>C</v>
      </c>
      <c r="C283" s="2">
        <f>_xlfn.XLOOKUP($I283,Tab_00.Trial[CONTA],Tab_00.Trial[NV],"",0,1)</f>
        <v>5</v>
      </c>
      <c r="D283" s="2" t="str">
        <f>_xlfn.XLOOKUP($I283,Tab_00.Trial[CONTA],Tab_00.Trial[S/A],"",0,1)</f>
        <v>S</v>
      </c>
      <c r="E283" s="2">
        <f>IF($I283="","",COUNTIFS(Tab_00.Trial[CONTA],$I283))</f>
        <v>1</v>
      </c>
      <c r="F283" s="4">
        <f>SUMIFS(Tab_04.Abr[SALDO
ATUAL],Tab_04.Abr[CONTA],$I283)</f>
        <v>-189</v>
      </c>
      <c r="G283" s="4">
        <f t="shared" si="14"/>
        <v>0</v>
      </c>
      <c r="H283">
        <v>10230</v>
      </c>
      <c r="I283" s="3" t="s">
        <v>827</v>
      </c>
      <c r="J283" s="3" t="s">
        <v>826</v>
      </c>
      <c r="K283" s="4">
        <v>-189</v>
      </c>
      <c r="L283" s="4">
        <v>0</v>
      </c>
      <c r="M283" s="4">
        <v>0</v>
      </c>
      <c r="N283" s="4">
        <v>-189</v>
      </c>
      <c r="O283" s="4">
        <f>Tab_05.Mai[[#This Row],[DÉBITO]]-Tab_05.Mai[[#This Row],[CRÉDITO]]</f>
        <v>0</v>
      </c>
    </row>
    <row r="284" spans="2:15" x14ac:dyDescent="0.3">
      <c r="B284" s="2" t="str">
        <f>_xlfn.XLOOKUP($I284,Tab_00.Trial[CONTA],Tab_00.Trial[TP],"",0,1)</f>
        <v>C</v>
      </c>
      <c r="C284" s="2">
        <f>_xlfn.XLOOKUP($I284,Tab_00.Trial[CONTA],Tab_00.Trial[NV],"",0,1)</f>
        <v>5</v>
      </c>
      <c r="D284" s="2" t="str">
        <f>_xlfn.XLOOKUP($I284,Tab_00.Trial[CONTA],Tab_00.Trial[S/A],"",0,1)</f>
        <v>A</v>
      </c>
      <c r="E284" s="2">
        <f>IF($I284="","",COUNTIFS(Tab_00.Trial[CONTA],$I284))</f>
        <v>1</v>
      </c>
      <c r="F284" s="4">
        <f>SUMIFS(Tab_04.Abr[SALDO
ATUAL],Tab_04.Abr[CONTA],$I284)</f>
        <v>-189</v>
      </c>
      <c r="G284" s="4">
        <f t="shared" si="14"/>
        <v>0</v>
      </c>
      <c r="H284">
        <v>10237</v>
      </c>
      <c r="I284" s="3" t="s">
        <v>828</v>
      </c>
      <c r="J284" s="3" t="s">
        <v>829</v>
      </c>
      <c r="K284" s="4">
        <v>-189</v>
      </c>
      <c r="L284" s="4">
        <v>0</v>
      </c>
      <c r="M284" s="4">
        <v>0</v>
      </c>
      <c r="N284" s="4">
        <v>-189</v>
      </c>
      <c r="O284" s="4">
        <f>Tab_05.Mai[[#This Row],[DÉBITO]]-Tab_05.Mai[[#This Row],[CRÉDITO]]</f>
        <v>0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9D3FB-EB1D-4562-ADDB-2482BEFADF29}">
  <sheetPr codeName="Planilha16"/>
  <dimension ref="B1:R288"/>
  <sheetViews>
    <sheetView showGridLines="0" showRowColHeaders="0" zoomScale="85" zoomScaleNormal="85" workbookViewId="0">
      <pane xSplit="7" ySplit="14" topLeftCell="K270" activePane="bottomRight" state="frozen"/>
      <selection activeCell="J20" sqref="J20"/>
      <selection pane="topRight" activeCell="J20" sqref="J20"/>
      <selection pane="bottomLeft" activeCell="J20" sqref="J20"/>
      <selection pane="bottomRight" activeCell="O15" sqref="O15"/>
    </sheetView>
  </sheetViews>
  <sheetFormatPr defaultColWidth="8.88671875" defaultRowHeight="13.8" outlineLevelRow="1" x14ac:dyDescent="0.3"/>
  <cols>
    <col min="1" max="1" width="2.6640625" style="1" customWidth="1"/>
    <col min="2" max="2" width="4.6640625" customWidth="1"/>
    <col min="3" max="5" width="4.6640625" style="2" customWidth="1"/>
    <col min="6" max="7" width="20.6640625" style="4" customWidth="1"/>
    <col min="8" max="8" width="15.6640625" customWidth="1"/>
    <col min="9" max="9" width="17.6640625" customWidth="1"/>
    <col min="10" max="10" width="75.6640625" customWidth="1"/>
    <col min="11" max="11" width="20.6640625" style="2" customWidth="1"/>
    <col min="12" max="13" width="20.6640625" style="3" customWidth="1"/>
    <col min="14" max="15" width="20.6640625" style="4" customWidth="1"/>
    <col min="16" max="17" width="8.88671875" style="1"/>
    <col min="18" max="18" width="12.44140625" style="1" bestFit="1" customWidth="1"/>
    <col min="19" max="16384" width="8.88671875" style="1"/>
  </cols>
  <sheetData>
    <row r="1" spans="2:15" x14ac:dyDescent="0.3">
      <c r="B1" s="2"/>
      <c r="H1" s="3"/>
      <c r="I1" s="3"/>
      <c r="J1" s="3"/>
      <c r="K1" s="4"/>
      <c r="L1" s="4"/>
      <c r="M1" s="4"/>
    </row>
    <row r="2" spans="2:15" outlineLevel="1" x14ac:dyDescent="0.3">
      <c r="B2" s="2" t="s">
        <v>16</v>
      </c>
      <c r="F2" s="7">
        <f ca="1">SUMIFS(INDIRECT("Tab_06.Jun["&amp;F$14&amp;"]"),Tab_06.Jun[TP],$B2,Tab_06.Jun[NV],"A")</f>
        <v>0</v>
      </c>
      <c r="G2" s="7">
        <f ca="1">SUMIFS(INDIRECT("Tab_06.Jun["&amp;G$14&amp;"]"),Tab_06.Jun[TP],$B2,Tab_06.Jun[NV],"A")</f>
        <v>0</v>
      </c>
      <c r="H2" s="3"/>
      <c r="I2" s="3"/>
      <c r="J2" s="88" t="s">
        <v>15</v>
      </c>
      <c r="K2" s="7">
        <f ca="1">SUMIFS(INDIRECT("Tab_06.Jun["&amp;K$14&amp;"]"),Tab_06.Jun[TP],$B2,Tab_06.Jun[S/A],"A")</f>
        <v>83951070.920000002</v>
      </c>
      <c r="L2" s="7">
        <f ca="1">SUMIFS(INDIRECT("Tab_06.Jun["&amp;L$14&amp;"]"),Tab_06.Jun[TP],$B2,Tab_06.Jun[S/A],"A")</f>
        <v>1820081.81</v>
      </c>
      <c r="M2" s="7">
        <f ca="1">SUMIFS(INDIRECT("Tab_06.Jun["&amp;M$14&amp;"]"),Tab_06.Jun[TP],$B2,Tab_06.Jun[S/A],"A")</f>
        <v>1580854.43</v>
      </c>
      <c r="N2" s="7">
        <f ca="1">SUMIFS(INDIRECT("Tab_06.Jun["&amp;N$14&amp;"]"),Tab_06.Jun[TP],$B2,Tab_06.Jun[S/A],"A")</f>
        <v>84190298.299999997</v>
      </c>
      <c r="O2" s="7">
        <f ca="1">SUMIFS(INDIRECT("Tab_06.Jun["&amp;O$14&amp;"]"),Tab_06.Jun[TP],$B2,Tab_06.Jun[S/A],"A")</f>
        <v>239227.38</v>
      </c>
    </row>
    <row r="3" spans="2:15" outlineLevel="1" x14ac:dyDescent="0.3">
      <c r="B3" s="2" t="s">
        <v>116</v>
      </c>
      <c r="F3" s="7">
        <f ca="1">SUMIFS(INDIRECT("Tab_06.Jun["&amp;F$14&amp;"]"),Tab_06.Jun[TP],$B3,Tab_06.Jun[NV],"A")</f>
        <v>0</v>
      </c>
      <c r="G3" s="7">
        <f ca="1">SUMIFS(INDIRECT("Tab_06.Jun["&amp;G$14&amp;"]"),Tab_06.Jun[TP],$B3,Tab_06.Jun[NV],"A")</f>
        <v>0</v>
      </c>
      <c r="H3" s="3"/>
      <c r="I3" s="3"/>
      <c r="J3" s="88" t="s">
        <v>110</v>
      </c>
      <c r="K3" s="7">
        <f ca="1">SUMIFS(INDIRECT("Tab_06.Jun["&amp;K$14&amp;"]"),Tab_06.Jun[TP],$B3,Tab_06.Jun[S/A],"A")</f>
        <v>-83558635.609999999</v>
      </c>
      <c r="L3" s="7">
        <f ca="1">SUMIFS(INDIRECT("Tab_06.Jun["&amp;L$14&amp;"]"),Tab_06.Jun[TP],$B3,Tab_06.Jun[S/A],"A")</f>
        <v>786509.41</v>
      </c>
      <c r="M3" s="7">
        <f ca="1">SUMIFS(INDIRECT("Tab_06.Jun["&amp;M$14&amp;"]"),Tab_06.Jun[TP],$B3,Tab_06.Jun[S/A],"A")</f>
        <v>674172.79</v>
      </c>
      <c r="N3" s="7">
        <f ca="1">SUMIFS(INDIRECT("Tab_06.Jun["&amp;N$14&amp;"]"),Tab_06.Jun[TP],$B3,Tab_06.Jun[S/A],"A")</f>
        <v>-83446298.989999995</v>
      </c>
      <c r="O3" s="7">
        <f ca="1">SUMIFS(INDIRECT("Tab_06.Jun["&amp;O$14&amp;"]"),Tab_06.Jun[TP],$B3,Tab_06.Jun[S/A],"A")</f>
        <v>112336.62</v>
      </c>
    </row>
    <row r="4" spans="2:15" outlineLevel="1" x14ac:dyDescent="0.3">
      <c r="B4" s="2"/>
      <c r="F4" s="8">
        <f ca="1">SUM(F$2:F$3)</f>
        <v>0</v>
      </c>
      <c r="G4" s="8">
        <f ca="1">SUM(G$2:G$3)</f>
        <v>0</v>
      </c>
      <c r="H4" s="3"/>
      <c r="I4" s="3"/>
      <c r="J4" s="88"/>
      <c r="K4" s="8">
        <f t="shared" ref="K4:O4" ca="1" si="0">SUM(K$2:K$3)</f>
        <v>392435.31</v>
      </c>
      <c r="L4" s="8">
        <f t="shared" ca="1" si="0"/>
        <v>2606591.2200000002</v>
      </c>
      <c r="M4" s="8">
        <f t="shared" ca="1" si="0"/>
        <v>2255027.2200000002</v>
      </c>
      <c r="N4" s="8">
        <f ca="1">SUM(N$2:N$3)</f>
        <v>743999.31</v>
      </c>
      <c r="O4" s="8">
        <f t="shared" ca="1" si="0"/>
        <v>351564</v>
      </c>
    </row>
    <row r="5" spans="2:15" ht="5.0999999999999996" customHeight="1" outlineLevel="1" x14ac:dyDescent="0.3">
      <c r="B5" s="2"/>
      <c r="H5" s="3"/>
      <c r="I5" s="3"/>
      <c r="J5" s="89"/>
      <c r="K5" s="4"/>
      <c r="L5" s="4"/>
      <c r="M5" s="4"/>
    </row>
    <row r="6" spans="2:15" outlineLevel="1" x14ac:dyDescent="0.3">
      <c r="B6" s="2" t="s">
        <v>19</v>
      </c>
      <c r="F6" s="7">
        <f ca="1">SUMIFS(INDIRECT("Tab_06.Jun["&amp;F$14&amp;"]"),Tab_06.Jun[TP],$B6,Tab_06.Jun[NV],"A")</f>
        <v>0</v>
      </c>
      <c r="G6" s="7">
        <f ca="1">SUMIFS(INDIRECT("Tab_06.Jun["&amp;G$14&amp;"]"),Tab_06.Jun[TP],$B6,Tab_06.Jun[NV],"A")</f>
        <v>0</v>
      </c>
      <c r="H6" s="3"/>
      <c r="I6" s="3"/>
      <c r="J6" s="88" t="s">
        <v>18</v>
      </c>
      <c r="K6" s="7">
        <f ca="1">SUMIFS(INDIRECT("Tab_06.Jun["&amp;K$14&amp;"]"),Tab_06.Jun[TP],$B6,Tab_06.Jun[S/A],"A")</f>
        <v>-6324872.71</v>
      </c>
      <c r="L6" s="7">
        <f ca="1">SUMIFS(INDIRECT("Tab_06.Jun["&amp;L$14&amp;"]"),Tab_06.Jun[TP],$B6,Tab_06.Jun[S/A],"A")</f>
        <v>0</v>
      </c>
      <c r="M6" s="7">
        <f ca="1">SUMIFS(INDIRECT("Tab_06.Jun["&amp;M$14&amp;"]"),Tab_06.Jun[TP],$B6,Tab_06.Jun[S/A],"A")</f>
        <v>1211414.56</v>
      </c>
      <c r="N6" s="7">
        <f ca="1">SUMIFS(INDIRECT("Tab_06.Jun["&amp;N$14&amp;"]"),Tab_06.Jun[TP],$B6,Tab_06.Jun[S/A],"A")</f>
        <v>-7536287.2699999996</v>
      </c>
      <c r="O6" s="7">
        <f ca="1">SUMIFS(INDIRECT("Tab_06.Jun["&amp;O$14&amp;"]"),Tab_06.Jun[TP],$B6,Tab_06.Jun[S/A],"A")</f>
        <v>-1211414.56</v>
      </c>
    </row>
    <row r="7" spans="2:15" outlineLevel="1" x14ac:dyDescent="0.3">
      <c r="B7" s="2" t="s">
        <v>20</v>
      </c>
      <c r="F7" s="7">
        <f ca="1">SUMIFS(INDIRECT("Tab_06.Jun["&amp;F$14&amp;"]"),Tab_06.Jun[TP],$B7,Tab_06.Jun[NV],"A")</f>
        <v>0</v>
      </c>
      <c r="G7" s="7">
        <f ca="1">SUMIFS(INDIRECT("Tab_06.Jun["&amp;G$14&amp;"]"),Tab_06.Jun[TP],$B7,Tab_06.Jun[NV],"A")</f>
        <v>0</v>
      </c>
      <c r="H7" s="3"/>
      <c r="I7" s="3"/>
      <c r="J7" s="88" t="s">
        <v>111</v>
      </c>
      <c r="K7" s="7">
        <f ca="1">SUMIFS(INDIRECT("Tab_06.Jun["&amp;K$14&amp;"]"),Tab_06.Jun[TP],$B7,Tab_06.Jun[S/A],"A")</f>
        <v>5932437.4000000004</v>
      </c>
      <c r="L7" s="7">
        <f ca="1">SUMIFS(INDIRECT("Tab_06.Jun["&amp;L$14&amp;"]"),Tab_06.Jun[TP],$B7,Tab_06.Jun[S/A],"A")</f>
        <v>893021.26</v>
      </c>
      <c r="M7" s="7">
        <f ca="1">SUMIFS(INDIRECT("Tab_06.Jun["&amp;M$14&amp;"]"),Tab_06.Jun[TP],$B7,Tab_06.Jun[S/A],"A")</f>
        <v>33170.699999999997</v>
      </c>
      <c r="N7" s="7">
        <f ca="1">SUMIFS(INDIRECT("Tab_06.Jun["&amp;N$14&amp;"]"),Tab_06.Jun[TP],$B7,Tab_06.Jun[S/A],"A")</f>
        <v>6792287.96</v>
      </c>
      <c r="O7" s="7">
        <f ca="1">SUMIFS(INDIRECT("Tab_06.Jun["&amp;O$14&amp;"]"),Tab_06.Jun[TP],$B7,Tab_06.Jun[S/A],"A")</f>
        <v>859850.56</v>
      </c>
    </row>
    <row r="8" spans="2:15" outlineLevel="1" x14ac:dyDescent="0.3">
      <c r="B8" s="2"/>
      <c r="F8" s="8">
        <f ca="1">SUM(F$6:F$7)</f>
        <v>0</v>
      </c>
      <c r="G8" s="8">
        <f ca="1">SUM(G$6:G$7)</f>
        <v>0</v>
      </c>
      <c r="H8" s="3"/>
      <c r="I8" s="3"/>
      <c r="J8" s="88"/>
      <c r="K8" s="8">
        <f ca="1">SUM(K$6:K$7)</f>
        <v>-392435.31</v>
      </c>
      <c r="L8" s="8">
        <f ca="1">SUM(L$6:L$7)</f>
        <v>893021.26</v>
      </c>
      <c r="M8" s="8">
        <f ca="1">SUM(M$6:M$7)</f>
        <v>1244585.26</v>
      </c>
      <c r="N8" s="8">
        <f ca="1">SUM(N$6:N$7)</f>
        <v>-743999.31</v>
      </c>
      <c r="O8" s="8">
        <f ca="1">SUM(O$6:O$7)</f>
        <v>-351564</v>
      </c>
    </row>
    <row r="9" spans="2:15" ht="5.0999999999999996" customHeight="1" outlineLevel="1" x14ac:dyDescent="0.3">
      <c r="B9" s="2"/>
      <c r="H9" s="3"/>
      <c r="I9" s="3"/>
      <c r="J9" s="89"/>
      <c r="K9" s="4"/>
      <c r="L9" s="4"/>
      <c r="M9" s="4"/>
    </row>
    <row r="10" spans="2:15" x14ac:dyDescent="0.3">
      <c r="B10" s="2"/>
      <c r="F10" s="11">
        <f ca="1">SUM(F$4,F$8)</f>
        <v>0</v>
      </c>
      <c r="G10" s="11">
        <f ca="1">SUM(G$4,G$8)</f>
        <v>0</v>
      </c>
      <c r="H10" s="3"/>
      <c r="I10" s="3"/>
      <c r="J10" s="88" t="s">
        <v>22</v>
      </c>
      <c r="K10" s="11">
        <f t="shared" ref="K10:O10" ca="1" si="1">SUM(K$4,K$8)</f>
        <v>0</v>
      </c>
      <c r="L10" s="11">
        <f t="shared" ca="1" si="1"/>
        <v>3499612.48</v>
      </c>
      <c r="M10" s="11">
        <f t="shared" ca="1" si="1"/>
        <v>3499612.48</v>
      </c>
      <c r="N10" s="11">
        <f ca="1">SUM(N$4,N$8)</f>
        <v>0</v>
      </c>
      <c r="O10" s="11">
        <f t="shared" ca="1" si="1"/>
        <v>0</v>
      </c>
    </row>
    <row r="11" spans="2:15" ht="5.0999999999999996" customHeight="1" x14ac:dyDescent="0.3">
      <c r="B11" s="2"/>
      <c r="H11" s="3"/>
      <c r="I11" s="3"/>
      <c r="J11" s="3"/>
      <c r="K11" s="4"/>
      <c r="L11" s="4"/>
      <c r="M11" s="4"/>
    </row>
    <row r="12" spans="2:15" x14ac:dyDescent="0.3">
      <c r="B12" s="2"/>
      <c r="F12" s="7">
        <f>SUBTOTAL(9,Tab_06.Jun[SALDO FINAL
ANTERIOR])</f>
        <v>0</v>
      </c>
      <c r="G12" s="7">
        <f>SUBTOTAL(9,Tab_06.Jun[DIFERENÇA])</f>
        <v>0</v>
      </c>
      <c r="H12" s="3"/>
      <c r="I12" s="3"/>
      <c r="J12" s="3"/>
      <c r="K12" s="7">
        <f>SUBTOTAL(9,Tab_06.Jun[SALDO
ANTERIOR])</f>
        <v>0</v>
      </c>
      <c r="L12" s="7">
        <f>SUBTOTAL(9,Tab_06.Jun[DÉBITO])</f>
        <v>17498062.399999999</v>
      </c>
      <c r="M12" s="7">
        <f>SUBTOTAL(9,Tab_06.Jun[CRÉDITO])</f>
        <v>17498062.399999999</v>
      </c>
      <c r="N12" s="7">
        <f>SUBTOTAL(9,Tab_06.Jun[SALDO
ATUAL])</f>
        <v>0</v>
      </c>
      <c r="O12" s="7">
        <f>SUBTOTAL(9,Tab_06.Jun[MOVIMENTO])</f>
        <v>0</v>
      </c>
    </row>
    <row r="13" spans="2:15" ht="5.0999999999999996" customHeight="1" x14ac:dyDescent="0.3">
      <c r="B13" s="2"/>
      <c r="H13" s="3"/>
      <c r="I13" s="3"/>
      <c r="J13" s="3"/>
      <c r="K13" s="4"/>
      <c r="L13" s="4"/>
      <c r="M13" s="4"/>
    </row>
    <row r="14" spans="2:15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5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SUMIFS(Tab_05.Mai[SALDO
ATUAL],Tab_05.Mai[CONTA],$I15)</f>
        <v>83951070.920000002</v>
      </c>
      <c r="G15" s="4">
        <f>$F15-$K15</f>
        <v>0</v>
      </c>
      <c r="H15" s="1">
        <v>10000</v>
      </c>
      <c r="I15" s="3">
        <v>1</v>
      </c>
      <c r="J15" s="3" t="s">
        <v>637</v>
      </c>
      <c r="K15" s="4">
        <v>83951070.920000002</v>
      </c>
      <c r="L15" s="4">
        <v>1820081.81</v>
      </c>
      <c r="M15" s="4">
        <v>1580854.43</v>
      </c>
      <c r="N15" s="4">
        <v>84190298.299999997</v>
      </c>
      <c r="O15" s="4">
        <f>Tab_06.Jun[[#This Row],[DÉBITO]]-Tab_06.Jun[[#This Row],[CRÉDITO]]</f>
        <v>239227.38</v>
      </c>
    </row>
    <row r="16" spans="2:15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SUMIFS(Tab_05.Mai[SALDO
ATUAL],Tab_05.Mai[CONTA],$I16)</f>
        <v>10801860.060000001</v>
      </c>
      <c r="G16" s="4">
        <f>$F16-$K16</f>
        <v>0</v>
      </c>
      <c r="H16" s="1">
        <v>10015</v>
      </c>
      <c r="I16" s="3" t="s">
        <v>197</v>
      </c>
      <c r="J16" s="3" t="s">
        <v>247</v>
      </c>
      <c r="K16" s="4">
        <v>10801860.060000001</v>
      </c>
      <c r="L16" s="4">
        <v>1700349.26</v>
      </c>
      <c r="M16" s="4">
        <v>1577187.68</v>
      </c>
      <c r="N16" s="4">
        <v>10925021.640000001</v>
      </c>
      <c r="O16" s="4">
        <f>Tab_06.Jun[[#This Row],[DÉBITO]]-Tab_06.Jun[[#This Row],[CRÉDITO]]</f>
        <v>123161.58</v>
      </c>
    </row>
    <row r="17" spans="2:15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SUMIFS(Tab_05.Mai[SALDO
ATUAL],Tab_05.Mai[CONTA],$I17)</f>
        <v>10375003.17</v>
      </c>
      <c r="G17" s="4">
        <f>$F17-$K17</f>
        <v>0</v>
      </c>
      <c r="H17" s="1">
        <v>10030</v>
      </c>
      <c r="I17" s="3" t="s">
        <v>199</v>
      </c>
      <c r="J17" s="3" t="s">
        <v>638</v>
      </c>
      <c r="K17" s="4">
        <v>10375003.17</v>
      </c>
      <c r="L17" s="4">
        <v>1664029.73</v>
      </c>
      <c r="M17" s="4">
        <v>1559510.77</v>
      </c>
      <c r="N17" s="4">
        <v>10479522.130000001</v>
      </c>
      <c r="O17" s="4">
        <f>Tab_06.Jun[[#This Row],[DÉBITO]]-Tab_06.Jun[[#This Row],[CRÉDITO]]</f>
        <v>104518.96</v>
      </c>
    </row>
    <row r="18" spans="2:15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SUMIFS(Tab_05.Mai[SALDO
ATUAL],Tab_05.Mai[CONTA],$I18)</f>
        <v>2541.83</v>
      </c>
      <c r="G18" s="4">
        <f t="shared" ref="G18:G49" si="2">$F18-$K18</f>
        <v>0</v>
      </c>
      <c r="H18">
        <v>10045</v>
      </c>
      <c r="I18" s="3" t="s">
        <v>201</v>
      </c>
      <c r="J18" s="3" t="s">
        <v>639</v>
      </c>
      <c r="K18" s="4">
        <v>2541.83</v>
      </c>
      <c r="L18" s="4">
        <v>0</v>
      </c>
      <c r="M18" s="4">
        <v>391.27</v>
      </c>
      <c r="N18" s="4">
        <v>2150.56</v>
      </c>
      <c r="O18" s="4">
        <f>Tab_06.Jun[[#This Row],[DÉBITO]]-Tab_06.Jun[[#This Row],[CRÉDITO]]</f>
        <v>-391.27</v>
      </c>
    </row>
    <row r="19" spans="2:15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SUMIFS(Tab_05.Mai[SALDO
ATUAL],Tab_05.Mai[CONTA],$I19)</f>
        <v>2541.83</v>
      </c>
      <c r="G19" s="4">
        <f t="shared" si="2"/>
        <v>0</v>
      </c>
      <c r="H19">
        <v>10075</v>
      </c>
      <c r="I19" s="3" t="s">
        <v>176</v>
      </c>
      <c r="J19" s="3" t="s">
        <v>274</v>
      </c>
      <c r="K19" s="4">
        <v>2541.83</v>
      </c>
      <c r="L19" s="4">
        <v>0</v>
      </c>
      <c r="M19" s="4">
        <v>391.27</v>
      </c>
      <c r="N19" s="4">
        <v>2150.56</v>
      </c>
      <c r="O19" s="4">
        <f>Tab_06.Jun[[#This Row],[DÉBITO]]-Tab_06.Jun[[#This Row],[CRÉDITO]]</f>
        <v>-391.27</v>
      </c>
    </row>
    <row r="20" spans="2:15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SUMIFS(Tab_05.Mai[SALDO
ATUAL],Tab_05.Mai[CONTA],$I20)</f>
        <v>8425.98</v>
      </c>
      <c r="G20" s="4">
        <f t="shared" si="2"/>
        <v>0</v>
      </c>
      <c r="H20">
        <v>10090</v>
      </c>
      <c r="I20" s="3" t="s">
        <v>202</v>
      </c>
      <c r="J20" s="3" t="s">
        <v>640</v>
      </c>
      <c r="K20" s="4">
        <v>8425.98</v>
      </c>
      <c r="L20" s="4">
        <v>1085352.8</v>
      </c>
      <c r="M20" s="4">
        <v>1068067.99</v>
      </c>
      <c r="N20" s="4">
        <v>25710.79</v>
      </c>
      <c r="O20" s="4">
        <f>Tab_06.Jun[[#This Row],[DÉBITO]]-Tab_06.Jun[[#This Row],[CRÉDITO]]</f>
        <v>17284.810000000001</v>
      </c>
    </row>
    <row r="21" spans="2:15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SUMIFS(Tab_05.Mai[SALDO
ATUAL],Tab_05.Mai[CONTA],$I21)</f>
        <v>1</v>
      </c>
      <c r="G21" s="4">
        <f t="shared" si="2"/>
        <v>0</v>
      </c>
      <c r="H21">
        <v>10110</v>
      </c>
      <c r="I21" s="3" t="s">
        <v>277</v>
      </c>
      <c r="J21" s="3" t="s">
        <v>278</v>
      </c>
      <c r="K21" s="4">
        <v>1</v>
      </c>
      <c r="L21" s="4">
        <v>1019078.27</v>
      </c>
      <c r="M21" s="4">
        <v>1019078.26</v>
      </c>
      <c r="N21" s="4">
        <v>1.01</v>
      </c>
      <c r="O21" s="4">
        <f>Tab_06.Jun[[#This Row],[DÉBITO]]-Tab_06.Jun[[#This Row],[CRÉDITO]]</f>
        <v>0.01</v>
      </c>
    </row>
    <row r="22" spans="2:15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SUMIFS(Tab_05.Mai[SALDO
ATUAL],Tab_05.Mai[CONTA],$I22)</f>
        <v>681.2</v>
      </c>
      <c r="G22" s="4">
        <f t="shared" si="2"/>
        <v>0</v>
      </c>
      <c r="H22">
        <v>10131</v>
      </c>
      <c r="I22" s="3" t="s">
        <v>177</v>
      </c>
      <c r="J22" s="3" t="s">
        <v>279</v>
      </c>
      <c r="K22" s="4">
        <v>681.2</v>
      </c>
      <c r="L22" s="4">
        <v>66274.53</v>
      </c>
      <c r="M22" s="4">
        <v>48723.73</v>
      </c>
      <c r="N22" s="4">
        <v>18232</v>
      </c>
      <c r="O22" s="4">
        <f>Tab_06.Jun[[#This Row],[DÉBITO]]-Tab_06.Jun[[#This Row],[CRÉDITO]]</f>
        <v>17550.8</v>
      </c>
    </row>
    <row r="23" spans="2:15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SUMIFS(Tab_05.Mai[SALDO
ATUAL],Tab_05.Mai[CONTA],$I23)</f>
        <v>7743.78</v>
      </c>
      <c r="G23" s="4">
        <f t="shared" si="2"/>
        <v>0</v>
      </c>
      <c r="H23">
        <v>10132</v>
      </c>
      <c r="I23" s="3" t="s">
        <v>280</v>
      </c>
      <c r="J23" s="3" t="s">
        <v>281</v>
      </c>
      <c r="K23" s="4">
        <v>7743.78</v>
      </c>
      <c r="L23" s="4">
        <v>0</v>
      </c>
      <c r="M23" s="4">
        <v>266</v>
      </c>
      <c r="N23" s="4">
        <v>7477.78</v>
      </c>
      <c r="O23" s="4">
        <f>Tab_06.Jun[[#This Row],[DÉBITO]]-Tab_06.Jun[[#This Row],[CRÉDITO]]</f>
        <v>-266</v>
      </c>
    </row>
    <row r="24" spans="2:15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S</v>
      </c>
      <c r="E24" s="2">
        <f>IF($I24="","",COUNTIFS(Tab_00.Trial[CONTA],$I24))</f>
        <v>1</v>
      </c>
      <c r="F24" s="4">
        <f>SUMIFS(Tab_05.Mai[SALDO
ATUAL],Tab_05.Mai[CONTA],$I24)</f>
        <v>10364035.359999999</v>
      </c>
      <c r="G24" s="4">
        <f t="shared" si="2"/>
        <v>0</v>
      </c>
      <c r="H24">
        <v>10180</v>
      </c>
      <c r="I24" s="3" t="s">
        <v>203</v>
      </c>
      <c r="J24" s="3" t="s">
        <v>641</v>
      </c>
      <c r="K24" s="4">
        <v>10364035.359999999</v>
      </c>
      <c r="L24" s="4">
        <v>578676.93000000005</v>
      </c>
      <c r="M24" s="4">
        <v>491051.51</v>
      </c>
      <c r="N24" s="4">
        <v>10451660.779999999</v>
      </c>
      <c r="O24" s="4">
        <f>Tab_06.Jun[[#This Row],[DÉBITO]]-Tab_06.Jun[[#This Row],[CRÉDITO]]</f>
        <v>87625.42</v>
      </c>
    </row>
    <row r="25" spans="2:15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A</v>
      </c>
      <c r="E25" s="2">
        <f>IF($I25="","",COUNTIFS(Tab_00.Trial[CONTA],$I25))</f>
        <v>1</v>
      </c>
      <c r="F25" s="4">
        <f>SUMIFS(Tab_05.Mai[SALDO
ATUAL],Tab_05.Mai[CONTA],$I25)</f>
        <v>4747498.4400000004</v>
      </c>
      <c r="G25" s="4">
        <f t="shared" si="2"/>
        <v>0</v>
      </c>
      <c r="H25">
        <v>10200</v>
      </c>
      <c r="I25" s="3" t="s">
        <v>178</v>
      </c>
      <c r="J25" s="3" t="s">
        <v>284</v>
      </c>
      <c r="K25" s="4">
        <v>4747498.4400000004</v>
      </c>
      <c r="L25" s="4">
        <v>494904.5</v>
      </c>
      <c r="M25" s="4">
        <v>491051.51</v>
      </c>
      <c r="N25" s="4">
        <v>4751351.43</v>
      </c>
      <c r="O25" s="4">
        <f>Tab_06.Jun[[#This Row],[DÉBITO]]-Tab_06.Jun[[#This Row],[CRÉDITO]]</f>
        <v>3852.99</v>
      </c>
    </row>
    <row r="26" spans="2:15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SUMIFS(Tab_05.Mai[SALDO
ATUAL],Tab_05.Mai[CONTA],$I26)</f>
        <v>5616536.9199999999</v>
      </c>
      <c r="G26" s="4">
        <f t="shared" si="2"/>
        <v>0</v>
      </c>
      <c r="H26">
        <v>10223</v>
      </c>
      <c r="I26" s="3" t="s">
        <v>287</v>
      </c>
      <c r="J26" s="3" t="s">
        <v>288</v>
      </c>
      <c r="K26" s="4">
        <v>5616536.9199999999</v>
      </c>
      <c r="L26" s="4">
        <v>83772.429999999993</v>
      </c>
      <c r="M26" s="4">
        <v>0</v>
      </c>
      <c r="N26" s="4">
        <v>5700309.3499999996</v>
      </c>
      <c r="O26" s="4">
        <f>Tab_06.Jun[[#This Row],[DÉBITO]]-Tab_06.Jun[[#This Row],[CRÉDITO]]</f>
        <v>83772.429999999993</v>
      </c>
    </row>
    <row r="27" spans="2:15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S</v>
      </c>
      <c r="E27" s="2">
        <f>IF($I27="","",COUNTIFS(Tab_00.Trial[CONTA],$I27))</f>
        <v>1</v>
      </c>
      <c r="F27" s="4">
        <f>SUMIFS(Tab_05.Mai[SALDO
ATUAL],Tab_05.Mai[CONTA],$I27)</f>
        <v>99274.97</v>
      </c>
      <c r="G27" s="4">
        <f t="shared" si="2"/>
        <v>0</v>
      </c>
      <c r="H27">
        <v>10270</v>
      </c>
      <c r="I27" s="3" t="s">
        <v>204</v>
      </c>
      <c r="J27" s="3" t="s">
        <v>642</v>
      </c>
      <c r="K27" s="4">
        <v>99274.97</v>
      </c>
      <c r="L27" s="4">
        <v>0</v>
      </c>
      <c r="M27" s="4">
        <v>0</v>
      </c>
      <c r="N27" s="4">
        <v>99274.97</v>
      </c>
      <c r="O27" s="4">
        <f>Tab_06.Jun[[#This Row],[DÉBITO]]-Tab_06.Jun[[#This Row],[CRÉDITO]]</f>
        <v>0</v>
      </c>
    </row>
    <row r="28" spans="2:15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SUMIFS(Tab_05.Mai[SALDO
ATUAL],Tab_05.Mai[CONTA],$I28)</f>
        <v>99274.97</v>
      </c>
      <c r="G28" s="4">
        <f t="shared" si="2"/>
        <v>0</v>
      </c>
      <c r="H28">
        <v>10345</v>
      </c>
      <c r="I28" s="3" t="s">
        <v>205</v>
      </c>
      <c r="J28" s="3" t="s">
        <v>643</v>
      </c>
      <c r="K28" s="4">
        <v>99274.97</v>
      </c>
      <c r="L28" s="4">
        <v>0</v>
      </c>
      <c r="M28" s="4">
        <v>0</v>
      </c>
      <c r="N28" s="4">
        <v>99274.97</v>
      </c>
      <c r="O28" s="4">
        <f>Tab_06.Jun[[#This Row],[DÉBITO]]-Tab_06.Jun[[#This Row],[CRÉDITO]]</f>
        <v>0</v>
      </c>
    </row>
    <row r="29" spans="2:15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A</v>
      </c>
      <c r="E29" s="2">
        <f>IF($I29="","",COUNTIFS(Tab_00.Trial[CONTA],$I29))</f>
        <v>1</v>
      </c>
      <c r="F29" s="4">
        <f>SUMIFS(Tab_05.Mai[SALDO
ATUAL],Tab_05.Mai[CONTA],$I29)</f>
        <v>99274.97</v>
      </c>
      <c r="G29" s="4">
        <f t="shared" si="2"/>
        <v>0</v>
      </c>
      <c r="H29">
        <v>10377</v>
      </c>
      <c r="I29" s="3" t="s">
        <v>291</v>
      </c>
      <c r="J29" s="3" t="s">
        <v>292</v>
      </c>
      <c r="K29" s="4">
        <v>99274.97</v>
      </c>
      <c r="L29" s="4">
        <v>0</v>
      </c>
      <c r="M29" s="4">
        <v>0</v>
      </c>
      <c r="N29" s="4">
        <v>99274.97</v>
      </c>
      <c r="O29" s="4">
        <f>Tab_06.Jun[[#This Row],[DÉBITO]]-Tab_06.Jun[[#This Row],[CRÉDITO]]</f>
        <v>0</v>
      </c>
    </row>
    <row r="30" spans="2:15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S</v>
      </c>
      <c r="E30" s="2">
        <f>IF($I30="","",COUNTIFS(Tab_00.Trial[CONTA],$I30))</f>
        <v>1</v>
      </c>
      <c r="F30" s="4">
        <f>SUMIFS(Tab_05.Mai[SALDO
ATUAL],Tab_05.Mai[CONTA],$I30)</f>
        <v>15224.77</v>
      </c>
      <c r="G30" s="4">
        <f t="shared" si="2"/>
        <v>0</v>
      </c>
      <c r="H30">
        <v>10630</v>
      </c>
      <c r="I30" s="3" t="s">
        <v>206</v>
      </c>
      <c r="J30" s="3" t="s">
        <v>644</v>
      </c>
      <c r="K30" s="4">
        <v>15224.77</v>
      </c>
      <c r="L30" s="4">
        <v>18930.36</v>
      </c>
      <c r="M30" s="4">
        <v>0</v>
      </c>
      <c r="N30" s="4">
        <v>34155.129999999997</v>
      </c>
      <c r="O30" s="4">
        <f>Tab_06.Jun[[#This Row],[DÉBITO]]-Tab_06.Jun[[#This Row],[CRÉDITO]]</f>
        <v>18930.36</v>
      </c>
    </row>
    <row r="31" spans="2:15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S</v>
      </c>
      <c r="E31" s="2">
        <f>IF($I31="","",COUNTIFS(Tab_00.Trial[CONTA],$I31))</f>
        <v>1</v>
      </c>
      <c r="F31" s="4">
        <f>SUMIFS(Tab_05.Mai[SALDO
ATUAL],Tab_05.Mai[CONTA],$I31)</f>
        <v>0</v>
      </c>
      <c r="G31" s="4">
        <f t="shared" si="2"/>
        <v>0</v>
      </c>
      <c r="H31">
        <v>10645</v>
      </c>
      <c r="I31" s="3" t="s">
        <v>208</v>
      </c>
      <c r="J31" s="3" t="s">
        <v>139</v>
      </c>
      <c r="K31" s="4">
        <v>0</v>
      </c>
      <c r="L31" s="4">
        <v>18930.36</v>
      </c>
      <c r="M31" s="4">
        <v>0</v>
      </c>
      <c r="N31" s="4">
        <v>18930.36</v>
      </c>
      <c r="O31" s="4">
        <f>Tab_06.Jun[[#This Row],[DÉBITO]]-Tab_06.Jun[[#This Row],[CRÉDITO]]</f>
        <v>18930.36</v>
      </c>
    </row>
    <row r="32" spans="2:15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A</v>
      </c>
      <c r="E32" s="2">
        <f>IF($I32="","",COUNTIFS(Tab_00.Trial[CONTA],$I32))</f>
        <v>1</v>
      </c>
      <c r="F32" s="4">
        <f>SUMIFS(Tab_05.Mai[SALDO
ATUAL],Tab_05.Mai[CONTA],$I32)</f>
        <v>0</v>
      </c>
      <c r="G32" s="4">
        <f t="shared" si="2"/>
        <v>0</v>
      </c>
      <c r="H32">
        <v>10735</v>
      </c>
      <c r="I32" s="3" t="s">
        <v>294</v>
      </c>
      <c r="J32" s="3" t="s">
        <v>295</v>
      </c>
      <c r="K32" s="4">
        <v>0</v>
      </c>
      <c r="L32" s="4">
        <v>18930.36</v>
      </c>
      <c r="M32" s="4">
        <v>0</v>
      </c>
      <c r="N32" s="4">
        <v>18930.36</v>
      </c>
      <c r="O32" s="4">
        <f>Tab_06.Jun[[#This Row],[DÉBITO]]-Tab_06.Jun[[#This Row],[CRÉDITO]]</f>
        <v>18930.36</v>
      </c>
    </row>
    <row r="33" spans="2:15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S</v>
      </c>
      <c r="E33" s="2">
        <f>IF($I33="","",COUNTIFS(Tab_00.Trial[CONTA],$I33))</f>
        <v>1</v>
      </c>
      <c r="F33" s="4">
        <f>SUMIFS(Tab_05.Mai[SALDO
ATUAL],Tab_05.Mai[CONTA],$I33)</f>
        <v>15224.77</v>
      </c>
      <c r="G33" s="4">
        <f t="shared" si="2"/>
        <v>0</v>
      </c>
      <c r="H33">
        <v>10765</v>
      </c>
      <c r="I33" s="3" t="s">
        <v>551</v>
      </c>
      <c r="J33" s="3" t="s">
        <v>645</v>
      </c>
      <c r="K33" s="4">
        <v>15224.77</v>
      </c>
      <c r="L33" s="4">
        <v>0</v>
      </c>
      <c r="M33" s="4">
        <v>0</v>
      </c>
      <c r="N33" s="4">
        <v>15224.77</v>
      </c>
      <c r="O33" s="4">
        <f>Tab_06.Jun[[#This Row],[DÉBITO]]-Tab_06.Jun[[#This Row],[CRÉDITO]]</f>
        <v>0</v>
      </c>
    </row>
    <row r="34" spans="2:15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A</v>
      </c>
      <c r="E34" s="2">
        <f>IF($I34="","",COUNTIFS(Tab_00.Trial[CONTA],$I34))</f>
        <v>1</v>
      </c>
      <c r="F34" s="4">
        <f>SUMIFS(Tab_05.Mai[SALDO
ATUAL],Tab_05.Mai[CONTA],$I34)</f>
        <v>15224.77</v>
      </c>
      <c r="G34" s="4">
        <f t="shared" si="2"/>
        <v>0</v>
      </c>
      <c r="H34">
        <v>10867</v>
      </c>
      <c r="I34" s="3" t="s">
        <v>831</v>
      </c>
      <c r="J34" s="3" t="s">
        <v>832</v>
      </c>
      <c r="K34" s="4">
        <v>15224.77</v>
      </c>
      <c r="L34" s="4">
        <v>0</v>
      </c>
      <c r="M34" s="4">
        <v>0</v>
      </c>
      <c r="N34" s="4">
        <v>15224.77</v>
      </c>
      <c r="O34" s="4">
        <f>Tab_06.Jun[[#This Row],[DÉBITO]]-Tab_06.Jun[[#This Row],[CRÉDITO]]</f>
        <v>0</v>
      </c>
    </row>
    <row r="35" spans="2:15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S</v>
      </c>
      <c r="E35" s="2">
        <f>IF($I35="","",COUNTIFS(Tab_00.Trial[CONTA],$I35))</f>
        <v>1</v>
      </c>
      <c r="F35" s="4">
        <f>SUMIFS(Tab_05.Mai[SALDO
ATUAL],Tab_05.Mai[CONTA],$I35)</f>
        <v>311218.78000000003</v>
      </c>
      <c r="G35" s="4">
        <f t="shared" si="2"/>
        <v>0</v>
      </c>
      <c r="H35">
        <v>10840</v>
      </c>
      <c r="I35" s="3" t="s">
        <v>840</v>
      </c>
      <c r="J35" s="3" t="s">
        <v>841</v>
      </c>
      <c r="K35" s="4">
        <v>311218.78000000003</v>
      </c>
      <c r="L35" s="4">
        <v>17389.169999999998</v>
      </c>
      <c r="M35" s="4">
        <v>17389.169999999998</v>
      </c>
      <c r="N35" s="4">
        <v>311218.78000000003</v>
      </c>
      <c r="O35" s="4">
        <f>Tab_06.Jun[[#This Row],[DÉBITO]]-Tab_06.Jun[[#This Row],[CRÉDITO]]</f>
        <v>0</v>
      </c>
    </row>
    <row r="36" spans="2:15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S</v>
      </c>
      <c r="E36" s="2">
        <f>IF($I36="","",COUNTIFS(Tab_00.Trial[CONTA],$I36))</f>
        <v>1</v>
      </c>
      <c r="F36" s="4">
        <f>SUMIFS(Tab_05.Mai[SALDO
ATUAL],Tab_05.Mai[CONTA],$I36)</f>
        <v>311218.78000000003</v>
      </c>
      <c r="G36" s="4">
        <f t="shared" si="2"/>
        <v>0</v>
      </c>
      <c r="H36">
        <v>10965</v>
      </c>
      <c r="I36" s="3" t="s">
        <v>842</v>
      </c>
      <c r="J36" s="3" t="s">
        <v>843</v>
      </c>
      <c r="K36" s="4">
        <v>311218.78000000003</v>
      </c>
      <c r="L36" s="4">
        <v>0</v>
      </c>
      <c r="M36" s="4">
        <v>0</v>
      </c>
      <c r="N36" s="4">
        <v>311218.78000000003</v>
      </c>
      <c r="O36" s="4">
        <f>Tab_06.Jun[[#This Row],[DÉBITO]]-Tab_06.Jun[[#This Row],[CRÉDITO]]</f>
        <v>0</v>
      </c>
    </row>
    <row r="37" spans="2:15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A</v>
      </c>
      <c r="E37" s="2">
        <f>IF($I37="","",COUNTIFS(Tab_00.Trial[CONTA],$I37))</f>
        <v>1</v>
      </c>
      <c r="F37" s="4">
        <f>SUMIFS(Tab_05.Mai[SALDO
ATUAL],Tab_05.Mai[CONTA],$I37)</f>
        <v>311218.78000000003</v>
      </c>
      <c r="G37" s="4">
        <f t="shared" si="2"/>
        <v>0</v>
      </c>
      <c r="H37">
        <v>10874</v>
      </c>
      <c r="I37" s="3" t="s">
        <v>844</v>
      </c>
      <c r="J37" s="3" t="s">
        <v>843</v>
      </c>
      <c r="K37" s="4">
        <v>311218.78000000003</v>
      </c>
      <c r="L37" s="4">
        <v>0</v>
      </c>
      <c r="M37" s="4">
        <v>0</v>
      </c>
      <c r="N37" s="4">
        <v>311218.78000000003</v>
      </c>
      <c r="O37" s="4">
        <f>Tab_06.Jun[[#This Row],[DÉBITO]]-Tab_06.Jun[[#This Row],[CRÉDITO]]</f>
        <v>0</v>
      </c>
    </row>
    <row r="38" spans="2:15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S</v>
      </c>
      <c r="E38" s="2">
        <f>IF($I38="","",COUNTIFS(Tab_00.Trial[CONTA],$I38))</f>
        <v>1</v>
      </c>
      <c r="F38" s="4">
        <f>SUMIFS(Tab_05.Mai[SALDO
ATUAL],Tab_05.Mai[CONTA],$I38)</f>
        <v>0</v>
      </c>
      <c r="G38" s="4">
        <f t="shared" si="2"/>
        <v>0</v>
      </c>
      <c r="H38">
        <v>10881</v>
      </c>
      <c r="I38" s="3" t="s">
        <v>864</v>
      </c>
      <c r="J38" s="3" t="s">
        <v>865</v>
      </c>
      <c r="K38" s="4">
        <v>0</v>
      </c>
      <c r="L38" s="4">
        <v>17389.169999999998</v>
      </c>
      <c r="M38" s="4">
        <v>17389.169999999998</v>
      </c>
      <c r="N38" s="4">
        <v>0</v>
      </c>
      <c r="O38" s="4">
        <f>Tab_06.Jun[[#This Row],[DÉBITO]]-Tab_06.Jun[[#This Row],[CRÉDITO]]</f>
        <v>0</v>
      </c>
    </row>
    <row r="39" spans="2:15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A</v>
      </c>
      <c r="E39" s="2">
        <f>IF($I39="","",COUNTIFS(Tab_00.Trial[CONTA],$I39))</f>
        <v>1</v>
      </c>
      <c r="F39" s="4">
        <f>SUMIFS(Tab_05.Mai[SALDO
ATUAL],Tab_05.Mai[CONTA],$I39)</f>
        <v>0</v>
      </c>
      <c r="G39" s="4">
        <f t="shared" si="2"/>
        <v>0</v>
      </c>
      <c r="H39">
        <v>10888</v>
      </c>
      <c r="I39" s="3" t="s">
        <v>867</v>
      </c>
      <c r="J39" s="3" t="s">
        <v>868</v>
      </c>
      <c r="K39" s="4">
        <v>0</v>
      </c>
      <c r="L39" s="4">
        <v>17389.169999999998</v>
      </c>
      <c r="M39" s="4">
        <v>17389.169999999998</v>
      </c>
      <c r="N39" s="4">
        <v>0</v>
      </c>
      <c r="O39" s="4">
        <f>Tab_06.Jun[[#This Row],[DÉBITO]]-Tab_06.Jun[[#This Row],[CRÉDITO]]</f>
        <v>0</v>
      </c>
    </row>
    <row r="40" spans="2:15" x14ac:dyDescent="0.3">
      <c r="B40" s="2" t="str">
        <f>_xlfn.XLOOKUP($I40,Tab_00.Trial[CONTA],Tab_00.Trial[TP],"",0,1)</f>
        <v>A</v>
      </c>
      <c r="C40" s="2">
        <f>_xlfn.XLOOKUP($I40,Tab_00.Trial[CONTA],Tab_00.Trial[NV],"",0,1)</f>
        <v>5</v>
      </c>
      <c r="D40" s="2" t="str">
        <f>_xlfn.XLOOKUP($I40,Tab_00.Trial[CONTA],Tab_00.Trial[S/A],"",0,1)</f>
        <v>S</v>
      </c>
      <c r="E40" s="2">
        <f>IF($I40="","",COUNTIFS(Tab_00.Trial[CONTA],$I40))</f>
        <v>1</v>
      </c>
      <c r="F40" s="4">
        <f>SUMIFS(Tab_05.Mai[SALDO
ATUAL],Tab_05.Mai[CONTA],$I40)</f>
        <v>1138.3699999999999</v>
      </c>
      <c r="G40" s="4">
        <f t="shared" si="2"/>
        <v>0</v>
      </c>
      <c r="H40">
        <v>10975</v>
      </c>
      <c r="I40" s="3" t="s">
        <v>209</v>
      </c>
      <c r="J40" s="3" t="s">
        <v>646</v>
      </c>
      <c r="K40" s="4">
        <v>1138.3699999999999</v>
      </c>
      <c r="L40" s="4">
        <v>0</v>
      </c>
      <c r="M40" s="4">
        <v>287.74</v>
      </c>
      <c r="N40" s="4">
        <v>850.63</v>
      </c>
      <c r="O40" s="4">
        <f>Tab_06.Jun[[#This Row],[DÉBITO]]-Tab_06.Jun[[#This Row],[CRÉDITO]]</f>
        <v>-287.74</v>
      </c>
    </row>
    <row r="41" spans="2:15" x14ac:dyDescent="0.3">
      <c r="B41" s="2" t="str">
        <f>_xlfn.XLOOKUP($I41,Tab_00.Trial[CONTA],Tab_00.Trial[TP],"",0,1)</f>
        <v>A</v>
      </c>
      <c r="C41" s="2">
        <f>_xlfn.XLOOKUP($I41,Tab_00.Trial[CONTA],Tab_00.Trial[NV],"",0,1)</f>
        <v>5</v>
      </c>
      <c r="D41" s="2" t="str">
        <f>_xlfn.XLOOKUP($I41,Tab_00.Trial[CONTA],Tab_00.Trial[S/A],"",0,1)</f>
        <v>S</v>
      </c>
      <c r="E41" s="2">
        <f>IF($I41="","",COUNTIFS(Tab_00.Trial[CONTA],$I41))</f>
        <v>1</v>
      </c>
      <c r="F41" s="4">
        <f>SUMIFS(Tab_05.Mai[SALDO
ATUAL],Tab_05.Mai[CONTA],$I41)</f>
        <v>1138.3699999999999</v>
      </c>
      <c r="G41" s="4">
        <f t="shared" si="2"/>
        <v>0</v>
      </c>
      <c r="H41">
        <v>10990</v>
      </c>
      <c r="I41" s="3" t="s">
        <v>210</v>
      </c>
      <c r="J41" s="3" t="s">
        <v>646</v>
      </c>
      <c r="K41" s="4">
        <v>1138.3699999999999</v>
      </c>
      <c r="L41" s="4">
        <v>0</v>
      </c>
      <c r="M41" s="4">
        <v>287.74</v>
      </c>
      <c r="N41" s="4">
        <v>850.63</v>
      </c>
      <c r="O41" s="4">
        <f>Tab_06.Jun[[#This Row],[DÉBITO]]-Tab_06.Jun[[#This Row],[CRÉDITO]]</f>
        <v>-287.74</v>
      </c>
    </row>
    <row r="42" spans="2:15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A</v>
      </c>
      <c r="E42" s="2">
        <f>IF($I42="","",COUNTIFS(Tab_00.Trial[CONTA],$I42))</f>
        <v>1</v>
      </c>
      <c r="F42" s="4">
        <f>SUMIFS(Tab_05.Mai[SALDO
ATUAL],Tab_05.Mai[CONTA],$I42)</f>
        <v>1138.3699999999999</v>
      </c>
      <c r="G42" s="4">
        <f t="shared" si="2"/>
        <v>0</v>
      </c>
      <c r="H42">
        <v>11005</v>
      </c>
      <c r="I42" s="3" t="s">
        <v>298</v>
      </c>
      <c r="J42" s="3" t="s">
        <v>299</v>
      </c>
      <c r="K42" s="4">
        <v>1138.3699999999999</v>
      </c>
      <c r="L42" s="4">
        <v>0</v>
      </c>
      <c r="M42" s="4">
        <v>287.74</v>
      </c>
      <c r="N42" s="4">
        <v>850.63</v>
      </c>
      <c r="O42" s="4">
        <f>Tab_06.Jun[[#This Row],[DÉBITO]]-Tab_06.Jun[[#This Row],[CRÉDITO]]</f>
        <v>-287.74</v>
      </c>
    </row>
    <row r="43" spans="2:15" x14ac:dyDescent="0.3">
      <c r="B43" s="2" t="str">
        <f>_xlfn.XLOOKUP($I43,Tab_00.Trial[CONTA],Tab_00.Trial[TP],"",0,1)</f>
        <v>A</v>
      </c>
      <c r="C43" s="2">
        <f>_xlfn.XLOOKUP($I43,Tab_00.Trial[CONTA],Tab_00.Trial[NV],"",0,1)</f>
        <v>2</v>
      </c>
      <c r="D43" s="2" t="str">
        <f>_xlfn.XLOOKUP($I43,Tab_00.Trial[CONTA],Tab_00.Trial[S/A],"",0,1)</f>
        <v>S</v>
      </c>
      <c r="E43" s="2">
        <f>IF($I43="","",COUNTIFS(Tab_00.Trial[CONTA],$I43))</f>
        <v>1</v>
      </c>
      <c r="F43" s="4">
        <f>SUMIFS(Tab_05.Mai[SALDO
ATUAL],Tab_05.Mai[CONTA],$I43)</f>
        <v>73149210.859999999</v>
      </c>
      <c r="G43" s="4">
        <f t="shared" si="2"/>
        <v>0</v>
      </c>
      <c r="H43">
        <v>11065</v>
      </c>
      <c r="I43" s="3" t="s">
        <v>211</v>
      </c>
      <c r="J43" s="3" t="s">
        <v>76</v>
      </c>
      <c r="K43" s="4">
        <v>73149210.859999999</v>
      </c>
      <c r="L43" s="4">
        <v>119732.55</v>
      </c>
      <c r="M43" s="4">
        <v>3666.75</v>
      </c>
      <c r="N43" s="4">
        <v>73265276.659999996</v>
      </c>
      <c r="O43" s="4">
        <f>Tab_06.Jun[[#This Row],[DÉBITO]]-Tab_06.Jun[[#This Row],[CRÉDITO]]</f>
        <v>116065.8</v>
      </c>
    </row>
    <row r="44" spans="2:15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S</v>
      </c>
      <c r="E44" s="2">
        <f>IF($I44="","",COUNTIFS(Tab_00.Trial[CONTA],$I44))</f>
        <v>1</v>
      </c>
      <c r="F44" s="4">
        <f>SUMIFS(Tab_05.Mai[SALDO
ATUAL],Tab_05.Mai[CONTA],$I44)</f>
        <v>254457.27</v>
      </c>
      <c r="G44" s="4">
        <f t="shared" si="2"/>
        <v>0</v>
      </c>
      <c r="H44">
        <v>11080</v>
      </c>
      <c r="I44" s="3" t="s">
        <v>552</v>
      </c>
      <c r="J44" s="3" t="s">
        <v>647</v>
      </c>
      <c r="K44" s="4">
        <v>254457.27</v>
      </c>
      <c r="L44" s="4">
        <v>506.15</v>
      </c>
      <c r="M44" s="4">
        <v>0</v>
      </c>
      <c r="N44" s="4">
        <v>254963.42</v>
      </c>
      <c r="O44" s="4">
        <f>Tab_06.Jun[[#This Row],[DÉBITO]]-Tab_06.Jun[[#This Row],[CRÉDITO]]</f>
        <v>506.15</v>
      </c>
    </row>
    <row r="45" spans="2:15" x14ac:dyDescent="0.3">
      <c r="B45" s="2" t="str">
        <f>_xlfn.XLOOKUP($I45,Tab_00.Trial[CONTA],Tab_00.Trial[TP],"",0,1)</f>
        <v>A</v>
      </c>
      <c r="C45" s="2">
        <f>_xlfn.XLOOKUP($I45,Tab_00.Trial[CONTA],Tab_00.Trial[NV],"",0,1)</f>
        <v>5</v>
      </c>
      <c r="D45" s="2" t="str">
        <f>_xlfn.XLOOKUP($I45,Tab_00.Trial[CONTA],Tab_00.Trial[S/A],"",0,1)</f>
        <v>S</v>
      </c>
      <c r="E45" s="2">
        <f>IF($I45="","",COUNTIFS(Tab_00.Trial[CONTA],$I45))</f>
        <v>1</v>
      </c>
      <c r="F45" s="4">
        <f>SUMIFS(Tab_05.Mai[SALDO
ATUAL],Tab_05.Mai[CONTA],$I45)</f>
        <v>254457.27</v>
      </c>
      <c r="G45" s="4">
        <f t="shared" si="2"/>
        <v>0</v>
      </c>
      <c r="H45">
        <v>11125</v>
      </c>
      <c r="I45" s="3" t="s">
        <v>553</v>
      </c>
      <c r="J45" s="3" t="s">
        <v>301</v>
      </c>
      <c r="K45" s="4">
        <v>254457.27</v>
      </c>
      <c r="L45" s="4">
        <v>506.15</v>
      </c>
      <c r="M45" s="4">
        <v>0</v>
      </c>
      <c r="N45" s="4">
        <v>254963.42</v>
      </c>
      <c r="O45" s="4">
        <f>Tab_06.Jun[[#This Row],[DÉBITO]]-Tab_06.Jun[[#This Row],[CRÉDITO]]</f>
        <v>506.15</v>
      </c>
    </row>
    <row r="46" spans="2:15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A</v>
      </c>
      <c r="E46" s="2">
        <f>IF($I46="","",COUNTIFS(Tab_00.Trial[CONTA],$I46))</f>
        <v>1</v>
      </c>
      <c r="F46" s="4">
        <f>SUMIFS(Tab_05.Mai[SALDO
ATUAL],Tab_05.Mai[CONTA],$I46)</f>
        <v>254457.27</v>
      </c>
      <c r="G46" s="4">
        <f t="shared" si="2"/>
        <v>0</v>
      </c>
      <c r="H46">
        <v>11140</v>
      </c>
      <c r="I46" s="3" t="s">
        <v>300</v>
      </c>
      <c r="J46" s="3" t="s">
        <v>301</v>
      </c>
      <c r="K46" s="4">
        <v>254457.27</v>
      </c>
      <c r="L46" s="4">
        <v>506.15</v>
      </c>
      <c r="M46" s="4">
        <v>0</v>
      </c>
      <c r="N46" s="4">
        <v>254963.42</v>
      </c>
      <c r="O46" s="4">
        <f>Tab_06.Jun[[#This Row],[DÉBITO]]-Tab_06.Jun[[#This Row],[CRÉDITO]]</f>
        <v>506.15</v>
      </c>
    </row>
    <row r="47" spans="2:15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S</v>
      </c>
      <c r="E47" s="2">
        <f>IF($I47="","",COUNTIFS(Tab_00.Trial[CONTA],$I47))</f>
        <v>1</v>
      </c>
      <c r="F47" s="4">
        <f>SUMIFS(Tab_05.Mai[SALDO
ATUAL],Tab_05.Mai[CONTA],$I47)</f>
        <v>70522520.680000007</v>
      </c>
      <c r="G47" s="4">
        <f t="shared" si="2"/>
        <v>0</v>
      </c>
      <c r="H47">
        <v>11170</v>
      </c>
      <c r="I47" s="3" t="s">
        <v>554</v>
      </c>
      <c r="J47" s="3" t="s">
        <v>648</v>
      </c>
      <c r="K47" s="4">
        <v>70522520.680000007</v>
      </c>
      <c r="L47" s="4">
        <v>118480</v>
      </c>
      <c r="M47" s="4">
        <v>0</v>
      </c>
      <c r="N47" s="4">
        <v>70641000.680000007</v>
      </c>
      <c r="O47" s="4">
        <f>Tab_06.Jun[[#This Row],[DÉBITO]]-Tab_06.Jun[[#This Row],[CRÉDITO]]</f>
        <v>118480</v>
      </c>
    </row>
    <row r="48" spans="2:15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S</v>
      </c>
      <c r="E48" s="2">
        <f>IF($I48="","",COUNTIFS(Tab_00.Trial[CONTA],$I48))</f>
        <v>1</v>
      </c>
      <c r="F48" s="4">
        <f>SUMIFS(Tab_05.Mai[SALDO
ATUAL],Tab_05.Mai[CONTA],$I48)</f>
        <v>45344232.229999997</v>
      </c>
      <c r="G48" s="4">
        <f t="shared" si="2"/>
        <v>0</v>
      </c>
      <c r="H48">
        <v>11185</v>
      </c>
      <c r="I48" s="3" t="s">
        <v>555</v>
      </c>
      <c r="J48" s="3" t="s">
        <v>649</v>
      </c>
      <c r="K48" s="4">
        <v>45344232.229999997</v>
      </c>
      <c r="L48" s="4">
        <v>0</v>
      </c>
      <c r="M48" s="4">
        <v>0</v>
      </c>
      <c r="N48" s="4">
        <v>45344232.229999997</v>
      </c>
      <c r="O48" s="4">
        <f>Tab_06.Jun[[#This Row],[DÉBITO]]-Tab_06.Jun[[#This Row],[CRÉDITO]]</f>
        <v>0</v>
      </c>
    </row>
    <row r="49" spans="2:18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A</v>
      </c>
      <c r="E49" s="2">
        <f>IF($I49="","",COUNTIFS(Tab_00.Trial[CONTA],$I49))</f>
        <v>1</v>
      </c>
      <c r="F49" s="4">
        <f>SUMIFS(Tab_05.Mai[SALDO
ATUAL],Tab_05.Mai[CONTA],$I49)</f>
        <v>42477392.43</v>
      </c>
      <c r="G49" s="4">
        <f t="shared" si="2"/>
        <v>0</v>
      </c>
      <c r="H49">
        <v>11205</v>
      </c>
      <c r="I49" s="3" t="s">
        <v>302</v>
      </c>
      <c r="J49" s="3" t="s">
        <v>303</v>
      </c>
      <c r="K49" s="4">
        <v>42477392.43</v>
      </c>
      <c r="L49" s="4">
        <v>0</v>
      </c>
      <c r="M49" s="4">
        <v>0</v>
      </c>
      <c r="N49" s="4">
        <v>42477392.43</v>
      </c>
      <c r="O49" s="4">
        <f>Tab_06.Jun[[#This Row],[DÉBITO]]-Tab_06.Jun[[#This Row],[CRÉDITO]]</f>
        <v>0</v>
      </c>
    </row>
    <row r="50" spans="2:18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A</v>
      </c>
      <c r="E50" s="2">
        <f>IF($I50="","",COUNTIFS(Tab_00.Trial[CONTA],$I50))</f>
        <v>1</v>
      </c>
      <c r="F50" s="4">
        <f>SUMIFS(Tab_05.Mai[SALDO
ATUAL],Tab_05.Mai[CONTA],$I50)</f>
        <v>2866839.8</v>
      </c>
      <c r="G50" s="4">
        <f t="shared" ref="G50:G81" si="3">$F50-$K50</f>
        <v>0</v>
      </c>
      <c r="H50">
        <v>11210</v>
      </c>
      <c r="I50" s="3" t="s">
        <v>304</v>
      </c>
      <c r="J50" s="3" t="s">
        <v>305</v>
      </c>
      <c r="K50" s="4">
        <v>2866839.8</v>
      </c>
      <c r="L50" s="4">
        <v>0</v>
      </c>
      <c r="M50" s="4">
        <v>0</v>
      </c>
      <c r="N50" s="4">
        <v>2866839.8</v>
      </c>
      <c r="O50" s="4">
        <f>Tab_06.Jun[[#This Row],[DÉBITO]]-Tab_06.Jun[[#This Row],[CRÉDITO]]</f>
        <v>0</v>
      </c>
    </row>
    <row r="51" spans="2:18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S</v>
      </c>
      <c r="E51" s="2">
        <f>IF($I51="","",COUNTIFS(Tab_00.Trial[CONTA],$I51))</f>
        <v>1</v>
      </c>
      <c r="F51" s="4">
        <f>SUMIFS(Tab_05.Mai[SALDO
ATUAL],Tab_05.Mai[CONTA],$I51)</f>
        <v>4760.84</v>
      </c>
      <c r="G51" s="4">
        <f t="shared" si="3"/>
        <v>0</v>
      </c>
      <c r="H51">
        <v>11215</v>
      </c>
      <c r="I51" s="3" t="s">
        <v>556</v>
      </c>
      <c r="J51" s="3" t="s">
        <v>650</v>
      </c>
      <c r="K51" s="4">
        <v>4760.84</v>
      </c>
      <c r="L51" s="4">
        <v>0</v>
      </c>
      <c r="M51" s="4">
        <v>0</v>
      </c>
      <c r="N51" s="4">
        <v>4760.84</v>
      </c>
      <c r="O51" s="4">
        <f>Tab_06.Jun[[#This Row],[DÉBITO]]-Tab_06.Jun[[#This Row],[CRÉDITO]]</f>
        <v>0</v>
      </c>
    </row>
    <row r="52" spans="2:18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A</v>
      </c>
      <c r="E52" s="2">
        <f>IF($I52="","",COUNTIFS(Tab_00.Trial[CONTA],$I52))</f>
        <v>1</v>
      </c>
      <c r="F52" s="4">
        <f>SUMIFS(Tab_05.Mai[SALDO
ATUAL],Tab_05.Mai[CONTA],$I52)</f>
        <v>4760.84</v>
      </c>
      <c r="G52" s="4">
        <f t="shared" si="3"/>
        <v>0</v>
      </c>
      <c r="H52">
        <v>11230</v>
      </c>
      <c r="I52" s="3" t="s">
        <v>306</v>
      </c>
      <c r="J52" s="3" t="s">
        <v>307</v>
      </c>
      <c r="K52" s="4">
        <v>4760.84</v>
      </c>
      <c r="L52" s="4">
        <v>0</v>
      </c>
      <c r="M52" s="4">
        <v>0</v>
      </c>
      <c r="N52" s="4">
        <v>4760.84</v>
      </c>
      <c r="O52" s="4">
        <f>Tab_06.Jun[[#This Row],[DÉBITO]]-Tab_06.Jun[[#This Row],[CRÉDITO]]</f>
        <v>0</v>
      </c>
    </row>
    <row r="53" spans="2:18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S</v>
      </c>
      <c r="E53" s="2">
        <f>IF($I53="","",COUNTIFS(Tab_00.Trial[CONTA],$I53))</f>
        <v>1</v>
      </c>
      <c r="F53" s="4">
        <f>SUMIFS(Tab_05.Mai[SALDO
ATUAL],Tab_05.Mai[CONTA],$I53)</f>
        <v>25173527.609999999</v>
      </c>
      <c r="G53" s="4">
        <f t="shared" si="3"/>
        <v>0</v>
      </c>
      <c r="H53">
        <v>11235</v>
      </c>
      <c r="I53" s="3" t="s">
        <v>557</v>
      </c>
      <c r="J53" s="3" t="s">
        <v>309</v>
      </c>
      <c r="K53" s="4">
        <v>25173527.609999999</v>
      </c>
      <c r="L53" s="4">
        <v>118480</v>
      </c>
      <c r="M53" s="4">
        <v>0</v>
      </c>
      <c r="N53" s="4">
        <v>25292007.609999999</v>
      </c>
      <c r="O53" s="4">
        <f>Tab_06.Jun[[#This Row],[DÉBITO]]-Tab_06.Jun[[#This Row],[CRÉDITO]]</f>
        <v>118480</v>
      </c>
    </row>
    <row r="54" spans="2:18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A</v>
      </c>
      <c r="E54" s="2">
        <f>IF($I54="","",COUNTIFS(Tab_00.Trial[CONTA],$I54))</f>
        <v>1</v>
      </c>
      <c r="F54" s="4">
        <f>SUMIFS(Tab_05.Mai[SALDO
ATUAL],Tab_05.Mai[CONTA],$I54)</f>
        <v>25173527.609999999</v>
      </c>
      <c r="G54" s="4">
        <f t="shared" si="3"/>
        <v>0</v>
      </c>
      <c r="H54">
        <v>11240</v>
      </c>
      <c r="I54" s="3" t="s">
        <v>308</v>
      </c>
      <c r="J54" s="3" t="s">
        <v>309</v>
      </c>
      <c r="K54" s="4">
        <v>25173527.609999999</v>
      </c>
      <c r="L54" s="4">
        <v>118480</v>
      </c>
      <c r="M54" s="4">
        <v>0</v>
      </c>
      <c r="N54" s="4">
        <v>25292007.609999999</v>
      </c>
      <c r="O54" s="4">
        <f>Tab_06.Jun[[#This Row],[DÉBITO]]-Tab_06.Jun[[#This Row],[CRÉDITO]]</f>
        <v>118480</v>
      </c>
    </row>
    <row r="55" spans="2:18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S</v>
      </c>
      <c r="E55" s="2">
        <f>IF($I55="","",COUNTIFS(Tab_00.Trial[CONTA],$I55))</f>
        <v>1</v>
      </c>
      <c r="F55" s="4">
        <f>SUMIFS(Tab_05.Mai[SALDO
ATUAL],Tab_05.Mai[CONTA],$I55)</f>
        <v>2372232.91</v>
      </c>
      <c r="G55" s="4">
        <f t="shared" si="3"/>
        <v>0</v>
      </c>
      <c r="H55">
        <v>11245</v>
      </c>
      <c r="I55" s="3" t="s">
        <v>213</v>
      </c>
      <c r="J55" s="3" t="s">
        <v>35</v>
      </c>
      <c r="K55" s="4">
        <v>2372232.91</v>
      </c>
      <c r="L55" s="4">
        <v>746.4</v>
      </c>
      <c r="M55" s="4">
        <v>3666.75</v>
      </c>
      <c r="N55" s="4">
        <v>2369312.56</v>
      </c>
      <c r="O55" s="4">
        <f>Tab_06.Jun[[#This Row],[DÉBITO]]-Tab_06.Jun[[#This Row],[CRÉDITO]]</f>
        <v>-2920.35</v>
      </c>
    </row>
    <row r="56" spans="2:18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S</v>
      </c>
      <c r="E56" s="2">
        <f>IF($I56="","",COUNTIFS(Tab_00.Trial[CONTA],$I56))</f>
        <v>1</v>
      </c>
      <c r="F56" s="4">
        <f>SUMIFS(Tab_05.Mai[SALDO
ATUAL],Tab_05.Mai[CONTA],$I56)</f>
        <v>3545621.91</v>
      </c>
      <c r="G56" s="4">
        <f t="shared" si="3"/>
        <v>0</v>
      </c>
      <c r="H56">
        <v>11260</v>
      </c>
      <c r="I56" s="3" t="s">
        <v>214</v>
      </c>
      <c r="J56" s="3" t="s">
        <v>651</v>
      </c>
      <c r="K56" s="4">
        <v>3545621.91</v>
      </c>
      <c r="L56" s="4">
        <v>746.4</v>
      </c>
      <c r="M56" s="4">
        <v>0</v>
      </c>
      <c r="N56" s="4">
        <v>3546368.31</v>
      </c>
      <c r="O56" s="4">
        <f>Tab_06.Jun[[#This Row],[DÉBITO]]-Tab_06.Jun[[#This Row],[CRÉDITO]]</f>
        <v>746.4</v>
      </c>
    </row>
    <row r="57" spans="2:18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A</v>
      </c>
      <c r="E57" s="2">
        <f>IF($I57="","",COUNTIFS(Tab_00.Trial[CONTA],$I57))</f>
        <v>1</v>
      </c>
      <c r="F57" s="4">
        <f>SUMIFS(Tab_05.Mai[SALDO
ATUAL],Tab_05.Mai[CONTA],$I57)</f>
        <v>1379260.84</v>
      </c>
      <c r="G57" s="4">
        <f t="shared" si="3"/>
        <v>0</v>
      </c>
      <c r="H57">
        <v>11275</v>
      </c>
      <c r="I57" s="3" t="s">
        <v>310</v>
      </c>
      <c r="J57" s="3" t="s">
        <v>311</v>
      </c>
      <c r="K57" s="4">
        <v>1379260.84</v>
      </c>
      <c r="L57" s="4">
        <v>0</v>
      </c>
      <c r="M57" s="4">
        <v>0</v>
      </c>
      <c r="N57" s="4">
        <v>1379260.84</v>
      </c>
      <c r="O57" s="4">
        <f>Tab_06.Jun[[#This Row],[DÉBITO]]-Tab_06.Jun[[#This Row],[CRÉDITO]]</f>
        <v>0</v>
      </c>
    </row>
    <row r="58" spans="2:18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A</v>
      </c>
      <c r="E58" s="2">
        <f>IF($I58="","",COUNTIFS(Tab_00.Trial[CONTA],$I58))</f>
        <v>1</v>
      </c>
      <c r="F58" s="4">
        <f>SUMIFS(Tab_05.Mai[SALDO
ATUAL],Tab_05.Mai[CONTA],$I58)</f>
        <v>1290393.8500000001</v>
      </c>
      <c r="G58" s="4">
        <f t="shared" si="3"/>
        <v>0</v>
      </c>
      <c r="H58">
        <v>11290</v>
      </c>
      <c r="I58" s="3" t="s">
        <v>312</v>
      </c>
      <c r="J58" s="3" t="s">
        <v>313</v>
      </c>
      <c r="K58" s="4">
        <v>1290393.8500000001</v>
      </c>
      <c r="L58" s="4">
        <v>746.4</v>
      </c>
      <c r="M58" s="4">
        <v>0</v>
      </c>
      <c r="N58" s="4">
        <v>1291140.25</v>
      </c>
      <c r="O58" s="4">
        <f>Tab_06.Jun[[#This Row],[DÉBITO]]-Tab_06.Jun[[#This Row],[CRÉDITO]]</f>
        <v>746.4</v>
      </c>
      <c r="R58" s="4">
        <f>Tab_06.Jun[[#This Row],[SALDO
ATUAL]]-963595.96</f>
        <v>327544.28999999998</v>
      </c>
    </row>
    <row r="59" spans="2:18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A</v>
      </c>
      <c r="E59" s="2">
        <f>IF($I59="","",COUNTIFS(Tab_00.Trial[CONTA],$I59))</f>
        <v>1</v>
      </c>
      <c r="F59" s="4">
        <f>SUMIFS(Tab_05.Mai[SALDO
ATUAL],Tab_05.Mai[CONTA],$I59)</f>
        <v>23000</v>
      </c>
      <c r="G59" s="4">
        <f t="shared" si="3"/>
        <v>0</v>
      </c>
      <c r="H59">
        <v>11320</v>
      </c>
      <c r="I59" s="3" t="s">
        <v>181</v>
      </c>
      <c r="J59" s="3" t="s">
        <v>314</v>
      </c>
      <c r="K59" s="4">
        <v>23000</v>
      </c>
      <c r="L59" s="4">
        <v>0</v>
      </c>
      <c r="M59" s="4">
        <v>0</v>
      </c>
      <c r="N59" s="4">
        <v>23000</v>
      </c>
      <c r="O59" s="4">
        <f>Tab_06.Jun[[#This Row],[DÉBITO]]-Tab_06.Jun[[#This Row],[CRÉDITO]]</f>
        <v>0</v>
      </c>
    </row>
    <row r="60" spans="2:18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A</v>
      </c>
      <c r="E60" s="2">
        <f>IF($I60="","",COUNTIFS(Tab_00.Trial[CONTA],$I60))</f>
        <v>1</v>
      </c>
      <c r="F60" s="4">
        <f>SUMIFS(Tab_05.Mai[SALDO
ATUAL],Tab_05.Mai[CONTA],$I60)</f>
        <v>12594</v>
      </c>
      <c r="G60" s="4">
        <f t="shared" si="3"/>
        <v>0</v>
      </c>
      <c r="H60">
        <v>11335</v>
      </c>
      <c r="I60" s="3" t="s">
        <v>182</v>
      </c>
      <c r="J60" s="3" t="s">
        <v>315</v>
      </c>
      <c r="K60" s="4">
        <v>12594</v>
      </c>
      <c r="L60" s="4">
        <v>0</v>
      </c>
      <c r="M60" s="4">
        <v>0</v>
      </c>
      <c r="N60" s="4">
        <v>12594</v>
      </c>
      <c r="O60" s="4">
        <f>Tab_06.Jun[[#This Row],[DÉBITO]]-Tab_06.Jun[[#This Row],[CRÉDITO]]</f>
        <v>0</v>
      </c>
    </row>
    <row r="61" spans="2:18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SUMIFS(Tab_05.Mai[SALDO
ATUAL],Tab_05.Mai[CONTA],$I61)</f>
        <v>224642.85</v>
      </c>
      <c r="G61" s="4">
        <f t="shared" si="3"/>
        <v>0</v>
      </c>
      <c r="H61">
        <v>11350</v>
      </c>
      <c r="I61" s="3" t="s">
        <v>183</v>
      </c>
      <c r="J61" s="3" t="s">
        <v>316</v>
      </c>
      <c r="K61" s="4">
        <v>224642.85</v>
      </c>
      <c r="L61" s="4">
        <v>0</v>
      </c>
      <c r="M61" s="4">
        <v>0</v>
      </c>
      <c r="N61" s="4">
        <v>224642.85</v>
      </c>
      <c r="O61" s="4">
        <f>Tab_06.Jun[[#This Row],[DÉBITO]]-Tab_06.Jun[[#This Row],[CRÉDITO]]</f>
        <v>0</v>
      </c>
    </row>
    <row r="62" spans="2:18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SUMIFS(Tab_05.Mai[SALDO
ATUAL],Tab_05.Mai[CONTA],$I62)</f>
        <v>7349.9</v>
      </c>
      <c r="G62" s="4">
        <f t="shared" si="3"/>
        <v>0</v>
      </c>
      <c r="H62">
        <v>11365</v>
      </c>
      <c r="I62" s="3" t="s">
        <v>317</v>
      </c>
      <c r="J62" s="3" t="s">
        <v>318</v>
      </c>
      <c r="K62" s="4">
        <v>7349.9</v>
      </c>
      <c r="L62" s="4">
        <v>0</v>
      </c>
      <c r="M62" s="4">
        <v>0</v>
      </c>
      <c r="N62" s="4">
        <v>7349.9</v>
      </c>
      <c r="O62" s="4">
        <f>Tab_06.Jun[[#This Row],[DÉBITO]]-Tab_06.Jun[[#This Row],[CRÉDITO]]</f>
        <v>0</v>
      </c>
    </row>
    <row r="63" spans="2:18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A</v>
      </c>
      <c r="E63" s="2">
        <f>IF($I63="","",COUNTIFS(Tab_00.Trial[CONTA],$I63))</f>
        <v>1</v>
      </c>
      <c r="F63" s="4">
        <f>SUMIFS(Tab_05.Mai[SALDO
ATUAL],Tab_05.Mai[CONTA],$I63)</f>
        <v>128697.03</v>
      </c>
      <c r="G63" s="4">
        <f t="shared" si="3"/>
        <v>0</v>
      </c>
      <c r="H63">
        <v>11380</v>
      </c>
      <c r="I63" s="3" t="s">
        <v>184</v>
      </c>
      <c r="J63" s="3" t="s">
        <v>319</v>
      </c>
      <c r="K63" s="4">
        <v>128697.03</v>
      </c>
      <c r="L63" s="4">
        <v>0</v>
      </c>
      <c r="M63" s="4">
        <v>0</v>
      </c>
      <c r="N63" s="4">
        <v>128697.03</v>
      </c>
      <c r="O63" s="4">
        <f>Tab_06.Jun[[#This Row],[DÉBITO]]-Tab_06.Jun[[#This Row],[CRÉDITO]]</f>
        <v>0</v>
      </c>
    </row>
    <row r="64" spans="2:18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A</v>
      </c>
      <c r="E64" s="2">
        <f>IF($I64="","",COUNTIFS(Tab_00.Trial[CONTA],$I64))</f>
        <v>1</v>
      </c>
      <c r="F64" s="4">
        <f>SUMIFS(Tab_05.Mai[SALDO
ATUAL],Tab_05.Mai[CONTA],$I64)</f>
        <v>15029.74</v>
      </c>
      <c r="G64" s="4">
        <f t="shared" si="3"/>
        <v>0</v>
      </c>
      <c r="H64">
        <v>11410</v>
      </c>
      <c r="I64" s="3" t="s">
        <v>185</v>
      </c>
      <c r="J64" s="3" t="s">
        <v>320</v>
      </c>
      <c r="K64" s="4">
        <v>15029.74</v>
      </c>
      <c r="L64" s="4">
        <v>0</v>
      </c>
      <c r="M64" s="4">
        <v>0</v>
      </c>
      <c r="N64" s="4">
        <v>15029.74</v>
      </c>
      <c r="O64" s="4">
        <f>Tab_06.Jun[[#This Row],[DÉBITO]]-Tab_06.Jun[[#This Row],[CRÉDITO]]</f>
        <v>0</v>
      </c>
    </row>
    <row r="65" spans="2:15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SUMIFS(Tab_05.Mai[SALDO
ATUAL],Tab_05.Mai[CONTA],$I65)</f>
        <v>464653.7</v>
      </c>
      <c r="G65" s="4">
        <f t="shared" si="3"/>
        <v>0</v>
      </c>
      <c r="H65">
        <v>11415</v>
      </c>
      <c r="I65" s="3" t="s">
        <v>321</v>
      </c>
      <c r="J65" s="3" t="s">
        <v>322</v>
      </c>
      <c r="K65" s="4">
        <v>464653.7</v>
      </c>
      <c r="L65" s="4">
        <v>0</v>
      </c>
      <c r="M65" s="4">
        <v>0</v>
      </c>
      <c r="N65" s="4">
        <v>464653.7</v>
      </c>
      <c r="O65" s="4">
        <f>Tab_06.Jun[[#This Row],[DÉBITO]]-Tab_06.Jun[[#This Row],[CRÉDITO]]</f>
        <v>0</v>
      </c>
    </row>
    <row r="66" spans="2:15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S</v>
      </c>
      <c r="E66" s="2">
        <f>IF($I66="","",COUNTIFS(Tab_00.Trial[CONTA],$I66))</f>
        <v>1</v>
      </c>
      <c r="F66" s="4">
        <f>SUMIFS(Tab_05.Mai[SALDO
ATUAL],Tab_05.Mai[CONTA],$I66)</f>
        <v>-1173389</v>
      </c>
      <c r="G66" s="4">
        <f t="shared" si="3"/>
        <v>0</v>
      </c>
      <c r="H66">
        <v>11425</v>
      </c>
      <c r="I66" s="3" t="s">
        <v>215</v>
      </c>
      <c r="J66" s="3" t="s">
        <v>652</v>
      </c>
      <c r="K66" s="4">
        <v>-1173389</v>
      </c>
      <c r="L66" s="4">
        <v>0</v>
      </c>
      <c r="M66" s="4">
        <v>3666.75</v>
      </c>
      <c r="N66" s="4">
        <v>-1177055.75</v>
      </c>
      <c r="O66" s="4">
        <f>Tab_06.Jun[[#This Row],[DÉBITO]]-Tab_06.Jun[[#This Row],[CRÉDITO]]</f>
        <v>-3666.75</v>
      </c>
    </row>
    <row r="67" spans="2:15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SUMIFS(Tab_05.Mai[SALDO
ATUAL],Tab_05.Mai[CONTA],$I67)</f>
        <v>-661868.68999999994</v>
      </c>
      <c r="G67" s="4">
        <f t="shared" si="3"/>
        <v>0</v>
      </c>
      <c r="H67">
        <v>11440</v>
      </c>
      <c r="I67" s="3" t="s">
        <v>186</v>
      </c>
      <c r="J67" s="3" t="s">
        <v>313</v>
      </c>
      <c r="K67" s="4">
        <v>-661868.68999999994</v>
      </c>
      <c r="L67" s="4">
        <v>0</v>
      </c>
      <c r="M67" s="4">
        <v>2997.93</v>
      </c>
      <c r="N67" s="4">
        <v>-664866.62</v>
      </c>
      <c r="O67" s="4">
        <f>Tab_06.Jun[[#This Row],[DÉBITO]]-Tab_06.Jun[[#This Row],[CRÉDITO]]</f>
        <v>-2997.93</v>
      </c>
    </row>
    <row r="68" spans="2:15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A</v>
      </c>
      <c r="E68" s="2">
        <f>IF($I68="","",COUNTIFS(Tab_00.Trial[CONTA],$I68))</f>
        <v>1</v>
      </c>
      <c r="F68" s="4">
        <f>SUMIFS(Tab_05.Mai[SALDO
ATUAL],Tab_05.Mai[CONTA],$I68)</f>
        <v>-17825.28</v>
      </c>
      <c r="G68" s="4">
        <f t="shared" si="3"/>
        <v>0</v>
      </c>
      <c r="H68">
        <v>11470</v>
      </c>
      <c r="I68" s="3" t="s">
        <v>187</v>
      </c>
      <c r="J68" s="3" t="s">
        <v>314</v>
      </c>
      <c r="K68" s="4">
        <v>-17825.28</v>
      </c>
      <c r="L68" s="4">
        <v>0</v>
      </c>
      <c r="M68" s="4">
        <v>191.67</v>
      </c>
      <c r="N68" s="4">
        <v>-18016.95</v>
      </c>
      <c r="O68" s="4">
        <f>Tab_06.Jun[[#This Row],[DÉBITO]]-Tab_06.Jun[[#This Row],[CRÉDITO]]</f>
        <v>-191.67</v>
      </c>
    </row>
    <row r="69" spans="2:15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SUMIFS(Tab_05.Mai[SALDO
ATUAL],Tab_05.Mai[CONTA],$I69)</f>
        <v>-6578.86</v>
      </c>
      <c r="G69" s="4">
        <f t="shared" si="3"/>
        <v>0</v>
      </c>
      <c r="H69">
        <v>11485</v>
      </c>
      <c r="I69" s="3" t="s">
        <v>188</v>
      </c>
      <c r="J69" s="3" t="s">
        <v>315</v>
      </c>
      <c r="K69" s="4">
        <v>-6578.86</v>
      </c>
      <c r="L69" s="4">
        <v>0</v>
      </c>
      <c r="M69" s="4">
        <v>104.95</v>
      </c>
      <c r="N69" s="4">
        <v>-6683.81</v>
      </c>
      <c r="O69" s="4">
        <f>Tab_06.Jun[[#This Row],[DÉBITO]]-Tab_06.Jun[[#This Row],[CRÉDITO]]</f>
        <v>-104.95</v>
      </c>
    </row>
    <row r="70" spans="2:15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SUMIFS(Tab_05.Mai[SALDO
ATUAL],Tab_05.Mai[CONTA],$I70)</f>
        <v>-224642.85</v>
      </c>
      <c r="G70" s="4">
        <f t="shared" si="3"/>
        <v>0</v>
      </c>
      <c r="H70">
        <v>11500</v>
      </c>
      <c r="I70" s="3" t="s">
        <v>189</v>
      </c>
      <c r="J70" s="3" t="s">
        <v>316</v>
      </c>
      <c r="K70" s="4">
        <v>-224642.85</v>
      </c>
      <c r="L70" s="4">
        <v>0</v>
      </c>
      <c r="M70" s="4">
        <v>0</v>
      </c>
      <c r="N70" s="4">
        <v>-224642.85</v>
      </c>
      <c r="O70" s="4">
        <f>Tab_06.Jun[[#This Row],[DÉBITO]]-Tab_06.Jun[[#This Row],[CRÉDITO]]</f>
        <v>0</v>
      </c>
    </row>
    <row r="71" spans="2:15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SUMIFS(Tab_05.Mai[SALDO
ATUAL],Tab_05.Mai[CONTA],$I71)</f>
        <v>-4064.84</v>
      </c>
      <c r="G71" s="4">
        <f t="shared" si="3"/>
        <v>0</v>
      </c>
      <c r="H71">
        <v>11515</v>
      </c>
      <c r="I71" s="3" t="s">
        <v>190</v>
      </c>
      <c r="J71" s="3" t="s">
        <v>318</v>
      </c>
      <c r="K71" s="4">
        <v>-4064.84</v>
      </c>
      <c r="L71" s="4">
        <v>0</v>
      </c>
      <c r="M71" s="4">
        <v>122.2</v>
      </c>
      <c r="N71" s="4">
        <v>-4187.04</v>
      </c>
      <c r="O71" s="4">
        <f>Tab_06.Jun[[#This Row],[DÉBITO]]-Tab_06.Jun[[#This Row],[CRÉDITO]]</f>
        <v>-122.2</v>
      </c>
    </row>
    <row r="72" spans="2:15" x14ac:dyDescent="0.3">
      <c r="B72" s="2" t="str">
        <f>_xlfn.XLOOKUP($I72,Tab_00.Trial[CONTA],Tab_00.Trial[TP],"",0,1)</f>
        <v>A</v>
      </c>
      <c r="C72" s="2">
        <f>_xlfn.XLOOKUP($I72,Tab_00.Trial[CONTA],Tab_00.Trial[NV],"",0,1)</f>
        <v>5</v>
      </c>
      <c r="D72" s="2" t="str">
        <f>_xlfn.XLOOKUP($I72,Tab_00.Trial[CONTA],Tab_00.Trial[S/A],"",0,1)</f>
        <v>A</v>
      </c>
      <c r="E72" s="2">
        <f>IF($I72="","",COUNTIFS(Tab_00.Trial[CONTA],$I72))</f>
        <v>1</v>
      </c>
      <c r="F72" s="4">
        <f>SUMIFS(Tab_05.Mai[SALDO
ATUAL],Tab_05.Mai[CONTA],$I72)</f>
        <v>-128697.03</v>
      </c>
      <c r="G72" s="4">
        <f t="shared" si="3"/>
        <v>0</v>
      </c>
      <c r="H72">
        <v>11530</v>
      </c>
      <c r="I72" s="3" t="s">
        <v>323</v>
      </c>
      <c r="J72" s="3" t="s">
        <v>319</v>
      </c>
      <c r="K72" s="4">
        <v>-128697.03</v>
      </c>
      <c r="L72" s="4">
        <v>0</v>
      </c>
      <c r="M72" s="4">
        <v>0</v>
      </c>
      <c r="N72" s="4">
        <v>-128697.03</v>
      </c>
      <c r="O72" s="4">
        <f>Tab_06.Jun[[#This Row],[DÉBITO]]-Tab_06.Jun[[#This Row],[CRÉDITO]]</f>
        <v>0</v>
      </c>
    </row>
    <row r="73" spans="2:15" x14ac:dyDescent="0.3">
      <c r="B73" s="2" t="str">
        <f>_xlfn.XLOOKUP($I73,Tab_00.Trial[CONTA],Tab_00.Trial[TP],"",0,1)</f>
        <v>A</v>
      </c>
      <c r="C73" s="2">
        <f>_xlfn.XLOOKUP($I73,Tab_00.Trial[CONTA],Tab_00.Trial[NV],"",0,1)</f>
        <v>5</v>
      </c>
      <c r="D73" s="2" t="str">
        <f>_xlfn.XLOOKUP($I73,Tab_00.Trial[CONTA],Tab_00.Trial[S/A],"",0,1)</f>
        <v>A</v>
      </c>
      <c r="E73" s="2">
        <f>IF($I73="","",COUNTIFS(Tab_00.Trial[CONTA],$I73))</f>
        <v>1</v>
      </c>
      <c r="F73" s="4">
        <f>SUMIFS(Tab_05.Mai[SALDO
ATUAL],Tab_05.Mai[CONTA],$I73)</f>
        <v>-15029.74</v>
      </c>
      <c r="G73" s="4">
        <f t="shared" si="3"/>
        <v>0</v>
      </c>
      <c r="H73">
        <v>11560</v>
      </c>
      <c r="I73" s="3" t="s">
        <v>324</v>
      </c>
      <c r="J73" s="3" t="s">
        <v>320</v>
      </c>
      <c r="K73" s="4">
        <v>-15029.74</v>
      </c>
      <c r="L73" s="4">
        <v>0</v>
      </c>
      <c r="M73" s="4">
        <v>0</v>
      </c>
      <c r="N73" s="4">
        <v>-15029.74</v>
      </c>
      <c r="O73" s="4">
        <f>Tab_06.Jun[[#This Row],[DÉBITO]]-Tab_06.Jun[[#This Row],[CRÉDITO]]</f>
        <v>0</v>
      </c>
    </row>
    <row r="74" spans="2:15" x14ac:dyDescent="0.3">
      <c r="B74" s="2" t="str">
        <f>_xlfn.XLOOKUP($I74,Tab_00.Trial[CONTA],Tab_00.Trial[TP],"",0,1)</f>
        <v>A</v>
      </c>
      <c r="C74" s="2">
        <f>_xlfn.XLOOKUP($I74,Tab_00.Trial[CONTA],Tab_00.Trial[NV],"",0,1)</f>
        <v>5</v>
      </c>
      <c r="D74" s="2" t="str">
        <f>_xlfn.XLOOKUP($I74,Tab_00.Trial[CONTA],Tab_00.Trial[S/A],"",0,1)</f>
        <v>A</v>
      </c>
      <c r="E74" s="2">
        <f>IF($I74="","",COUNTIFS(Tab_00.Trial[CONTA],$I74))</f>
        <v>1</v>
      </c>
      <c r="F74" s="4">
        <f>SUMIFS(Tab_05.Mai[SALDO
ATUAL],Tab_05.Mai[CONTA],$I74)</f>
        <v>-114681.71</v>
      </c>
      <c r="G74" s="4">
        <f t="shared" si="3"/>
        <v>0</v>
      </c>
      <c r="H74">
        <v>11565</v>
      </c>
      <c r="I74" s="3" t="s">
        <v>325</v>
      </c>
      <c r="J74" s="3" t="s">
        <v>322</v>
      </c>
      <c r="K74" s="4">
        <v>-114681.71</v>
      </c>
      <c r="L74" s="4">
        <v>0</v>
      </c>
      <c r="M74" s="4">
        <v>250</v>
      </c>
      <c r="N74" s="4">
        <v>-114931.71</v>
      </c>
      <c r="O74" s="4">
        <f>Tab_06.Jun[[#This Row],[DÉBITO]]-Tab_06.Jun[[#This Row],[CRÉDITO]]</f>
        <v>-250</v>
      </c>
    </row>
    <row r="75" spans="2:15" x14ac:dyDescent="0.3">
      <c r="B75" s="2" t="str">
        <f>_xlfn.XLOOKUP($I75,Tab_00.Trial[CONTA],Tab_00.Trial[TP],"",0,1)</f>
        <v>P</v>
      </c>
      <c r="C75" s="2">
        <f>_xlfn.XLOOKUP($I75,Tab_00.Trial[CONTA],Tab_00.Trial[NV],"",0,1)</f>
        <v>1</v>
      </c>
      <c r="D75" s="2" t="str">
        <f>_xlfn.XLOOKUP($I75,Tab_00.Trial[CONTA],Tab_00.Trial[S/A],"",0,1)</f>
        <v>S</v>
      </c>
      <c r="E75" s="2">
        <f>IF($I75="","",COUNTIFS(Tab_00.Trial[CONTA],$I75))</f>
        <v>1</v>
      </c>
      <c r="F75" s="4">
        <f>SUMIFS(Tab_05.Mai[SALDO
ATUAL],Tab_05.Mai[CONTA],$I75)</f>
        <v>-83558635.609999999</v>
      </c>
      <c r="G75" s="4">
        <f t="shared" si="3"/>
        <v>0</v>
      </c>
      <c r="H75">
        <v>20000</v>
      </c>
      <c r="I75" s="3">
        <v>2</v>
      </c>
      <c r="J75" s="3" t="s">
        <v>653</v>
      </c>
      <c r="K75" s="4">
        <v>-83558635.609999999</v>
      </c>
      <c r="L75" s="4">
        <v>786509.41</v>
      </c>
      <c r="M75" s="4">
        <v>674172.79</v>
      </c>
      <c r="N75" s="4">
        <v>-83446298.989999995</v>
      </c>
      <c r="O75" s="4">
        <f>Tab_06.Jun[[#This Row],[DÉBITO]]-Tab_06.Jun[[#This Row],[CRÉDITO]]</f>
        <v>112336.62</v>
      </c>
    </row>
    <row r="76" spans="2:15" x14ac:dyDescent="0.3">
      <c r="B76" s="2" t="str">
        <f>_xlfn.XLOOKUP($I76,Tab_00.Trial[CONTA],Tab_00.Trial[TP],"",0,1)</f>
        <v>P</v>
      </c>
      <c r="C76" s="2">
        <f>_xlfn.XLOOKUP($I76,Tab_00.Trial[CONTA],Tab_00.Trial[NV],"",0,1)</f>
        <v>2</v>
      </c>
      <c r="D76" s="2" t="str">
        <f>_xlfn.XLOOKUP($I76,Tab_00.Trial[CONTA],Tab_00.Trial[S/A],"",0,1)</f>
        <v>S</v>
      </c>
      <c r="E76" s="2">
        <f>IF($I76="","",COUNTIFS(Tab_00.Trial[CONTA],$I76))</f>
        <v>1</v>
      </c>
      <c r="F76" s="4">
        <f>SUMIFS(Tab_05.Mai[SALDO
ATUAL],Tab_05.Mai[CONTA],$I76)</f>
        <v>-1423733.84</v>
      </c>
      <c r="G76" s="4">
        <f t="shared" si="3"/>
        <v>0</v>
      </c>
      <c r="H76">
        <v>20015</v>
      </c>
      <c r="I76" s="3" t="s">
        <v>216</v>
      </c>
      <c r="J76" s="3" t="s">
        <v>31</v>
      </c>
      <c r="K76" s="4">
        <v>-1423733.84</v>
      </c>
      <c r="L76" s="4">
        <v>786509.41</v>
      </c>
      <c r="M76" s="4">
        <v>674172.79</v>
      </c>
      <c r="N76" s="4">
        <v>-1311397.22</v>
      </c>
      <c r="O76" s="4">
        <f>Tab_06.Jun[[#This Row],[DÉBITO]]-Tab_06.Jun[[#This Row],[CRÉDITO]]</f>
        <v>112336.62</v>
      </c>
    </row>
    <row r="77" spans="2:15" x14ac:dyDescent="0.3">
      <c r="B77" s="2" t="str">
        <f>_xlfn.XLOOKUP($I77,Tab_00.Trial[CONTA],Tab_00.Trial[TP],"",0,1)</f>
        <v>P</v>
      </c>
      <c r="C77" s="2">
        <f>_xlfn.XLOOKUP($I77,Tab_00.Trial[CONTA],Tab_00.Trial[NV],"",0,1)</f>
        <v>5</v>
      </c>
      <c r="D77" s="2" t="str">
        <f>_xlfn.XLOOKUP($I77,Tab_00.Trial[CONTA],Tab_00.Trial[S/A],"",0,1)</f>
        <v>S</v>
      </c>
      <c r="E77" s="2">
        <f>IF($I77="","",COUNTIFS(Tab_00.Trial[CONTA],$I77))</f>
        <v>1</v>
      </c>
      <c r="F77" s="4">
        <f>SUMIFS(Tab_05.Mai[SALDO
ATUAL],Tab_05.Mai[CONTA],$I77)</f>
        <v>-339194.97</v>
      </c>
      <c r="G77" s="4">
        <f t="shared" si="3"/>
        <v>0</v>
      </c>
      <c r="H77">
        <v>20030</v>
      </c>
      <c r="I77" s="3" t="s">
        <v>558</v>
      </c>
      <c r="J77" s="3" t="s">
        <v>654</v>
      </c>
      <c r="K77" s="4">
        <v>-339194.97</v>
      </c>
      <c r="L77" s="4">
        <v>132600.42000000001</v>
      </c>
      <c r="M77" s="4">
        <v>156366.65</v>
      </c>
      <c r="N77" s="4">
        <v>-362961.2</v>
      </c>
      <c r="O77" s="4">
        <f>Tab_06.Jun[[#This Row],[DÉBITO]]-Tab_06.Jun[[#This Row],[CRÉDITO]]</f>
        <v>-23766.23</v>
      </c>
    </row>
    <row r="78" spans="2:15" x14ac:dyDescent="0.3">
      <c r="B78" s="2" t="str">
        <f>_xlfn.XLOOKUP($I78,Tab_00.Trial[CONTA],Tab_00.Trial[TP],"",0,1)</f>
        <v>P</v>
      </c>
      <c r="C78" s="2">
        <f>_xlfn.XLOOKUP($I78,Tab_00.Trial[CONTA],Tab_00.Trial[NV],"",0,1)</f>
        <v>5</v>
      </c>
      <c r="D78" s="2" t="str">
        <f>_xlfn.XLOOKUP($I78,Tab_00.Trial[CONTA],Tab_00.Trial[S/A],"",0,1)</f>
        <v>S</v>
      </c>
      <c r="E78" s="2">
        <f>IF($I78="","",COUNTIFS(Tab_00.Trial[CONTA],$I78))</f>
        <v>1</v>
      </c>
      <c r="F78" s="4">
        <f>SUMIFS(Tab_05.Mai[SALDO
ATUAL],Tab_05.Mai[CONTA],$I78)</f>
        <v>0</v>
      </c>
      <c r="G78" s="4">
        <f t="shared" si="3"/>
        <v>0</v>
      </c>
      <c r="H78">
        <v>20045</v>
      </c>
      <c r="I78" s="3" t="s">
        <v>559</v>
      </c>
      <c r="J78" s="3" t="s">
        <v>655</v>
      </c>
      <c r="K78" s="4">
        <v>0</v>
      </c>
      <c r="L78" s="4">
        <v>84926.39</v>
      </c>
      <c r="M78" s="4">
        <v>84926.39</v>
      </c>
      <c r="N78" s="4">
        <v>0</v>
      </c>
      <c r="O78" s="4">
        <f>Tab_06.Jun[[#This Row],[DÉBITO]]-Tab_06.Jun[[#This Row],[CRÉDITO]]</f>
        <v>0</v>
      </c>
    </row>
    <row r="79" spans="2:15" x14ac:dyDescent="0.3">
      <c r="B79" s="2" t="str">
        <f>_xlfn.XLOOKUP($I79,Tab_00.Trial[CONTA],Tab_00.Trial[TP],"",0,1)</f>
        <v>P</v>
      </c>
      <c r="C79" s="2">
        <f>_xlfn.XLOOKUP($I79,Tab_00.Trial[CONTA],Tab_00.Trial[NV],"",0,1)</f>
        <v>5</v>
      </c>
      <c r="D79" s="2" t="str">
        <f>_xlfn.XLOOKUP($I79,Tab_00.Trial[CONTA],Tab_00.Trial[S/A],"",0,1)</f>
        <v>A</v>
      </c>
      <c r="E79" s="2">
        <f>IF($I79="","",COUNTIFS(Tab_00.Trial[CONTA],$I79))</f>
        <v>1</v>
      </c>
      <c r="F79" s="4">
        <f>SUMIFS(Tab_05.Mai[SALDO
ATUAL],Tab_05.Mai[CONTA],$I79)</f>
        <v>0</v>
      </c>
      <c r="G79" s="4">
        <f t="shared" si="3"/>
        <v>0</v>
      </c>
      <c r="H79">
        <v>20060</v>
      </c>
      <c r="I79" s="3" t="s">
        <v>326</v>
      </c>
      <c r="J79" s="3" t="s">
        <v>327</v>
      </c>
      <c r="K79" s="4">
        <v>0</v>
      </c>
      <c r="L79" s="4">
        <v>83737.259999999995</v>
      </c>
      <c r="M79" s="4">
        <v>83737.259999999995</v>
      </c>
      <c r="N79" s="4">
        <v>0</v>
      </c>
      <c r="O79" s="4">
        <f>Tab_06.Jun[[#This Row],[DÉBITO]]-Tab_06.Jun[[#This Row],[CRÉDITO]]</f>
        <v>0</v>
      </c>
    </row>
    <row r="80" spans="2:15" x14ac:dyDescent="0.3">
      <c r="B80" s="2" t="str">
        <f>_xlfn.XLOOKUP($I80,Tab_00.Trial[CONTA],Tab_00.Trial[TP],"",0,1)</f>
        <v>P</v>
      </c>
      <c r="C80" s="2">
        <f>_xlfn.XLOOKUP($I80,Tab_00.Trial[CONTA],Tab_00.Trial[NV],"",0,1)</f>
        <v>5</v>
      </c>
      <c r="D80" s="2" t="str">
        <f>_xlfn.XLOOKUP($I80,Tab_00.Trial[CONTA],Tab_00.Trial[S/A],"",0,1)</f>
        <v>A</v>
      </c>
      <c r="E80" s="2">
        <f>IF($I80="","",COUNTIFS(Tab_00.Trial[CONTA],$I80))</f>
        <v>1</v>
      </c>
      <c r="F80" s="4">
        <f>SUMIFS(Tab_05.Mai[SALDO
ATUAL],Tab_05.Mai[CONTA],$I80)</f>
        <v>0</v>
      </c>
      <c r="G80" s="4">
        <f t="shared" si="3"/>
        <v>0</v>
      </c>
      <c r="H80">
        <v>20105</v>
      </c>
      <c r="I80" s="3" t="s">
        <v>330</v>
      </c>
      <c r="J80" s="3" t="s">
        <v>331</v>
      </c>
      <c r="K80" s="4">
        <v>0</v>
      </c>
      <c r="L80" s="4">
        <v>1189.1300000000001</v>
      </c>
      <c r="M80" s="4">
        <v>1189.1300000000001</v>
      </c>
      <c r="N80" s="4">
        <v>0</v>
      </c>
      <c r="O80" s="4">
        <f>Tab_06.Jun[[#This Row],[DÉBITO]]-Tab_06.Jun[[#This Row],[CRÉDITO]]</f>
        <v>0</v>
      </c>
    </row>
    <row r="81" spans="2:15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S</v>
      </c>
      <c r="E81" s="2">
        <f>IF($I81="","",COUNTIFS(Tab_00.Trial[CONTA],$I81))</f>
        <v>1</v>
      </c>
      <c r="F81" s="4">
        <f>SUMIFS(Tab_05.Mai[SALDO
ATUAL],Tab_05.Mai[CONTA],$I81)</f>
        <v>-56606.17</v>
      </c>
      <c r="G81" s="4">
        <f t="shared" si="3"/>
        <v>0</v>
      </c>
      <c r="H81">
        <v>20120</v>
      </c>
      <c r="I81" s="3" t="s">
        <v>560</v>
      </c>
      <c r="J81" s="3" t="s">
        <v>656</v>
      </c>
      <c r="K81" s="4">
        <v>-56606.17</v>
      </c>
      <c r="L81" s="4">
        <v>0</v>
      </c>
      <c r="M81" s="4">
        <v>11610.92</v>
      </c>
      <c r="N81" s="4">
        <v>-68217.09</v>
      </c>
      <c r="O81" s="4">
        <f>Tab_06.Jun[[#This Row],[DÉBITO]]-Tab_06.Jun[[#This Row],[CRÉDITO]]</f>
        <v>-11610.92</v>
      </c>
    </row>
    <row r="82" spans="2:15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A</v>
      </c>
      <c r="E82" s="2">
        <f>IF($I82="","",COUNTIFS(Tab_00.Trial[CONTA],$I82))</f>
        <v>1</v>
      </c>
      <c r="F82" s="4">
        <f>SUMIFS(Tab_05.Mai[SALDO
ATUAL],Tab_05.Mai[CONTA],$I82)</f>
        <v>-41683.519999999997</v>
      </c>
      <c r="G82" s="4">
        <f t="shared" ref="G82:G113" si="4">$F82-$K82</f>
        <v>0</v>
      </c>
      <c r="H82">
        <v>20135</v>
      </c>
      <c r="I82" s="3" t="s">
        <v>332</v>
      </c>
      <c r="J82" s="3" t="s">
        <v>333</v>
      </c>
      <c r="K82" s="4">
        <v>-41683.519999999997</v>
      </c>
      <c r="L82" s="4">
        <v>0</v>
      </c>
      <c r="M82" s="4">
        <v>8550.0499999999993</v>
      </c>
      <c r="N82" s="4">
        <v>-50233.57</v>
      </c>
      <c r="O82" s="4">
        <f>Tab_06.Jun[[#This Row],[DÉBITO]]-Tab_06.Jun[[#This Row],[CRÉDITO]]</f>
        <v>-8550.0499999999993</v>
      </c>
    </row>
    <row r="83" spans="2:15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A</v>
      </c>
      <c r="E83" s="2">
        <f>IF($I83="","",COUNTIFS(Tab_00.Trial[CONTA],$I83))</f>
        <v>1</v>
      </c>
      <c r="F83" s="4">
        <f>SUMIFS(Tab_05.Mai[SALDO
ATUAL],Tab_05.Mai[CONTA],$I83)</f>
        <v>-3334.64</v>
      </c>
      <c r="G83" s="4">
        <f t="shared" si="4"/>
        <v>0</v>
      </c>
      <c r="H83">
        <v>20150</v>
      </c>
      <c r="I83" s="3" t="s">
        <v>778</v>
      </c>
      <c r="J83" s="3" t="s">
        <v>779</v>
      </c>
      <c r="K83" s="4">
        <v>-3334.64</v>
      </c>
      <c r="L83" s="4">
        <v>0</v>
      </c>
      <c r="M83" s="4">
        <v>683.99</v>
      </c>
      <c r="N83" s="4">
        <v>-4018.63</v>
      </c>
      <c r="O83" s="4">
        <f>Tab_06.Jun[[#This Row],[DÉBITO]]-Tab_06.Jun[[#This Row],[CRÉDITO]]</f>
        <v>-683.99</v>
      </c>
    </row>
    <row r="84" spans="2:15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A</v>
      </c>
      <c r="E84" s="2">
        <f>IF($I84="","",COUNTIFS(Tab_00.Trial[CONTA],$I84))</f>
        <v>1</v>
      </c>
      <c r="F84" s="4">
        <f>SUMIFS(Tab_05.Mai[SALDO
ATUAL],Tab_05.Mai[CONTA],$I84)</f>
        <v>-416.83</v>
      </c>
      <c r="G84" s="4">
        <f t="shared" si="4"/>
        <v>0</v>
      </c>
      <c r="H84">
        <v>20165</v>
      </c>
      <c r="I84" s="3" t="s">
        <v>780</v>
      </c>
      <c r="J84" s="3" t="s">
        <v>781</v>
      </c>
      <c r="K84" s="4">
        <v>-416.83</v>
      </c>
      <c r="L84" s="4">
        <v>0</v>
      </c>
      <c r="M84" s="4">
        <v>85.49</v>
      </c>
      <c r="N84" s="4">
        <v>-502.32</v>
      </c>
      <c r="O84" s="4">
        <f>Tab_06.Jun[[#This Row],[DÉBITO]]-Tab_06.Jun[[#This Row],[CRÉDITO]]</f>
        <v>-85.49</v>
      </c>
    </row>
    <row r="85" spans="2:15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A</v>
      </c>
      <c r="E85" s="2">
        <f>IF($I85="","",COUNTIFS(Tab_00.Trial[CONTA],$I85))</f>
        <v>1</v>
      </c>
      <c r="F85" s="4">
        <f>SUMIFS(Tab_05.Mai[SALDO
ATUAL],Tab_05.Mai[CONTA],$I85)</f>
        <v>-11171.18</v>
      </c>
      <c r="G85" s="4">
        <f t="shared" si="4"/>
        <v>0</v>
      </c>
      <c r="H85">
        <v>10097</v>
      </c>
      <c r="I85" s="3" t="s">
        <v>782</v>
      </c>
      <c r="J85" s="3" t="s">
        <v>783</v>
      </c>
      <c r="K85" s="4">
        <v>-11171.18</v>
      </c>
      <c r="L85" s="4">
        <v>0</v>
      </c>
      <c r="M85" s="4">
        <v>2291.39</v>
      </c>
      <c r="N85" s="4">
        <v>-13462.57</v>
      </c>
      <c r="O85" s="4">
        <f>Tab_06.Jun[[#This Row],[DÉBITO]]-Tab_06.Jun[[#This Row],[CRÉDITO]]</f>
        <v>-2291.39</v>
      </c>
    </row>
    <row r="86" spans="2:15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S</v>
      </c>
      <c r="E86" s="2">
        <f>IF($I86="","",COUNTIFS(Tab_00.Trial[CONTA],$I86))</f>
        <v>1</v>
      </c>
      <c r="F86" s="4">
        <f>SUMIFS(Tab_05.Mai[SALDO
ATUAL],Tab_05.Mai[CONTA],$I86)</f>
        <v>-236606.97</v>
      </c>
      <c r="G86" s="4">
        <f t="shared" si="4"/>
        <v>0</v>
      </c>
      <c r="H86">
        <v>20180</v>
      </c>
      <c r="I86" s="3" t="s">
        <v>561</v>
      </c>
      <c r="J86" s="3" t="s">
        <v>657</v>
      </c>
      <c r="K86" s="4">
        <v>-236606.97</v>
      </c>
      <c r="L86" s="4">
        <v>0</v>
      </c>
      <c r="M86" s="4">
        <v>15481.32</v>
      </c>
      <c r="N86" s="4">
        <v>-252088.29</v>
      </c>
      <c r="O86" s="4">
        <f>Tab_06.Jun[[#This Row],[DÉBITO]]-Tab_06.Jun[[#This Row],[CRÉDITO]]</f>
        <v>-15481.32</v>
      </c>
    </row>
    <row r="87" spans="2:15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A</v>
      </c>
      <c r="E87" s="2">
        <f>IF($I87="","",COUNTIFS(Tab_00.Trial[CONTA],$I87))</f>
        <v>1</v>
      </c>
      <c r="F87" s="4">
        <f>SUMIFS(Tab_05.Mai[SALDO
ATUAL],Tab_05.Mai[CONTA],$I87)</f>
        <v>-174044.7</v>
      </c>
      <c r="G87" s="4">
        <f t="shared" si="4"/>
        <v>0</v>
      </c>
      <c r="H87">
        <v>20195</v>
      </c>
      <c r="I87" s="3" t="s">
        <v>334</v>
      </c>
      <c r="J87" s="3" t="s">
        <v>335</v>
      </c>
      <c r="K87" s="4">
        <v>-174044.7</v>
      </c>
      <c r="L87" s="4">
        <v>0</v>
      </c>
      <c r="M87" s="4">
        <v>11400.06</v>
      </c>
      <c r="N87" s="4">
        <v>-185444.76</v>
      </c>
      <c r="O87" s="4">
        <f>Tab_06.Jun[[#This Row],[DÉBITO]]-Tab_06.Jun[[#This Row],[CRÉDITO]]</f>
        <v>-11400.06</v>
      </c>
    </row>
    <row r="88" spans="2:15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A</v>
      </c>
      <c r="E88" s="2">
        <f>IF($I88="","",COUNTIFS(Tab_00.Trial[CONTA],$I88))</f>
        <v>1</v>
      </c>
      <c r="F88" s="4">
        <f>SUMIFS(Tab_05.Mai[SALDO
ATUAL],Tab_05.Mai[CONTA],$I88)</f>
        <v>-13923.42</v>
      </c>
      <c r="G88" s="4">
        <f t="shared" si="4"/>
        <v>0</v>
      </c>
      <c r="H88">
        <v>20210</v>
      </c>
      <c r="I88" s="3" t="s">
        <v>784</v>
      </c>
      <c r="J88" s="3" t="s">
        <v>785</v>
      </c>
      <c r="K88" s="4">
        <v>-13923.42</v>
      </c>
      <c r="L88" s="4">
        <v>0</v>
      </c>
      <c r="M88" s="4">
        <v>911.99</v>
      </c>
      <c r="N88" s="4">
        <v>-14835.41</v>
      </c>
      <c r="O88" s="4">
        <f>Tab_06.Jun[[#This Row],[DÉBITO]]-Tab_06.Jun[[#This Row],[CRÉDITO]]</f>
        <v>-911.99</v>
      </c>
    </row>
    <row r="89" spans="2:15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A</v>
      </c>
      <c r="E89" s="2">
        <f>IF($I89="","",COUNTIFS(Tab_00.Trial[CONTA],$I89))</f>
        <v>1</v>
      </c>
      <c r="F89" s="4">
        <f>SUMIFS(Tab_05.Mai[SALDO
ATUAL],Tab_05.Mai[CONTA],$I89)</f>
        <v>-1994.85</v>
      </c>
      <c r="G89" s="4">
        <f t="shared" si="4"/>
        <v>0</v>
      </c>
      <c r="H89">
        <v>20225</v>
      </c>
      <c r="I89" s="3" t="s">
        <v>786</v>
      </c>
      <c r="J89" s="3" t="s">
        <v>787</v>
      </c>
      <c r="K89" s="4">
        <v>-1994.85</v>
      </c>
      <c r="L89" s="4">
        <v>0</v>
      </c>
      <c r="M89" s="4">
        <v>114</v>
      </c>
      <c r="N89" s="4">
        <v>-2108.85</v>
      </c>
      <c r="O89" s="4">
        <f>Tab_06.Jun[[#This Row],[DÉBITO]]-Tab_06.Jun[[#This Row],[CRÉDITO]]</f>
        <v>-114</v>
      </c>
    </row>
    <row r="90" spans="2:15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A</v>
      </c>
      <c r="E90" s="2">
        <f>IF($I90="","",COUNTIFS(Tab_00.Trial[CONTA],$I90))</f>
        <v>1</v>
      </c>
      <c r="F90" s="4">
        <f>SUMIFS(Tab_05.Mai[SALDO
ATUAL],Tab_05.Mai[CONTA],$I90)</f>
        <v>-46644</v>
      </c>
      <c r="G90" s="4">
        <f t="shared" si="4"/>
        <v>0</v>
      </c>
      <c r="H90">
        <v>10104</v>
      </c>
      <c r="I90" s="3" t="s">
        <v>788</v>
      </c>
      <c r="J90" s="3" t="s">
        <v>789</v>
      </c>
      <c r="K90" s="4">
        <v>-46644</v>
      </c>
      <c r="L90" s="4">
        <v>0</v>
      </c>
      <c r="M90" s="4">
        <v>3055.27</v>
      </c>
      <c r="N90" s="4">
        <v>-49699.27</v>
      </c>
      <c r="O90" s="4">
        <f>Tab_06.Jun[[#This Row],[DÉBITO]]-Tab_06.Jun[[#This Row],[CRÉDITO]]</f>
        <v>-3055.27</v>
      </c>
    </row>
    <row r="91" spans="2:15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S</v>
      </c>
      <c r="E91" s="2">
        <f>IF($I91="","",COUNTIFS(Tab_00.Trial[CONTA],$I91))</f>
        <v>1</v>
      </c>
      <c r="F91" s="4">
        <f>SUMIFS(Tab_05.Mai[SALDO
ATUAL],Tab_05.Mai[CONTA],$I91)</f>
        <v>-32380.61</v>
      </c>
      <c r="G91" s="4">
        <f t="shared" si="4"/>
        <v>0</v>
      </c>
      <c r="H91">
        <v>20240</v>
      </c>
      <c r="I91" s="3" t="s">
        <v>562</v>
      </c>
      <c r="J91" s="3" t="s">
        <v>658</v>
      </c>
      <c r="K91" s="4">
        <v>-32380.61</v>
      </c>
      <c r="L91" s="4">
        <v>36668.61</v>
      </c>
      <c r="M91" s="4">
        <v>36871.050000000003</v>
      </c>
      <c r="N91" s="4">
        <v>-32583.05</v>
      </c>
      <c r="O91" s="4">
        <f>Tab_06.Jun[[#This Row],[DÉBITO]]-Tab_06.Jun[[#This Row],[CRÉDITO]]</f>
        <v>-202.44</v>
      </c>
    </row>
    <row r="92" spans="2:15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A</v>
      </c>
      <c r="E92" s="2">
        <f>IF($I92="","",COUNTIFS(Tab_00.Trial[CONTA],$I92))</f>
        <v>1</v>
      </c>
      <c r="F92" s="4">
        <f>SUMIFS(Tab_05.Mai[SALDO
ATUAL],Tab_05.Mai[CONTA],$I92)</f>
        <v>-31867.63</v>
      </c>
      <c r="G92" s="4">
        <f t="shared" si="4"/>
        <v>0</v>
      </c>
      <c r="H92">
        <v>20255</v>
      </c>
      <c r="I92" s="3" t="s">
        <v>336</v>
      </c>
      <c r="J92" s="3" t="s">
        <v>337</v>
      </c>
      <c r="K92" s="4">
        <v>-31867.63</v>
      </c>
      <c r="L92" s="4">
        <v>36155.629999999997</v>
      </c>
      <c r="M92" s="4">
        <v>36358.07</v>
      </c>
      <c r="N92" s="4">
        <v>-32070.07</v>
      </c>
      <c r="O92" s="4">
        <f>Tab_06.Jun[[#This Row],[DÉBITO]]-Tab_06.Jun[[#This Row],[CRÉDITO]]</f>
        <v>-202.44</v>
      </c>
    </row>
    <row r="93" spans="2:15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A</v>
      </c>
      <c r="E93" s="2">
        <f>IF($I93="","",COUNTIFS(Tab_00.Trial[CONTA],$I93))</f>
        <v>1</v>
      </c>
      <c r="F93" s="4">
        <f>SUMIFS(Tab_05.Mai[SALDO
ATUAL],Tab_05.Mai[CONTA],$I93)</f>
        <v>-512.98</v>
      </c>
      <c r="G93" s="4">
        <f t="shared" si="4"/>
        <v>0</v>
      </c>
      <c r="H93">
        <v>20270</v>
      </c>
      <c r="I93" s="3" t="s">
        <v>338</v>
      </c>
      <c r="J93" s="3" t="s">
        <v>339</v>
      </c>
      <c r="K93" s="4">
        <v>-512.98</v>
      </c>
      <c r="L93" s="4">
        <v>512.98</v>
      </c>
      <c r="M93" s="4">
        <v>512.98</v>
      </c>
      <c r="N93" s="4">
        <v>-512.98</v>
      </c>
      <c r="O93" s="4">
        <f>Tab_06.Jun[[#This Row],[DÉBITO]]-Tab_06.Jun[[#This Row],[CRÉDITO]]</f>
        <v>0</v>
      </c>
    </row>
    <row r="94" spans="2:15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S</v>
      </c>
      <c r="E94" s="2">
        <f>IF($I94="","",COUNTIFS(Tab_00.Trial[CONTA],$I94))</f>
        <v>1</v>
      </c>
      <c r="F94" s="4">
        <f>SUMIFS(Tab_05.Mai[SALDO
ATUAL],Tab_05.Mai[CONTA],$I94)</f>
        <v>-13601.22</v>
      </c>
      <c r="G94" s="4">
        <f t="shared" si="4"/>
        <v>0</v>
      </c>
      <c r="H94">
        <v>20345</v>
      </c>
      <c r="I94" s="3" t="s">
        <v>563</v>
      </c>
      <c r="J94" s="3" t="s">
        <v>659</v>
      </c>
      <c r="K94" s="4">
        <v>-13601.22</v>
      </c>
      <c r="L94" s="4">
        <v>11005.42</v>
      </c>
      <c r="M94" s="4">
        <v>7476.97</v>
      </c>
      <c r="N94" s="4">
        <v>-10072.77</v>
      </c>
      <c r="O94" s="4">
        <f>Tab_06.Jun[[#This Row],[DÉBITO]]-Tab_06.Jun[[#This Row],[CRÉDITO]]</f>
        <v>3528.45</v>
      </c>
    </row>
    <row r="95" spans="2:15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A</v>
      </c>
      <c r="E95" s="2">
        <f>IF($I95="","",COUNTIFS(Tab_00.Trial[CONTA],$I95))</f>
        <v>1</v>
      </c>
      <c r="F95" s="4">
        <f>SUMIFS(Tab_05.Mai[SALDO
ATUAL],Tab_05.Mai[CONTA],$I95)</f>
        <v>-12585.64</v>
      </c>
      <c r="G95" s="4">
        <f t="shared" si="4"/>
        <v>0</v>
      </c>
      <c r="H95">
        <v>20360</v>
      </c>
      <c r="I95" s="3" t="s">
        <v>340</v>
      </c>
      <c r="J95" s="3" t="s">
        <v>341</v>
      </c>
      <c r="K95" s="4">
        <v>-12585.64</v>
      </c>
      <c r="L95" s="4">
        <v>9989.84</v>
      </c>
      <c r="M95" s="4">
        <v>6447.51</v>
      </c>
      <c r="N95" s="4">
        <v>-9043.31</v>
      </c>
      <c r="O95" s="4">
        <f>Tab_06.Jun[[#This Row],[DÉBITO]]-Tab_06.Jun[[#This Row],[CRÉDITO]]</f>
        <v>3542.33</v>
      </c>
    </row>
    <row r="96" spans="2:15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A</v>
      </c>
      <c r="E96" s="2">
        <f>IF($I96="","",COUNTIFS(Tab_00.Trial[CONTA],$I96))</f>
        <v>1</v>
      </c>
      <c r="F96" s="4">
        <f>SUMIFS(Tab_05.Mai[SALDO
ATUAL],Tab_05.Mai[CONTA],$I96)</f>
        <v>-1015.58</v>
      </c>
      <c r="G96" s="4">
        <f t="shared" si="4"/>
        <v>0</v>
      </c>
      <c r="H96">
        <v>20375</v>
      </c>
      <c r="I96" s="3" t="s">
        <v>342</v>
      </c>
      <c r="J96" s="3" t="s">
        <v>343</v>
      </c>
      <c r="K96" s="4">
        <v>-1015.58</v>
      </c>
      <c r="L96" s="4">
        <v>1015.58</v>
      </c>
      <c r="M96" s="4">
        <v>1029.46</v>
      </c>
      <c r="N96" s="4">
        <v>-1029.46</v>
      </c>
      <c r="O96" s="4">
        <f>Tab_06.Jun[[#This Row],[DÉBITO]]-Tab_06.Jun[[#This Row],[CRÉDITO]]</f>
        <v>-13.88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S</v>
      </c>
      <c r="E97" s="2">
        <f>IF($I97="","",COUNTIFS(Tab_00.Trial[CONTA],$I97))</f>
        <v>1</v>
      </c>
      <c r="F97" s="4">
        <f>SUMIFS(Tab_05.Mai[SALDO
ATUAL],Tab_05.Mai[CONTA],$I97)</f>
        <v>-1040827.89</v>
      </c>
      <c r="G97" s="4">
        <f t="shared" si="4"/>
        <v>0</v>
      </c>
      <c r="H97">
        <v>20390</v>
      </c>
      <c r="I97" s="3" t="s">
        <v>218</v>
      </c>
      <c r="J97" s="3" t="s">
        <v>660</v>
      </c>
      <c r="K97" s="4">
        <v>-1040827.89</v>
      </c>
      <c r="L97" s="4">
        <v>634550.29</v>
      </c>
      <c r="M97" s="4">
        <v>493704.91</v>
      </c>
      <c r="N97" s="4">
        <v>-899982.51</v>
      </c>
      <c r="O97" s="4">
        <f>Tab_06.Jun[[#This Row],[DÉBITO]]-Tab_06.Jun[[#This Row],[CRÉDITO]]</f>
        <v>140845.38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S</v>
      </c>
      <c r="E98" s="2">
        <f>IF($I98="","",COUNTIFS(Tab_00.Trial[CONTA],$I98))</f>
        <v>1</v>
      </c>
      <c r="F98" s="4">
        <f>SUMIFS(Tab_05.Mai[SALDO
ATUAL],Tab_05.Mai[CONTA],$I98)</f>
        <v>-84531.28</v>
      </c>
      <c r="G98" s="4">
        <f t="shared" si="4"/>
        <v>0</v>
      </c>
      <c r="H98">
        <v>20405</v>
      </c>
      <c r="I98" s="3" t="s">
        <v>219</v>
      </c>
      <c r="J98" s="3" t="s">
        <v>56</v>
      </c>
      <c r="K98" s="4">
        <v>-84531.28</v>
      </c>
      <c r="L98" s="4">
        <v>427602.27</v>
      </c>
      <c r="M98" s="4">
        <v>434012.76</v>
      </c>
      <c r="N98" s="4">
        <v>-90941.77</v>
      </c>
      <c r="O98" s="4">
        <f>Tab_06.Jun[[#This Row],[DÉBITO]]-Tab_06.Jun[[#This Row],[CRÉDITO]]</f>
        <v>-6410.49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A</v>
      </c>
      <c r="E99" s="2">
        <f>IF($I99="","",COUNTIFS(Tab_00.Trial[CONTA],$I99))</f>
        <v>1</v>
      </c>
      <c r="F99" s="4">
        <f>SUMIFS(Tab_05.Mai[SALDO
ATUAL],Tab_05.Mai[CONTA],$I99)</f>
        <v>-84531.28</v>
      </c>
      <c r="G99" s="4">
        <f t="shared" si="4"/>
        <v>0</v>
      </c>
      <c r="H99">
        <v>20420</v>
      </c>
      <c r="I99" s="3" t="s">
        <v>344</v>
      </c>
      <c r="J99" s="3" t="s">
        <v>56</v>
      </c>
      <c r="K99" s="4">
        <v>-84531.28</v>
      </c>
      <c r="L99" s="4">
        <v>427602.27</v>
      </c>
      <c r="M99" s="4">
        <v>434012.76</v>
      </c>
      <c r="N99" s="4">
        <v>-90941.77</v>
      </c>
      <c r="O99" s="4">
        <f>Tab_06.Jun[[#This Row],[DÉBITO]]-Tab_06.Jun[[#This Row],[CRÉDITO]]</f>
        <v>-6410.49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S</v>
      </c>
      <c r="E100" s="2">
        <f>IF($I100="","",COUNTIFS(Tab_00.Trial[CONTA],$I100))</f>
        <v>1</v>
      </c>
      <c r="F100" s="4">
        <f>SUMIFS(Tab_05.Mai[SALDO
ATUAL],Tab_05.Mai[CONTA],$I100)</f>
        <v>-956296.61</v>
      </c>
      <c r="G100" s="4">
        <f t="shared" si="4"/>
        <v>0</v>
      </c>
      <c r="H100">
        <v>20455</v>
      </c>
      <c r="I100" s="3" t="s">
        <v>220</v>
      </c>
      <c r="J100" s="3" t="s">
        <v>346</v>
      </c>
      <c r="K100" s="4">
        <v>-956296.61</v>
      </c>
      <c r="L100" s="4">
        <v>206948.02</v>
      </c>
      <c r="M100" s="4">
        <v>59692.15</v>
      </c>
      <c r="N100" s="4">
        <v>-809040.74</v>
      </c>
      <c r="O100" s="4">
        <f>Tab_06.Jun[[#This Row],[DÉBITO]]-Tab_06.Jun[[#This Row],[CRÉDITO]]</f>
        <v>147255.87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A</v>
      </c>
      <c r="E101" s="2">
        <f>IF($I101="","",COUNTIFS(Tab_00.Trial[CONTA],$I101))</f>
        <v>1</v>
      </c>
      <c r="F101" s="4">
        <f>SUMIFS(Tab_05.Mai[SALDO
ATUAL],Tab_05.Mai[CONTA],$I101)</f>
        <v>-956296.61</v>
      </c>
      <c r="G101" s="4">
        <f t="shared" si="4"/>
        <v>0</v>
      </c>
      <c r="H101">
        <v>20460</v>
      </c>
      <c r="I101" s="3" t="s">
        <v>345</v>
      </c>
      <c r="J101" s="3" t="s">
        <v>346</v>
      </c>
      <c r="K101" s="4">
        <v>-956296.61</v>
      </c>
      <c r="L101" s="4">
        <v>206948.02</v>
      </c>
      <c r="M101" s="4">
        <v>59692.15</v>
      </c>
      <c r="N101" s="4">
        <v>-809040.74</v>
      </c>
      <c r="O101" s="4">
        <f>Tab_06.Jun[[#This Row],[DÉBITO]]-Tab_06.Jun[[#This Row],[CRÉDITO]]</f>
        <v>147255.87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S</v>
      </c>
      <c r="E102" s="2">
        <f>IF($I102="","",COUNTIFS(Tab_00.Trial[CONTA],$I102))</f>
        <v>1</v>
      </c>
      <c r="F102" s="4">
        <f>SUMIFS(Tab_05.Mai[SALDO
ATUAL],Tab_05.Mai[CONTA],$I102)</f>
        <v>-17388.27</v>
      </c>
      <c r="G102" s="4">
        <f t="shared" si="4"/>
        <v>0</v>
      </c>
      <c r="H102">
        <v>20465</v>
      </c>
      <c r="I102" s="3" t="s">
        <v>221</v>
      </c>
      <c r="J102" s="3" t="s">
        <v>661</v>
      </c>
      <c r="K102" s="4">
        <v>-17388.27</v>
      </c>
      <c r="L102" s="4">
        <v>18769.16</v>
      </c>
      <c r="M102" s="4">
        <v>23460.49</v>
      </c>
      <c r="N102" s="4">
        <v>-22079.599999999999</v>
      </c>
      <c r="O102" s="4">
        <f>Tab_06.Jun[[#This Row],[DÉBITO]]-Tab_06.Jun[[#This Row],[CRÉDITO]]</f>
        <v>-4691.33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S</v>
      </c>
      <c r="E103" s="2">
        <f>IF($I103="","",COUNTIFS(Tab_00.Trial[CONTA],$I103))</f>
        <v>1</v>
      </c>
      <c r="F103" s="4">
        <f>SUMIFS(Tab_05.Mai[SALDO
ATUAL],Tab_05.Mai[CONTA],$I103)</f>
        <v>-17388.27</v>
      </c>
      <c r="G103" s="4">
        <f t="shared" si="4"/>
        <v>0</v>
      </c>
      <c r="H103">
        <v>20480</v>
      </c>
      <c r="I103" s="3" t="s">
        <v>222</v>
      </c>
      <c r="J103" s="3" t="s">
        <v>662</v>
      </c>
      <c r="K103" s="4">
        <v>-17388.27</v>
      </c>
      <c r="L103" s="4">
        <v>18769.16</v>
      </c>
      <c r="M103" s="4">
        <v>23460.49</v>
      </c>
      <c r="N103" s="4">
        <v>-22079.599999999999</v>
      </c>
      <c r="O103" s="4">
        <f>Tab_06.Jun[[#This Row],[DÉBITO]]-Tab_06.Jun[[#This Row],[CRÉDITO]]</f>
        <v>-4691.33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A</v>
      </c>
      <c r="E104" s="2">
        <f>IF($I104="","",COUNTIFS(Tab_00.Trial[CONTA],$I104))</f>
        <v>1</v>
      </c>
      <c r="F104" s="4">
        <f>SUMIFS(Tab_05.Mai[SALDO
ATUAL],Tab_05.Mai[CONTA],$I104)</f>
        <v>-417.28</v>
      </c>
      <c r="G104" s="4">
        <f t="shared" si="4"/>
        <v>0</v>
      </c>
      <c r="H104">
        <v>20495</v>
      </c>
      <c r="I104" s="3" t="s">
        <v>191</v>
      </c>
      <c r="J104" s="3" t="s">
        <v>347</v>
      </c>
      <c r="K104" s="4">
        <v>-417.28</v>
      </c>
      <c r="L104" s="4">
        <v>583.54</v>
      </c>
      <c r="M104" s="4">
        <v>1778.47</v>
      </c>
      <c r="N104" s="4">
        <v>-1612.21</v>
      </c>
      <c r="O104" s="4">
        <f>Tab_06.Jun[[#This Row],[DÉBITO]]-Tab_06.Jun[[#This Row],[CRÉDITO]]</f>
        <v>-1194.93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A</v>
      </c>
      <c r="E105" s="2">
        <f>IF($I105="","",COUNTIFS(Tab_00.Trial[CONTA],$I105))</f>
        <v>1</v>
      </c>
      <c r="F105" s="4">
        <f>SUMIFS(Tab_05.Mai[SALDO
ATUAL],Tab_05.Mai[CONTA],$I105)</f>
        <v>-15450.8</v>
      </c>
      <c r="G105" s="4">
        <f t="shared" si="4"/>
        <v>0</v>
      </c>
      <c r="H105">
        <v>20510</v>
      </c>
      <c r="I105" s="3" t="s">
        <v>192</v>
      </c>
      <c r="J105" s="3" t="s">
        <v>348</v>
      </c>
      <c r="K105" s="4">
        <v>-15450.8</v>
      </c>
      <c r="L105" s="4">
        <v>15450.8</v>
      </c>
      <c r="M105" s="4">
        <v>15479</v>
      </c>
      <c r="N105" s="4">
        <v>-15479</v>
      </c>
      <c r="O105" s="4">
        <f>Tab_06.Jun[[#This Row],[DÉBITO]]-Tab_06.Jun[[#This Row],[CRÉDITO]]</f>
        <v>-28.2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A</v>
      </c>
      <c r="E106" s="2">
        <f>IF($I106="","",COUNTIFS(Tab_00.Trial[CONTA],$I106))</f>
        <v>1</v>
      </c>
      <c r="F106" s="4">
        <f>SUMIFS(Tab_05.Mai[SALDO
ATUAL],Tab_05.Mai[CONTA],$I106)</f>
        <v>-559.29999999999995</v>
      </c>
      <c r="G106" s="4">
        <f t="shared" si="4"/>
        <v>0</v>
      </c>
      <c r="H106">
        <v>20515</v>
      </c>
      <c r="I106" s="3" t="s">
        <v>264</v>
      </c>
      <c r="J106" s="3" t="s">
        <v>349</v>
      </c>
      <c r="K106" s="4">
        <v>-559.29999999999995</v>
      </c>
      <c r="L106" s="4">
        <v>572.5</v>
      </c>
      <c r="M106" s="4">
        <v>348.35</v>
      </c>
      <c r="N106" s="4">
        <v>-335.15</v>
      </c>
      <c r="O106" s="4">
        <f>Tab_06.Jun[[#This Row],[DÉBITO]]-Tab_06.Jun[[#This Row],[CRÉDITO]]</f>
        <v>224.15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A</v>
      </c>
      <c r="E107" s="2">
        <f>IF($I107="","",COUNTIFS(Tab_00.Trial[CONTA],$I107))</f>
        <v>1</v>
      </c>
      <c r="F107" s="4">
        <f>SUMIFS(Tab_05.Mai[SALDO
ATUAL],Tab_05.Mai[CONTA],$I107)</f>
        <v>-938.44</v>
      </c>
      <c r="G107" s="4">
        <f t="shared" si="4"/>
        <v>0</v>
      </c>
      <c r="H107">
        <v>20525</v>
      </c>
      <c r="I107" s="3" t="s">
        <v>350</v>
      </c>
      <c r="J107" s="3" t="s">
        <v>351</v>
      </c>
      <c r="K107" s="4">
        <v>-938.44</v>
      </c>
      <c r="L107" s="4">
        <v>2151.15</v>
      </c>
      <c r="M107" s="4">
        <v>5843.5</v>
      </c>
      <c r="N107" s="4">
        <v>-4630.79</v>
      </c>
      <c r="O107" s="4">
        <f>Tab_06.Jun[[#This Row],[DÉBITO]]-Tab_06.Jun[[#This Row],[CRÉDITO]]</f>
        <v>-3692.35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A</v>
      </c>
      <c r="E108" s="2">
        <f>IF($I108="","",COUNTIFS(Tab_00.Trial[CONTA],$I108))</f>
        <v>1</v>
      </c>
      <c r="F108" s="4">
        <f>SUMIFS(Tab_05.Mai[SALDO
ATUAL],Tab_05.Mai[CONTA],$I108)</f>
        <v>-22.45</v>
      </c>
      <c r="G108" s="4">
        <f t="shared" si="4"/>
        <v>0</v>
      </c>
      <c r="H108">
        <v>20540</v>
      </c>
      <c r="I108" s="3" t="s">
        <v>352</v>
      </c>
      <c r="J108" s="3" t="s">
        <v>353</v>
      </c>
      <c r="K108" s="4">
        <v>-22.45</v>
      </c>
      <c r="L108" s="4">
        <v>11.17</v>
      </c>
      <c r="M108" s="4">
        <v>11.17</v>
      </c>
      <c r="N108" s="4">
        <v>-22.45</v>
      </c>
      <c r="O108" s="4">
        <f>Tab_06.Jun[[#This Row],[DÉBITO]]-Tab_06.Jun[[#This Row],[CRÉDITO]]</f>
        <v>0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S</v>
      </c>
      <c r="E109" s="2">
        <f>IF($I109="","",COUNTIFS(Tab_00.Trial[CONTA],$I109))</f>
        <v>1</v>
      </c>
      <c r="F109" s="4">
        <f>SUMIFS(Tab_05.Mai[SALDO
ATUAL],Tab_05.Mai[CONTA],$I109)</f>
        <v>-22473.51</v>
      </c>
      <c r="G109" s="4">
        <f t="shared" si="4"/>
        <v>0</v>
      </c>
      <c r="H109">
        <v>20690</v>
      </c>
      <c r="I109" s="3" t="s">
        <v>224</v>
      </c>
      <c r="J109" s="3" t="s">
        <v>664</v>
      </c>
      <c r="K109" s="4">
        <v>-22473.51</v>
      </c>
      <c r="L109" s="4">
        <v>589.54</v>
      </c>
      <c r="M109" s="4">
        <v>640.74</v>
      </c>
      <c r="N109" s="4">
        <v>-22524.71</v>
      </c>
      <c r="O109" s="4">
        <f>Tab_06.Jun[[#This Row],[DÉBITO]]-Tab_06.Jun[[#This Row],[CRÉDITO]]</f>
        <v>-51.2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S</v>
      </c>
      <c r="E110" s="2">
        <f>IF($I110="","",COUNTIFS(Tab_00.Trial[CONTA],$I110))</f>
        <v>1</v>
      </c>
      <c r="F110" s="4">
        <f>SUMIFS(Tab_05.Mai[SALDO
ATUAL],Tab_05.Mai[CONTA],$I110)</f>
        <v>-22473.51</v>
      </c>
      <c r="G110" s="4">
        <f t="shared" si="4"/>
        <v>0</v>
      </c>
      <c r="H110">
        <v>20705</v>
      </c>
      <c r="I110" s="3" t="s">
        <v>225</v>
      </c>
      <c r="J110" s="3" t="s">
        <v>665</v>
      </c>
      <c r="K110" s="4">
        <v>-22473.51</v>
      </c>
      <c r="L110" s="4">
        <v>589.54</v>
      </c>
      <c r="M110" s="4">
        <v>640.74</v>
      </c>
      <c r="N110" s="4">
        <v>-22524.71</v>
      </c>
      <c r="O110" s="4">
        <f>Tab_06.Jun[[#This Row],[DÉBITO]]-Tab_06.Jun[[#This Row],[CRÉDITO]]</f>
        <v>-51.2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A</v>
      </c>
      <c r="E111" s="2">
        <f>IF($I111="","",COUNTIFS(Tab_00.Trial[CONTA],$I111))</f>
        <v>1</v>
      </c>
      <c r="F111" s="4">
        <f>SUMIFS(Tab_05.Mai[SALDO
ATUAL],Tab_05.Mai[CONTA],$I111)</f>
        <v>-22473.51</v>
      </c>
      <c r="G111" s="4">
        <f t="shared" si="4"/>
        <v>0</v>
      </c>
      <c r="H111">
        <v>20750</v>
      </c>
      <c r="I111" s="3" t="s">
        <v>356</v>
      </c>
      <c r="J111" s="3" t="s">
        <v>357</v>
      </c>
      <c r="K111" s="4">
        <v>-22473.51</v>
      </c>
      <c r="L111" s="4">
        <v>589.54</v>
      </c>
      <c r="M111" s="4">
        <v>640.74</v>
      </c>
      <c r="N111" s="4">
        <v>-22524.71</v>
      </c>
      <c r="O111" s="4">
        <f>Tab_06.Jun[[#This Row],[DÉBITO]]-Tab_06.Jun[[#This Row],[CRÉDITO]]</f>
        <v>-51.2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S</v>
      </c>
      <c r="E112" s="2">
        <f>IF($I112="","",COUNTIFS(Tab_00.Trial[CONTA],$I112))</f>
        <v>1</v>
      </c>
      <c r="F112" s="4">
        <f>SUMIFS(Tab_05.Mai[SALDO
ATUAL],Tab_05.Mai[CONTA],$I112)</f>
        <v>-3849.2</v>
      </c>
      <c r="G112" s="4">
        <f t="shared" si="4"/>
        <v>0</v>
      </c>
      <c r="H112">
        <v>20765</v>
      </c>
      <c r="I112" s="3" t="s">
        <v>564</v>
      </c>
      <c r="J112" s="3" t="s">
        <v>666</v>
      </c>
      <c r="K112" s="4">
        <v>-3849.2</v>
      </c>
      <c r="L112" s="4">
        <v>0</v>
      </c>
      <c r="M112" s="4">
        <v>0</v>
      </c>
      <c r="N112" s="4">
        <v>-3849.2</v>
      </c>
      <c r="O112" s="4">
        <f>Tab_06.Jun[[#This Row],[DÉBITO]]-Tab_06.Jun[[#This Row],[CRÉDITO]]</f>
        <v>0</v>
      </c>
    </row>
    <row r="113" spans="2:15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S</v>
      </c>
      <c r="E113" s="2">
        <f>IF($I113="","",COUNTIFS(Tab_00.Trial[CONTA],$I113))</f>
        <v>1</v>
      </c>
      <c r="F113" s="4">
        <f>SUMIFS(Tab_05.Mai[SALDO
ATUAL],Tab_05.Mai[CONTA],$I113)</f>
        <v>-3849.2</v>
      </c>
      <c r="G113" s="4">
        <f t="shared" si="4"/>
        <v>0</v>
      </c>
      <c r="H113">
        <v>20780</v>
      </c>
      <c r="I113" s="3" t="s">
        <v>565</v>
      </c>
      <c r="J113" s="3" t="s">
        <v>667</v>
      </c>
      <c r="K113" s="4">
        <v>-3849.2</v>
      </c>
      <c r="L113" s="4">
        <v>0</v>
      </c>
      <c r="M113" s="4">
        <v>0</v>
      </c>
      <c r="N113" s="4">
        <v>-3849.2</v>
      </c>
      <c r="O113" s="4">
        <f>Tab_06.Jun[[#This Row],[DÉBITO]]-Tab_06.Jun[[#This Row],[CRÉDITO]]</f>
        <v>0</v>
      </c>
    </row>
    <row r="114" spans="2:15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5</v>
      </c>
      <c r="D114" s="2" t="str">
        <f>_xlfn.XLOOKUP($I114,Tab_00.Trial[CONTA],Tab_00.Trial[S/A],"",0,1)</f>
        <v>A</v>
      </c>
      <c r="E114" s="2">
        <f>IF($I114="","",COUNTIFS(Tab_00.Trial[CONTA],$I114))</f>
        <v>1</v>
      </c>
      <c r="F114" s="4">
        <f>SUMIFS(Tab_05.Mai[SALDO
ATUAL],Tab_05.Mai[CONTA],$I114)</f>
        <v>-3849.2</v>
      </c>
      <c r="G114" s="4">
        <f t="shared" ref="G114:G145" si="5">$F114-$K114</f>
        <v>0</v>
      </c>
      <c r="H114">
        <v>20790</v>
      </c>
      <c r="I114" s="3" t="s">
        <v>358</v>
      </c>
      <c r="J114" s="3" t="s">
        <v>359</v>
      </c>
      <c r="K114" s="4">
        <v>-3849.2</v>
      </c>
      <c r="L114" s="4">
        <v>0</v>
      </c>
      <c r="M114" s="4">
        <v>0</v>
      </c>
      <c r="N114" s="4">
        <v>-3849.2</v>
      </c>
      <c r="O114" s="4">
        <f>Tab_06.Jun[[#This Row],[DÉBITO]]-Tab_06.Jun[[#This Row],[CRÉDITO]]</f>
        <v>0</v>
      </c>
    </row>
    <row r="115" spans="2:15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2</v>
      </c>
      <c r="D115" s="2" t="str">
        <f>_xlfn.XLOOKUP($I115,Tab_00.Trial[CONTA],Tab_00.Trial[S/A],"",0,1)</f>
        <v>S</v>
      </c>
      <c r="E115" s="2">
        <f>IF($I115="","",COUNTIFS(Tab_00.Trial[CONTA],$I115))</f>
        <v>1</v>
      </c>
      <c r="F115" s="4">
        <f>SUMIFS(Tab_05.Mai[SALDO
ATUAL],Tab_05.Mai[CONTA],$I115)</f>
        <v>-46934.04</v>
      </c>
      <c r="G115" s="4">
        <f t="shared" si="5"/>
        <v>0</v>
      </c>
      <c r="H115">
        <v>20885</v>
      </c>
      <c r="I115" s="3" t="s">
        <v>226</v>
      </c>
      <c r="J115" s="3" t="s">
        <v>76</v>
      </c>
      <c r="K115" s="4">
        <v>-46934.04</v>
      </c>
      <c r="L115" s="4">
        <v>0</v>
      </c>
      <c r="M115" s="4">
        <v>0</v>
      </c>
      <c r="N115" s="4">
        <v>-46934.04</v>
      </c>
      <c r="O115" s="4">
        <f>Tab_06.Jun[[#This Row],[DÉBITO]]-Tab_06.Jun[[#This Row],[CRÉDITO]]</f>
        <v>0</v>
      </c>
    </row>
    <row r="116" spans="2:15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5</v>
      </c>
      <c r="D116" s="2" t="str">
        <f>_xlfn.XLOOKUP($I116,Tab_00.Trial[CONTA],Tab_00.Trial[S/A],"",0,1)</f>
        <v>S</v>
      </c>
      <c r="E116" s="2">
        <f>IF($I116="","",COUNTIFS(Tab_00.Trial[CONTA],$I116))</f>
        <v>1</v>
      </c>
      <c r="F116" s="4">
        <f>SUMIFS(Tab_05.Mai[SALDO
ATUAL],Tab_05.Mai[CONTA],$I116)</f>
        <v>-46934.04</v>
      </c>
      <c r="G116" s="4">
        <f t="shared" si="5"/>
        <v>0</v>
      </c>
      <c r="H116">
        <v>21110</v>
      </c>
      <c r="I116" s="3" t="s">
        <v>566</v>
      </c>
      <c r="J116" s="3" t="s">
        <v>668</v>
      </c>
      <c r="K116" s="4">
        <v>-46934.04</v>
      </c>
      <c r="L116" s="4">
        <v>0</v>
      </c>
      <c r="M116" s="4">
        <v>0</v>
      </c>
      <c r="N116" s="4">
        <v>-46934.04</v>
      </c>
      <c r="O116" s="4">
        <f>Tab_06.Jun[[#This Row],[DÉBITO]]-Tab_06.Jun[[#This Row],[CRÉDITO]]</f>
        <v>0</v>
      </c>
    </row>
    <row r="117" spans="2:15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5</v>
      </c>
      <c r="D117" s="2" t="str">
        <f>_xlfn.XLOOKUP($I117,Tab_00.Trial[CONTA],Tab_00.Trial[S/A],"",0,1)</f>
        <v>S</v>
      </c>
      <c r="E117" s="2">
        <f>IF($I117="","",COUNTIFS(Tab_00.Trial[CONTA],$I117))</f>
        <v>1</v>
      </c>
      <c r="F117" s="4">
        <f>SUMIFS(Tab_05.Mai[SALDO
ATUAL],Tab_05.Mai[CONTA],$I117)</f>
        <v>-46934.04</v>
      </c>
      <c r="G117" s="4">
        <f t="shared" si="5"/>
        <v>0</v>
      </c>
      <c r="H117">
        <v>21125</v>
      </c>
      <c r="I117" s="3" t="s">
        <v>567</v>
      </c>
      <c r="J117" s="3" t="s">
        <v>669</v>
      </c>
      <c r="K117" s="4">
        <v>-46934.04</v>
      </c>
      <c r="L117" s="4">
        <v>0</v>
      </c>
      <c r="M117" s="4">
        <v>0</v>
      </c>
      <c r="N117" s="4">
        <v>-46934.04</v>
      </c>
      <c r="O117" s="4">
        <f>Tab_06.Jun[[#This Row],[DÉBITO]]-Tab_06.Jun[[#This Row],[CRÉDITO]]</f>
        <v>0</v>
      </c>
    </row>
    <row r="118" spans="2:15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5</v>
      </c>
      <c r="D118" s="2" t="str">
        <f>_xlfn.XLOOKUP($I118,Tab_00.Trial[CONTA],Tab_00.Trial[S/A],"",0,1)</f>
        <v>A</v>
      </c>
      <c r="E118" s="2">
        <f>IF($I118="","",COUNTIFS(Tab_00.Trial[CONTA],$I118))</f>
        <v>1</v>
      </c>
      <c r="F118" s="4">
        <f>SUMIFS(Tab_05.Mai[SALDO
ATUAL],Tab_05.Mai[CONTA],$I118)</f>
        <v>-31934.04</v>
      </c>
      <c r="G118" s="4">
        <f t="shared" si="5"/>
        <v>0</v>
      </c>
      <c r="H118">
        <v>21170</v>
      </c>
      <c r="I118" s="3" t="s">
        <v>360</v>
      </c>
      <c r="J118" s="3" t="s">
        <v>361</v>
      </c>
      <c r="K118" s="4">
        <v>-31934.04</v>
      </c>
      <c r="L118" s="4">
        <v>0</v>
      </c>
      <c r="M118" s="4">
        <v>0</v>
      </c>
      <c r="N118" s="4">
        <v>-31934.04</v>
      </c>
      <c r="O118" s="4">
        <f>Tab_06.Jun[[#This Row],[DÉBITO]]-Tab_06.Jun[[#This Row],[CRÉDITO]]</f>
        <v>0</v>
      </c>
    </row>
    <row r="119" spans="2:15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5</v>
      </c>
      <c r="D119" s="2" t="str">
        <f>_xlfn.XLOOKUP($I119,Tab_00.Trial[CONTA],Tab_00.Trial[S/A],"",0,1)</f>
        <v>A</v>
      </c>
      <c r="E119" s="2">
        <f>IF($I119="","",COUNTIFS(Tab_00.Trial[CONTA],$I119))</f>
        <v>1</v>
      </c>
      <c r="F119" s="4">
        <f>SUMIFS(Tab_05.Mai[SALDO
ATUAL],Tab_05.Mai[CONTA],$I119)</f>
        <v>-15000</v>
      </c>
      <c r="G119" s="4">
        <f t="shared" si="5"/>
        <v>0</v>
      </c>
      <c r="H119">
        <v>21185</v>
      </c>
      <c r="I119" s="3" t="s">
        <v>362</v>
      </c>
      <c r="J119" s="3" t="s">
        <v>363</v>
      </c>
      <c r="K119" s="4">
        <v>-15000</v>
      </c>
      <c r="L119" s="4">
        <v>0</v>
      </c>
      <c r="M119" s="4">
        <v>0</v>
      </c>
      <c r="N119" s="4">
        <v>-15000</v>
      </c>
      <c r="O119" s="4">
        <f>Tab_06.Jun[[#This Row],[DÉBITO]]-Tab_06.Jun[[#This Row],[CRÉDITO]]</f>
        <v>0</v>
      </c>
    </row>
    <row r="120" spans="2:15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2</v>
      </c>
      <c r="D120" s="2" t="str">
        <f>_xlfn.XLOOKUP($I120,Tab_00.Trial[CONTA],Tab_00.Trial[S/A],"",0,1)</f>
        <v>S</v>
      </c>
      <c r="E120" s="2">
        <f>IF($I120="","",COUNTIFS(Tab_00.Trial[CONTA],$I120))</f>
        <v>1</v>
      </c>
      <c r="F120" s="4">
        <f>SUMIFS(Tab_05.Mai[SALDO
ATUAL],Tab_05.Mai[CONTA],$I120)</f>
        <v>-82087967.730000004</v>
      </c>
      <c r="G120" s="4">
        <f t="shared" si="5"/>
        <v>0</v>
      </c>
      <c r="H120">
        <v>21200</v>
      </c>
      <c r="I120" s="3" t="s">
        <v>228</v>
      </c>
      <c r="J120" s="3" t="s">
        <v>670</v>
      </c>
      <c r="K120" s="4">
        <v>-82087967.730000004</v>
      </c>
      <c r="L120" s="4">
        <v>0</v>
      </c>
      <c r="M120" s="4">
        <v>0</v>
      </c>
      <c r="N120" s="4">
        <v>-82087967.730000004</v>
      </c>
      <c r="O120" s="4">
        <f>Tab_06.Jun[[#This Row],[DÉBITO]]-Tab_06.Jun[[#This Row],[CRÉDITO]]</f>
        <v>0</v>
      </c>
    </row>
    <row r="121" spans="2:15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5</v>
      </c>
      <c r="D121" s="2" t="str">
        <f>_xlfn.XLOOKUP($I121,Tab_00.Trial[CONTA],Tab_00.Trial[S/A],"",0,1)</f>
        <v>S</v>
      </c>
      <c r="E121" s="2">
        <f>IF($I121="","",COUNTIFS(Tab_00.Trial[CONTA],$I121))</f>
        <v>1</v>
      </c>
      <c r="F121" s="4">
        <f>SUMIFS(Tab_05.Mai[SALDO
ATUAL],Tab_05.Mai[CONTA],$I121)</f>
        <v>-82087967.730000004</v>
      </c>
      <c r="G121" s="4">
        <f t="shared" si="5"/>
        <v>0</v>
      </c>
      <c r="H121">
        <v>21215</v>
      </c>
      <c r="I121" s="3" t="s">
        <v>229</v>
      </c>
      <c r="J121" s="3" t="s">
        <v>670</v>
      </c>
      <c r="K121" s="4">
        <v>-82087967.730000004</v>
      </c>
      <c r="L121" s="4">
        <v>0</v>
      </c>
      <c r="M121" s="4">
        <v>0</v>
      </c>
      <c r="N121" s="4">
        <v>-82087967.730000004</v>
      </c>
      <c r="O121" s="4">
        <f>Tab_06.Jun[[#This Row],[DÉBITO]]-Tab_06.Jun[[#This Row],[CRÉDITO]]</f>
        <v>0</v>
      </c>
    </row>
    <row r="122" spans="2:15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5</v>
      </c>
      <c r="D122" s="2" t="str">
        <f>_xlfn.XLOOKUP($I122,Tab_00.Trial[CONTA],Tab_00.Trial[S/A],"",0,1)</f>
        <v>S</v>
      </c>
      <c r="E122" s="2">
        <f>IF($I122="","",COUNTIFS(Tab_00.Trial[CONTA],$I122))</f>
        <v>1</v>
      </c>
      <c r="F122" s="4">
        <f>SUMIFS(Tab_05.Mai[SALDO
ATUAL],Tab_05.Mai[CONTA],$I122)</f>
        <v>-104784619.59999999</v>
      </c>
      <c r="G122" s="4">
        <f t="shared" si="5"/>
        <v>0</v>
      </c>
      <c r="H122">
        <v>21230</v>
      </c>
      <c r="I122" s="3" t="s">
        <v>230</v>
      </c>
      <c r="J122" s="3" t="s">
        <v>364</v>
      </c>
      <c r="K122" s="4">
        <v>-104784619.59999999</v>
      </c>
      <c r="L122" s="4">
        <v>0</v>
      </c>
      <c r="M122" s="4">
        <v>0</v>
      </c>
      <c r="N122" s="4">
        <v>-104784619.59999999</v>
      </c>
      <c r="O122" s="4">
        <f>Tab_06.Jun[[#This Row],[DÉBITO]]-Tab_06.Jun[[#This Row],[CRÉDITO]]</f>
        <v>0</v>
      </c>
    </row>
    <row r="123" spans="2:15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A</v>
      </c>
      <c r="E123" s="2">
        <f>IF($I123="","",COUNTIFS(Tab_00.Trial[CONTA],$I123))</f>
        <v>1</v>
      </c>
      <c r="F123" s="4">
        <f>SUMIFS(Tab_05.Mai[SALDO
ATUAL],Tab_05.Mai[CONTA],$I123)</f>
        <v>-104784619.59999999</v>
      </c>
      <c r="G123" s="4">
        <f t="shared" si="5"/>
        <v>0</v>
      </c>
      <c r="H123">
        <v>21245</v>
      </c>
      <c r="I123" s="3" t="s">
        <v>193</v>
      </c>
      <c r="J123" s="3" t="s">
        <v>364</v>
      </c>
      <c r="K123" s="4">
        <v>-104784619.59999999</v>
      </c>
      <c r="L123" s="4">
        <v>0</v>
      </c>
      <c r="M123" s="4">
        <v>0</v>
      </c>
      <c r="N123" s="4">
        <v>-104784619.59999999</v>
      </c>
      <c r="O123" s="4">
        <f>Tab_06.Jun[[#This Row],[DÉBITO]]-Tab_06.Jun[[#This Row],[CRÉDITO]]</f>
        <v>0</v>
      </c>
    </row>
    <row r="124" spans="2:15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5</v>
      </c>
      <c r="D124" s="2" t="str">
        <f>_xlfn.XLOOKUP($I124,Tab_00.Trial[CONTA],Tab_00.Trial[S/A],"",0,1)</f>
        <v>S</v>
      </c>
      <c r="E124" s="2">
        <f>IF($I124="","",COUNTIFS(Tab_00.Trial[CONTA],$I124))</f>
        <v>1</v>
      </c>
      <c r="F124" s="4">
        <f>SUMIFS(Tab_05.Mai[SALDO
ATUAL],Tab_05.Mai[CONTA],$I124)</f>
        <v>32587250.850000001</v>
      </c>
      <c r="G124" s="4">
        <f t="shared" si="5"/>
        <v>0</v>
      </c>
      <c r="H124">
        <v>21305</v>
      </c>
      <c r="I124" s="3" t="s">
        <v>568</v>
      </c>
      <c r="J124" s="3" t="s">
        <v>671</v>
      </c>
      <c r="K124" s="4">
        <v>32587250.850000001</v>
      </c>
      <c r="L124" s="4">
        <v>0</v>
      </c>
      <c r="M124" s="4">
        <v>0</v>
      </c>
      <c r="N124" s="4">
        <v>32587250.850000001</v>
      </c>
      <c r="O124" s="4">
        <f>Tab_06.Jun[[#This Row],[DÉBITO]]-Tab_06.Jun[[#This Row],[CRÉDITO]]</f>
        <v>0</v>
      </c>
    </row>
    <row r="125" spans="2:15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5</v>
      </c>
      <c r="D125" s="2" t="str">
        <f>_xlfn.XLOOKUP($I125,Tab_00.Trial[CONTA],Tab_00.Trial[S/A],"",0,1)</f>
        <v>A</v>
      </c>
      <c r="E125" s="2">
        <f>IF($I125="","",COUNTIFS(Tab_00.Trial[CONTA],$I125))</f>
        <v>1</v>
      </c>
      <c r="F125" s="4">
        <f>SUMIFS(Tab_05.Mai[SALDO
ATUAL],Tab_05.Mai[CONTA],$I125)</f>
        <v>-827719.82</v>
      </c>
      <c r="G125" s="4">
        <f t="shared" si="5"/>
        <v>0</v>
      </c>
      <c r="H125">
        <v>21320</v>
      </c>
      <c r="I125" s="3" t="s">
        <v>743</v>
      </c>
      <c r="J125" s="3" t="s">
        <v>744</v>
      </c>
      <c r="K125" s="4">
        <v>-827719.82</v>
      </c>
      <c r="L125" s="4">
        <v>0</v>
      </c>
      <c r="M125" s="4">
        <v>0</v>
      </c>
      <c r="N125" s="4">
        <v>-827719.82</v>
      </c>
      <c r="O125" s="4">
        <f>Tab_06.Jun[[#This Row],[DÉBITO]]-Tab_06.Jun[[#This Row],[CRÉDITO]]</f>
        <v>0</v>
      </c>
    </row>
    <row r="126" spans="2:15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A</v>
      </c>
      <c r="E126" s="2">
        <f>IF($I126="","",COUNTIFS(Tab_00.Trial[CONTA],$I126))</f>
        <v>1</v>
      </c>
      <c r="F126" s="4">
        <f>SUMIFS(Tab_05.Mai[SALDO
ATUAL],Tab_05.Mai[CONTA],$I126)</f>
        <v>33414970.670000002</v>
      </c>
      <c r="G126" s="4">
        <f t="shared" si="5"/>
        <v>0</v>
      </c>
      <c r="H126">
        <v>21335</v>
      </c>
      <c r="I126" s="3" t="s">
        <v>365</v>
      </c>
      <c r="J126" s="3" t="s">
        <v>366</v>
      </c>
      <c r="K126" s="4">
        <v>33414970.670000002</v>
      </c>
      <c r="L126" s="4">
        <v>0</v>
      </c>
      <c r="M126" s="4">
        <v>0</v>
      </c>
      <c r="N126" s="4">
        <v>33414970.670000002</v>
      </c>
      <c r="O126" s="4">
        <f>Tab_06.Jun[[#This Row],[DÉBITO]]-Tab_06.Jun[[#This Row],[CRÉDITO]]</f>
        <v>0</v>
      </c>
    </row>
    <row r="127" spans="2:15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S</v>
      </c>
      <c r="E127" s="2">
        <f>IF($I127="","",COUNTIFS(Tab_00.Trial[CONTA],$I127))</f>
        <v>1</v>
      </c>
      <c r="F127" s="4">
        <f>SUMIFS(Tab_05.Mai[SALDO
ATUAL],Tab_05.Mai[CONTA],$I127)</f>
        <v>-9890598.9800000004</v>
      </c>
      <c r="G127" s="4">
        <f t="shared" si="5"/>
        <v>0</v>
      </c>
      <c r="H127">
        <v>21350</v>
      </c>
      <c r="I127" s="3" t="s">
        <v>745</v>
      </c>
      <c r="J127" s="3" t="s">
        <v>746</v>
      </c>
      <c r="K127" s="4">
        <v>-9890598.9800000004</v>
      </c>
      <c r="L127" s="4">
        <v>0</v>
      </c>
      <c r="M127" s="4">
        <v>0</v>
      </c>
      <c r="N127" s="4">
        <v>-9890598.9800000004</v>
      </c>
      <c r="O127" s="4">
        <f>Tab_06.Jun[[#This Row],[DÉBITO]]-Tab_06.Jun[[#This Row],[CRÉDITO]]</f>
        <v>0</v>
      </c>
    </row>
    <row r="128" spans="2:15" x14ac:dyDescent="0.3">
      <c r="B128" s="2" t="str">
        <f>_xlfn.XLOOKUP($I128,Tab_00.Trial[CONTA],Tab_00.Trial[TP],"",0,1)</f>
        <v>P</v>
      </c>
      <c r="C128" s="2">
        <f>_xlfn.XLOOKUP($I128,Tab_00.Trial[CONTA],Tab_00.Trial[NV],"",0,1)</f>
        <v>5</v>
      </c>
      <c r="D128" s="2" t="str">
        <f>_xlfn.XLOOKUP($I128,Tab_00.Trial[CONTA],Tab_00.Trial[S/A],"",0,1)</f>
        <v>A</v>
      </c>
      <c r="E128" s="2">
        <f>IF($I128="","",COUNTIFS(Tab_00.Trial[CONTA],$I128))</f>
        <v>1</v>
      </c>
      <c r="F128" s="4">
        <f>SUMIFS(Tab_05.Mai[SALDO
ATUAL],Tab_05.Mai[CONTA],$I128)</f>
        <v>-9890598.9800000004</v>
      </c>
      <c r="G128" s="4">
        <f t="shared" si="5"/>
        <v>0</v>
      </c>
      <c r="H128">
        <v>21365</v>
      </c>
      <c r="I128" s="3" t="s">
        <v>747</v>
      </c>
      <c r="J128" s="3" t="s">
        <v>746</v>
      </c>
      <c r="K128" s="4">
        <v>-9890598.9800000004</v>
      </c>
      <c r="L128" s="4">
        <v>0</v>
      </c>
      <c r="M128" s="4">
        <v>0</v>
      </c>
      <c r="N128" s="4">
        <v>-9890598.9800000004</v>
      </c>
      <c r="O128" s="4">
        <f>Tab_06.Jun[[#This Row],[DÉBITO]]-Tab_06.Jun[[#This Row],[CRÉDITO]]</f>
        <v>0</v>
      </c>
    </row>
    <row r="129" spans="2:15" x14ac:dyDescent="0.3">
      <c r="B129" s="2" t="str">
        <f>_xlfn.XLOOKUP($I129,Tab_00.Trial[CONTA],Tab_00.Trial[TP],"",0,1)</f>
        <v>R</v>
      </c>
      <c r="C129" s="2">
        <f>_xlfn.XLOOKUP($I129,Tab_00.Trial[CONTA],Tab_00.Trial[NV],"",0,1)</f>
        <v>1</v>
      </c>
      <c r="D129" s="2" t="str">
        <f>_xlfn.XLOOKUP($I129,Tab_00.Trial[CONTA],Tab_00.Trial[S/A],"",0,1)</f>
        <v>S</v>
      </c>
      <c r="E129" s="2">
        <f>IF($I129="","",COUNTIFS(Tab_00.Trial[CONTA],$I129))</f>
        <v>1</v>
      </c>
      <c r="F129" s="4">
        <f>SUMIFS(Tab_05.Mai[SALDO
ATUAL],Tab_05.Mai[CONTA],$I129)</f>
        <v>-6324872.71</v>
      </c>
      <c r="G129" s="4">
        <f t="shared" si="5"/>
        <v>0</v>
      </c>
      <c r="H129">
        <v>30000</v>
      </c>
      <c r="I129" s="3">
        <v>3</v>
      </c>
      <c r="J129" s="3" t="s">
        <v>672</v>
      </c>
      <c r="K129" s="4">
        <v>-6324872.71</v>
      </c>
      <c r="L129" s="4">
        <v>0</v>
      </c>
      <c r="M129" s="4">
        <v>1211414.56</v>
      </c>
      <c r="N129" s="4">
        <v>-7536287.2699999996</v>
      </c>
      <c r="O129" s="4">
        <f>Tab_06.Jun[[#This Row],[DÉBITO]]-Tab_06.Jun[[#This Row],[CRÉDITO]]</f>
        <v>-1211414.56</v>
      </c>
    </row>
    <row r="130" spans="2:15" x14ac:dyDescent="0.3">
      <c r="B130" s="2" t="str">
        <f>_xlfn.XLOOKUP($I130,Tab_00.Trial[CONTA],Tab_00.Trial[TP],"",0,1)</f>
        <v>R</v>
      </c>
      <c r="C130" s="2">
        <f>_xlfn.XLOOKUP($I130,Tab_00.Trial[CONTA],Tab_00.Trial[NV],"",0,1)</f>
        <v>2</v>
      </c>
      <c r="D130" s="2" t="str">
        <f>_xlfn.XLOOKUP($I130,Tab_00.Trial[CONTA],Tab_00.Trial[S/A],"",0,1)</f>
        <v>S</v>
      </c>
      <c r="E130" s="2">
        <f>IF($I130="","",COUNTIFS(Tab_00.Trial[CONTA],$I130))</f>
        <v>1</v>
      </c>
      <c r="F130" s="4">
        <f>SUMIFS(Tab_05.Mai[SALDO
ATUAL],Tab_05.Mai[CONTA],$I130)</f>
        <v>-3098522.67</v>
      </c>
      <c r="G130" s="4">
        <f t="shared" si="5"/>
        <v>0</v>
      </c>
      <c r="H130">
        <v>30030</v>
      </c>
      <c r="I130" s="3" t="s">
        <v>231</v>
      </c>
      <c r="J130" s="3" t="s">
        <v>673</v>
      </c>
      <c r="K130" s="4">
        <v>-3098522.67</v>
      </c>
      <c r="L130" s="4">
        <v>0</v>
      </c>
      <c r="M130" s="4">
        <v>567136.04</v>
      </c>
      <c r="N130" s="4">
        <v>-3665658.71</v>
      </c>
      <c r="O130" s="4">
        <f>Tab_06.Jun[[#This Row],[DÉBITO]]-Tab_06.Jun[[#This Row],[CRÉDITO]]</f>
        <v>-567136.04</v>
      </c>
    </row>
    <row r="131" spans="2:15" x14ac:dyDescent="0.3">
      <c r="B131" s="2" t="str">
        <f>_xlfn.XLOOKUP($I131,Tab_00.Trial[CONTA],Tab_00.Trial[TP],"",0,1)</f>
        <v>R</v>
      </c>
      <c r="C131" s="2">
        <f>_xlfn.XLOOKUP($I131,Tab_00.Trial[CONTA],Tab_00.Trial[NV],"",0,1)</f>
        <v>5</v>
      </c>
      <c r="D131" s="2" t="str">
        <f>_xlfn.XLOOKUP($I131,Tab_00.Trial[CONTA],Tab_00.Trial[S/A],"",0,1)</f>
        <v>S</v>
      </c>
      <c r="E131" s="2">
        <f>IF($I131="","",COUNTIFS(Tab_00.Trial[CONTA],$I131))</f>
        <v>1</v>
      </c>
      <c r="F131" s="4">
        <f>SUMIFS(Tab_05.Mai[SALDO
ATUAL],Tab_05.Mai[CONTA],$I131)</f>
        <v>-1847912.26</v>
      </c>
      <c r="G131" s="4">
        <f t="shared" si="5"/>
        <v>0</v>
      </c>
      <c r="H131">
        <v>30045</v>
      </c>
      <c r="I131" s="3" t="s">
        <v>232</v>
      </c>
      <c r="J131" s="3" t="s">
        <v>674</v>
      </c>
      <c r="K131" s="4">
        <v>-1847912.26</v>
      </c>
      <c r="L131" s="4">
        <v>0</v>
      </c>
      <c r="M131" s="4">
        <v>313601.09000000003</v>
      </c>
      <c r="N131" s="4">
        <v>-2161513.35</v>
      </c>
      <c r="O131" s="4">
        <f>Tab_06.Jun[[#This Row],[DÉBITO]]-Tab_06.Jun[[#This Row],[CRÉDITO]]</f>
        <v>-313601.09000000003</v>
      </c>
    </row>
    <row r="132" spans="2:15" x14ac:dyDescent="0.3">
      <c r="B132" s="2" t="str">
        <f>_xlfn.XLOOKUP($I132,Tab_00.Trial[CONTA],Tab_00.Trial[TP],"",0,1)</f>
        <v>R</v>
      </c>
      <c r="C132" s="2">
        <f>_xlfn.XLOOKUP($I132,Tab_00.Trial[CONTA],Tab_00.Trial[NV],"",0,1)</f>
        <v>5</v>
      </c>
      <c r="D132" s="2" t="str">
        <f>_xlfn.XLOOKUP($I132,Tab_00.Trial[CONTA],Tab_00.Trial[S/A],"",0,1)</f>
        <v>S</v>
      </c>
      <c r="E132" s="2">
        <f>IF($I132="","",COUNTIFS(Tab_00.Trial[CONTA],$I132))</f>
        <v>1</v>
      </c>
      <c r="F132" s="4">
        <f>SUMIFS(Tab_05.Mai[SALDO
ATUAL],Tab_05.Mai[CONTA],$I132)</f>
        <v>-652647.16</v>
      </c>
      <c r="G132" s="4">
        <f t="shared" si="5"/>
        <v>0</v>
      </c>
      <c r="H132">
        <v>30470</v>
      </c>
      <c r="I132" s="3" t="s">
        <v>233</v>
      </c>
      <c r="J132" s="3" t="s">
        <v>675</v>
      </c>
      <c r="K132" s="4">
        <v>-652647.16</v>
      </c>
      <c r="L132" s="4">
        <v>0</v>
      </c>
      <c r="M132" s="4">
        <v>129579.24</v>
      </c>
      <c r="N132" s="4">
        <v>-782226.4</v>
      </c>
      <c r="O132" s="4">
        <f>Tab_06.Jun[[#This Row],[DÉBITO]]-Tab_06.Jun[[#This Row],[CRÉDITO]]</f>
        <v>-129579.24</v>
      </c>
    </row>
    <row r="133" spans="2:15" x14ac:dyDescent="0.3">
      <c r="B133" s="2" t="str">
        <f>_xlfn.XLOOKUP($I133,Tab_00.Trial[CONTA],Tab_00.Trial[TP],"",0,1)</f>
        <v>R</v>
      </c>
      <c r="C133" s="2">
        <f>_xlfn.XLOOKUP($I133,Tab_00.Trial[CONTA],Tab_00.Trial[NV],"",0,1)</f>
        <v>5</v>
      </c>
      <c r="D133" s="2" t="str">
        <f>_xlfn.XLOOKUP($I133,Tab_00.Trial[CONTA],Tab_00.Trial[S/A],"",0,1)</f>
        <v>A</v>
      </c>
      <c r="E133" s="2">
        <f>IF($I133="","",COUNTIFS(Tab_00.Trial[CONTA],$I133))</f>
        <v>1</v>
      </c>
      <c r="F133" s="4">
        <f>SUMIFS(Tab_05.Mai[SALDO
ATUAL],Tab_05.Mai[CONTA],$I133)</f>
        <v>-652647.16</v>
      </c>
      <c r="G133" s="4">
        <f t="shared" si="5"/>
        <v>0</v>
      </c>
      <c r="H133">
        <v>30471</v>
      </c>
      <c r="I133" s="3" t="s">
        <v>194</v>
      </c>
      <c r="J133" s="3" t="s">
        <v>367</v>
      </c>
      <c r="K133" s="4">
        <v>-652647.16</v>
      </c>
      <c r="L133" s="4">
        <v>0</v>
      </c>
      <c r="M133" s="4">
        <v>129579.24</v>
      </c>
      <c r="N133" s="4">
        <v>-782226.4</v>
      </c>
      <c r="O133" s="4">
        <f>Tab_06.Jun[[#This Row],[DÉBITO]]-Tab_06.Jun[[#This Row],[CRÉDITO]]</f>
        <v>-129579.24</v>
      </c>
    </row>
    <row r="134" spans="2:15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5</v>
      </c>
      <c r="D134" s="2" t="str">
        <f>_xlfn.XLOOKUP($I134,Tab_00.Trial[CONTA],Tab_00.Trial[S/A],"",0,1)</f>
        <v>S</v>
      </c>
      <c r="E134" s="2">
        <f>IF($I134="","",COUNTIFS(Tab_00.Trial[CONTA],$I134))</f>
        <v>1</v>
      </c>
      <c r="F134" s="4">
        <f>SUMIFS(Tab_05.Mai[SALDO
ATUAL],Tab_05.Mai[CONTA],$I134)</f>
        <v>-1195265.1000000001</v>
      </c>
      <c r="G134" s="4">
        <f t="shared" si="5"/>
        <v>0</v>
      </c>
      <c r="H134">
        <v>30475</v>
      </c>
      <c r="I134" s="3" t="s">
        <v>735</v>
      </c>
      <c r="J134" s="3" t="s">
        <v>736</v>
      </c>
      <c r="K134" s="4">
        <v>-1195265.1000000001</v>
      </c>
      <c r="L134" s="4">
        <v>0</v>
      </c>
      <c r="M134" s="4">
        <v>184021.85</v>
      </c>
      <c r="N134" s="4">
        <v>-1379286.95</v>
      </c>
      <c r="O134" s="4">
        <f>Tab_06.Jun[[#This Row],[DÉBITO]]-Tab_06.Jun[[#This Row],[CRÉDITO]]</f>
        <v>-184021.85</v>
      </c>
    </row>
    <row r="135" spans="2:15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5</v>
      </c>
      <c r="D135" s="2" t="str">
        <f>_xlfn.XLOOKUP($I135,Tab_00.Trial[CONTA],Tab_00.Trial[S/A],"",0,1)</f>
        <v>A</v>
      </c>
      <c r="E135" s="2">
        <f>IF($I135="","",COUNTIFS(Tab_00.Trial[CONTA],$I135))</f>
        <v>1</v>
      </c>
      <c r="F135" s="4">
        <f>SUMIFS(Tab_05.Mai[SALDO
ATUAL],Tab_05.Mai[CONTA],$I135)</f>
        <v>-1195265.1000000001</v>
      </c>
      <c r="G135" s="4">
        <f t="shared" si="5"/>
        <v>0</v>
      </c>
      <c r="H135">
        <v>30476</v>
      </c>
      <c r="I135" s="3" t="s">
        <v>737</v>
      </c>
      <c r="J135" s="3" t="s">
        <v>814</v>
      </c>
      <c r="K135" s="4">
        <v>-1195265.1000000001</v>
      </c>
      <c r="L135" s="4">
        <v>0</v>
      </c>
      <c r="M135" s="4">
        <v>184021.85</v>
      </c>
      <c r="N135" s="4">
        <v>-1379286.95</v>
      </c>
      <c r="O135" s="4">
        <f>Tab_06.Jun[[#This Row],[DÉBITO]]-Tab_06.Jun[[#This Row],[CRÉDITO]]</f>
        <v>-184021.85</v>
      </c>
    </row>
    <row r="136" spans="2:15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S</v>
      </c>
      <c r="E136" s="2">
        <f>IF($I136="","",COUNTIFS(Tab_00.Trial[CONTA],$I136))</f>
        <v>1</v>
      </c>
      <c r="F136" s="4">
        <f>SUMIFS(Tab_05.Mai[SALDO
ATUAL],Tab_05.Mai[CONTA],$I136)</f>
        <v>-1250610.4099999999</v>
      </c>
      <c r="G136" s="4">
        <f t="shared" si="5"/>
        <v>0</v>
      </c>
      <c r="H136">
        <v>30645</v>
      </c>
      <c r="I136" s="3" t="s">
        <v>569</v>
      </c>
      <c r="J136" s="3" t="s">
        <v>676</v>
      </c>
      <c r="K136" s="4">
        <v>-1250610.4099999999</v>
      </c>
      <c r="L136" s="4">
        <v>0</v>
      </c>
      <c r="M136" s="4">
        <v>253534.95</v>
      </c>
      <c r="N136" s="4">
        <v>-1504145.36</v>
      </c>
      <c r="O136" s="4">
        <f>Tab_06.Jun[[#This Row],[DÉBITO]]-Tab_06.Jun[[#This Row],[CRÉDITO]]</f>
        <v>-253534.95</v>
      </c>
    </row>
    <row r="137" spans="2:15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S</v>
      </c>
      <c r="E137" s="2">
        <f>IF($I137="","",COUNTIFS(Tab_00.Trial[CONTA],$I137))</f>
        <v>1</v>
      </c>
      <c r="F137" s="4">
        <f>SUMIFS(Tab_05.Mai[SALDO
ATUAL],Tab_05.Mai[CONTA],$I137)</f>
        <v>-835780.01</v>
      </c>
      <c r="G137" s="4">
        <f t="shared" si="5"/>
        <v>0</v>
      </c>
      <c r="H137">
        <v>30660</v>
      </c>
      <c r="I137" s="3" t="s">
        <v>570</v>
      </c>
      <c r="J137" s="3" t="s">
        <v>677</v>
      </c>
      <c r="K137" s="4">
        <v>-835780.01</v>
      </c>
      <c r="L137" s="4">
        <v>0</v>
      </c>
      <c r="M137" s="4">
        <v>170568.87</v>
      </c>
      <c r="N137" s="4">
        <v>-1006348.88</v>
      </c>
      <c r="O137" s="4">
        <f>Tab_06.Jun[[#This Row],[DÉBITO]]-Tab_06.Jun[[#This Row],[CRÉDITO]]</f>
        <v>-170568.87</v>
      </c>
    </row>
    <row r="138" spans="2:15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A</v>
      </c>
      <c r="E138" s="2">
        <f>IF($I138="","",COUNTIFS(Tab_00.Trial[CONTA],$I138))</f>
        <v>1</v>
      </c>
      <c r="F138" s="4">
        <f>SUMIFS(Tab_05.Mai[SALDO
ATUAL],Tab_05.Mai[CONTA],$I138)</f>
        <v>-401174.76</v>
      </c>
      <c r="G138" s="4">
        <f t="shared" si="5"/>
        <v>0</v>
      </c>
      <c r="H138">
        <v>30675</v>
      </c>
      <c r="I138" s="3" t="s">
        <v>368</v>
      </c>
      <c r="J138" s="3" t="s">
        <v>369</v>
      </c>
      <c r="K138" s="4">
        <v>-401174.76</v>
      </c>
      <c r="L138" s="4">
        <v>0</v>
      </c>
      <c r="M138" s="4">
        <v>51971.14</v>
      </c>
      <c r="N138" s="4">
        <v>-453145.9</v>
      </c>
      <c r="O138" s="4">
        <f>Tab_06.Jun[[#This Row],[DÉBITO]]-Tab_06.Jun[[#This Row],[CRÉDITO]]</f>
        <v>-51971.14</v>
      </c>
    </row>
    <row r="139" spans="2:15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A</v>
      </c>
      <c r="E139" s="2">
        <f>IF($I139="","",COUNTIFS(Tab_00.Trial[CONTA],$I139))</f>
        <v>1</v>
      </c>
      <c r="F139" s="4">
        <f>SUMIFS(Tab_05.Mai[SALDO
ATUAL],Tab_05.Mai[CONTA],$I139)</f>
        <v>-271081.68</v>
      </c>
      <c r="G139" s="4">
        <f t="shared" si="5"/>
        <v>0</v>
      </c>
      <c r="H139">
        <v>30690</v>
      </c>
      <c r="I139" s="3" t="s">
        <v>370</v>
      </c>
      <c r="J139" s="3" t="s">
        <v>371</v>
      </c>
      <c r="K139" s="4">
        <v>-271081.68</v>
      </c>
      <c r="L139" s="4">
        <v>0</v>
      </c>
      <c r="M139" s="4">
        <v>100331.36</v>
      </c>
      <c r="N139" s="4">
        <v>-371413.04</v>
      </c>
      <c r="O139" s="4">
        <f>Tab_06.Jun[[#This Row],[DÉBITO]]-Tab_06.Jun[[#This Row],[CRÉDITO]]</f>
        <v>-100331.36</v>
      </c>
    </row>
    <row r="140" spans="2:15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A</v>
      </c>
      <c r="E140" s="2">
        <f>IF($I140="","",COUNTIFS(Tab_00.Trial[CONTA],$I140))</f>
        <v>1</v>
      </c>
      <c r="F140" s="4">
        <f>SUMIFS(Tab_05.Mai[SALDO
ATUAL],Tab_05.Mai[CONTA],$I140)</f>
        <v>-5670.16</v>
      </c>
      <c r="G140" s="4">
        <f t="shared" si="5"/>
        <v>0</v>
      </c>
      <c r="H140">
        <v>30705</v>
      </c>
      <c r="I140" s="3" t="s">
        <v>372</v>
      </c>
      <c r="J140" s="3" t="s">
        <v>373</v>
      </c>
      <c r="K140" s="4">
        <v>-5670.16</v>
      </c>
      <c r="L140" s="4">
        <v>0</v>
      </c>
      <c r="M140" s="4">
        <v>877.2</v>
      </c>
      <c r="N140" s="4">
        <v>-6547.36</v>
      </c>
      <c r="O140" s="4">
        <f>Tab_06.Jun[[#This Row],[DÉBITO]]-Tab_06.Jun[[#This Row],[CRÉDITO]]</f>
        <v>-877.2</v>
      </c>
    </row>
    <row r="141" spans="2:15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5</v>
      </c>
      <c r="D141" s="2" t="str">
        <f>_xlfn.XLOOKUP($I141,Tab_00.Trial[CONTA],Tab_00.Trial[S/A],"",0,1)</f>
        <v>A</v>
      </c>
      <c r="E141" s="2">
        <f>IF($I141="","",COUNTIFS(Tab_00.Trial[CONTA],$I141))</f>
        <v>1</v>
      </c>
      <c r="F141" s="4">
        <f>SUMIFS(Tab_05.Mai[SALDO
ATUAL],Tab_05.Mai[CONTA],$I141)</f>
        <v>-89524.57</v>
      </c>
      <c r="G141" s="4">
        <f t="shared" si="5"/>
        <v>0</v>
      </c>
      <c r="H141">
        <v>30710</v>
      </c>
      <c r="I141" s="3" t="s">
        <v>845</v>
      </c>
      <c r="J141" s="3" t="s">
        <v>846</v>
      </c>
      <c r="K141" s="4">
        <v>-89524.57</v>
      </c>
      <c r="L141" s="4">
        <v>0</v>
      </c>
      <c r="M141" s="4">
        <v>0</v>
      </c>
      <c r="N141" s="4">
        <v>-89524.57</v>
      </c>
      <c r="O141" s="4">
        <f>Tab_06.Jun[[#This Row],[DÉBITO]]-Tab_06.Jun[[#This Row],[CRÉDITO]]</f>
        <v>0</v>
      </c>
    </row>
    <row r="142" spans="2:15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A</v>
      </c>
      <c r="E142" s="2">
        <f>IF($I142="","",COUNTIFS(Tab_00.Trial[CONTA],$I142))</f>
        <v>1</v>
      </c>
      <c r="F142" s="4">
        <f>SUMIFS(Tab_05.Mai[SALDO
ATUAL],Tab_05.Mai[CONTA],$I142)</f>
        <v>-68328.84</v>
      </c>
      <c r="G142" s="4">
        <f t="shared" si="5"/>
        <v>0</v>
      </c>
      <c r="H142">
        <v>10895</v>
      </c>
      <c r="I142" s="3" t="s">
        <v>927</v>
      </c>
      <c r="J142" s="3" t="s">
        <v>928</v>
      </c>
      <c r="K142" s="4">
        <v>-68328.84</v>
      </c>
      <c r="L142" s="4">
        <v>0</v>
      </c>
      <c r="M142" s="4">
        <v>17389.169999999998</v>
      </c>
      <c r="N142" s="4">
        <v>-85718.01</v>
      </c>
      <c r="O142" s="4">
        <f>Tab_06.Jun[[#This Row],[DÉBITO]]-Tab_06.Jun[[#This Row],[CRÉDITO]]</f>
        <v>-17389.169999999998</v>
      </c>
    </row>
    <row r="143" spans="2:15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S</v>
      </c>
      <c r="E143" s="2">
        <f>IF($I143="","",COUNTIFS(Tab_00.Trial[CONTA],$I143))</f>
        <v>1</v>
      </c>
      <c r="F143" s="4">
        <f>SUMIFS(Tab_05.Mai[SALDO
ATUAL],Tab_05.Mai[CONTA],$I143)</f>
        <v>-414830.4</v>
      </c>
      <c r="G143" s="4">
        <f t="shared" si="5"/>
        <v>0</v>
      </c>
      <c r="H143">
        <v>30720</v>
      </c>
      <c r="I143" s="3" t="s">
        <v>571</v>
      </c>
      <c r="J143" s="3" t="s">
        <v>377</v>
      </c>
      <c r="K143" s="4">
        <v>-414830.4</v>
      </c>
      <c r="L143" s="4">
        <v>0</v>
      </c>
      <c r="M143" s="4">
        <v>82966.080000000002</v>
      </c>
      <c r="N143" s="4">
        <v>-497796.48</v>
      </c>
      <c r="O143" s="4">
        <f>Tab_06.Jun[[#This Row],[DÉBITO]]-Tab_06.Jun[[#This Row],[CRÉDITO]]</f>
        <v>-82966.080000000002</v>
      </c>
    </row>
    <row r="144" spans="2:15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5</v>
      </c>
      <c r="D144" s="2" t="str">
        <f>_xlfn.XLOOKUP($I144,Tab_00.Trial[CONTA],Tab_00.Trial[S/A],"",0,1)</f>
        <v>A</v>
      </c>
      <c r="E144" s="2">
        <f>IF($I144="","",COUNTIFS(Tab_00.Trial[CONTA],$I144))</f>
        <v>1</v>
      </c>
      <c r="F144" s="4">
        <f>SUMIFS(Tab_05.Mai[SALDO
ATUAL],Tab_05.Mai[CONTA],$I144)</f>
        <v>-414830.4</v>
      </c>
      <c r="G144" s="4">
        <f t="shared" si="5"/>
        <v>0</v>
      </c>
      <c r="H144">
        <v>30735</v>
      </c>
      <c r="I144" s="3" t="s">
        <v>376</v>
      </c>
      <c r="J144" s="3" t="s">
        <v>377</v>
      </c>
      <c r="K144" s="4">
        <v>-414830.4</v>
      </c>
      <c r="L144" s="4">
        <v>0</v>
      </c>
      <c r="M144" s="4">
        <v>82966.080000000002</v>
      </c>
      <c r="N144" s="4">
        <v>-497796.48</v>
      </c>
      <c r="O144" s="4">
        <f>Tab_06.Jun[[#This Row],[DÉBITO]]-Tab_06.Jun[[#This Row],[CRÉDITO]]</f>
        <v>-82966.080000000002</v>
      </c>
    </row>
    <row r="145" spans="2:15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2</v>
      </c>
      <c r="D145" s="2" t="str">
        <f>_xlfn.XLOOKUP($I145,Tab_00.Trial[CONTA],Tab_00.Trial[S/A],"",0,1)</f>
        <v>S</v>
      </c>
      <c r="E145" s="2">
        <f>IF($I145="","",COUNTIFS(Tab_00.Trial[CONTA],$I145))</f>
        <v>1</v>
      </c>
      <c r="F145" s="4">
        <f>SUMIFS(Tab_05.Mai[SALDO
ATUAL],Tab_05.Mai[CONTA],$I145)</f>
        <v>-2191057.08</v>
      </c>
      <c r="G145" s="4">
        <f t="shared" si="5"/>
        <v>0</v>
      </c>
      <c r="H145">
        <v>31065</v>
      </c>
      <c r="I145" s="3" t="s">
        <v>574</v>
      </c>
      <c r="J145" s="3" t="s">
        <v>680</v>
      </c>
      <c r="K145" s="4">
        <v>-2191057.08</v>
      </c>
      <c r="L145" s="4">
        <v>0</v>
      </c>
      <c r="M145" s="4">
        <v>440421.58</v>
      </c>
      <c r="N145" s="4">
        <v>-2631478.66</v>
      </c>
      <c r="O145" s="4">
        <f>Tab_06.Jun[[#This Row],[DÉBITO]]-Tab_06.Jun[[#This Row],[CRÉDITO]]</f>
        <v>-440421.58</v>
      </c>
    </row>
    <row r="146" spans="2:15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5</v>
      </c>
      <c r="D146" s="2" t="str">
        <f>_xlfn.XLOOKUP($I146,Tab_00.Trial[CONTA],Tab_00.Trial[S/A],"",0,1)</f>
        <v>S</v>
      </c>
      <c r="E146" s="2">
        <f>IF($I146="","",COUNTIFS(Tab_00.Trial[CONTA],$I146))</f>
        <v>1</v>
      </c>
      <c r="F146" s="4">
        <f>SUMIFS(Tab_05.Mai[SALDO
ATUAL],Tab_05.Mai[CONTA],$I146)</f>
        <v>-2191057.08</v>
      </c>
      <c r="G146" s="4">
        <f t="shared" ref="G146:G177" si="6">$F146-$K146</f>
        <v>0</v>
      </c>
      <c r="H146">
        <v>31260</v>
      </c>
      <c r="I146" s="3" t="s">
        <v>580</v>
      </c>
      <c r="J146" s="3" t="s">
        <v>816</v>
      </c>
      <c r="K146" s="4">
        <v>-2191057.08</v>
      </c>
      <c r="L146" s="4">
        <v>0</v>
      </c>
      <c r="M146" s="4">
        <v>440421.58</v>
      </c>
      <c r="N146" s="4">
        <v>-2631478.66</v>
      </c>
      <c r="O146" s="4">
        <f>Tab_06.Jun[[#This Row],[DÉBITO]]-Tab_06.Jun[[#This Row],[CRÉDITO]]</f>
        <v>-440421.58</v>
      </c>
    </row>
    <row r="147" spans="2:15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5</v>
      </c>
      <c r="D147" s="2" t="str">
        <f>_xlfn.XLOOKUP($I147,Tab_00.Trial[CONTA],Tab_00.Trial[S/A],"",0,1)</f>
        <v>S</v>
      </c>
      <c r="E147" s="2">
        <f>IF($I147="","",COUNTIFS(Tab_00.Trial[CONTA],$I147))</f>
        <v>1</v>
      </c>
      <c r="F147" s="4">
        <f>SUMIFS(Tab_05.Mai[SALDO
ATUAL],Tab_05.Mai[CONTA],$I147)</f>
        <v>-2191057.08</v>
      </c>
      <c r="G147" s="4">
        <f t="shared" si="6"/>
        <v>0</v>
      </c>
      <c r="H147">
        <v>31275</v>
      </c>
      <c r="I147" s="3" t="s">
        <v>581</v>
      </c>
      <c r="J147" s="3" t="s">
        <v>687</v>
      </c>
      <c r="K147" s="4">
        <v>-2191057.08</v>
      </c>
      <c r="L147" s="4">
        <v>0</v>
      </c>
      <c r="M147" s="4">
        <v>440421.58</v>
      </c>
      <c r="N147" s="4">
        <v>-2631478.66</v>
      </c>
      <c r="O147" s="4">
        <f>Tab_06.Jun[[#This Row],[DÉBITO]]-Tab_06.Jun[[#This Row],[CRÉDITO]]</f>
        <v>-440421.58</v>
      </c>
    </row>
    <row r="148" spans="2:15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A</v>
      </c>
      <c r="E148" s="2">
        <f>IF($I148="","",COUNTIFS(Tab_00.Trial[CONTA],$I148))</f>
        <v>1</v>
      </c>
      <c r="F148" s="4">
        <f>SUMIFS(Tab_05.Mai[SALDO
ATUAL],Tab_05.Mai[CONTA],$I148)</f>
        <v>-2145256.1</v>
      </c>
      <c r="G148" s="4">
        <f t="shared" si="6"/>
        <v>0</v>
      </c>
      <c r="H148">
        <v>31291</v>
      </c>
      <c r="I148" s="3" t="s">
        <v>387</v>
      </c>
      <c r="J148" s="3" t="s">
        <v>388</v>
      </c>
      <c r="K148" s="4">
        <v>-2145256.1</v>
      </c>
      <c r="L148" s="4">
        <v>0</v>
      </c>
      <c r="M148" s="4">
        <v>440421.58</v>
      </c>
      <c r="N148" s="4">
        <v>-2585677.6800000002</v>
      </c>
      <c r="O148" s="4">
        <f>Tab_06.Jun[[#This Row],[DÉBITO]]-Tab_06.Jun[[#This Row],[CRÉDITO]]</f>
        <v>-440421.58</v>
      </c>
    </row>
    <row r="149" spans="2:15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5</v>
      </c>
      <c r="D149" s="2" t="str">
        <f>_xlfn.XLOOKUP($I149,Tab_00.Trial[CONTA],Tab_00.Trial[S/A],"",0,1)</f>
        <v>A</v>
      </c>
      <c r="E149" s="2">
        <f>IF($I149="","",COUNTIFS(Tab_00.Trial[CONTA],$I149))</f>
        <v>1</v>
      </c>
      <c r="F149" s="4">
        <f>SUMIFS(Tab_05.Mai[SALDO
ATUAL],Tab_05.Mai[CONTA],$I149)</f>
        <v>-45800.98</v>
      </c>
      <c r="G149" s="4">
        <f t="shared" si="6"/>
        <v>0</v>
      </c>
      <c r="H149">
        <v>31292</v>
      </c>
      <c r="I149" s="3" t="s">
        <v>389</v>
      </c>
      <c r="J149" s="3" t="s">
        <v>390</v>
      </c>
      <c r="K149" s="4">
        <v>-45800.98</v>
      </c>
      <c r="L149" s="4">
        <v>0</v>
      </c>
      <c r="M149" s="4">
        <v>0</v>
      </c>
      <c r="N149" s="4">
        <v>-45800.98</v>
      </c>
      <c r="O149" s="4">
        <f>Tab_06.Jun[[#This Row],[DÉBITO]]-Tab_06.Jun[[#This Row],[CRÉDITO]]</f>
        <v>0</v>
      </c>
    </row>
    <row r="150" spans="2:15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2</v>
      </c>
      <c r="D150" s="2" t="str">
        <f>_xlfn.XLOOKUP($I150,Tab_00.Trial[CONTA],Tab_00.Trial[S/A],"",0,1)</f>
        <v>S</v>
      </c>
      <c r="E150" s="2">
        <f>IF($I150="","",COUNTIFS(Tab_00.Trial[CONTA],$I150))</f>
        <v>1</v>
      </c>
      <c r="F150" s="4">
        <f>SUMIFS(Tab_05.Mai[SALDO
ATUAL],Tab_05.Mai[CONTA],$I150)</f>
        <v>-1029792.96</v>
      </c>
      <c r="G150" s="4">
        <f t="shared" si="6"/>
        <v>0</v>
      </c>
      <c r="H150">
        <v>31470</v>
      </c>
      <c r="I150" s="3" t="s">
        <v>582</v>
      </c>
      <c r="J150" s="3" t="s">
        <v>688</v>
      </c>
      <c r="K150" s="4">
        <v>-1029792.96</v>
      </c>
      <c r="L150" s="4">
        <v>0</v>
      </c>
      <c r="M150" s="4">
        <v>203156.94</v>
      </c>
      <c r="N150" s="4">
        <v>-1232949.8999999999</v>
      </c>
      <c r="O150" s="4">
        <f>Tab_06.Jun[[#This Row],[DÉBITO]]-Tab_06.Jun[[#This Row],[CRÉDITO]]</f>
        <v>-203156.94</v>
      </c>
    </row>
    <row r="151" spans="2:15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5</v>
      </c>
      <c r="D151" s="2" t="str">
        <f>_xlfn.XLOOKUP($I151,Tab_00.Trial[CONTA],Tab_00.Trial[S/A],"",0,1)</f>
        <v>S</v>
      </c>
      <c r="E151" s="2">
        <f>IF($I151="","",COUNTIFS(Tab_00.Trial[CONTA],$I151))</f>
        <v>1</v>
      </c>
      <c r="F151" s="4">
        <f>SUMIFS(Tab_05.Mai[SALDO
ATUAL],Tab_05.Mai[CONTA],$I151)</f>
        <v>-73.42</v>
      </c>
      <c r="G151" s="4">
        <f t="shared" si="6"/>
        <v>0</v>
      </c>
      <c r="H151">
        <v>31590</v>
      </c>
      <c r="I151" s="3" t="s">
        <v>583</v>
      </c>
      <c r="J151" s="3" t="s">
        <v>689</v>
      </c>
      <c r="K151" s="4">
        <v>-73.42</v>
      </c>
      <c r="L151" s="4">
        <v>0</v>
      </c>
      <c r="M151" s="4">
        <v>0.01</v>
      </c>
      <c r="N151" s="4">
        <v>-73.430000000000007</v>
      </c>
      <c r="O151" s="4">
        <f>Tab_06.Jun[[#This Row],[DÉBITO]]-Tab_06.Jun[[#This Row],[CRÉDITO]]</f>
        <v>-0.01</v>
      </c>
    </row>
    <row r="152" spans="2:15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5</v>
      </c>
      <c r="D152" s="2" t="str">
        <f>_xlfn.XLOOKUP($I152,Tab_00.Trial[CONTA],Tab_00.Trial[S/A],"",0,1)</f>
        <v>S</v>
      </c>
      <c r="E152" s="2">
        <f>IF($I152="","",COUNTIFS(Tab_00.Trial[CONTA],$I152))</f>
        <v>1</v>
      </c>
      <c r="F152" s="4">
        <f>SUMIFS(Tab_05.Mai[SALDO
ATUAL],Tab_05.Mai[CONTA],$I152)</f>
        <v>-73.42</v>
      </c>
      <c r="G152" s="4">
        <f t="shared" si="6"/>
        <v>0</v>
      </c>
      <c r="H152">
        <v>31605</v>
      </c>
      <c r="I152" s="3" t="s">
        <v>584</v>
      </c>
      <c r="J152" s="3" t="s">
        <v>689</v>
      </c>
      <c r="K152" s="4">
        <v>-73.42</v>
      </c>
      <c r="L152" s="4">
        <v>0</v>
      </c>
      <c r="M152" s="4">
        <v>0.01</v>
      </c>
      <c r="N152" s="4">
        <v>-73.430000000000007</v>
      </c>
      <c r="O152" s="4">
        <f>Tab_06.Jun[[#This Row],[DÉBITO]]-Tab_06.Jun[[#This Row],[CRÉDITO]]</f>
        <v>-0.01</v>
      </c>
    </row>
    <row r="153" spans="2:15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5</v>
      </c>
      <c r="D153" s="2" t="str">
        <f>_xlfn.XLOOKUP($I153,Tab_00.Trial[CONTA],Tab_00.Trial[S/A],"",0,1)</f>
        <v>A</v>
      </c>
      <c r="E153" s="2">
        <f>IF($I153="","",COUNTIFS(Tab_00.Trial[CONTA],$I153))</f>
        <v>1</v>
      </c>
      <c r="F153" s="4">
        <f>SUMIFS(Tab_05.Mai[SALDO
ATUAL],Tab_05.Mai[CONTA],$I153)</f>
        <v>-73.42</v>
      </c>
      <c r="G153" s="4">
        <f t="shared" si="6"/>
        <v>0</v>
      </c>
      <c r="H153">
        <v>31645</v>
      </c>
      <c r="I153" s="3" t="s">
        <v>391</v>
      </c>
      <c r="J153" s="3" t="s">
        <v>392</v>
      </c>
      <c r="K153" s="4">
        <v>-73.42</v>
      </c>
      <c r="L153" s="4">
        <v>0</v>
      </c>
      <c r="M153" s="4">
        <v>0.01</v>
      </c>
      <c r="N153" s="4">
        <v>-73.430000000000007</v>
      </c>
      <c r="O153" s="4">
        <f>Tab_06.Jun[[#This Row],[DÉBITO]]-Tab_06.Jun[[#This Row],[CRÉDITO]]</f>
        <v>-0.01</v>
      </c>
    </row>
    <row r="154" spans="2:15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5</v>
      </c>
      <c r="D154" s="2" t="str">
        <f>_xlfn.XLOOKUP($I154,Tab_00.Trial[CONTA],Tab_00.Trial[S/A],"",0,1)</f>
        <v>S</v>
      </c>
      <c r="E154" s="2">
        <f>IF($I154="","",COUNTIFS(Tab_00.Trial[CONTA],$I154))</f>
        <v>1</v>
      </c>
      <c r="F154" s="4">
        <f>SUMIFS(Tab_05.Mai[SALDO
ATUAL],Tab_05.Mai[CONTA],$I154)</f>
        <v>-1029719.54</v>
      </c>
      <c r="G154" s="4">
        <f t="shared" si="6"/>
        <v>0</v>
      </c>
      <c r="H154">
        <v>31650</v>
      </c>
      <c r="I154" s="3" t="s">
        <v>585</v>
      </c>
      <c r="J154" s="3" t="s">
        <v>690</v>
      </c>
      <c r="K154" s="4">
        <v>-1029719.54</v>
      </c>
      <c r="L154" s="4">
        <v>0</v>
      </c>
      <c r="M154" s="4">
        <v>203156.93</v>
      </c>
      <c r="N154" s="4">
        <v>-1232876.47</v>
      </c>
      <c r="O154" s="4">
        <f>Tab_06.Jun[[#This Row],[DÉBITO]]-Tab_06.Jun[[#This Row],[CRÉDITO]]</f>
        <v>-203156.93</v>
      </c>
    </row>
    <row r="155" spans="2:15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5</v>
      </c>
      <c r="D155" s="2" t="str">
        <f>_xlfn.XLOOKUP($I155,Tab_00.Trial[CONTA],Tab_00.Trial[S/A],"",0,1)</f>
        <v>S</v>
      </c>
      <c r="E155" s="2">
        <f>IF($I155="","",COUNTIFS(Tab_00.Trial[CONTA],$I155))</f>
        <v>1</v>
      </c>
      <c r="F155" s="4">
        <f>SUMIFS(Tab_05.Mai[SALDO
ATUAL],Tab_05.Mai[CONTA],$I155)</f>
        <v>-1029719.54</v>
      </c>
      <c r="G155" s="4">
        <f t="shared" si="6"/>
        <v>0</v>
      </c>
      <c r="H155">
        <v>31665</v>
      </c>
      <c r="I155" s="3" t="s">
        <v>586</v>
      </c>
      <c r="J155" s="3" t="s">
        <v>394</v>
      </c>
      <c r="K155" s="4">
        <v>-1029719.54</v>
      </c>
      <c r="L155" s="4">
        <v>0</v>
      </c>
      <c r="M155" s="4">
        <v>203156.93</v>
      </c>
      <c r="N155" s="4">
        <v>-1232876.47</v>
      </c>
      <c r="O155" s="4">
        <f>Tab_06.Jun[[#This Row],[DÉBITO]]-Tab_06.Jun[[#This Row],[CRÉDITO]]</f>
        <v>-203156.93</v>
      </c>
    </row>
    <row r="156" spans="2:15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5</v>
      </c>
      <c r="D156" s="2" t="str">
        <f>_xlfn.XLOOKUP($I156,Tab_00.Trial[CONTA],Tab_00.Trial[S/A],"",0,1)</f>
        <v>A</v>
      </c>
      <c r="E156" s="2">
        <f>IF($I156="","",COUNTIFS(Tab_00.Trial[CONTA],$I156))</f>
        <v>1</v>
      </c>
      <c r="F156" s="4">
        <f>SUMIFS(Tab_05.Mai[SALDO
ATUAL],Tab_05.Mai[CONTA],$I156)</f>
        <v>-1029719.54</v>
      </c>
      <c r="G156" s="4">
        <f t="shared" si="6"/>
        <v>0</v>
      </c>
      <c r="H156">
        <v>31680</v>
      </c>
      <c r="I156" s="3" t="s">
        <v>393</v>
      </c>
      <c r="J156" s="3" t="s">
        <v>394</v>
      </c>
      <c r="K156" s="4">
        <v>-1029719.54</v>
      </c>
      <c r="L156" s="4">
        <v>0</v>
      </c>
      <c r="M156" s="4">
        <v>203156.93</v>
      </c>
      <c r="N156" s="4">
        <v>-1232876.47</v>
      </c>
      <c r="O156" s="4">
        <f>Tab_06.Jun[[#This Row],[DÉBITO]]-Tab_06.Jun[[#This Row],[CRÉDITO]]</f>
        <v>-203156.93</v>
      </c>
    </row>
    <row r="157" spans="2:15" x14ac:dyDescent="0.3">
      <c r="B157" s="2" t="str">
        <f>_xlfn.XLOOKUP($I157,Tab_00.Trial[CONTA],Tab_00.Trial[TP],"",0,1)</f>
        <v>R</v>
      </c>
      <c r="C157" s="2">
        <f>_xlfn.XLOOKUP($I157,Tab_00.Trial[CONTA],Tab_00.Trial[NV],"",0,1)</f>
        <v>2</v>
      </c>
      <c r="D157" s="2" t="str">
        <f>_xlfn.XLOOKUP($I157,Tab_00.Trial[CONTA],Tab_00.Trial[S/A],"",0,1)</f>
        <v>S</v>
      </c>
      <c r="E157" s="2">
        <f>IF($I157="","",COUNTIFS(Tab_00.Trial[CONTA],$I157))</f>
        <v>1</v>
      </c>
      <c r="F157" s="4">
        <f>SUMIFS(Tab_05.Mai[SALDO
ATUAL],Tab_05.Mai[CONTA],$I157)</f>
        <v>-5500</v>
      </c>
      <c r="G157" s="4">
        <f t="shared" si="6"/>
        <v>0</v>
      </c>
      <c r="H157">
        <v>31725</v>
      </c>
      <c r="I157" s="3" t="s">
        <v>587</v>
      </c>
      <c r="J157" s="3" t="s">
        <v>691</v>
      </c>
      <c r="K157" s="4">
        <v>-5500</v>
      </c>
      <c r="L157" s="4">
        <v>0</v>
      </c>
      <c r="M157" s="4">
        <v>700</v>
      </c>
      <c r="N157" s="4">
        <v>-6200</v>
      </c>
      <c r="O157" s="4">
        <f>Tab_06.Jun[[#This Row],[DÉBITO]]-Tab_06.Jun[[#This Row],[CRÉDITO]]</f>
        <v>-700</v>
      </c>
    </row>
    <row r="158" spans="2:15" x14ac:dyDescent="0.3">
      <c r="B158" s="2" t="str">
        <f>_xlfn.XLOOKUP($I158,Tab_00.Trial[CONTA],Tab_00.Trial[TP],"",0,1)</f>
        <v>R</v>
      </c>
      <c r="C158" s="2">
        <f>_xlfn.XLOOKUP($I158,Tab_00.Trial[CONTA],Tab_00.Trial[NV],"",0,1)</f>
        <v>5</v>
      </c>
      <c r="D158" s="2" t="str">
        <f>_xlfn.XLOOKUP($I158,Tab_00.Trial[CONTA],Tab_00.Trial[S/A],"",0,1)</f>
        <v>S</v>
      </c>
      <c r="E158" s="2">
        <f>IF($I158="","",COUNTIFS(Tab_00.Trial[CONTA],$I158))</f>
        <v>1</v>
      </c>
      <c r="F158" s="4">
        <f>SUMIFS(Tab_05.Mai[SALDO
ATUAL],Tab_05.Mai[CONTA],$I158)</f>
        <v>-5500</v>
      </c>
      <c r="G158" s="4">
        <f t="shared" si="6"/>
        <v>0</v>
      </c>
      <c r="H158">
        <v>30722</v>
      </c>
      <c r="I158" s="3" t="s">
        <v>588</v>
      </c>
      <c r="J158" s="3" t="s">
        <v>692</v>
      </c>
      <c r="K158" s="4">
        <v>-5500</v>
      </c>
      <c r="L158" s="4">
        <v>0</v>
      </c>
      <c r="M158" s="4">
        <v>700</v>
      </c>
      <c r="N158" s="4">
        <v>-6200</v>
      </c>
      <c r="O158" s="4">
        <f>Tab_06.Jun[[#This Row],[DÉBITO]]-Tab_06.Jun[[#This Row],[CRÉDITO]]</f>
        <v>-700</v>
      </c>
    </row>
    <row r="159" spans="2:15" x14ac:dyDescent="0.3">
      <c r="B159" s="2" t="str">
        <f>_xlfn.XLOOKUP($I159,Tab_00.Trial[CONTA],Tab_00.Trial[TP],"",0,1)</f>
        <v>R</v>
      </c>
      <c r="C159" s="2">
        <f>_xlfn.XLOOKUP($I159,Tab_00.Trial[CONTA],Tab_00.Trial[NV],"",0,1)</f>
        <v>5</v>
      </c>
      <c r="D159" s="2" t="str">
        <f>_xlfn.XLOOKUP($I159,Tab_00.Trial[CONTA],Tab_00.Trial[S/A],"",0,1)</f>
        <v>S</v>
      </c>
      <c r="E159" s="2">
        <f>IF($I159="","",COUNTIFS(Tab_00.Trial[CONTA],$I159))</f>
        <v>1</v>
      </c>
      <c r="F159" s="4">
        <f>SUMIFS(Tab_05.Mai[SALDO
ATUAL],Tab_05.Mai[CONTA],$I159)</f>
        <v>-5500</v>
      </c>
      <c r="G159" s="4">
        <f t="shared" si="6"/>
        <v>0</v>
      </c>
      <c r="H159">
        <v>30729</v>
      </c>
      <c r="I159" s="3" t="s">
        <v>589</v>
      </c>
      <c r="J159" s="3" t="s">
        <v>692</v>
      </c>
      <c r="K159" s="4">
        <v>-5500</v>
      </c>
      <c r="L159" s="4">
        <v>0</v>
      </c>
      <c r="M159" s="4">
        <v>700</v>
      </c>
      <c r="N159" s="4">
        <v>-6200</v>
      </c>
      <c r="O159" s="4">
        <f>Tab_06.Jun[[#This Row],[DÉBITO]]-Tab_06.Jun[[#This Row],[CRÉDITO]]</f>
        <v>-700</v>
      </c>
    </row>
    <row r="160" spans="2:15" x14ac:dyDescent="0.3">
      <c r="B160" s="2" t="str">
        <f>_xlfn.XLOOKUP($I160,Tab_00.Trial[CONTA],Tab_00.Trial[TP],"",0,1)</f>
        <v>R</v>
      </c>
      <c r="C160" s="2">
        <f>_xlfn.XLOOKUP($I160,Tab_00.Trial[CONTA],Tab_00.Trial[NV],"",0,1)</f>
        <v>5</v>
      </c>
      <c r="D160" s="2" t="str">
        <f>_xlfn.XLOOKUP($I160,Tab_00.Trial[CONTA],Tab_00.Trial[S/A],"",0,1)</f>
        <v>A</v>
      </c>
      <c r="E160" s="2">
        <f>IF($I160="","",COUNTIFS(Tab_00.Trial[CONTA],$I160))</f>
        <v>1</v>
      </c>
      <c r="F160" s="4">
        <f>SUMIFS(Tab_05.Mai[SALDO
ATUAL],Tab_05.Mai[CONTA],$I160)</f>
        <v>-5500</v>
      </c>
      <c r="G160" s="4">
        <f t="shared" si="6"/>
        <v>0</v>
      </c>
      <c r="H160">
        <v>30736</v>
      </c>
      <c r="I160" s="3" t="s">
        <v>395</v>
      </c>
      <c r="J160" s="3" t="s">
        <v>396</v>
      </c>
      <c r="K160" s="4">
        <v>-5500</v>
      </c>
      <c r="L160" s="4">
        <v>0</v>
      </c>
      <c r="M160" s="4">
        <v>700</v>
      </c>
      <c r="N160" s="4">
        <v>-6200</v>
      </c>
      <c r="O160" s="4">
        <f>Tab_06.Jun[[#This Row],[DÉBITO]]-Tab_06.Jun[[#This Row],[CRÉDITO]]</f>
        <v>-700</v>
      </c>
    </row>
    <row r="161" spans="2:15" x14ac:dyDescent="0.3">
      <c r="B161" s="2" t="str">
        <f>_xlfn.XLOOKUP($I161,Tab_00.Trial[CONTA],Tab_00.Trial[TP],"",0,1)</f>
        <v>C</v>
      </c>
      <c r="C161" s="2">
        <f>_xlfn.XLOOKUP($I161,Tab_00.Trial[CONTA],Tab_00.Trial[NV],"",0,1)</f>
        <v>1</v>
      </c>
      <c r="D161" s="2" t="str">
        <f>_xlfn.XLOOKUP($I161,Tab_00.Trial[CONTA],Tab_00.Trial[S/A],"",0,1)</f>
        <v>S</v>
      </c>
      <c r="E161" s="2">
        <f>IF($I161="","",COUNTIFS(Tab_00.Trial[CONTA],$I161))</f>
        <v>1</v>
      </c>
      <c r="F161" s="4">
        <f>SUMIFS(Tab_05.Mai[SALDO
ATUAL],Tab_05.Mai[CONTA],$I161)</f>
        <v>4461032.7300000004</v>
      </c>
      <c r="G161" s="4">
        <f t="shared" si="6"/>
        <v>0</v>
      </c>
      <c r="H161">
        <v>40000</v>
      </c>
      <c r="I161" s="3">
        <v>4</v>
      </c>
      <c r="J161" s="3" t="s">
        <v>693</v>
      </c>
      <c r="K161" s="4">
        <v>4461032.7300000004</v>
      </c>
      <c r="L161" s="4">
        <v>556129.85</v>
      </c>
      <c r="M161" s="4">
        <v>4733.17</v>
      </c>
      <c r="N161" s="4">
        <v>5012429.41</v>
      </c>
      <c r="O161" s="4">
        <f>Tab_06.Jun[[#This Row],[DÉBITO]]-Tab_06.Jun[[#This Row],[CRÉDITO]]</f>
        <v>551396.68000000005</v>
      </c>
    </row>
    <row r="162" spans="2:15" x14ac:dyDescent="0.3">
      <c r="B162" s="2" t="str">
        <f>_xlfn.XLOOKUP($I162,Tab_00.Trial[CONTA],Tab_00.Trial[TP],"",0,1)</f>
        <v>C</v>
      </c>
      <c r="C162" s="2">
        <f>_xlfn.XLOOKUP($I162,Tab_00.Trial[CONTA],Tab_00.Trial[NV],"",0,1)</f>
        <v>2</v>
      </c>
      <c r="D162" s="2" t="str">
        <f>_xlfn.XLOOKUP($I162,Tab_00.Trial[CONTA],Tab_00.Trial[S/A],"",0,1)</f>
        <v>S</v>
      </c>
      <c r="E162" s="2">
        <f>IF($I162="","",COUNTIFS(Tab_00.Trial[CONTA],$I162))</f>
        <v>1</v>
      </c>
      <c r="F162" s="4">
        <f>SUMIFS(Tab_05.Mai[SALDO
ATUAL],Tab_05.Mai[CONTA],$I162)</f>
        <v>4461032.7300000004</v>
      </c>
      <c r="G162" s="4">
        <f t="shared" si="6"/>
        <v>0</v>
      </c>
      <c r="H162">
        <v>40015</v>
      </c>
      <c r="I162" s="3" t="s">
        <v>234</v>
      </c>
      <c r="J162" s="3" t="s">
        <v>817</v>
      </c>
      <c r="K162" s="4">
        <v>4461032.7300000004</v>
      </c>
      <c r="L162" s="4">
        <v>556129.85</v>
      </c>
      <c r="M162" s="4">
        <v>4733.17</v>
      </c>
      <c r="N162" s="4">
        <v>5012429.41</v>
      </c>
      <c r="O162" s="4">
        <f>Tab_06.Jun[[#This Row],[DÉBITO]]-Tab_06.Jun[[#This Row],[CRÉDITO]]</f>
        <v>551396.68000000005</v>
      </c>
    </row>
    <row r="163" spans="2:15" x14ac:dyDescent="0.3">
      <c r="B163" s="2" t="str">
        <f>_xlfn.XLOOKUP($I163,Tab_00.Trial[CONTA],Tab_00.Trial[TP],"",0,1)</f>
        <v>C</v>
      </c>
      <c r="C163" s="2">
        <f>_xlfn.XLOOKUP($I163,Tab_00.Trial[CONTA],Tab_00.Trial[NV],"",0,1)</f>
        <v>5</v>
      </c>
      <c r="D163" s="2" t="str">
        <f>_xlfn.XLOOKUP($I163,Tab_00.Trial[CONTA],Tab_00.Trial[S/A],"",0,1)</f>
        <v>S</v>
      </c>
      <c r="E163" s="2">
        <f>IF($I163="","",COUNTIFS(Tab_00.Trial[CONTA],$I163))</f>
        <v>1</v>
      </c>
      <c r="F163" s="4">
        <f>SUMIFS(Tab_05.Mai[SALDO
ATUAL],Tab_05.Mai[CONTA],$I163)</f>
        <v>846889.36</v>
      </c>
      <c r="G163" s="4">
        <f t="shared" si="6"/>
        <v>0</v>
      </c>
      <c r="H163">
        <v>40030</v>
      </c>
      <c r="I163" s="3" t="s">
        <v>235</v>
      </c>
      <c r="J163" s="3" t="s">
        <v>818</v>
      </c>
      <c r="K163" s="4">
        <v>846889.36</v>
      </c>
      <c r="L163" s="4">
        <v>182836.61</v>
      </c>
      <c r="M163" s="4">
        <v>4733.17</v>
      </c>
      <c r="N163" s="4">
        <v>1024992.8</v>
      </c>
      <c r="O163" s="4">
        <f>Tab_06.Jun[[#This Row],[DÉBITO]]-Tab_06.Jun[[#This Row],[CRÉDITO]]</f>
        <v>178103.44</v>
      </c>
    </row>
    <row r="164" spans="2:15" x14ac:dyDescent="0.3">
      <c r="B164" s="2" t="str">
        <f>_xlfn.XLOOKUP($I164,Tab_00.Trial[CONTA],Tab_00.Trial[TP],"",0,1)</f>
        <v>C</v>
      </c>
      <c r="C164" s="2">
        <f>_xlfn.XLOOKUP($I164,Tab_00.Trial[CONTA],Tab_00.Trial[NV],"",0,1)</f>
        <v>5</v>
      </c>
      <c r="D164" s="2" t="str">
        <f>_xlfn.XLOOKUP($I164,Tab_00.Trial[CONTA],Tab_00.Trial[S/A],"",0,1)</f>
        <v>S</v>
      </c>
      <c r="E164" s="2">
        <f>IF($I164="","",COUNTIFS(Tab_00.Trial[CONTA],$I164))</f>
        <v>1</v>
      </c>
      <c r="F164" s="4">
        <f>SUMIFS(Tab_05.Mai[SALDO
ATUAL],Tab_05.Mai[CONTA],$I164)</f>
        <v>352529.93</v>
      </c>
      <c r="G164" s="4">
        <f t="shared" si="6"/>
        <v>0</v>
      </c>
      <c r="H164">
        <v>40045</v>
      </c>
      <c r="I164" s="3" t="s">
        <v>236</v>
      </c>
      <c r="J164" s="3" t="s">
        <v>696</v>
      </c>
      <c r="K164" s="4">
        <v>352529.93</v>
      </c>
      <c r="L164" s="4">
        <v>69921.070000000007</v>
      </c>
      <c r="M164" s="4">
        <v>0</v>
      </c>
      <c r="N164" s="4">
        <v>422451</v>
      </c>
      <c r="O164" s="4">
        <f>Tab_06.Jun[[#This Row],[DÉBITO]]-Tab_06.Jun[[#This Row],[CRÉDITO]]</f>
        <v>69921.070000000007</v>
      </c>
    </row>
    <row r="165" spans="2:15" x14ac:dyDescent="0.3">
      <c r="B165" s="2" t="str">
        <f>_xlfn.XLOOKUP($I165,Tab_00.Trial[CONTA],Tab_00.Trial[TP],"",0,1)</f>
        <v>C</v>
      </c>
      <c r="C165" s="2">
        <f>_xlfn.XLOOKUP($I165,Tab_00.Trial[CONTA],Tab_00.Trial[NV],"",0,1)</f>
        <v>5</v>
      </c>
      <c r="D165" s="2" t="str">
        <f>_xlfn.XLOOKUP($I165,Tab_00.Trial[CONTA],Tab_00.Trial[S/A],"",0,1)</f>
        <v>A</v>
      </c>
      <c r="E165" s="2">
        <f>IF($I165="","",COUNTIFS(Tab_00.Trial[CONTA],$I165))</f>
        <v>1</v>
      </c>
      <c r="F165" s="4">
        <f>SUMIFS(Tab_05.Mai[SALDO
ATUAL],Tab_05.Mai[CONTA],$I165)</f>
        <v>235725.68</v>
      </c>
      <c r="G165" s="4">
        <f t="shared" si="6"/>
        <v>0</v>
      </c>
      <c r="H165">
        <v>40060</v>
      </c>
      <c r="I165" s="3" t="s">
        <v>195</v>
      </c>
      <c r="J165" s="3" t="s">
        <v>427</v>
      </c>
      <c r="K165" s="4">
        <v>235725.68</v>
      </c>
      <c r="L165" s="4">
        <v>54166.77</v>
      </c>
      <c r="M165" s="4">
        <v>0</v>
      </c>
      <c r="N165" s="4">
        <v>289892.45</v>
      </c>
      <c r="O165" s="4">
        <f>Tab_06.Jun[[#This Row],[DÉBITO]]-Tab_06.Jun[[#This Row],[CRÉDITO]]</f>
        <v>54166.77</v>
      </c>
    </row>
    <row r="166" spans="2:15" x14ac:dyDescent="0.3">
      <c r="B166" s="2" t="str">
        <f>_xlfn.XLOOKUP($I166,Tab_00.Trial[CONTA],Tab_00.Trial[TP],"",0,1)</f>
        <v>C</v>
      </c>
      <c r="C166" s="2">
        <f>_xlfn.XLOOKUP($I166,Tab_00.Trial[CONTA],Tab_00.Trial[NV],"",0,1)</f>
        <v>5</v>
      </c>
      <c r="D166" s="2" t="str">
        <f>_xlfn.XLOOKUP($I166,Tab_00.Trial[CONTA],Tab_00.Trial[S/A],"",0,1)</f>
        <v>A</v>
      </c>
      <c r="E166" s="2">
        <f>IF($I166="","",COUNTIFS(Tab_00.Trial[CONTA],$I166))</f>
        <v>1</v>
      </c>
      <c r="F166" s="4">
        <f>SUMIFS(Tab_05.Mai[SALDO
ATUAL],Tab_05.Mai[CONTA],$I166)</f>
        <v>40250.800000000003</v>
      </c>
      <c r="G166" s="4">
        <f t="shared" si="6"/>
        <v>0</v>
      </c>
      <c r="H166">
        <v>40075</v>
      </c>
      <c r="I166" s="3" t="s">
        <v>430</v>
      </c>
      <c r="J166" s="3" t="s">
        <v>431</v>
      </c>
      <c r="K166" s="4">
        <v>40250.800000000003</v>
      </c>
      <c r="L166" s="4">
        <v>6494.98</v>
      </c>
      <c r="M166" s="4">
        <v>0</v>
      </c>
      <c r="N166" s="4">
        <v>46745.78</v>
      </c>
      <c r="O166" s="4">
        <f>Tab_06.Jun[[#This Row],[DÉBITO]]-Tab_06.Jun[[#This Row],[CRÉDITO]]</f>
        <v>6494.98</v>
      </c>
    </row>
    <row r="167" spans="2:15" x14ac:dyDescent="0.3">
      <c r="B167" s="2" t="str">
        <f>_xlfn.XLOOKUP($I167,Tab_00.Trial[CONTA],Tab_00.Trial[TP],"",0,1)</f>
        <v>C</v>
      </c>
      <c r="C167" s="2">
        <f>_xlfn.XLOOKUP($I167,Tab_00.Trial[CONTA],Tab_00.Trial[NV],"",0,1)</f>
        <v>5</v>
      </c>
      <c r="D167" s="2" t="str">
        <f>_xlfn.XLOOKUP($I167,Tab_00.Trial[CONTA],Tab_00.Trial[S/A],"",0,1)</f>
        <v>A</v>
      </c>
      <c r="E167" s="2">
        <f>IF($I167="","",COUNTIFS(Tab_00.Trial[CONTA],$I167))</f>
        <v>1</v>
      </c>
      <c r="F167" s="4">
        <f>SUMIFS(Tab_05.Mai[SALDO
ATUAL],Tab_05.Mai[CONTA],$I167)</f>
        <v>25225.13</v>
      </c>
      <c r="G167" s="4">
        <f t="shared" si="6"/>
        <v>0</v>
      </c>
      <c r="H167">
        <v>40085</v>
      </c>
      <c r="I167" s="3" t="s">
        <v>432</v>
      </c>
      <c r="J167" s="3" t="s">
        <v>433</v>
      </c>
      <c r="K167" s="4">
        <v>25225.13</v>
      </c>
      <c r="L167" s="4">
        <v>5045.03</v>
      </c>
      <c r="M167" s="4">
        <v>0</v>
      </c>
      <c r="N167" s="4">
        <v>30270.16</v>
      </c>
      <c r="O167" s="4">
        <f>Tab_06.Jun[[#This Row],[DÉBITO]]-Tab_06.Jun[[#This Row],[CRÉDITO]]</f>
        <v>5045.03</v>
      </c>
    </row>
    <row r="168" spans="2:15" x14ac:dyDescent="0.3">
      <c r="B168" s="2" t="str">
        <f>_xlfn.XLOOKUP($I168,Tab_00.Trial[CONTA],Tab_00.Trial[TP],"",0,1)</f>
        <v>C</v>
      </c>
      <c r="C168" s="2">
        <f>_xlfn.XLOOKUP($I168,Tab_00.Trial[CONTA],Tab_00.Trial[NV],"",0,1)</f>
        <v>5</v>
      </c>
      <c r="D168" s="2" t="str">
        <f>_xlfn.XLOOKUP($I168,Tab_00.Trial[CONTA],Tab_00.Trial[S/A],"",0,1)</f>
        <v>A</v>
      </c>
      <c r="E168" s="2">
        <f>IF($I168="","",COUNTIFS(Tab_00.Trial[CONTA],$I168))</f>
        <v>1</v>
      </c>
      <c r="F168" s="4">
        <f>SUMIFS(Tab_05.Mai[SALDO
ATUAL],Tab_05.Mai[CONTA],$I168)</f>
        <v>40055.42</v>
      </c>
      <c r="G168" s="4">
        <f t="shared" si="6"/>
        <v>0</v>
      </c>
      <c r="H168">
        <v>10111</v>
      </c>
      <c r="I168" s="3" t="s">
        <v>790</v>
      </c>
      <c r="J168" s="3" t="s">
        <v>791</v>
      </c>
      <c r="K168" s="4">
        <v>40055.42</v>
      </c>
      <c r="L168" s="4">
        <v>1802.79</v>
      </c>
      <c r="M168" s="4">
        <v>0</v>
      </c>
      <c r="N168" s="4">
        <v>41858.21</v>
      </c>
      <c r="O168" s="4">
        <f>Tab_06.Jun[[#This Row],[DÉBITO]]-Tab_06.Jun[[#This Row],[CRÉDITO]]</f>
        <v>1802.79</v>
      </c>
    </row>
    <row r="169" spans="2:15" x14ac:dyDescent="0.3">
      <c r="B169" s="2" t="str">
        <f>_xlfn.XLOOKUP($I169,Tab_00.Trial[CONTA],Tab_00.Trial[TP],"",0,1)</f>
        <v>C</v>
      </c>
      <c r="C169" s="2">
        <f>_xlfn.XLOOKUP($I169,Tab_00.Trial[CONTA],Tab_00.Trial[NV],"",0,1)</f>
        <v>5</v>
      </c>
      <c r="D169" s="2" t="str">
        <f>_xlfn.XLOOKUP($I169,Tab_00.Trial[CONTA],Tab_00.Trial[S/A],"",0,1)</f>
        <v>A</v>
      </c>
      <c r="E169" s="2">
        <f>IF($I169="","",COUNTIFS(Tab_00.Trial[CONTA],$I169))</f>
        <v>1</v>
      </c>
      <c r="F169" s="4">
        <f>SUMIFS(Tab_05.Mai[SALDO
ATUAL],Tab_05.Mai[CONTA],$I169)</f>
        <v>1979.14</v>
      </c>
      <c r="G169" s="4">
        <f t="shared" si="6"/>
        <v>0</v>
      </c>
      <c r="H169">
        <v>10118</v>
      </c>
      <c r="I169" s="3" t="s">
        <v>792</v>
      </c>
      <c r="J169" s="3" t="s">
        <v>793</v>
      </c>
      <c r="K169" s="4">
        <v>1979.14</v>
      </c>
      <c r="L169" s="4">
        <v>538.13</v>
      </c>
      <c r="M169" s="4">
        <v>0</v>
      </c>
      <c r="N169" s="4">
        <v>2517.27</v>
      </c>
      <c r="O169" s="4">
        <f>Tab_06.Jun[[#This Row],[DÉBITO]]-Tab_06.Jun[[#This Row],[CRÉDITO]]</f>
        <v>538.13</v>
      </c>
    </row>
    <row r="170" spans="2:15" x14ac:dyDescent="0.3">
      <c r="B170" s="2" t="str">
        <f>_xlfn.XLOOKUP($I170,Tab_00.Trial[CONTA],Tab_00.Trial[TP],"",0,1)</f>
        <v>C</v>
      </c>
      <c r="C170" s="2">
        <f>_xlfn.XLOOKUP($I170,Tab_00.Trial[CONTA],Tab_00.Trial[NV],"",0,1)</f>
        <v>5</v>
      </c>
      <c r="D170" s="2" t="str">
        <f>_xlfn.XLOOKUP($I170,Tab_00.Trial[CONTA],Tab_00.Trial[S/A],"",0,1)</f>
        <v>A</v>
      </c>
      <c r="E170" s="2">
        <f>IF($I170="","",COUNTIFS(Tab_00.Trial[CONTA],$I170))</f>
        <v>1</v>
      </c>
      <c r="F170" s="4">
        <f>SUMIFS(Tab_05.Mai[SALDO
ATUAL],Tab_05.Mai[CONTA],$I170)</f>
        <v>263.23</v>
      </c>
      <c r="G170" s="4">
        <f t="shared" si="6"/>
        <v>0</v>
      </c>
      <c r="H170">
        <v>10139</v>
      </c>
      <c r="I170" s="3" t="s">
        <v>794</v>
      </c>
      <c r="J170" s="3" t="s">
        <v>795</v>
      </c>
      <c r="K170" s="4">
        <v>263.23</v>
      </c>
      <c r="L170" s="4">
        <v>67.260000000000005</v>
      </c>
      <c r="M170" s="4">
        <v>0</v>
      </c>
      <c r="N170" s="4">
        <v>330.49</v>
      </c>
      <c r="O170" s="4">
        <f>Tab_06.Jun[[#This Row],[DÉBITO]]-Tab_06.Jun[[#This Row],[CRÉDITO]]</f>
        <v>67.260000000000005</v>
      </c>
    </row>
    <row r="171" spans="2:15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5</v>
      </c>
      <c r="D171" s="2" t="str">
        <f>_xlfn.XLOOKUP($I171,Tab_00.Trial[CONTA],Tab_00.Trial[S/A],"",0,1)</f>
        <v>A</v>
      </c>
      <c r="E171" s="2">
        <f>IF($I171="","",COUNTIFS(Tab_00.Trial[CONTA],$I171))</f>
        <v>1</v>
      </c>
      <c r="F171" s="4">
        <f>SUMIFS(Tab_05.Mai[SALDO
ATUAL],Tab_05.Mai[CONTA],$I171)</f>
        <v>6760.31</v>
      </c>
      <c r="G171" s="4">
        <f t="shared" si="6"/>
        <v>0</v>
      </c>
      <c r="H171">
        <v>10146</v>
      </c>
      <c r="I171" s="3" t="s">
        <v>796</v>
      </c>
      <c r="J171" s="3" t="s">
        <v>797</v>
      </c>
      <c r="K171" s="4">
        <v>6760.31</v>
      </c>
      <c r="L171" s="4">
        <v>1352.05</v>
      </c>
      <c r="M171" s="4">
        <v>0</v>
      </c>
      <c r="N171" s="4">
        <v>8112.36</v>
      </c>
      <c r="O171" s="4">
        <f>Tab_06.Jun[[#This Row],[DÉBITO]]-Tab_06.Jun[[#This Row],[CRÉDITO]]</f>
        <v>1352.05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5</v>
      </c>
      <c r="D172" s="2" t="str">
        <f>_xlfn.XLOOKUP($I172,Tab_00.Trial[CONTA],Tab_00.Trial[S/A],"",0,1)</f>
        <v>A</v>
      </c>
      <c r="E172" s="2">
        <f>IF($I172="","",COUNTIFS(Tab_00.Trial[CONTA],$I172))</f>
        <v>1</v>
      </c>
      <c r="F172" s="4">
        <f>SUMIFS(Tab_05.Mai[SALDO
ATUAL],Tab_05.Mai[CONTA],$I172)</f>
        <v>2017.98</v>
      </c>
      <c r="G172" s="4">
        <f t="shared" si="6"/>
        <v>0</v>
      </c>
      <c r="H172">
        <v>10153</v>
      </c>
      <c r="I172" s="3" t="s">
        <v>798</v>
      </c>
      <c r="J172" s="3" t="s">
        <v>799</v>
      </c>
      <c r="K172" s="4">
        <v>2017.98</v>
      </c>
      <c r="L172" s="4">
        <v>403.61</v>
      </c>
      <c r="M172" s="4">
        <v>0</v>
      </c>
      <c r="N172" s="4">
        <v>2421.59</v>
      </c>
      <c r="O172" s="4">
        <f>Tab_06.Jun[[#This Row],[DÉBITO]]-Tab_06.Jun[[#This Row],[CRÉDITO]]</f>
        <v>403.61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A</v>
      </c>
      <c r="E173" s="2">
        <f>IF($I173="","",COUNTIFS(Tab_00.Trial[CONTA],$I173))</f>
        <v>1</v>
      </c>
      <c r="F173" s="4">
        <f>SUMIFS(Tab_05.Mai[SALDO
ATUAL],Tab_05.Mai[CONTA],$I173)</f>
        <v>252.24</v>
      </c>
      <c r="G173" s="4">
        <f t="shared" si="6"/>
        <v>0</v>
      </c>
      <c r="H173">
        <v>10160</v>
      </c>
      <c r="I173" s="3" t="s">
        <v>800</v>
      </c>
      <c r="J173" s="3" t="s">
        <v>801</v>
      </c>
      <c r="K173" s="4">
        <v>252.24</v>
      </c>
      <c r="L173" s="4">
        <v>50.45</v>
      </c>
      <c r="M173" s="4">
        <v>0</v>
      </c>
      <c r="N173" s="4">
        <v>302.69</v>
      </c>
      <c r="O173" s="4">
        <f>Tab_06.Jun[[#This Row],[DÉBITO]]-Tab_06.Jun[[#This Row],[CRÉDITO]]</f>
        <v>50.45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S</v>
      </c>
      <c r="E174" s="2">
        <f>IF($I174="","",COUNTIFS(Tab_00.Trial[CONTA],$I174))</f>
        <v>1</v>
      </c>
      <c r="F174" s="4">
        <f>SUMIFS(Tab_05.Mai[SALDO
ATUAL],Tab_05.Mai[CONTA],$I174)</f>
        <v>125701.8</v>
      </c>
      <c r="G174" s="4">
        <f t="shared" si="6"/>
        <v>0</v>
      </c>
      <c r="H174">
        <v>40150</v>
      </c>
      <c r="I174" s="3" t="s">
        <v>590</v>
      </c>
      <c r="J174" s="3" t="s">
        <v>697</v>
      </c>
      <c r="K174" s="4">
        <v>125701.8</v>
      </c>
      <c r="L174" s="4">
        <v>33125.99</v>
      </c>
      <c r="M174" s="4">
        <v>3211</v>
      </c>
      <c r="N174" s="4">
        <v>155616.79</v>
      </c>
      <c r="O174" s="4">
        <f>Tab_06.Jun[[#This Row],[DÉBITO]]-Tab_06.Jun[[#This Row],[CRÉDITO]]</f>
        <v>29914.99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A</v>
      </c>
      <c r="E175" s="2">
        <f>IF($I175="","",COUNTIFS(Tab_00.Trial[CONTA],$I175))</f>
        <v>1</v>
      </c>
      <c r="F175" s="4">
        <f>SUMIFS(Tab_05.Mai[SALDO
ATUAL],Tab_05.Mai[CONTA],$I175)</f>
        <v>121415.07</v>
      </c>
      <c r="G175" s="4">
        <f t="shared" si="6"/>
        <v>0</v>
      </c>
      <c r="H175">
        <v>40165</v>
      </c>
      <c r="I175" s="3" t="s">
        <v>434</v>
      </c>
      <c r="J175" s="3" t="s">
        <v>435</v>
      </c>
      <c r="K175" s="4">
        <v>121415.07</v>
      </c>
      <c r="L175" s="4">
        <v>30874.49</v>
      </c>
      <c r="M175" s="4">
        <v>1440.1</v>
      </c>
      <c r="N175" s="4">
        <v>150849.46</v>
      </c>
      <c r="O175" s="4">
        <f>Tab_06.Jun[[#This Row],[DÉBITO]]-Tab_06.Jun[[#This Row],[CRÉDITO]]</f>
        <v>29434.39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A</v>
      </c>
      <c r="E176" s="2">
        <f>IF($I176="","",COUNTIFS(Tab_00.Trial[CONTA],$I176))</f>
        <v>1</v>
      </c>
      <c r="F176" s="4">
        <f>SUMIFS(Tab_05.Mai[SALDO
ATUAL],Tab_05.Mai[CONTA],$I176)</f>
        <v>4286.7299999999996</v>
      </c>
      <c r="G176" s="4">
        <f t="shared" si="6"/>
        <v>0</v>
      </c>
      <c r="H176">
        <v>40195</v>
      </c>
      <c r="I176" s="3" t="s">
        <v>750</v>
      </c>
      <c r="J176" s="3" t="s">
        <v>751</v>
      </c>
      <c r="K176" s="4">
        <v>4286.7299999999996</v>
      </c>
      <c r="L176" s="4">
        <v>2251.5</v>
      </c>
      <c r="M176" s="4">
        <v>1770.9</v>
      </c>
      <c r="N176" s="4">
        <v>4767.33</v>
      </c>
      <c r="O176" s="4">
        <f>Tab_06.Jun[[#This Row],[DÉBITO]]-Tab_06.Jun[[#This Row],[CRÉDITO]]</f>
        <v>480.6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S</v>
      </c>
      <c r="E177" s="2">
        <f>IF($I177="","",COUNTIFS(Tab_00.Trial[CONTA],$I177))</f>
        <v>1</v>
      </c>
      <c r="F177" s="4">
        <f>SUMIFS(Tab_05.Mai[SALDO
ATUAL],Tab_05.Mai[CONTA],$I177)</f>
        <v>111910.85</v>
      </c>
      <c r="G177" s="4">
        <f t="shared" si="6"/>
        <v>0</v>
      </c>
      <c r="H177">
        <v>40210</v>
      </c>
      <c r="I177" s="3" t="s">
        <v>591</v>
      </c>
      <c r="J177" s="3" t="s">
        <v>698</v>
      </c>
      <c r="K177" s="4">
        <v>111910.85</v>
      </c>
      <c r="L177" s="4">
        <v>20221.78</v>
      </c>
      <c r="M177" s="4">
        <v>1522.17</v>
      </c>
      <c r="N177" s="4">
        <v>130610.46</v>
      </c>
      <c r="O177" s="4">
        <f>Tab_06.Jun[[#This Row],[DÉBITO]]-Tab_06.Jun[[#This Row],[CRÉDITO]]</f>
        <v>18699.61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A</v>
      </c>
      <c r="E178" s="2">
        <f>IF($I178="","",COUNTIFS(Tab_00.Trial[CONTA],$I178))</f>
        <v>1</v>
      </c>
      <c r="F178" s="4">
        <f>SUMIFS(Tab_05.Mai[SALDO
ATUAL],Tab_05.Mai[CONTA],$I178)</f>
        <v>89987.74</v>
      </c>
      <c r="G178" s="4">
        <f t="shared" ref="G178:G198" si="7">$F178-$K178</f>
        <v>0</v>
      </c>
      <c r="H178">
        <v>40225</v>
      </c>
      <c r="I178" s="3" t="s">
        <v>436</v>
      </c>
      <c r="J178" s="3" t="s">
        <v>437</v>
      </c>
      <c r="K178" s="4">
        <v>89987.74</v>
      </c>
      <c r="L178" s="4">
        <v>15003.75</v>
      </c>
      <c r="M178" s="4">
        <v>0</v>
      </c>
      <c r="N178" s="4">
        <v>104991.49</v>
      </c>
      <c r="O178" s="4">
        <f>Tab_06.Jun[[#This Row],[DÉBITO]]-Tab_06.Jun[[#This Row],[CRÉDITO]]</f>
        <v>15003.75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A</v>
      </c>
      <c r="E179" s="2">
        <f>IF($I179="","",COUNTIFS(Tab_00.Trial[CONTA],$I179))</f>
        <v>1</v>
      </c>
      <c r="F179" s="4">
        <f>SUMIFS(Tab_05.Mai[SALDO
ATUAL],Tab_05.Mai[CONTA],$I179)</f>
        <v>18856.099999999999</v>
      </c>
      <c r="G179" s="4">
        <f t="shared" si="7"/>
        <v>0</v>
      </c>
      <c r="H179">
        <v>40240</v>
      </c>
      <c r="I179" s="3" t="s">
        <v>438</v>
      </c>
      <c r="J179" s="3" t="s">
        <v>196</v>
      </c>
      <c r="K179" s="4">
        <v>18856.099999999999</v>
      </c>
      <c r="L179" s="4">
        <v>4676.3599999999997</v>
      </c>
      <c r="M179" s="4">
        <v>1522.17</v>
      </c>
      <c r="N179" s="4">
        <v>22010.29</v>
      </c>
      <c r="O179" s="4">
        <f>Tab_06.Jun[[#This Row],[DÉBITO]]-Tab_06.Jun[[#This Row],[CRÉDITO]]</f>
        <v>3154.19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A</v>
      </c>
      <c r="E180" s="2">
        <f>IF($I180="","",COUNTIFS(Tab_00.Trial[CONTA],$I180))</f>
        <v>1</v>
      </c>
      <c r="F180" s="4">
        <f>SUMIFS(Tab_05.Mai[SALDO
ATUAL],Tab_05.Mai[CONTA],$I180)</f>
        <v>3067.01</v>
      </c>
      <c r="G180" s="4">
        <f t="shared" si="7"/>
        <v>0</v>
      </c>
      <c r="H180">
        <v>40255</v>
      </c>
      <c r="I180" s="3" t="s">
        <v>439</v>
      </c>
      <c r="J180" s="3" t="s">
        <v>440</v>
      </c>
      <c r="K180" s="4">
        <v>3067.01</v>
      </c>
      <c r="L180" s="4">
        <v>541.66999999999996</v>
      </c>
      <c r="M180" s="4">
        <v>0</v>
      </c>
      <c r="N180" s="4">
        <v>3608.68</v>
      </c>
      <c r="O180" s="4">
        <f>Tab_06.Jun[[#This Row],[DÉBITO]]-Tab_06.Jun[[#This Row],[CRÉDITO]]</f>
        <v>541.66999999999996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S</v>
      </c>
      <c r="E181" s="2">
        <f>IF($I181="","",COUNTIFS(Tab_00.Trial[CONTA],$I181))</f>
        <v>1</v>
      </c>
      <c r="F181" s="4">
        <f>SUMIFS(Tab_05.Mai[SALDO
ATUAL],Tab_05.Mai[CONTA],$I181)</f>
        <v>6378.77</v>
      </c>
      <c r="G181" s="4">
        <f t="shared" si="7"/>
        <v>0</v>
      </c>
      <c r="H181">
        <v>40285</v>
      </c>
      <c r="I181" s="3" t="s">
        <v>592</v>
      </c>
      <c r="J181" s="3" t="s">
        <v>699</v>
      </c>
      <c r="K181" s="4">
        <v>6378.77</v>
      </c>
      <c r="L181" s="4">
        <v>1653.13</v>
      </c>
      <c r="M181" s="4">
        <v>0</v>
      </c>
      <c r="N181" s="4">
        <v>8031.9</v>
      </c>
      <c r="O181" s="4">
        <f>Tab_06.Jun[[#This Row],[DÉBITO]]-Tab_06.Jun[[#This Row],[CRÉDITO]]</f>
        <v>1653.13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A</v>
      </c>
      <c r="E182" s="2">
        <f>IF($I182="","",COUNTIFS(Tab_00.Trial[CONTA],$I182))</f>
        <v>1</v>
      </c>
      <c r="F182" s="4">
        <f>SUMIFS(Tab_05.Mai[SALDO
ATUAL],Tab_05.Mai[CONTA],$I182)</f>
        <v>6378.77</v>
      </c>
      <c r="G182" s="4">
        <f t="shared" si="7"/>
        <v>0</v>
      </c>
      <c r="H182">
        <v>40300</v>
      </c>
      <c r="I182" s="3" t="s">
        <v>397</v>
      </c>
      <c r="J182" s="3" t="s">
        <v>398</v>
      </c>
      <c r="K182" s="4">
        <v>6378.77</v>
      </c>
      <c r="L182" s="4">
        <v>1653.13</v>
      </c>
      <c r="M182" s="4">
        <v>0</v>
      </c>
      <c r="N182" s="4">
        <v>8031.9</v>
      </c>
      <c r="O182" s="4">
        <f>Tab_06.Jun[[#This Row],[DÉBITO]]-Tab_06.Jun[[#This Row],[CRÉDITO]]</f>
        <v>1653.13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S</v>
      </c>
      <c r="E183" s="2">
        <f>IF($I183="","",COUNTIFS(Tab_00.Trial[CONTA],$I183))</f>
        <v>1</v>
      </c>
      <c r="F183" s="4">
        <f>SUMIFS(Tab_05.Mai[SALDO
ATUAL],Tab_05.Mai[CONTA],$I183)</f>
        <v>175168.85</v>
      </c>
      <c r="G183" s="4">
        <f t="shared" si="7"/>
        <v>0</v>
      </c>
      <c r="H183">
        <v>40295</v>
      </c>
      <c r="I183" s="3" t="s">
        <v>593</v>
      </c>
      <c r="J183" s="3" t="s">
        <v>711</v>
      </c>
      <c r="K183" s="4">
        <v>175168.85</v>
      </c>
      <c r="L183" s="4">
        <v>38554.160000000003</v>
      </c>
      <c r="M183" s="4">
        <v>0</v>
      </c>
      <c r="N183" s="4">
        <v>213723.01</v>
      </c>
      <c r="O183" s="4">
        <f>Tab_06.Jun[[#This Row],[DÉBITO]]-Tab_06.Jun[[#This Row],[CRÉDITO]]</f>
        <v>38554.160000000003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A</v>
      </c>
      <c r="E184" s="2">
        <f>IF($I184="","",COUNTIFS(Tab_00.Trial[CONTA],$I184))</f>
        <v>1</v>
      </c>
      <c r="F184" s="4">
        <f>SUMIFS(Tab_05.Mai[SALDO
ATUAL],Tab_05.Mai[CONTA],$I184)</f>
        <v>20679.8</v>
      </c>
      <c r="G184" s="4">
        <f t="shared" si="7"/>
        <v>0</v>
      </c>
      <c r="H184">
        <v>40339</v>
      </c>
      <c r="I184" s="3" t="s">
        <v>403</v>
      </c>
      <c r="J184" s="3" t="s">
        <v>404</v>
      </c>
      <c r="K184" s="4">
        <v>20679.8</v>
      </c>
      <c r="L184" s="4">
        <v>4135.96</v>
      </c>
      <c r="M184" s="4">
        <v>0</v>
      </c>
      <c r="N184" s="4">
        <v>24815.759999999998</v>
      </c>
      <c r="O184" s="4">
        <f>Tab_06.Jun[[#This Row],[DÉBITO]]-Tab_06.Jun[[#This Row],[CRÉDITO]]</f>
        <v>4135.96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A</v>
      </c>
      <c r="E185" s="2">
        <f>IF($I185="","",COUNTIFS(Tab_00.Trial[CONTA],$I185))</f>
        <v>1</v>
      </c>
      <c r="F185" s="4">
        <f>SUMIFS(Tab_05.Mai[SALDO
ATUAL],Tab_05.Mai[CONTA],$I185)</f>
        <v>139137</v>
      </c>
      <c r="G185" s="4">
        <f t="shared" si="7"/>
        <v>0</v>
      </c>
      <c r="H185">
        <v>40341</v>
      </c>
      <c r="I185" s="3" t="s">
        <v>405</v>
      </c>
      <c r="J185" s="3" t="s">
        <v>406</v>
      </c>
      <c r="K185" s="4">
        <v>139137</v>
      </c>
      <c r="L185" s="4">
        <v>29405</v>
      </c>
      <c r="M185" s="4">
        <v>0</v>
      </c>
      <c r="N185" s="4">
        <v>168542</v>
      </c>
      <c r="O185" s="4">
        <f>Tab_06.Jun[[#This Row],[DÉBITO]]-Tab_06.Jun[[#This Row],[CRÉDITO]]</f>
        <v>29405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A</v>
      </c>
      <c r="E186" s="2">
        <f>IF($I186="","",COUNTIFS(Tab_00.Trial[CONTA],$I186))</f>
        <v>1</v>
      </c>
      <c r="F186" s="4">
        <f>SUMIFS(Tab_05.Mai[SALDO
ATUAL],Tab_05.Mai[CONTA],$I186)</f>
        <v>15352.05</v>
      </c>
      <c r="G186" s="4">
        <f t="shared" si="7"/>
        <v>0</v>
      </c>
      <c r="H186">
        <v>40350</v>
      </c>
      <c r="I186" s="3" t="s">
        <v>407</v>
      </c>
      <c r="J186" s="3" t="s">
        <v>408</v>
      </c>
      <c r="K186" s="4">
        <v>15352.05</v>
      </c>
      <c r="L186" s="4">
        <v>5013.2</v>
      </c>
      <c r="M186" s="4">
        <v>0</v>
      </c>
      <c r="N186" s="4">
        <v>20365.25</v>
      </c>
      <c r="O186" s="4">
        <f>Tab_06.Jun[[#This Row],[DÉBITO]]-Tab_06.Jun[[#This Row],[CRÉDITO]]</f>
        <v>5013.2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S</v>
      </c>
      <c r="E187" s="2">
        <f>IF($I187="","",COUNTIFS(Tab_00.Trial[CONTA],$I187))</f>
        <v>1</v>
      </c>
      <c r="F187" s="4">
        <f>SUMIFS(Tab_05.Mai[SALDO
ATUAL],Tab_05.Mai[CONTA],$I187)</f>
        <v>72223.539999999994</v>
      </c>
      <c r="G187" s="4">
        <f t="shared" si="7"/>
        <v>0</v>
      </c>
      <c r="H187">
        <v>40353</v>
      </c>
      <c r="I187" s="3" t="s">
        <v>594</v>
      </c>
      <c r="J187" s="3" t="s">
        <v>819</v>
      </c>
      <c r="K187" s="4">
        <v>72223.539999999994</v>
      </c>
      <c r="L187" s="4">
        <v>18633.22</v>
      </c>
      <c r="M187" s="4">
        <v>0</v>
      </c>
      <c r="N187" s="4">
        <v>90856.76</v>
      </c>
      <c r="O187" s="4">
        <f>Tab_06.Jun[[#This Row],[DÉBITO]]-Tab_06.Jun[[#This Row],[CRÉDITO]]</f>
        <v>18633.22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A</v>
      </c>
      <c r="E188" s="2">
        <f>IF($I188="","",COUNTIFS(Tab_00.Trial[CONTA],$I188))</f>
        <v>1</v>
      </c>
      <c r="F188" s="4">
        <f>SUMIFS(Tab_05.Mai[SALDO
ATUAL],Tab_05.Mai[CONTA],$I188)</f>
        <v>300</v>
      </c>
      <c r="G188" s="4">
        <f t="shared" si="7"/>
        <v>0</v>
      </c>
      <c r="H188">
        <v>40354</v>
      </c>
      <c r="I188" s="3" t="s">
        <v>411</v>
      </c>
      <c r="J188" s="3" t="s">
        <v>412</v>
      </c>
      <c r="K188" s="4">
        <v>300</v>
      </c>
      <c r="L188" s="4">
        <v>0</v>
      </c>
      <c r="M188" s="4">
        <v>0</v>
      </c>
      <c r="N188" s="4">
        <v>300</v>
      </c>
      <c r="O188" s="4">
        <f>Tab_06.Jun[[#This Row],[DÉBITO]]-Tab_06.Jun[[#This Row],[CRÉDITO]]</f>
        <v>0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A</v>
      </c>
      <c r="E189" s="2">
        <f>IF($I189="","",COUNTIFS(Tab_00.Trial[CONTA],$I189))</f>
        <v>1</v>
      </c>
      <c r="F189" s="4">
        <f>SUMIFS(Tab_05.Mai[SALDO
ATUAL],Tab_05.Mai[CONTA],$I189)</f>
        <v>71923.539999999994</v>
      </c>
      <c r="G189" s="4">
        <f t="shared" si="7"/>
        <v>0</v>
      </c>
      <c r="H189">
        <v>40355</v>
      </c>
      <c r="I189" s="3" t="s">
        <v>413</v>
      </c>
      <c r="J189" s="3" t="s">
        <v>414</v>
      </c>
      <c r="K189" s="4">
        <v>71923.539999999994</v>
      </c>
      <c r="L189" s="4">
        <v>18633.22</v>
      </c>
      <c r="M189" s="4">
        <v>0</v>
      </c>
      <c r="N189" s="4">
        <v>90556.76</v>
      </c>
      <c r="O189" s="4">
        <f>Tab_06.Jun[[#This Row],[DÉBITO]]-Tab_06.Jun[[#This Row],[CRÉDITO]]</f>
        <v>18633.22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S</v>
      </c>
      <c r="E190" s="2">
        <f>IF($I190="","",COUNTIFS(Tab_00.Trial[CONTA],$I190))</f>
        <v>1</v>
      </c>
      <c r="F190" s="4">
        <f>SUMIFS(Tab_05.Mai[SALDO
ATUAL],Tab_05.Mai[CONTA],$I190)</f>
        <v>2975.62</v>
      </c>
      <c r="G190" s="4">
        <f t="shared" si="7"/>
        <v>0</v>
      </c>
      <c r="H190">
        <v>40365</v>
      </c>
      <c r="I190" s="3" t="s">
        <v>595</v>
      </c>
      <c r="J190" s="3" t="s">
        <v>420</v>
      </c>
      <c r="K190" s="4">
        <v>2975.62</v>
      </c>
      <c r="L190" s="4">
        <v>727.26</v>
      </c>
      <c r="M190" s="4">
        <v>0</v>
      </c>
      <c r="N190" s="4">
        <v>3702.88</v>
      </c>
      <c r="O190" s="4">
        <f>Tab_06.Jun[[#This Row],[DÉBITO]]-Tab_06.Jun[[#This Row],[CRÉDITO]]</f>
        <v>727.26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A</v>
      </c>
      <c r="E191" s="2">
        <f>IF($I191="","",COUNTIFS(Tab_00.Trial[CONTA],$I191))</f>
        <v>1</v>
      </c>
      <c r="F191" s="4">
        <f>SUMIFS(Tab_05.Mai[SALDO
ATUAL],Tab_05.Mai[CONTA],$I191)</f>
        <v>2975.62</v>
      </c>
      <c r="G191" s="4">
        <f t="shared" si="7"/>
        <v>0</v>
      </c>
      <c r="H191">
        <v>40366</v>
      </c>
      <c r="I191" s="3" t="s">
        <v>419</v>
      </c>
      <c r="J191" s="3" t="s">
        <v>420</v>
      </c>
      <c r="K191" s="4">
        <v>2975.62</v>
      </c>
      <c r="L191" s="4">
        <v>727.26</v>
      </c>
      <c r="M191" s="4">
        <v>0</v>
      </c>
      <c r="N191" s="4">
        <v>3702.88</v>
      </c>
      <c r="O191" s="4">
        <f>Tab_06.Jun[[#This Row],[DÉBITO]]-Tab_06.Jun[[#This Row],[CRÉDITO]]</f>
        <v>727.26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S</v>
      </c>
      <c r="E192" s="2">
        <f>IF($I192="","",COUNTIFS(Tab_00.Trial[CONTA],$I192))</f>
        <v>1</v>
      </c>
      <c r="F192" s="4">
        <f>SUMIFS(Tab_05.Mai[SALDO
ATUAL],Tab_05.Mai[CONTA],$I192)</f>
        <v>3614143.37</v>
      </c>
      <c r="G192" s="4">
        <f t="shared" si="7"/>
        <v>0</v>
      </c>
      <c r="H192">
        <v>40345</v>
      </c>
      <c r="I192" s="3" t="s">
        <v>237</v>
      </c>
      <c r="J192" s="3" t="s">
        <v>702</v>
      </c>
      <c r="K192" s="4">
        <v>3614143.37</v>
      </c>
      <c r="L192" s="4">
        <v>373293.24</v>
      </c>
      <c r="M192" s="4">
        <v>0</v>
      </c>
      <c r="N192" s="4">
        <v>3987436.61</v>
      </c>
      <c r="O192" s="4">
        <f>Tab_06.Jun[[#This Row],[DÉBITO]]-Tab_06.Jun[[#This Row],[CRÉDITO]]</f>
        <v>373293.24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5</v>
      </c>
      <c r="D193" s="2" t="str">
        <f>_xlfn.XLOOKUP($I193,Tab_00.Trial[CONTA],Tab_00.Trial[S/A],"",0,1)</f>
        <v>S</v>
      </c>
      <c r="E193" s="2">
        <f>IF($I193="","",COUNTIFS(Tab_00.Trial[CONTA],$I193))</f>
        <v>1</v>
      </c>
      <c r="F193" s="4">
        <f>SUMIFS(Tab_05.Mai[SALDO
ATUAL],Tab_05.Mai[CONTA],$I193)</f>
        <v>3614143.37</v>
      </c>
      <c r="G193" s="4">
        <f t="shared" si="7"/>
        <v>0</v>
      </c>
      <c r="H193">
        <v>40360</v>
      </c>
      <c r="I193" s="3" t="s">
        <v>238</v>
      </c>
      <c r="J193" s="3" t="s">
        <v>820</v>
      </c>
      <c r="K193" s="4">
        <v>3614143.37</v>
      </c>
      <c r="L193" s="4">
        <v>373293.24</v>
      </c>
      <c r="M193" s="4">
        <v>0</v>
      </c>
      <c r="N193" s="4">
        <v>3987436.61</v>
      </c>
      <c r="O193" s="4">
        <f>Tab_06.Jun[[#This Row],[DÉBITO]]-Tab_06.Jun[[#This Row],[CRÉDITO]]</f>
        <v>373293.24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5</v>
      </c>
      <c r="D194" s="2" t="str">
        <f>_xlfn.XLOOKUP($I194,Tab_00.Trial[CONTA],Tab_00.Trial[S/A],"",0,1)</f>
        <v>A</v>
      </c>
      <c r="E194" s="2">
        <f>IF($I194="","",COUNTIFS(Tab_00.Trial[CONTA],$I194))</f>
        <v>1</v>
      </c>
      <c r="F194" s="4">
        <f>SUMIFS(Tab_05.Mai[SALDO
ATUAL],Tab_05.Mai[CONTA],$I194)</f>
        <v>1195265.1000000001</v>
      </c>
      <c r="G194" s="4">
        <f t="shared" si="7"/>
        <v>0</v>
      </c>
      <c r="H194">
        <v>40425</v>
      </c>
      <c r="I194" s="3" t="s">
        <v>421</v>
      </c>
      <c r="J194" s="3" t="s">
        <v>422</v>
      </c>
      <c r="K194" s="4">
        <v>1195265.1000000001</v>
      </c>
      <c r="L194" s="4">
        <v>184021.85</v>
      </c>
      <c r="M194" s="4">
        <v>0</v>
      </c>
      <c r="N194" s="4">
        <v>1379286.95</v>
      </c>
      <c r="O194" s="4">
        <f>Tab_06.Jun[[#This Row],[DÉBITO]]-Tab_06.Jun[[#This Row],[CRÉDITO]]</f>
        <v>184021.85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A</v>
      </c>
      <c r="E195" s="2">
        <f>IF($I195="","",COUNTIFS(Tab_00.Trial[CONTA],$I195))</f>
        <v>1</v>
      </c>
      <c r="F195" s="4">
        <f>SUMIFS(Tab_05.Mai[SALDO
ATUAL],Tab_05.Mai[CONTA],$I195)</f>
        <v>652647.16</v>
      </c>
      <c r="G195" s="4">
        <f t="shared" si="7"/>
        <v>0</v>
      </c>
      <c r="H195">
        <v>40468</v>
      </c>
      <c r="I195" s="3" t="s">
        <v>738</v>
      </c>
      <c r="J195" s="3" t="s">
        <v>367</v>
      </c>
      <c r="K195" s="4">
        <v>652647.16</v>
      </c>
      <c r="L195" s="4">
        <v>129579.24</v>
      </c>
      <c r="M195" s="4">
        <v>0</v>
      </c>
      <c r="N195" s="4">
        <v>782226.4</v>
      </c>
      <c r="O195" s="4">
        <f>Tab_06.Jun[[#This Row],[DÉBITO]]-Tab_06.Jun[[#This Row],[CRÉDITO]]</f>
        <v>129579.24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A</v>
      </c>
      <c r="E196" s="2">
        <f>IF($I196="","",COUNTIFS(Tab_00.Trial[CONTA],$I196))</f>
        <v>1</v>
      </c>
      <c r="F196" s="4">
        <f>SUMIFS(Tab_05.Mai[SALDO
ATUAL],Tab_05.Mai[CONTA],$I196)</f>
        <v>1766231.11</v>
      </c>
      <c r="G196" s="4">
        <f t="shared" si="7"/>
        <v>0</v>
      </c>
      <c r="H196">
        <v>40469</v>
      </c>
      <c r="I196" s="3" t="s">
        <v>423</v>
      </c>
      <c r="J196" s="3" t="s">
        <v>424</v>
      </c>
      <c r="K196" s="4">
        <v>1766231.11</v>
      </c>
      <c r="L196" s="4">
        <v>59692.15</v>
      </c>
      <c r="M196" s="4">
        <v>0</v>
      </c>
      <c r="N196" s="4">
        <v>1825923.26</v>
      </c>
      <c r="O196" s="4">
        <f>Tab_06.Jun[[#This Row],[DÉBITO]]-Tab_06.Jun[[#This Row],[CRÉDITO]]</f>
        <v>59692.15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1</v>
      </c>
      <c r="D197" s="2" t="str">
        <f>_xlfn.XLOOKUP($I197,Tab_00.Trial[CONTA],Tab_00.Trial[S/A],"",0,1)</f>
        <v>S</v>
      </c>
      <c r="E197" s="2">
        <f>IF($I197="","",COUNTIFS(Tab_00.Trial[CONTA],$I197))</f>
        <v>1</v>
      </c>
      <c r="F197" s="4">
        <f>SUMIFS(Tab_05.Mai[SALDO
ATUAL],Tab_05.Mai[CONTA],$I197)</f>
        <v>1471404.67</v>
      </c>
      <c r="G197" s="4">
        <f t="shared" si="7"/>
        <v>0</v>
      </c>
      <c r="H197">
        <v>50000</v>
      </c>
      <c r="I197" s="3">
        <v>5</v>
      </c>
      <c r="J197" s="3" t="s">
        <v>705</v>
      </c>
      <c r="K197" s="4">
        <v>1471404.67</v>
      </c>
      <c r="L197" s="4">
        <v>336891.41</v>
      </c>
      <c r="M197" s="4">
        <v>28437.53</v>
      </c>
      <c r="N197" s="4">
        <v>1779858.55</v>
      </c>
      <c r="O197" s="4">
        <f>Tab_06.Jun[[#This Row],[DÉBITO]]-Tab_06.Jun[[#This Row],[CRÉDITO]]</f>
        <v>308453.88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2</v>
      </c>
      <c r="D198" s="2" t="str">
        <f>_xlfn.XLOOKUP($I198,Tab_00.Trial[CONTA],Tab_00.Trial[S/A],"",0,1)</f>
        <v>S</v>
      </c>
      <c r="E198" s="2">
        <f>IF($I198="","",COUNTIFS(Tab_00.Trial[CONTA],$I198))</f>
        <v>1</v>
      </c>
      <c r="F198" s="4">
        <f>SUMIFS(Tab_05.Mai[SALDO
ATUAL],Tab_05.Mai[CONTA],$I198)</f>
        <v>1471323.67</v>
      </c>
      <c r="G198" s="4">
        <f t="shared" si="7"/>
        <v>0</v>
      </c>
      <c r="H198">
        <v>50015</v>
      </c>
      <c r="I198" s="3" t="s">
        <v>599</v>
      </c>
      <c r="J198" s="3" t="s">
        <v>821</v>
      </c>
      <c r="K198" s="4">
        <v>1471323.67</v>
      </c>
      <c r="L198" s="4">
        <v>336756.41</v>
      </c>
      <c r="M198" s="4">
        <v>28437.53</v>
      </c>
      <c r="N198" s="4">
        <v>1779642.55</v>
      </c>
      <c r="O198" s="4">
        <f>Tab_06.Jun[[#This Row],[DÉBITO]]-Tab_06.Jun[[#This Row],[CRÉDITO]]</f>
        <v>308318.88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5</v>
      </c>
      <c r="D199" s="2" t="str">
        <f>_xlfn.XLOOKUP($I199,Tab_00.Trial[CONTA],Tab_00.Trial[S/A],"",0,1)</f>
        <v>S</v>
      </c>
      <c r="E199" s="2">
        <f>IF($I199="","",COUNTIFS(Tab_00.Trial[CONTA],$I199))</f>
        <v>1</v>
      </c>
      <c r="F199" s="4">
        <f>SUMIFS(Tab_05.Mai[SALDO
ATUAL],Tab_05.Mai[CONTA],$I199)</f>
        <v>663991.79</v>
      </c>
      <c r="G199" s="4">
        <f>$F199-$K199</f>
        <v>0</v>
      </c>
      <c r="H199">
        <v>50030</v>
      </c>
      <c r="I199" s="3" t="s">
        <v>600</v>
      </c>
      <c r="J199" s="3" t="s">
        <v>706</v>
      </c>
      <c r="K199" s="4">
        <v>663991.79</v>
      </c>
      <c r="L199" s="4">
        <v>100558.63</v>
      </c>
      <c r="M199" s="4">
        <v>28437.53</v>
      </c>
      <c r="N199" s="4">
        <v>736112.89</v>
      </c>
      <c r="O199" s="4">
        <f>Tab_06.Jun[[#This Row],[DÉBITO]]-Tab_06.Jun[[#This Row],[CRÉDITO]]</f>
        <v>72121.100000000006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5</v>
      </c>
      <c r="D200" s="2" t="str">
        <f>_xlfn.XLOOKUP($I200,Tab_00.Trial[CONTA],Tab_00.Trial[S/A],"",0,1)</f>
        <v>S</v>
      </c>
      <c r="E200" s="2">
        <f>IF($I200="","",COUNTIFS(Tab_00.Trial[CONTA],$I200))</f>
        <v>1</v>
      </c>
      <c r="F200" s="4">
        <f>SUMIFS(Tab_05.Mai[SALDO
ATUAL],Tab_05.Mai[CONTA],$I200)</f>
        <v>395452.86</v>
      </c>
      <c r="G200" s="4">
        <f t="shared" ref="G200:G231" si="8">$F200-$K200</f>
        <v>0</v>
      </c>
      <c r="H200">
        <v>50045</v>
      </c>
      <c r="I200" s="3" t="s">
        <v>601</v>
      </c>
      <c r="J200" s="3" t="s">
        <v>707</v>
      </c>
      <c r="K200" s="4">
        <v>395452.86</v>
      </c>
      <c r="L200" s="4">
        <v>82696.52</v>
      </c>
      <c r="M200" s="4">
        <v>26181.94</v>
      </c>
      <c r="N200" s="4">
        <v>451967.44</v>
      </c>
      <c r="O200" s="4">
        <f>Tab_06.Jun[[#This Row],[DÉBITO]]-Tab_06.Jun[[#This Row],[CRÉDITO]]</f>
        <v>56514.58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5</v>
      </c>
      <c r="D201" s="2" t="str">
        <f>_xlfn.XLOOKUP($I201,Tab_00.Trial[CONTA],Tab_00.Trial[S/A],"",0,1)</f>
        <v>A</v>
      </c>
      <c r="E201" s="2">
        <f>IF($I201="","",COUNTIFS(Tab_00.Trial[CONTA],$I201))</f>
        <v>1</v>
      </c>
      <c r="F201" s="4">
        <f>SUMIFS(Tab_05.Mai[SALDO
ATUAL],Tab_05.Mai[CONTA],$I201)</f>
        <v>225199.92</v>
      </c>
      <c r="G201" s="4">
        <f t="shared" si="8"/>
        <v>0</v>
      </c>
      <c r="H201">
        <v>50060</v>
      </c>
      <c r="I201" s="3" t="s">
        <v>441</v>
      </c>
      <c r="J201" s="3" t="s">
        <v>427</v>
      </c>
      <c r="K201" s="4">
        <v>225199.92</v>
      </c>
      <c r="L201" s="4">
        <v>71358.58</v>
      </c>
      <c r="M201" s="4">
        <v>26181.94</v>
      </c>
      <c r="N201" s="4">
        <v>270376.56</v>
      </c>
      <c r="O201" s="4">
        <f>Tab_06.Jun[[#This Row],[DÉBITO]]-Tab_06.Jun[[#This Row],[CRÉDITO]]</f>
        <v>45176.639999999999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5</v>
      </c>
      <c r="D202" s="2" t="str">
        <f>_xlfn.XLOOKUP($I202,Tab_00.Trial[CONTA],Tab_00.Trial[S/A],"",0,1)</f>
        <v>A</v>
      </c>
      <c r="E202" s="2">
        <f>IF($I202="","",COUNTIFS(Tab_00.Trial[CONTA],$I202))</f>
        <v>1</v>
      </c>
      <c r="F202" s="4">
        <f>SUMIFS(Tab_05.Mai[SALDO
ATUAL],Tab_05.Mai[CONTA],$I202)</f>
        <v>33586.93</v>
      </c>
      <c r="G202" s="4">
        <f t="shared" si="8"/>
        <v>0</v>
      </c>
      <c r="H202">
        <v>50090</v>
      </c>
      <c r="I202" s="3" t="s">
        <v>443</v>
      </c>
      <c r="J202" s="3" t="s">
        <v>431</v>
      </c>
      <c r="K202" s="4">
        <v>33586.93</v>
      </c>
      <c r="L202" s="4">
        <v>4905.08</v>
      </c>
      <c r="M202" s="4">
        <v>0</v>
      </c>
      <c r="N202" s="4">
        <v>38492.01</v>
      </c>
      <c r="O202" s="4">
        <f>Tab_06.Jun[[#This Row],[DÉBITO]]-Tab_06.Jun[[#This Row],[CRÉDITO]]</f>
        <v>4905.08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5</v>
      </c>
      <c r="D203" s="2" t="str">
        <f>_xlfn.XLOOKUP($I203,Tab_00.Trial[CONTA],Tab_00.Trial[S/A],"",0,1)</f>
        <v>A</v>
      </c>
      <c r="E203" s="2">
        <f>IF($I203="","",COUNTIFS(Tab_00.Trial[CONTA],$I203))</f>
        <v>1</v>
      </c>
      <c r="F203" s="4">
        <f>SUMIFS(Tab_05.Mai[SALDO
ATUAL],Tab_05.Mai[CONTA],$I203)</f>
        <v>28397.25</v>
      </c>
      <c r="G203" s="4">
        <f t="shared" si="8"/>
        <v>0</v>
      </c>
      <c r="H203">
        <v>50105</v>
      </c>
      <c r="I203" s="3" t="s">
        <v>444</v>
      </c>
      <c r="J203" s="3" t="s">
        <v>433</v>
      </c>
      <c r="K203" s="4">
        <v>28397.25</v>
      </c>
      <c r="L203" s="4">
        <v>3505.02</v>
      </c>
      <c r="M203" s="4">
        <v>0</v>
      </c>
      <c r="N203" s="4">
        <v>31902.27</v>
      </c>
      <c r="O203" s="4">
        <f>Tab_06.Jun[[#This Row],[DÉBITO]]-Tab_06.Jun[[#This Row],[CRÉDITO]]</f>
        <v>3505.02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5</v>
      </c>
      <c r="D204" s="2" t="str">
        <f>_xlfn.XLOOKUP($I204,Tab_00.Trial[CONTA],Tab_00.Trial[S/A],"",0,1)</f>
        <v>A</v>
      </c>
      <c r="E204" s="2">
        <f>IF($I204="","",COUNTIFS(Tab_00.Trial[CONTA],$I204))</f>
        <v>1</v>
      </c>
      <c r="F204" s="4">
        <f>SUMIFS(Tab_05.Mai[SALDO
ATUAL],Tab_05.Mai[CONTA],$I204)</f>
        <v>85959.77</v>
      </c>
      <c r="G204" s="4">
        <f t="shared" si="8"/>
        <v>0</v>
      </c>
      <c r="H204">
        <v>50120</v>
      </c>
      <c r="I204" s="3" t="s">
        <v>775</v>
      </c>
      <c r="J204" s="3" t="s">
        <v>749</v>
      </c>
      <c r="K204" s="4">
        <v>85959.77</v>
      </c>
      <c r="L204" s="4">
        <v>0</v>
      </c>
      <c r="M204" s="4">
        <v>0</v>
      </c>
      <c r="N204" s="4">
        <v>85959.77</v>
      </c>
      <c r="O204" s="4">
        <f>Tab_06.Jun[[#This Row],[DÉBITO]]-Tab_06.Jun[[#This Row],[CRÉDITO]]</f>
        <v>0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5</v>
      </c>
      <c r="D205" s="2" t="str">
        <f>_xlfn.XLOOKUP($I205,Tab_00.Trial[CONTA],Tab_00.Trial[S/A],"",0,1)</f>
        <v>A</v>
      </c>
      <c r="E205" s="2">
        <f>IF($I205="","",COUNTIFS(Tab_00.Trial[CONTA],$I205))</f>
        <v>1</v>
      </c>
      <c r="F205" s="4">
        <f>SUMIFS(Tab_05.Mai[SALDO
ATUAL],Tab_05.Mai[CONTA],$I205)</f>
        <v>476.67</v>
      </c>
      <c r="G205" s="4">
        <f t="shared" si="8"/>
        <v>0</v>
      </c>
      <c r="H205">
        <v>50205</v>
      </c>
      <c r="I205" s="3" t="s">
        <v>447</v>
      </c>
      <c r="J205" s="3" t="s">
        <v>448</v>
      </c>
      <c r="K205" s="4">
        <v>476.67</v>
      </c>
      <c r="L205" s="4">
        <v>0</v>
      </c>
      <c r="M205" s="4">
        <v>0</v>
      </c>
      <c r="N205" s="4">
        <v>476.67</v>
      </c>
      <c r="O205" s="4">
        <f>Tab_06.Jun[[#This Row],[DÉBITO]]-Tab_06.Jun[[#This Row],[CRÉDITO]]</f>
        <v>0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5</v>
      </c>
      <c r="D206" s="2" t="str">
        <f>_xlfn.XLOOKUP($I206,Tab_00.Trial[CONTA],Tab_00.Trial[S/A],"",0,1)</f>
        <v>A</v>
      </c>
      <c r="E206" s="2">
        <f>IF($I206="","",COUNTIFS(Tab_00.Trial[CONTA],$I206))</f>
        <v>1</v>
      </c>
      <c r="F206" s="4">
        <f>SUMIFS(Tab_05.Mai[SALDO
ATUAL],Tab_05.Mai[CONTA],$I206)</f>
        <v>3272.33</v>
      </c>
      <c r="G206" s="4">
        <f t="shared" si="8"/>
        <v>0</v>
      </c>
      <c r="H206">
        <v>10167</v>
      </c>
      <c r="I206" s="3" t="s">
        <v>802</v>
      </c>
      <c r="J206" s="3" t="s">
        <v>791</v>
      </c>
      <c r="K206" s="4">
        <v>3272.33</v>
      </c>
      <c r="L206" s="4">
        <v>1252.48</v>
      </c>
      <c r="M206" s="4">
        <v>0</v>
      </c>
      <c r="N206" s="4">
        <v>4524.8100000000004</v>
      </c>
      <c r="O206" s="4">
        <f>Tab_06.Jun[[#This Row],[DÉBITO]]-Tab_06.Jun[[#This Row],[CRÉDITO]]</f>
        <v>1252.48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5</v>
      </c>
      <c r="D207" s="2" t="str">
        <f>_xlfn.XLOOKUP($I207,Tab_00.Trial[CONTA],Tab_00.Trial[S/A],"",0,1)</f>
        <v>A</v>
      </c>
      <c r="E207" s="2">
        <f>IF($I207="","",COUNTIFS(Tab_00.Trial[CONTA],$I207))</f>
        <v>1</v>
      </c>
      <c r="F207" s="4">
        <f>SUMIFS(Tab_05.Mai[SALDO
ATUAL],Tab_05.Mai[CONTA],$I207)</f>
        <v>10399.799999999999</v>
      </c>
      <c r="G207" s="4">
        <f t="shared" si="8"/>
        <v>0</v>
      </c>
      <c r="H207">
        <v>10174</v>
      </c>
      <c r="I207" s="3" t="s">
        <v>803</v>
      </c>
      <c r="J207" s="3" t="s">
        <v>793</v>
      </c>
      <c r="K207" s="4">
        <v>10399.799999999999</v>
      </c>
      <c r="L207" s="4">
        <v>373.86</v>
      </c>
      <c r="M207" s="4">
        <v>0</v>
      </c>
      <c r="N207" s="4">
        <v>10773.66</v>
      </c>
      <c r="O207" s="4">
        <f>Tab_06.Jun[[#This Row],[DÉBITO]]-Tab_06.Jun[[#This Row],[CRÉDITO]]</f>
        <v>373.86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5</v>
      </c>
      <c r="D208" s="2" t="str">
        <f>_xlfn.XLOOKUP($I208,Tab_00.Trial[CONTA],Tab_00.Trial[S/A],"",0,1)</f>
        <v>A</v>
      </c>
      <c r="E208" s="2">
        <f>IF($I208="","",COUNTIFS(Tab_00.Trial[CONTA],$I208))</f>
        <v>1</v>
      </c>
      <c r="F208" s="4">
        <f>SUMIFS(Tab_05.Mai[SALDO
ATUAL],Tab_05.Mai[CONTA],$I208)</f>
        <v>131.03</v>
      </c>
      <c r="G208" s="4">
        <f t="shared" si="8"/>
        <v>0</v>
      </c>
      <c r="H208">
        <v>10181</v>
      </c>
      <c r="I208" s="3" t="s">
        <v>804</v>
      </c>
      <c r="J208" s="3" t="s">
        <v>795</v>
      </c>
      <c r="K208" s="4">
        <v>131.03</v>
      </c>
      <c r="L208" s="4">
        <v>46.74</v>
      </c>
      <c r="M208" s="4">
        <v>0</v>
      </c>
      <c r="N208" s="4">
        <v>177.77</v>
      </c>
      <c r="O208" s="4">
        <f>Tab_06.Jun[[#This Row],[DÉBITO]]-Tab_06.Jun[[#This Row],[CRÉDITO]]</f>
        <v>46.74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5</v>
      </c>
      <c r="D209" s="2" t="str">
        <f>_xlfn.XLOOKUP($I209,Tab_00.Trial[CONTA],Tab_00.Trial[S/A],"",0,1)</f>
        <v>A</v>
      </c>
      <c r="E209" s="2">
        <f>IF($I209="","",COUNTIFS(Tab_00.Trial[CONTA],$I209))</f>
        <v>1</v>
      </c>
      <c r="F209" s="4">
        <f>SUMIFS(Tab_05.Mai[SALDO
ATUAL],Tab_05.Mai[CONTA],$I209)</f>
        <v>6010.67</v>
      </c>
      <c r="G209" s="4">
        <f t="shared" si="8"/>
        <v>0</v>
      </c>
      <c r="H209">
        <v>10188</v>
      </c>
      <c r="I209" s="3" t="s">
        <v>805</v>
      </c>
      <c r="J209" s="3" t="s">
        <v>797</v>
      </c>
      <c r="K209" s="4">
        <v>6010.67</v>
      </c>
      <c r="L209" s="4">
        <v>939.34</v>
      </c>
      <c r="M209" s="4">
        <v>0</v>
      </c>
      <c r="N209" s="4">
        <v>6950.01</v>
      </c>
      <c r="O209" s="4">
        <f>Tab_06.Jun[[#This Row],[DÉBITO]]-Tab_06.Jun[[#This Row],[CRÉDITO]]</f>
        <v>939.34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5</v>
      </c>
      <c r="D210" s="2" t="str">
        <f>_xlfn.XLOOKUP($I210,Tab_00.Trial[CONTA],Tab_00.Trial[S/A],"",0,1)</f>
        <v>A</v>
      </c>
      <c r="E210" s="2">
        <f>IF($I210="","",COUNTIFS(Tab_00.Trial[CONTA],$I210))</f>
        <v>1</v>
      </c>
      <c r="F210" s="4">
        <f>SUMIFS(Tab_05.Mai[SALDO
ATUAL],Tab_05.Mai[CONTA],$I210)</f>
        <v>1794.21</v>
      </c>
      <c r="G210" s="4">
        <f t="shared" si="8"/>
        <v>0</v>
      </c>
      <c r="H210">
        <v>10202</v>
      </c>
      <c r="I210" s="3" t="s">
        <v>806</v>
      </c>
      <c r="J210" s="3" t="s">
        <v>799</v>
      </c>
      <c r="K210" s="4">
        <v>1794.21</v>
      </c>
      <c r="L210" s="4">
        <v>280.38</v>
      </c>
      <c r="M210" s="4">
        <v>0</v>
      </c>
      <c r="N210" s="4">
        <v>2074.59</v>
      </c>
      <c r="O210" s="4">
        <f>Tab_06.Jun[[#This Row],[DÉBITO]]-Tab_06.Jun[[#This Row],[CRÉDITO]]</f>
        <v>280.38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5</v>
      </c>
      <c r="D211" s="2" t="str">
        <f>_xlfn.XLOOKUP($I211,Tab_00.Trial[CONTA],Tab_00.Trial[S/A],"",0,1)</f>
        <v>A</v>
      </c>
      <c r="E211" s="2">
        <f>IF($I211="","",COUNTIFS(Tab_00.Trial[CONTA],$I211))</f>
        <v>1</v>
      </c>
      <c r="F211" s="4">
        <f>SUMIFS(Tab_05.Mai[SALDO
ATUAL],Tab_05.Mai[CONTA],$I211)</f>
        <v>224.28</v>
      </c>
      <c r="G211" s="4">
        <f t="shared" si="8"/>
        <v>0</v>
      </c>
      <c r="H211">
        <v>10209</v>
      </c>
      <c r="I211" s="3" t="s">
        <v>807</v>
      </c>
      <c r="J211" s="3" t="s">
        <v>801</v>
      </c>
      <c r="K211" s="4">
        <v>224.28</v>
      </c>
      <c r="L211" s="4">
        <v>35.04</v>
      </c>
      <c r="M211" s="4">
        <v>0</v>
      </c>
      <c r="N211" s="4">
        <v>259.32</v>
      </c>
      <c r="O211" s="4">
        <f>Tab_06.Jun[[#This Row],[DÉBITO]]-Tab_06.Jun[[#This Row],[CRÉDITO]]</f>
        <v>35.04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S</v>
      </c>
      <c r="E212" s="2">
        <f>IF($I212="","",COUNTIFS(Tab_00.Trial[CONTA],$I212))</f>
        <v>1</v>
      </c>
      <c r="F212" s="4">
        <f>SUMIFS(Tab_05.Mai[SALDO
ATUAL],Tab_05.Mai[CONTA],$I212)</f>
        <v>1014</v>
      </c>
      <c r="G212" s="4">
        <f t="shared" si="8"/>
        <v>0</v>
      </c>
      <c r="H212">
        <v>50150</v>
      </c>
      <c r="I212" s="3" t="s">
        <v>602</v>
      </c>
      <c r="J212" s="3" t="s">
        <v>708</v>
      </c>
      <c r="K212" s="4">
        <v>1014</v>
      </c>
      <c r="L212" s="4">
        <v>2255.59</v>
      </c>
      <c r="M212" s="4">
        <v>2255.59</v>
      </c>
      <c r="N212" s="4">
        <v>1014</v>
      </c>
      <c r="O212" s="4">
        <f>Tab_06.Jun[[#This Row],[DÉBITO]]-Tab_06.Jun[[#This Row],[CRÉDITO]]</f>
        <v>0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A</v>
      </c>
      <c r="E213" s="2">
        <f>IF($I213="","",COUNTIFS(Tab_00.Trial[CONTA],$I213))</f>
        <v>1</v>
      </c>
      <c r="F213" s="4">
        <f>SUMIFS(Tab_05.Mai[SALDO
ATUAL],Tab_05.Mai[CONTA],$I213)</f>
        <v>0</v>
      </c>
      <c r="G213" s="4">
        <f t="shared" si="8"/>
        <v>0</v>
      </c>
      <c r="H213">
        <v>50165</v>
      </c>
      <c r="I213" s="3" t="s">
        <v>772</v>
      </c>
      <c r="J213" s="3" t="s">
        <v>435</v>
      </c>
      <c r="K213" s="4">
        <v>0</v>
      </c>
      <c r="L213" s="4">
        <v>706.84</v>
      </c>
      <c r="M213" s="4">
        <v>706.84</v>
      </c>
      <c r="N213" s="4">
        <v>0</v>
      </c>
      <c r="O213" s="4">
        <f>Tab_06.Jun[[#This Row],[DÉBITO]]-Tab_06.Jun[[#This Row],[CRÉDITO]]</f>
        <v>0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5</v>
      </c>
      <c r="D214" s="2" t="str">
        <f>_xlfn.XLOOKUP($I214,Tab_00.Trial[CONTA],Tab_00.Trial[S/A],"",0,1)</f>
        <v>A</v>
      </c>
      <c r="E214" s="2">
        <f>IF($I214="","",COUNTIFS(Tab_00.Trial[CONTA],$I214))</f>
        <v>1</v>
      </c>
      <c r="F214" s="4">
        <f>SUMIFS(Tab_05.Mai[SALDO
ATUAL],Tab_05.Mai[CONTA],$I214)</f>
        <v>0</v>
      </c>
      <c r="G214" s="4">
        <f t="shared" si="8"/>
        <v>0</v>
      </c>
      <c r="H214">
        <v>50195</v>
      </c>
      <c r="I214" s="3" t="s">
        <v>773</v>
      </c>
      <c r="J214" s="3" t="s">
        <v>751</v>
      </c>
      <c r="K214" s="4">
        <v>0</v>
      </c>
      <c r="L214" s="4">
        <v>1548.75</v>
      </c>
      <c r="M214" s="4">
        <v>1548.75</v>
      </c>
      <c r="N214" s="4">
        <v>0</v>
      </c>
      <c r="O214" s="4">
        <f>Tab_06.Jun[[#This Row],[DÉBITO]]-Tab_06.Jun[[#This Row],[CRÉDITO]]</f>
        <v>0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A</v>
      </c>
      <c r="E215" s="2">
        <f>IF($I215="","",COUNTIFS(Tab_00.Trial[CONTA],$I215))</f>
        <v>1</v>
      </c>
      <c r="F215" s="4">
        <f>SUMIFS(Tab_05.Mai[SALDO
ATUAL],Tab_05.Mai[CONTA],$I215)</f>
        <v>1014</v>
      </c>
      <c r="G215" s="4">
        <f t="shared" si="8"/>
        <v>0</v>
      </c>
      <c r="H215">
        <v>50211</v>
      </c>
      <c r="I215" s="3" t="s">
        <v>455</v>
      </c>
      <c r="J215" s="3" t="s">
        <v>456</v>
      </c>
      <c r="K215" s="4">
        <v>1014</v>
      </c>
      <c r="L215" s="4">
        <v>0</v>
      </c>
      <c r="M215" s="4">
        <v>0</v>
      </c>
      <c r="N215" s="4">
        <v>1014</v>
      </c>
      <c r="O215" s="4">
        <f>Tab_06.Jun[[#This Row],[DÉBITO]]-Tab_06.Jun[[#This Row],[CRÉDITO]]</f>
        <v>0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S</v>
      </c>
      <c r="E216" s="2">
        <f>IF($I216="","",COUNTIFS(Tab_00.Trial[CONTA],$I216))</f>
        <v>1</v>
      </c>
      <c r="F216" s="4">
        <f>SUMIFS(Tab_05.Mai[SALDO
ATUAL],Tab_05.Mai[CONTA],$I216)</f>
        <v>266444.93</v>
      </c>
      <c r="G216" s="4">
        <f t="shared" si="8"/>
        <v>0</v>
      </c>
      <c r="H216">
        <v>50215</v>
      </c>
      <c r="I216" s="3" t="s">
        <v>603</v>
      </c>
      <c r="J216" s="3" t="s">
        <v>709</v>
      </c>
      <c r="K216" s="4">
        <v>266444.93</v>
      </c>
      <c r="L216" s="4">
        <v>15331.52</v>
      </c>
      <c r="M216" s="4">
        <v>0</v>
      </c>
      <c r="N216" s="4">
        <v>281776.45</v>
      </c>
      <c r="O216" s="4">
        <f>Tab_06.Jun[[#This Row],[DÉBITO]]-Tab_06.Jun[[#This Row],[CRÉDITO]]</f>
        <v>15331.52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A</v>
      </c>
      <c r="E217" s="2">
        <f>IF($I217="","",COUNTIFS(Tab_00.Trial[CONTA],$I217))</f>
        <v>1</v>
      </c>
      <c r="F217" s="4">
        <f>SUMIFS(Tab_05.Mai[SALDO
ATUAL],Tab_05.Mai[CONTA],$I217)</f>
        <v>60013.91</v>
      </c>
      <c r="G217" s="4">
        <f t="shared" si="8"/>
        <v>0</v>
      </c>
      <c r="H217">
        <v>50225</v>
      </c>
      <c r="I217" s="3" t="s">
        <v>451</v>
      </c>
      <c r="J217" s="3" t="s">
        <v>437</v>
      </c>
      <c r="K217" s="4">
        <v>60013.91</v>
      </c>
      <c r="L217" s="4">
        <v>13072.58</v>
      </c>
      <c r="M217" s="4">
        <v>0</v>
      </c>
      <c r="N217" s="4">
        <v>73086.490000000005</v>
      </c>
      <c r="O217" s="4">
        <f>Tab_06.Jun[[#This Row],[DÉBITO]]-Tab_06.Jun[[#This Row],[CRÉDITO]]</f>
        <v>13072.58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A</v>
      </c>
      <c r="E218" s="2">
        <f>IF($I218="","",COUNTIFS(Tab_00.Trial[CONTA],$I218))</f>
        <v>1</v>
      </c>
      <c r="F218" s="4">
        <f>SUMIFS(Tab_05.Mai[SALDO
ATUAL],Tab_05.Mai[CONTA],$I218)</f>
        <v>204191.69</v>
      </c>
      <c r="G218" s="4">
        <f t="shared" si="8"/>
        <v>0</v>
      </c>
      <c r="H218">
        <v>50240</v>
      </c>
      <c r="I218" s="3" t="s">
        <v>452</v>
      </c>
      <c r="J218" s="3" t="s">
        <v>196</v>
      </c>
      <c r="K218" s="4">
        <v>204191.69</v>
      </c>
      <c r="L218" s="4">
        <v>1771.15</v>
      </c>
      <c r="M218" s="4">
        <v>0</v>
      </c>
      <c r="N218" s="4">
        <v>205962.84</v>
      </c>
      <c r="O218" s="4">
        <f>Tab_06.Jun[[#This Row],[DÉBITO]]-Tab_06.Jun[[#This Row],[CRÉDITO]]</f>
        <v>1771.15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A</v>
      </c>
      <c r="E219" s="2">
        <f>IF($I219="","",COUNTIFS(Tab_00.Trial[CONTA],$I219))</f>
        <v>1</v>
      </c>
      <c r="F219" s="4">
        <f>SUMIFS(Tab_05.Mai[SALDO
ATUAL],Tab_05.Mai[CONTA],$I219)</f>
        <v>2239.33</v>
      </c>
      <c r="G219" s="4">
        <f t="shared" si="8"/>
        <v>0</v>
      </c>
      <c r="H219">
        <v>50255</v>
      </c>
      <c r="I219" s="3" t="s">
        <v>453</v>
      </c>
      <c r="J219" s="3" t="s">
        <v>454</v>
      </c>
      <c r="K219" s="4">
        <v>2239.33</v>
      </c>
      <c r="L219" s="4">
        <v>487.79</v>
      </c>
      <c r="M219" s="4">
        <v>0</v>
      </c>
      <c r="N219" s="4">
        <v>2727.12</v>
      </c>
      <c r="O219" s="4">
        <f>Tab_06.Jun[[#This Row],[DÉBITO]]-Tab_06.Jun[[#This Row],[CRÉDITO]]</f>
        <v>487.79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S</v>
      </c>
      <c r="E220" s="2">
        <f>IF($I220="","",COUNTIFS(Tab_00.Trial[CONTA],$I220))</f>
        <v>1</v>
      </c>
      <c r="F220" s="4">
        <f>SUMIFS(Tab_05.Mai[SALDO
ATUAL],Tab_05.Mai[CONTA],$I220)</f>
        <v>1080</v>
      </c>
      <c r="G220" s="4">
        <f t="shared" si="8"/>
        <v>0</v>
      </c>
      <c r="H220">
        <v>50290</v>
      </c>
      <c r="I220" s="3" t="s">
        <v>604</v>
      </c>
      <c r="J220" s="3" t="s">
        <v>710</v>
      </c>
      <c r="K220" s="4">
        <v>1080</v>
      </c>
      <c r="L220" s="4">
        <v>275</v>
      </c>
      <c r="M220" s="4">
        <v>0</v>
      </c>
      <c r="N220" s="4">
        <v>1355</v>
      </c>
      <c r="O220" s="4">
        <f>Tab_06.Jun[[#This Row],[DÉBITO]]-Tab_06.Jun[[#This Row],[CRÉDITO]]</f>
        <v>275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A</v>
      </c>
      <c r="E221" s="2">
        <f>IF($I221="","",COUNTIFS(Tab_00.Trial[CONTA],$I221))</f>
        <v>1</v>
      </c>
      <c r="F221" s="4">
        <f>SUMIFS(Tab_05.Mai[SALDO
ATUAL],Tab_05.Mai[CONTA],$I221)</f>
        <v>1080</v>
      </c>
      <c r="G221" s="4">
        <f t="shared" si="8"/>
        <v>0</v>
      </c>
      <c r="H221">
        <v>50295</v>
      </c>
      <c r="I221" s="3" t="s">
        <v>457</v>
      </c>
      <c r="J221" s="3" t="s">
        <v>458</v>
      </c>
      <c r="K221" s="4">
        <v>1080</v>
      </c>
      <c r="L221" s="4">
        <v>275</v>
      </c>
      <c r="M221" s="4">
        <v>0</v>
      </c>
      <c r="N221" s="4">
        <v>1355</v>
      </c>
      <c r="O221" s="4">
        <f>Tab_06.Jun[[#This Row],[DÉBITO]]-Tab_06.Jun[[#This Row],[CRÉDITO]]</f>
        <v>275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S</v>
      </c>
      <c r="E222" s="2">
        <f>IF($I222="","",COUNTIFS(Tab_00.Trial[CONTA],$I222))</f>
        <v>1</v>
      </c>
      <c r="F222" s="4">
        <f>SUMIFS(Tab_05.Mai[SALDO
ATUAL],Tab_05.Mai[CONTA],$I222)</f>
        <v>651135.29</v>
      </c>
      <c r="G222" s="4">
        <f t="shared" si="8"/>
        <v>0</v>
      </c>
      <c r="H222">
        <v>50285</v>
      </c>
      <c r="I222" s="3" t="s">
        <v>605</v>
      </c>
      <c r="J222" s="3" t="s">
        <v>711</v>
      </c>
      <c r="K222" s="4">
        <v>651135.29</v>
      </c>
      <c r="L222" s="4">
        <v>212238.61</v>
      </c>
      <c r="M222" s="4">
        <v>0</v>
      </c>
      <c r="N222" s="4">
        <v>863373.9</v>
      </c>
      <c r="O222" s="4">
        <f>Tab_06.Jun[[#This Row],[DÉBITO]]-Tab_06.Jun[[#This Row],[CRÉDITO]]</f>
        <v>212238.61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S</v>
      </c>
      <c r="E223" s="2">
        <f>IF($I223="","",COUNTIFS(Tab_00.Trial[CONTA],$I223))</f>
        <v>1</v>
      </c>
      <c r="F223" s="4">
        <f>SUMIFS(Tab_05.Mai[SALDO
ATUAL],Tab_05.Mai[CONTA],$I223)</f>
        <v>236304.89</v>
      </c>
      <c r="G223" s="4">
        <f t="shared" si="8"/>
        <v>0</v>
      </c>
      <c r="H223">
        <v>50300</v>
      </c>
      <c r="I223" s="3" t="s">
        <v>606</v>
      </c>
      <c r="J223" s="3" t="s">
        <v>712</v>
      </c>
      <c r="K223" s="4">
        <v>236304.89</v>
      </c>
      <c r="L223" s="4">
        <v>129272.53</v>
      </c>
      <c r="M223" s="4">
        <v>0</v>
      </c>
      <c r="N223" s="4">
        <v>365577.42</v>
      </c>
      <c r="O223" s="4">
        <f>Tab_06.Jun[[#This Row],[DÉBITO]]-Tab_06.Jun[[#This Row],[CRÉDITO]]</f>
        <v>129272.53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A</v>
      </c>
      <c r="E224" s="2">
        <f>IF($I224="","",COUNTIFS(Tab_00.Trial[CONTA],$I224))</f>
        <v>1</v>
      </c>
      <c r="F224" s="4">
        <f>SUMIFS(Tab_05.Mai[SALDO
ATUAL],Tab_05.Mai[CONTA],$I224)</f>
        <v>38217.199999999997</v>
      </c>
      <c r="G224" s="4">
        <f t="shared" si="8"/>
        <v>0</v>
      </c>
      <c r="H224">
        <v>50315</v>
      </c>
      <c r="I224" s="3" t="s">
        <v>459</v>
      </c>
      <c r="J224" s="3" t="s">
        <v>460</v>
      </c>
      <c r="K224" s="4">
        <v>38217.199999999997</v>
      </c>
      <c r="L224" s="4">
        <v>7634.62</v>
      </c>
      <c r="M224" s="4">
        <v>0</v>
      </c>
      <c r="N224" s="4">
        <v>45851.82</v>
      </c>
      <c r="O224" s="4">
        <f>Tab_06.Jun[[#This Row],[DÉBITO]]-Tab_06.Jun[[#This Row],[CRÉDITO]]</f>
        <v>7634.62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A</v>
      </c>
      <c r="E225" s="2">
        <f>IF($I225="","",COUNTIFS(Tab_00.Trial[CONTA],$I225))</f>
        <v>1</v>
      </c>
      <c r="F225" s="4">
        <f>SUMIFS(Tab_05.Mai[SALDO
ATUAL],Tab_05.Mai[CONTA],$I225)</f>
        <v>79526.759999999995</v>
      </c>
      <c r="G225" s="4">
        <f t="shared" si="8"/>
        <v>0</v>
      </c>
      <c r="H225">
        <v>50330</v>
      </c>
      <c r="I225" s="3" t="s">
        <v>461</v>
      </c>
      <c r="J225" s="3" t="s">
        <v>462</v>
      </c>
      <c r="K225" s="4">
        <v>79526.759999999995</v>
      </c>
      <c r="L225" s="4">
        <v>14050</v>
      </c>
      <c r="M225" s="4">
        <v>0</v>
      </c>
      <c r="N225" s="4">
        <v>93576.76</v>
      </c>
      <c r="O225" s="4">
        <f>Tab_06.Jun[[#This Row],[DÉBITO]]-Tab_06.Jun[[#This Row],[CRÉDITO]]</f>
        <v>14050</v>
      </c>
    </row>
    <row r="226" spans="2:15" x14ac:dyDescent="0.3">
      <c r="B226" s="2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A</v>
      </c>
      <c r="E226" s="2">
        <f>IF($I226="","",COUNTIFS(Tab_00.Trial[CONTA],$I226))</f>
        <v>1</v>
      </c>
      <c r="F226" s="4">
        <f>SUMIFS(Tab_05.Mai[SALDO
ATUAL],Tab_05.Mai[CONTA],$I226)</f>
        <v>14333.34</v>
      </c>
      <c r="G226" s="4">
        <f t="shared" si="8"/>
        <v>0</v>
      </c>
      <c r="H226">
        <v>50345</v>
      </c>
      <c r="I226" s="3" t="s">
        <v>463</v>
      </c>
      <c r="J226" s="3" t="s">
        <v>464</v>
      </c>
      <c r="K226" s="4">
        <v>14333.34</v>
      </c>
      <c r="L226" s="4">
        <v>7166.67</v>
      </c>
      <c r="M226" s="4">
        <v>0</v>
      </c>
      <c r="N226" s="4">
        <v>21500.01</v>
      </c>
      <c r="O226" s="4">
        <f>Tab_06.Jun[[#This Row],[DÉBITO]]-Tab_06.Jun[[#This Row],[CRÉDITO]]</f>
        <v>7166.67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A</v>
      </c>
      <c r="E227" s="2">
        <f>IF($I227="","",COUNTIFS(Tab_00.Trial[CONTA],$I227))</f>
        <v>1</v>
      </c>
      <c r="F227" s="4">
        <f>SUMIFS(Tab_05.Mai[SALDO
ATUAL],Tab_05.Mai[CONTA],$I227)</f>
        <v>24293.64</v>
      </c>
      <c r="G227" s="4">
        <f t="shared" si="8"/>
        <v>0</v>
      </c>
      <c r="H227">
        <v>50360</v>
      </c>
      <c r="I227" s="3" t="s">
        <v>465</v>
      </c>
      <c r="J227" s="3" t="s">
        <v>466</v>
      </c>
      <c r="K227" s="4">
        <v>24293.64</v>
      </c>
      <c r="L227" s="4">
        <v>84434.45</v>
      </c>
      <c r="M227" s="4">
        <v>0</v>
      </c>
      <c r="N227" s="4">
        <v>108728.09</v>
      </c>
      <c r="O227" s="4">
        <f>Tab_06.Jun[[#This Row],[DÉBITO]]-Tab_06.Jun[[#This Row],[CRÉDITO]]</f>
        <v>84434.45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A</v>
      </c>
      <c r="E228" s="2">
        <f>IF($I228="","",COUNTIFS(Tab_00.Trial[CONTA],$I228))</f>
        <v>1</v>
      </c>
      <c r="F228" s="4">
        <f>SUMIFS(Tab_05.Mai[SALDO
ATUAL],Tab_05.Mai[CONTA],$I228)</f>
        <v>22500</v>
      </c>
      <c r="G228" s="4">
        <f t="shared" si="8"/>
        <v>0</v>
      </c>
      <c r="H228">
        <v>50375</v>
      </c>
      <c r="I228" s="3" t="s">
        <v>473</v>
      </c>
      <c r="J228" s="3" t="s">
        <v>474</v>
      </c>
      <c r="K228" s="4">
        <v>22500</v>
      </c>
      <c r="L228" s="4">
        <v>4500</v>
      </c>
      <c r="M228" s="4">
        <v>0</v>
      </c>
      <c r="N228" s="4">
        <v>27000</v>
      </c>
      <c r="O228" s="4">
        <f>Tab_06.Jun[[#This Row],[DÉBITO]]-Tab_06.Jun[[#This Row],[CRÉDITO]]</f>
        <v>4500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A</v>
      </c>
      <c r="E229" s="2">
        <f>IF($I229="","",COUNTIFS(Tab_00.Trial[CONTA],$I229))</f>
        <v>1</v>
      </c>
      <c r="F229" s="4">
        <f>SUMIFS(Tab_05.Mai[SALDO
ATUAL],Tab_05.Mai[CONTA],$I229)</f>
        <v>1117.8</v>
      </c>
      <c r="G229" s="4">
        <f t="shared" si="8"/>
        <v>0</v>
      </c>
      <c r="H229">
        <v>50405</v>
      </c>
      <c r="I229" s="3" t="s">
        <v>467</v>
      </c>
      <c r="J229" s="3" t="s">
        <v>468</v>
      </c>
      <c r="K229" s="4">
        <v>1117.8</v>
      </c>
      <c r="L229" s="4">
        <v>223.56</v>
      </c>
      <c r="M229" s="4">
        <v>0</v>
      </c>
      <c r="N229" s="4">
        <v>1341.36</v>
      </c>
      <c r="O229" s="4">
        <f>Tab_06.Jun[[#This Row],[DÉBITO]]-Tab_06.Jun[[#This Row],[CRÉDITO]]</f>
        <v>223.56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A</v>
      </c>
      <c r="E230" s="2">
        <f>IF($I230="","",COUNTIFS(Tab_00.Trial[CONTA],$I230))</f>
        <v>1</v>
      </c>
      <c r="F230" s="4">
        <f>SUMIFS(Tab_05.Mai[SALDO
ATUAL],Tab_05.Mai[CONTA],$I230)</f>
        <v>32999.1</v>
      </c>
      <c r="G230" s="4">
        <f t="shared" si="8"/>
        <v>0</v>
      </c>
      <c r="H230">
        <v>50430</v>
      </c>
      <c r="I230" s="3" t="s">
        <v>469</v>
      </c>
      <c r="J230" s="3" t="s">
        <v>470</v>
      </c>
      <c r="K230" s="4">
        <v>32999.1</v>
      </c>
      <c r="L230" s="4">
        <v>6599.82</v>
      </c>
      <c r="M230" s="4">
        <v>0</v>
      </c>
      <c r="N230" s="4">
        <v>39598.92</v>
      </c>
      <c r="O230" s="4">
        <f>Tab_06.Jun[[#This Row],[DÉBITO]]-Tab_06.Jun[[#This Row],[CRÉDITO]]</f>
        <v>6599.82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A</v>
      </c>
      <c r="E231" s="2">
        <f>IF($I231="","",COUNTIFS(Tab_00.Trial[CONTA],$I231))</f>
        <v>1</v>
      </c>
      <c r="F231" s="4">
        <f>SUMIFS(Tab_05.Mai[SALDO
ATUAL],Tab_05.Mai[CONTA],$I231)</f>
        <v>23317.05</v>
      </c>
      <c r="G231" s="4">
        <f t="shared" si="8"/>
        <v>0</v>
      </c>
      <c r="H231">
        <v>50432</v>
      </c>
      <c r="I231" s="3" t="s">
        <v>471</v>
      </c>
      <c r="J231" s="3" t="s">
        <v>472</v>
      </c>
      <c r="K231" s="4">
        <v>23317.05</v>
      </c>
      <c r="L231" s="4">
        <v>4663.41</v>
      </c>
      <c r="M231" s="4">
        <v>0</v>
      </c>
      <c r="N231" s="4">
        <v>27980.46</v>
      </c>
      <c r="O231" s="4">
        <f>Tab_06.Jun[[#This Row],[DÉBITO]]-Tab_06.Jun[[#This Row],[CRÉDITO]]</f>
        <v>4663.41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S</v>
      </c>
      <c r="E232" s="2">
        <f>IF($I232="","",COUNTIFS(Tab_00.Trial[CONTA],$I232))</f>
        <v>1</v>
      </c>
      <c r="F232" s="4">
        <f>SUMIFS(Tab_05.Mai[SALDO
ATUAL],Tab_05.Mai[CONTA],$I232)</f>
        <v>414830.4</v>
      </c>
      <c r="G232" s="4">
        <f t="shared" ref="G232:G240" si="9">$F232-$K232</f>
        <v>0</v>
      </c>
      <c r="H232">
        <v>50465</v>
      </c>
      <c r="I232" s="3" t="s">
        <v>608</v>
      </c>
      <c r="J232" s="3" t="s">
        <v>713</v>
      </c>
      <c r="K232" s="4">
        <v>414830.4</v>
      </c>
      <c r="L232" s="4">
        <v>82966.080000000002</v>
      </c>
      <c r="M232" s="4">
        <v>0</v>
      </c>
      <c r="N232" s="4">
        <v>497796.48</v>
      </c>
      <c r="O232" s="4">
        <f>Tab_06.Jun[[#This Row],[DÉBITO]]-Tab_06.Jun[[#This Row],[CRÉDITO]]</f>
        <v>82966.080000000002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A</v>
      </c>
      <c r="E233" s="2">
        <f>IF($I233="","",COUNTIFS(Tab_00.Trial[CONTA],$I233))</f>
        <v>1</v>
      </c>
      <c r="F233" s="4">
        <f>SUMIFS(Tab_05.Mai[SALDO
ATUAL],Tab_05.Mai[CONTA],$I233)</f>
        <v>89900.4</v>
      </c>
      <c r="G233" s="4">
        <f t="shared" si="9"/>
        <v>0</v>
      </c>
      <c r="H233">
        <v>50480</v>
      </c>
      <c r="I233" s="3" t="s">
        <v>741</v>
      </c>
      <c r="J233" s="3" t="s">
        <v>742</v>
      </c>
      <c r="K233" s="4">
        <v>89900.4</v>
      </c>
      <c r="L233" s="4">
        <v>17980.080000000002</v>
      </c>
      <c r="M233" s="4">
        <v>0</v>
      </c>
      <c r="N233" s="4">
        <v>107880.48</v>
      </c>
      <c r="O233" s="4">
        <f>Tab_06.Jun[[#This Row],[DÉBITO]]-Tab_06.Jun[[#This Row],[CRÉDITO]]</f>
        <v>17980.080000000002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A</v>
      </c>
      <c r="E234" s="2">
        <f>IF($I234="","",COUNTIFS(Tab_00.Trial[CONTA],$I234))</f>
        <v>1</v>
      </c>
      <c r="F234" s="4">
        <f>SUMIFS(Tab_05.Mai[SALDO
ATUAL],Tab_05.Mai[CONTA],$I234)</f>
        <v>37500</v>
      </c>
      <c r="G234" s="4">
        <f t="shared" si="9"/>
        <v>0</v>
      </c>
      <c r="H234">
        <v>50495</v>
      </c>
      <c r="I234" s="3" t="s">
        <v>833</v>
      </c>
      <c r="J234" s="3" t="s">
        <v>834</v>
      </c>
      <c r="K234" s="4">
        <v>37500</v>
      </c>
      <c r="L234" s="4">
        <v>7500</v>
      </c>
      <c r="M234" s="4">
        <v>0</v>
      </c>
      <c r="N234" s="4">
        <v>45000</v>
      </c>
      <c r="O234" s="4">
        <f>Tab_06.Jun[[#This Row],[DÉBITO]]-Tab_06.Jun[[#This Row],[CRÉDITO]]</f>
        <v>7500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A</v>
      </c>
      <c r="E235" s="2">
        <f>IF($I235="","",COUNTIFS(Tab_00.Trial[CONTA],$I235))</f>
        <v>1</v>
      </c>
      <c r="F235" s="4">
        <f>SUMIFS(Tab_05.Mai[SALDO
ATUAL],Tab_05.Mai[CONTA],$I235)</f>
        <v>287430</v>
      </c>
      <c r="G235" s="4">
        <f t="shared" si="9"/>
        <v>0</v>
      </c>
      <c r="H235">
        <v>50500</v>
      </c>
      <c r="I235" s="3" t="s">
        <v>480</v>
      </c>
      <c r="J235" s="3" t="s">
        <v>481</v>
      </c>
      <c r="K235" s="4">
        <v>287430</v>
      </c>
      <c r="L235" s="4">
        <v>57486</v>
      </c>
      <c r="M235" s="4">
        <v>0</v>
      </c>
      <c r="N235" s="4">
        <v>344916</v>
      </c>
      <c r="O235" s="4">
        <f>Tab_06.Jun[[#This Row],[DÉBITO]]-Tab_06.Jun[[#This Row],[CRÉDITO]]</f>
        <v>57486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S</v>
      </c>
      <c r="E236" s="2">
        <f>IF($I236="","",COUNTIFS(Tab_00.Trial[CONTA],$I236))</f>
        <v>1</v>
      </c>
      <c r="F236" s="4">
        <f>SUMIFS(Tab_05.Mai[SALDO
ATUAL],Tab_05.Mai[CONTA],$I236)</f>
        <v>11927.28</v>
      </c>
      <c r="G236" s="4">
        <f t="shared" si="9"/>
        <v>0</v>
      </c>
      <c r="H236">
        <v>50510</v>
      </c>
      <c r="I236" s="3" t="s">
        <v>609</v>
      </c>
      <c r="J236" s="3" t="s">
        <v>714</v>
      </c>
      <c r="K236" s="4">
        <v>11927.28</v>
      </c>
      <c r="L236" s="4">
        <v>1565.11</v>
      </c>
      <c r="M236" s="4">
        <v>0</v>
      </c>
      <c r="N236" s="4">
        <v>13492.39</v>
      </c>
      <c r="O236" s="4">
        <f>Tab_06.Jun[[#This Row],[DÉBITO]]-Tab_06.Jun[[#This Row],[CRÉDITO]]</f>
        <v>1565.11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S</v>
      </c>
      <c r="E237" s="2">
        <f>IF($I237="","",COUNTIFS(Tab_00.Trial[CONTA],$I237))</f>
        <v>1</v>
      </c>
      <c r="F237" s="4">
        <f>SUMIFS(Tab_05.Mai[SALDO
ATUAL],Tab_05.Mai[CONTA],$I237)</f>
        <v>11927.28</v>
      </c>
      <c r="G237" s="4">
        <f t="shared" si="9"/>
        <v>0</v>
      </c>
      <c r="H237">
        <v>50525</v>
      </c>
      <c r="I237" s="3" t="s">
        <v>610</v>
      </c>
      <c r="J237" s="3" t="s">
        <v>714</v>
      </c>
      <c r="K237" s="4">
        <v>11927.28</v>
      </c>
      <c r="L237" s="4">
        <v>1565.11</v>
      </c>
      <c r="M237" s="4">
        <v>0</v>
      </c>
      <c r="N237" s="4">
        <v>13492.39</v>
      </c>
      <c r="O237" s="4">
        <f>Tab_06.Jun[[#This Row],[DÉBITO]]-Tab_06.Jun[[#This Row],[CRÉDITO]]</f>
        <v>1565.11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A</v>
      </c>
      <c r="E238" s="2">
        <f>IF($I238="","",COUNTIFS(Tab_00.Trial[CONTA],$I238))</f>
        <v>1</v>
      </c>
      <c r="F238" s="4">
        <f>SUMIFS(Tab_05.Mai[SALDO
ATUAL],Tab_05.Mai[CONTA],$I238)</f>
        <v>3438.24</v>
      </c>
      <c r="G238" s="4">
        <f t="shared" si="9"/>
        <v>0</v>
      </c>
      <c r="H238">
        <v>50540</v>
      </c>
      <c r="I238" s="3" t="s">
        <v>482</v>
      </c>
      <c r="J238" s="3" t="s">
        <v>483</v>
      </c>
      <c r="K238" s="4">
        <v>3438.24</v>
      </c>
      <c r="L238" s="4">
        <v>700.75</v>
      </c>
      <c r="M238" s="4">
        <v>0</v>
      </c>
      <c r="N238" s="4">
        <v>4138.99</v>
      </c>
      <c r="O238" s="4">
        <f>Tab_06.Jun[[#This Row],[DÉBITO]]-Tab_06.Jun[[#This Row],[CRÉDITO]]</f>
        <v>700.75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A</v>
      </c>
      <c r="E239" s="2">
        <f>IF($I239="","",COUNTIFS(Tab_00.Trial[CONTA],$I239))</f>
        <v>1</v>
      </c>
      <c r="F239" s="4">
        <f>SUMIFS(Tab_05.Mai[SALDO
ATUAL],Tab_05.Mai[CONTA],$I239)</f>
        <v>5000</v>
      </c>
      <c r="G239" s="4">
        <f t="shared" si="9"/>
        <v>0</v>
      </c>
      <c r="H239">
        <v>50555</v>
      </c>
      <c r="I239" s="3" t="s">
        <v>752</v>
      </c>
      <c r="J239" s="3" t="s">
        <v>753</v>
      </c>
      <c r="K239" s="4">
        <v>5000</v>
      </c>
      <c r="L239" s="4">
        <v>0</v>
      </c>
      <c r="M239" s="4">
        <v>0</v>
      </c>
      <c r="N239" s="4">
        <v>5000</v>
      </c>
      <c r="O239" s="4">
        <f>Tab_06.Jun[[#This Row],[DÉBITO]]-Tab_06.Jun[[#This Row],[CRÉDITO]]</f>
        <v>0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A</v>
      </c>
      <c r="E240" s="2">
        <f>IF($I240="","",COUNTIFS(Tab_00.Trial[CONTA],$I240))</f>
        <v>1</v>
      </c>
      <c r="F240" s="4">
        <f>SUMIFS(Tab_05.Mai[SALDO
ATUAL],Tab_05.Mai[CONTA],$I240)</f>
        <v>3489.04</v>
      </c>
      <c r="G240" s="4">
        <f t="shared" si="9"/>
        <v>0</v>
      </c>
      <c r="H240">
        <v>50570</v>
      </c>
      <c r="I240" s="3" t="s">
        <v>484</v>
      </c>
      <c r="J240" s="3" t="s">
        <v>485</v>
      </c>
      <c r="K240" s="4">
        <v>3489.04</v>
      </c>
      <c r="L240" s="4">
        <v>864.36</v>
      </c>
      <c r="M240" s="4">
        <v>0</v>
      </c>
      <c r="N240" s="4">
        <v>4353.3999999999996</v>
      </c>
      <c r="O240" s="4">
        <f>Tab_06.Jun[[#This Row],[DÉBITO]]-Tab_06.Jun[[#This Row],[CRÉDITO]]</f>
        <v>864.36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S</v>
      </c>
      <c r="E241" s="2">
        <f>IF($I241="","",COUNTIFS(Tab_00.Trial[CONTA],$I241))</f>
        <v>1</v>
      </c>
      <c r="F241" s="4">
        <f>SUMIFS(Tab_05.Mai[SALDO
ATUAL],Tab_05.Mai[CONTA],$I241)</f>
        <v>48784.93</v>
      </c>
      <c r="G241" s="4">
        <f>$F241-$K241</f>
        <v>0</v>
      </c>
      <c r="H241">
        <v>50660</v>
      </c>
      <c r="I241" s="3" t="s">
        <v>612</v>
      </c>
      <c r="J241" s="3" t="s">
        <v>716</v>
      </c>
      <c r="K241" s="4">
        <v>48784.93</v>
      </c>
      <c r="L241" s="4">
        <v>9288.0300000000007</v>
      </c>
      <c r="M241" s="4">
        <v>0</v>
      </c>
      <c r="N241" s="4">
        <v>58072.959999999999</v>
      </c>
      <c r="O241" s="4">
        <f>Tab_06.Jun[[#This Row],[DÉBITO]]-Tab_06.Jun[[#This Row],[CRÉDITO]]</f>
        <v>9288.0300000000007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S</v>
      </c>
      <c r="E242" s="2">
        <f>IF($I242="","",COUNTIFS(Tab_00.Trial[CONTA],$I242))</f>
        <v>1</v>
      </c>
      <c r="F242" s="4">
        <f>SUMIFS(Tab_05.Mai[SALDO
ATUAL],Tab_05.Mai[CONTA],$I242)</f>
        <v>32558.9</v>
      </c>
      <c r="G242" s="4">
        <f t="shared" ref="G242:G269" si="10">$F242-$K242</f>
        <v>0</v>
      </c>
      <c r="H242">
        <v>50675</v>
      </c>
      <c r="I242" s="3" t="s">
        <v>613</v>
      </c>
      <c r="J242" s="3" t="s">
        <v>717</v>
      </c>
      <c r="K242" s="4">
        <v>32558.9</v>
      </c>
      <c r="L242" s="4">
        <v>4843.74</v>
      </c>
      <c r="M242" s="4">
        <v>0</v>
      </c>
      <c r="N242" s="4">
        <v>37402.639999999999</v>
      </c>
      <c r="O242" s="4">
        <f>Tab_06.Jun[[#This Row],[DÉBITO]]-Tab_06.Jun[[#This Row],[CRÉDITO]]</f>
        <v>4843.74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A</v>
      </c>
      <c r="E243" s="2">
        <f>IF($I243="","",COUNTIFS(Tab_00.Trial[CONTA],$I243))</f>
        <v>1</v>
      </c>
      <c r="F243" s="4">
        <f>SUMIFS(Tab_05.Mai[SALDO
ATUAL],Tab_05.Mai[CONTA],$I243)</f>
        <v>16473.64</v>
      </c>
      <c r="G243" s="4">
        <f t="shared" si="10"/>
        <v>0</v>
      </c>
      <c r="H243">
        <v>50690</v>
      </c>
      <c r="I243" s="3" t="s">
        <v>491</v>
      </c>
      <c r="J243" s="3" t="s">
        <v>492</v>
      </c>
      <c r="K243" s="4">
        <v>16473.64</v>
      </c>
      <c r="L243" s="4">
        <v>2166.44</v>
      </c>
      <c r="M243" s="4">
        <v>0</v>
      </c>
      <c r="N243" s="4">
        <v>18640.080000000002</v>
      </c>
      <c r="O243" s="4">
        <f>Tab_06.Jun[[#This Row],[DÉBITO]]-Tab_06.Jun[[#This Row],[CRÉDITO]]</f>
        <v>2166.44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A</v>
      </c>
      <c r="E244" s="2">
        <f>IF($I244="","",COUNTIFS(Tab_00.Trial[CONTA],$I244))</f>
        <v>1</v>
      </c>
      <c r="F244" s="4">
        <f>SUMIFS(Tab_05.Mai[SALDO
ATUAL],Tab_05.Mai[CONTA],$I244)</f>
        <v>8988.7900000000009</v>
      </c>
      <c r="G244" s="4">
        <f t="shared" si="10"/>
        <v>0</v>
      </c>
      <c r="H244">
        <v>50705</v>
      </c>
      <c r="I244" s="3" t="s">
        <v>493</v>
      </c>
      <c r="J244" s="3" t="s">
        <v>494</v>
      </c>
      <c r="K244" s="4">
        <v>8988.7900000000009</v>
      </c>
      <c r="L244" s="4">
        <v>1374.07</v>
      </c>
      <c r="M244" s="4">
        <v>0</v>
      </c>
      <c r="N244" s="4">
        <v>10362.86</v>
      </c>
      <c r="O244" s="4">
        <f>Tab_06.Jun[[#This Row],[DÉBITO]]-Tab_06.Jun[[#This Row],[CRÉDITO]]</f>
        <v>1374.07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A</v>
      </c>
      <c r="E245" s="2">
        <f>IF($I245="","",COUNTIFS(Tab_00.Trial[CONTA],$I245))</f>
        <v>1</v>
      </c>
      <c r="F245" s="4">
        <f>SUMIFS(Tab_05.Mai[SALDO
ATUAL],Tab_05.Mai[CONTA],$I245)</f>
        <v>7096.47</v>
      </c>
      <c r="G245" s="4">
        <f t="shared" si="10"/>
        <v>0</v>
      </c>
      <c r="H245">
        <v>50720</v>
      </c>
      <c r="I245" s="3" t="s">
        <v>495</v>
      </c>
      <c r="J245" s="3" t="s">
        <v>496</v>
      </c>
      <c r="K245" s="4">
        <v>7096.47</v>
      </c>
      <c r="L245" s="4">
        <v>1303.23</v>
      </c>
      <c r="M245" s="4">
        <v>0</v>
      </c>
      <c r="N245" s="4">
        <v>8399.7000000000007</v>
      </c>
      <c r="O245" s="4">
        <f>Tab_06.Jun[[#This Row],[DÉBITO]]-Tab_06.Jun[[#This Row],[CRÉDITO]]</f>
        <v>1303.23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S</v>
      </c>
      <c r="E246" s="2">
        <f>IF($I246="","",COUNTIFS(Tab_00.Trial[CONTA],$I246))</f>
        <v>1</v>
      </c>
      <c r="F246" s="4">
        <f>SUMIFS(Tab_05.Mai[SALDO
ATUAL],Tab_05.Mai[CONTA],$I246)</f>
        <v>16226.03</v>
      </c>
      <c r="G246" s="4">
        <f t="shared" si="10"/>
        <v>0</v>
      </c>
      <c r="H246">
        <v>50750</v>
      </c>
      <c r="I246" s="3" t="s">
        <v>614</v>
      </c>
      <c r="J246" s="3" t="s">
        <v>718</v>
      </c>
      <c r="K246" s="4">
        <v>16226.03</v>
      </c>
      <c r="L246" s="4">
        <v>4444.29</v>
      </c>
      <c r="M246" s="4">
        <v>0</v>
      </c>
      <c r="N246" s="4">
        <v>20670.32</v>
      </c>
      <c r="O246" s="4">
        <f>Tab_06.Jun[[#This Row],[DÉBITO]]-Tab_06.Jun[[#This Row],[CRÉDITO]]</f>
        <v>4444.29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A</v>
      </c>
      <c r="E247" s="2">
        <f>IF($I247="","",COUNTIFS(Tab_00.Trial[CONTA],$I247))</f>
        <v>1</v>
      </c>
      <c r="F247" s="4">
        <f>SUMIFS(Tab_05.Mai[SALDO
ATUAL],Tab_05.Mai[CONTA],$I247)</f>
        <v>95</v>
      </c>
      <c r="G247" s="4">
        <f t="shared" si="10"/>
        <v>0</v>
      </c>
      <c r="H247">
        <v>50765</v>
      </c>
      <c r="I247" s="3" t="s">
        <v>497</v>
      </c>
      <c r="J247" s="3" t="s">
        <v>498</v>
      </c>
      <c r="K247" s="4">
        <v>95</v>
      </c>
      <c r="L247" s="4">
        <v>0</v>
      </c>
      <c r="M247" s="4">
        <v>0</v>
      </c>
      <c r="N247" s="4">
        <v>95</v>
      </c>
      <c r="O247" s="4">
        <f>Tab_06.Jun[[#This Row],[DÉBITO]]-Tab_06.Jun[[#This Row],[CRÉDITO]]</f>
        <v>0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A</v>
      </c>
      <c r="E248" s="2">
        <f>IF($I248="","",COUNTIFS(Tab_00.Trial[CONTA],$I248))</f>
        <v>1</v>
      </c>
      <c r="F248" s="4">
        <f>SUMIFS(Tab_05.Mai[SALDO
ATUAL],Tab_05.Mai[CONTA],$I248)</f>
        <v>5689.34</v>
      </c>
      <c r="G248" s="4">
        <f t="shared" si="10"/>
        <v>0</v>
      </c>
      <c r="H248">
        <v>50780</v>
      </c>
      <c r="I248" s="3" t="s">
        <v>499</v>
      </c>
      <c r="J248" s="3" t="s">
        <v>500</v>
      </c>
      <c r="K248" s="4">
        <v>5689.34</v>
      </c>
      <c r="L248" s="4">
        <v>3937.4</v>
      </c>
      <c r="M248" s="4">
        <v>0</v>
      </c>
      <c r="N248" s="4">
        <v>9626.74</v>
      </c>
      <c r="O248" s="4">
        <f>Tab_06.Jun[[#This Row],[DÉBITO]]-Tab_06.Jun[[#This Row],[CRÉDITO]]</f>
        <v>3937.4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A</v>
      </c>
      <c r="E249" s="2">
        <f>IF($I249="","",COUNTIFS(Tab_00.Trial[CONTA],$I249))</f>
        <v>1</v>
      </c>
      <c r="F249" s="4">
        <f>SUMIFS(Tab_05.Mai[SALDO
ATUAL],Tab_05.Mai[CONTA],$I249)</f>
        <v>7477.45</v>
      </c>
      <c r="G249" s="4">
        <f t="shared" si="10"/>
        <v>0</v>
      </c>
      <c r="H249">
        <v>50795</v>
      </c>
      <c r="I249" s="3" t="s">
        <v>501</v>
      </c>
      <c r="J249" s="3" t="s">
        <v>502</v>
      </c>
      <c r="K249" s="4">
        <v>7477.45</v>
      </c>
      <c r="L249" s="4">
        <v>162.99</v>
      </c>
      <c r="M249" s="4">
        <v>0</v>
      </c>
      <c r="N249" s="4">
        <v>7640.44</v>
      </c>
      <c r="O249" s="4">
        <f>Tab_06.Jun[[#This Row],[DÉBITO]]-Tab_06.Jun[[#This Row],[CRÉDITO]]</f>
        <v>162.99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A</v>
      </c>
      <c r="E250" s="2">
        <f>IF($I250="","",COUNTIFS(Tab_00.Trial[CONTA],$I250))</f>
        <v>1</v>
      </c>
      <c r="F250" s="4">
        <f>SUMIFS(Tab_05.Mai[SALDO
ATUAL],Tab_05.Mai[CONTA],$I250)</f>
        <v>2964.24</v>
      </c>
      <c r="G250" s="4">
        <f t="shared" si="10"/>
        <v>0</v>
      </c>
      <c r="H250">
        <v>50810</v>
      </c>
      <c r="I250" s="3" t="s">
        <v>503</v>
      </c>
      <c r="J250" s="3" t="s">
        <v>504</v>
      </c>
      <c r="K250" s="4">
        <v>2964.24</v>
      </c>
      <c r="L250" s="4">
        <v>343.9</v>
      </c>
      <c r="M250" s="4">
        <v>0</v>
      </c>
      <c r="N250" s="4">
        <v>3308.14</v>
      </c>
      <c r="O250" s="4">
        <f>Tab_06.Jun[[#This Row],[DÉBITO]]-Tab_06.Jun[[#This Row],[CRÉDITO]]</f>
        <v>343.9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S</v>
      </c>
      <c r="E251" s="2">
        <f>IF($I251="","",COUNTIFS(Tab_00.Trial[CONTA],$I251))</f>
        <v>1</v>
      </c>
      <c r="F251" s="4">
        <f>SUMIFS(Tab_05.Mai[SALDO
ATUAL],Tab_05.Mai[CONTA],$I251)</f>
        <v>33754.120000000003</v>
      </c>
      <c r="G251" s="4">
        <f t="shared" si="10"/>
        <v>0</v>
      </c>
      <c r="H251">
        <v>50870</v>
      </c>
      <c r="I251" s="3" t="s">
        <v>615</v>
      </c>
      <c r="J251" s="3" t="s">
        <v>719</v>
      </c>
      <c r="K251" s="4">
        <v>33754.120000000003</v>
      </c>
      <c r="L251" s="4">
        <v>4642.22</v>
      </c>
      <c r="M251" s="4">
        <v>0</v>
      </c>
      <c r="N251" s="4">
        <v>38396.339999999997</v>
      </c>
      <c r="O251" s="4">
        <f>Tab_06.Jun[[#This Row],[DÉBITO]]-Tab_06.Jun[[#This Row],[CRÉDITO]]</f>
        <v>4642.22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S</v>
      </c>
      <c r="E252" s="2">
        <f>IF($I252="","",COUNTIFS(Tab_00.Trial[CONTA],$I252))</f>
        <v>1</v>
      </c>
      <c r="F252" s="4">
        <f>SUMIFS(Tab_05.Mai[SALDO
ATUAL],Tab_05.Mai[CONTA],$I252)</f>
        <v>1438.7</v>
      </c>
      <c r="G252" s="4">
        <f t="shared" si="10"/>
        <v>0</v>
      </c>
      <c r="H252">
        <v>50915</v>
      </c>
      <c r="I252" s="3" t="s">
        <v>617</v>
      </c>
      <c r="J252" s="3" t="s">
        <v>721</v>
      </c>
      <c r="K252" s="4">
        <v>1438.7</v>
      </c>
      <c r="L252" s="4">
        <v>287.74</v>
      </c>
      <c r="M252" s="4">
        <v>0</v>
      </c>
      <c r="N252" s="4">
        <v>1726.44</v>
      </c>
      <c r="O252" s="4">
        <f>Tab_06.Jun[[#This Row],[DÉBITO]]-Tab_06.Jun[[#This Row],[CRÉDITO]]</f>
        <v>287.74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A</v>
      </c>
      <c r="E253" s="2">
        <f>IF($I253="","",COUNTIFS(Tab_00.Trial[CONTA],$I253))</f>
        <v>1</v>
      </c>
      <c r="F253" s="4">
        <f>SUMIFS(Tab_05.Mai[SALDO
ATUAL],Tab_05.Mai[CONTA],$I253)</f>
        <v>1438.7</v>
      </c>
      <c r="G253" s="4">
        <f t="shared" si="10"/>
        <v>0</v>
      </c>
      <c r="H253">
        <v>50945</v>
      </c>
      <c r="I253" s="3" t="s">
        <v>739</v>
      </c>
      <c r="J253" s="3" t="s">
        <v>740</v>
      </c>
      <c r="K253" s="4">
        <v>1438.7</v>
      </c>
      <c r="L253" s="4">
        <v>287.74</v>
      </c>
      <c r="M253" s="4">
        <v>0</v>
      </c>
      <c r="N253" s="4">
        <v>1726.44</v>
      </c>
      <c r="O253" s="4">
        <f>Tab_06.Jun[[#This Row],[DÉBITO]]-Tab_06.Jun[[#This Row],[CRÉDITO]]</f>
        <v>287.74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S</v>
      </c>
      <c r="E254" s="2">
        <f>IF($I254="","",COUNTIFS(Tab_00.Trial[CONTA],$I254))</f>
        <v>1</v>
      </c>
      <c r="F254" s="4">
        <f>SUMIFS(Tab_05.Mai[SALDO
ATUAL],Tab_05.Mai[CONTA],$I254)</f>
        <v>12812.29</v>
      </c>
      <c r="G254" s="4">
        <f t="shared" si="10"/>
        <v>0</v>
      </c>
      <c r="H254">
        <v>50960</v>
      </c>
      <c r="I254" s="3" t="s">
        <v>618</v>
      </c>
      <c r="J254" s="3" t="s">
        <v>722</v>
      </c>
      <c r="K254" s="4">
        <v>12812.29</v>
      </c>
      <c r="L254" s="4">
        <v>2651.27</v>
      </c>
      <c r="M254" s="4">
        <v>0</v>
      </c>
      <c r="N254" s="4">
        <v>15463.56</v>
      </c>
      <c r="O254" s="4">
        <f>Tab_06.Jun[[#This Row],[DÉBITO]]-Tab_06.Jun[[#This Row],[CRÉDITO]]</f>
        <v>2651.27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A</v>
      </c>
      <c r="E255" s="2">
        <f>IF($I255="","",COUNTIFS(Tab_00.Trial[CONTA],$I255))</f>
        <v>1</v>
      </c>
      <c r="F255" s="4">
        <f>SUMIFS(Tab_05.Mai[SALDO
ATUAL],Tab_05.Mai[CONTA],$I255)</f>
        <v>12812.29</v>
      </c>
      <c r="G255" s="4">
        <f t="shared" si="10"/>
        <v>0</v>
      </c>
      <c r="H255">
        <v>50965</v>
      </c>
      <c r="I255" s="3" t="s">
        <v>511</v>
      </c>
      <c r="J255" s="3" t="s">
        <v>512</v>
      </c>
      <c r="K255" s="4">
        <v>12812.29</v>
      </c>
      <c r="L255" s="4">
        <v>2651.27</v>
      </c>
      <c r="M255" s="4">
        <v>0</v>
      </c>
      <c r="N255" s="4">
        <v>15463.56</v>
      </c>
      <c r="O255" s="4">
        <f>Tab_06.Jun[[#This Row],[DÉBITO]]-Tab_06.Jun[[#This Row],[CRÉDITO]]</f>
        <v>2651.27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S</v>
      </c>
      <c r="E256" s="2">
        <f>IF($I256="","",COUNTIFS(Tab_00.Trial[CONTA],$I256))</f>
        <v>1</v>
      </c>
      <c r="F256" s="4">
        <f>SUMIFS(Tab_05.Mai[SALDO
ATUAL],Tab_05.Mai[CONTA],$I256)</f>
        <v>19503.13</v>
      </c>
      <c r="G256" s="4">
        <f t="shared" si="10"/>
        <v>0</v>
      </c>
      <c r="H256">
        <v>50970</v>
      </c>
      <c r="I256" s="3" t="s">
        <v>619</v>
      </c>
      <c r="J256" s="3" t="s">
        <v>420</v>
      </c>
      <c r="K256" s="4">
        <v>19503.13</v>
      </c>
      <c r="L256" s="4">
        <v>1703.21</v>
      </c>
      <c r="M256" s="4">
        <v>0</v>
      </c>
      <c r="N256" s="4">
        <v>21206.34</v>
      </c>
      <c r="O256" s="4">
        <f>Tab_06.Jun[[#This Row],[DÉBITO]]-Tab_06.Jun[[#This Row],[CRÉDITO]]</f>
        <v>1703.21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A</v>
      </c>
      <c r="E257" s="2">
        <f>IF($I257="","",COUNTIFS(Tab_00.Trial[CONTA],$I257))</f>
        <v>1</v>
      </c>
      <c r="F257" s="4">
        <f>SUMIFS(Tab_05.Mai[SALDO
ATUAL],Tab_05.Mai[CONTA],$I257)</f>
        <v>19503.13</v>
      </c>
      <c r="G257" s="4">
        <f t="shared" si="10"/>
        <v>0</v>
      </c>
      <c r="H257">
        <v>50975</v>
      </c>
      <c r="I257" s="3" t="s">
        <v>515</v>
      </c>
      <c r="J257" s="3" t="s">
        <v>420</v>
      </c>
      <c r="K257" s="4">
        <v>19503.13</v>
      </c>
      <c r="L257" s="4">
        <v>1703.21</v>
      </c>
      <c r="M257" s="4">
        <v>0</v>
      </c>
      <c r="N257" s="4">
        <v>21206.34</v>
      </c>
      <c r="O257" s="4">
        <f>Tab_06.Jun[[#This Row],[DÉBITO]]-Tab_06.Jun[[#This Row],[CRÉDITO]]</f>
        <v>1703.21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S</v>
      </c>
      <c r="E258" s="2">
        <f>IF($I258="","",COUNTIFS(Tab_00.Trial[CONTA],$I258))</f>
        <v>1</v>
      </c>
      <c r="F258" s="4">
        <f>SUMIFS(Tab_05.Mai[SALDO
ATUAL],Tab_05.Mai[CONTA],$I258)</f>
        <v>8588.81</v>
      </c>
      <c r="G258" s="4">
        <f t="shared" si="10"/>
        <v>0</v>
      </c>
      <c r="H258">
        <v>50990</v>
      </c>
      <c r="I258" s="3" t="s">
        <v>621</v>
      </c>
      <c r="J258" s="3" t="s">
        <v>723</v>
      </c>
      <c r="K258" s="4">
        <v>8588.81</v>
      </c>
      <c r="L258" s="4">
        <v>1291.92</v>
      </c>
      <c r="M258" s="4">
        <v>0</v>
      </c>
      <c r="N258" s="4">
        <v>9880.73</v>
      </c>
      <c r="O258" s="4">
        <f>Tab_06.Jun[[#This Row],[DÉBITO]]-Tab_06.Jun[[#This Row],[CRÉDITO]]</f>
        <v>1291.92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S</v>
      </c>
      <c r="E259" s="2">
        <f>IF($I259="","",COUNTIFS(Tab_00.Trial[CONTA],$I259))</f>
        <v>1</v>
      </c>
      <c r="F259" s="4">
        <f>SUMIFS(Tab_05.Mai[SALDO
ATUAL],Tab_05.Mai[CONTA],$I259)</f>
        <v>8588.81</v>
      </c>
      <c r="G259" s="4">
        <f t="shared" si="10"/>
        <v>0</v>
      </c>
      <c r="H259">
        <v>51005</v>
      </c>
      <c r="I259" s="3" t="s">
        <v>622</v>
      </c>
      <c r="J259" s="3" t="s">
        <v>723</v>
      </c>
      <c r="K259" s="4">
        <v>8588.81</v>
      </c>
      <c r="L259" s="4">
        <v>1291.92</v>
      </c>
      <c r="M259" s="4">
        <v>0</v>
      </c>
      <c r="N259" s="4">
        <v>9880.73</v>
      </c>
      <c r="O259" s="4">
        <f>Tab_06.Jun[[#This Row],[DÉBITO]]-Tab_06.Jun[[#This Row],[CRÉDITO]]</f>
        <v>1291.92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A</v>
      </c>
      <c r="E260" s="2">
        <f>IF($I260="","",COUNTIFS(Tab_00.Trial[CONTA],$I260))</f>
        <v>1</v>
      </c>
      <c r="F260" s="4">
        <f>SUMIFS(Tab_05.Mai[SALDO
ATUAL],Tab_05.Mai[CONTA],$I260)</f>
        <v>8588.81</v>
      </c>
      <c r="G260" s="4">
        <f t="shared" si="10"/>
        <v>0</v>
      </c>
      <c r="H260">
        <v>51019</v>
      </c>
      <c r="I260" s="3" t="s">
        <v>518</v>
      </c>
      <c r="J260" s="3" t="s">
        <v>519</v>
      </c>
      <c r="K260" s="4">
        <v>8588.81</v>
      </c>
      <c r="L260" s="4">
        <v>1291.92</v>
      </c>
      <c r="M260" s="4">
        <v>0</v>
      </c>
      <c r="N260" s="4">
        <v>9880.73</v>
      </c>
      <c r="O260" s="4">
        <f>Tab_06.Jun[[#This Row],[DÉBITO]]-Tab_06.Jun[[#This Row],[CRÉDITO]]</f>
        <v>1291.92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S</v>
      </c>
      <c r="E261" s="2">
        <f>IF($I261="","",COUNTIFS(Tab_00.Trial[CONTA],$I261))</f>
        <v>1</v>
      </c>
      <c r="F261" s="4">
        <f>SUMIFS(Tab_05.Mai[SALDO
ATUAL],Tab_05.Mai[CONTA],$I261)</f>
        <v>21614.99</v>
      </c>
      <c r="G261" s="4">
        <f t="shared" si="10"/>
        <v>0</v>
      </c>
      <c r="H261">
        <v>51050</v>
      </c>
      <c r="I261" s="3" t="s">
        <v>623</v>
      </c>
      <c r="J261" s="3" t="s">
        <v>724</v>
      </c>
      <c r="K261" s="4">
        <v>21614.99</v>
      </c>
      <c r="L261" s="4">
        <v>3666.75</v>
      </c>
      <c r="M261" s="4">
        <v>0</v>
      </c>
      <c r="N261" s="4">
        <v>25281.74</v>
      </c>
      <c r="O261" s="4">
        <f>Tab_06.Jun[[#This Row],[DÉBITO]]-Tab_06.Jun[[#This Row],[CRÉDITO]]</f>
        <v>3666.75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S</v>
      </c>
      <c r="E262" s="2">
        <f>IF($I262="","",COUNTIFS(Tab_00.Trial[CONTA],$I262))</f>
        <v>1</v>
      </c>
      <c r="F262" s="4">
        <f>SUMIFS(Tab_05.Mai[SALDO
ATUAL],Tab_05.Mai[CONTA],$I262)</f>
        <v>21614.99</v>
      </c>
      <c r="G262" s="4">
        <f t="shared" si="10"/>
        <v>0</v>
      </c>
      <c r="H262">
        <v>51065</v>
      </c>
      <c r="I262" s="3" t="s">
        <v>624</v>
      </c>
      <c r="J262" s="3" t="s">
        <v>724</v>
      </c>
      <c r="K262" s="4">
        <v>21614.99</v>
      </c>
      <c r="L262" s="4">
        <v>3666.75</v>
      </c>
      <c r="M262" s="4">
        <v>0</v>
      </c>
      <c r="N262" s="4">
        <v>25281.74</v>
      </c>
      <c r="O262" s="4">
        <f>Tab_06.Jun[[#This Row],[DÉBITO]]-Tab_06.Jun[[#This Row],[CRÉDITO]]</f>
        <v>3666.75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A</v>
      </c>
      <c r="E263" s="2">
        <f>IF($I263="","",COUNTIFS(Tab_00.Trial[CONTA],$I263))</f>
        <v>1</v>
      </c>
      <c r="F263" s="4">
        <f>SUMIFS(Tab_05.Mai[SALDO
ATUAL],Tab_05.Mai[CONTA],$I263)</f>
        <v>21614.99</v>
      </c>
      <c r="G263" s="4">
        <f t="shared" si="10"/>
        <v>0</v>
      </c>
      <c r="H263">
        <v>51080</v>
      </c>
      <c r="I263" s="3" t="s">
        <v>520</v>
      </c>
      <c r="J263" s="3" t="s">
        <v>521</v>
      </c>
      <c r="K263" s="4">
        <v>21614.99</v>
      </c>
      <c r="L263" s="4">
        <v>3666.75</v>
      </c>
      <c r="M263" s="4">
        <v>0</v>
      </c>
      <c r="N263" s="4">
        <v>25281.74</v>
      </c>
      <c r="O263" s="4">
        <f>Tab_06.Jun[[#This Row],[DÉBITO]]-Tab_06.Jun[[#This Row],[CRÉDITO]]</f>
        <v>3666.75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S</v>
      </c>
      <c r="E264" s="2">
        <f>IF($I264="","",COUNTIFS(Tab_00.Trial[CONTA],$I264))</f>
        <v>1</v>
      </c>
      <c r="F264" s="4">
        <f>SUMIFS(Tab_05.Mai[SALDO
ATUAL],Tab_05.Mai[CONTA],$I264)</f>
        <v>31526.46</v>
      </c>
      <c r="G264" s="4">
        <f t="shared" si="10"/>
        <v>0</v>
      </c>
      <c r="H264">
        <v>51110</v>
      </c>
      <c r="I264" s="3" t="s">
        <v>625</v>
      </c>
      <c r="J264" s="3" t="s">
        <v>542</v>
      </c>
      <c r="K264" s="4">
        <v>31526.46</v>
      </c>
      <c r="L264" s="4">
        <v>3505.14</v>
      </c>
      <c r="M264" s="4">
        <v>0</v>
      </c>
      <c r="N264" s="4">
        <v>35031.599999999999</v>
      </c>
      <c r="O264" s="4">
        <f>Tab_06.Jun[[#This Row],[DÉBITO]]-Tab_06.Jun[[#This Row],[CRÉDITO]]</f>
        <v>3505.14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S</v>
      </c>
      <c r="E265" s="2">
        <f>IF($I265="","",COUNTIFS(Tab_00.Trial[CONTA],$I265))</f>
        <v>1</v>
      </c>
      <c r="F265" s="4">
        <f>SUMIFS(Tab_05.Mai[SALDO
ATUAL],Tab_05.Mai[CONTA],$I265)</f>
        <v>15983.85</v>
      </c>
      <c r="G265" s="4">
        <f t="shared" si="10"/>
        <v>0</v>
      </c>
      <c r="H265">
        <v>51125</v>
      </c>
      <c r="I265" s="3" t="s">
        <v>626</v>
      </c>
      <c r="J265" s="3" t="s">
        <v>725</v>
      </c>
      <c r="K265" s="4">
        <v>15983.85</v>
      </c>
      <c r="L265" s="4">
        <v>13.14</v>
      </c>
      <c r="M265" s="4">
        <v>0</v>
      </c>
      <c r="N265" s="4">
        <v>15996.99</v>
      </c>
      <c r="O265" s="4">
        <f>Tab_06.Jun[[#This Row],[DÉBITO]]-Tab_06.Jun[[#This Row],[CRÉDITO]]</f>
        <v>13.14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A</v>
      </c>
      <c r="E266" s="2">
        <f>IF($I266="","",COUNTIFS(Tab_00.Trial[CONTA],$I266))</f>
        <v>1</v>
      </c>
      <c r="F266" s="4">
        <f>SUMIFS(Tab_05.Mai[SALDO
ATUAL],Tab_05.Mai[CONTA],$I266)</f>
        <v>15527.74</v>
      </c>
      <c r="G266" s="4">
        <f t="shared" si="10"/>
        <v>0</v>
      </c>
      <c r="H266">
        <v>51200</v>
      </c>
      <c r="I266" s="3" t="s">
        <v>522</v>
      </c>
      <c r="J266" s="3" t="s">
        <v>523</v>
      </c>
      <c r="K266" s="4">
        <v>15527.74</v>
      </c>
      <c r="L266" s="4">
        <v>0</v>
      </c>
      <c r="M266" s="4">
        <v>0</v>
      </c>
      <c r="N266" s="4">
        <v>15527.74</v>
      </c>
      <c r="O266" s="4">
        <f>Tab_06.Jun[[#This Row],[DÉBITO]]-Tab_06.Jun[[#This Row],[CRÉDITO]]</f>
        <v>0</v>
      </c>
    </row>
    <row r="267" spans="2:15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5</v>
      </c>
      <c r="D267" s="2" t="str">
        <f>_xlfn.XLOOKUP($I267,Tab_00.Trial[CONTA],Tab_00.Trial[S/A],"",0,1)</f>
        <v>A</v>
      </c>
      <c r="E267" s="2">
        <f>IF($I267="","",COUNTIFS(Tab_00.Trial[CONTA],$I267))</f>
        <v>1</v>
      </c>
      <c r="F267" s="4">
        <f>SUMIFS(Tab_05.Mai[SALDO
ATUAL],Tab_05.Mai[CONTA],$I267)</f>
        <v>456.11</v>
      </c>
      <c r="G267" s="4">
        <f t="shared" si="10"/>
        <v>0</v>
      </c>
      <c r="H267">
        <v>51220</v>
      </c>
      <c r="I267" s="3" t="s">
        <v>524</v>
      </c>
      <c r="J267" s="3" t="s">
        <v>525</v>
      </c>
      <c r="K267" s="4">
        <v>456.11</v>
      </c>
      <c r="L267" s="4">
        <v>13.14</v>
      </c>
      <c r="M267" s="4">
        <v>0</v>
      </c>
      <c r="N267" s="4">
        <v>469.25</v>
      </c>
      <c r="O267" s="4">
        <f>Tab_06.Jun[[#This Row],[DÉBITO]]-Tab_06.Jun[[#This Row],[CRÉDITO]]</f>
        <v>13.14</v>
      </c>
    </row>
    <row r="268" spans="2:15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5</v>
      </c>
      <c r="D268" s="2" t="str">
        <f>_xlfn.XLOOKUP($I268,Tab_00.Trial[CONTA],Tab_00.Trial[S/A],"",0,1)</f>
        <v>S</v>
      </c>
      <c r="E268" s="2">
        <f>IF($I268="","",COUNTIFS(Tab_00.Trial[CONTA],$I268))</f>
        <v>1</v>
      </c>
      <c r="F268" s="4">
        <f>SUMIFS(Tab_05.Mai[SALDO
ATUAL],Tab_05.Mai[CONTA],$I268)</f>
        <v>15542.61</v>
      </c>
      <c r="G268" s="4">
        <f t="shared" si="10"/>
        <v>0</v>
      </c>
      <c r="H268">
        <v>51230</v>
      </c>
      <c r="I268" s="3" t="s">
        <v>627</v>
      </c>
      <c r="J268" s="3" t="s">
        <v>542</v>
      </c>
      <c r="K268" s="4">
        <v>15542.61</v>
      </c>
      <c r="L268" s="4">
        <v>3492</v>
      </c>
      <c r="M268" s="4">
        <v>0</v>
      </c>
      <c r="N268" s="4">
        <v>19034.61</v>
      </c>
      <c r="O268" s="4">
        <f>Tab_06.Jun[[#This Row],[DÉBITO]]-Tab_06.Jun[[#This Row],[CRÉDITO]]</f>
        <v>3492</v>
      </c>
    </row>
    <row r="269" spans="2:15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5</v>
      </c>
      <c r="D269" s="2" t="str">
        <f>_xlfn.XLOOKUP($I269,Tab_00.Trial[CONTA],Tab_00.Trial[S/A],"",0,1)</f>
        <v>A</v>
      </c>
      <c r="E269" s="2">
        <f>IF($I269="","",COUNTIFS(Tab_00.Trial[CONTA],$I269))</f>
        <v>1</v>
      </c>
      <c r="F269" s="4">
        <f>SUMIFS(Tab_05.Mai[SALDO
ATUAL],Tab_05.Mai[CONTA],$I269)</f>
        <v>494.45</v>
      </c>
      <c r="G269" s="4">
        <f t="shared" si="10"/>
        <v>0</v>
      </c>
      <c r="H269">
        <v>51245</v>
      </c>
      <c r="I269" s="3" t="s">
        <v>528</v>
      </c>
      <c r="J269" s="3" t="s">
        <v>416</v>
      </c>
      <c r="K269" s="4">
        <v>494.45</v>
      </c>
      <c r="L269" s="4">
        <v>133.66999999999999</v>
      </c>
      <c r="M269" s="4">
        <v>0</v>
      </c>
      <c r="N269" s="4">
        <v>628.12</v>
      </c>
      <c r="O269" s="4">
        <f>Tab_06.Jun[[#This Row],[DÉBITO]]-Tab_06.Jun[[#This Row],[CRÉDITO]]</f>
        <v>133.66999999999999</v>
      </c>
    </row>
    <row r="270" spans="2:15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A</v>
      </c>
      <c r="E270" s="2">
        <f>IF($I270="","",COUNTIFS(Tab_00.Trial[CONTA],$I270))</f>
        <v>1</v>
      </c>
      <c r="F270" s="4">
        <f>SUMIFS(Tab_05.Mai[SALDO
ATUAL],Tab_05.Mai[CONTA],$I270)</f>
        <v>0</v>
      </c>
      <c r="G270" s="4">
        <f t="shared" ref="G270:G274" si="11">$F270-$K270</f>
        <v>0</v>
      </c>
      <c r="H270">
        <v>51275</v>
      </c>
      <c r="I270" s="3" t="s">
        <v>529</v>
      </c>
      <c r="J270" s="3" t="s">
        <v>530</v>
      </c>
      <c r="K270" s="4">
        <v>0</v>
      </c>
      <c r="L270" s="4">
        <v>258</v>
      </c>
      <c r="M270" s="4">
        <v>0</v>
      </c>
      <c r="N270" s="4">
        <v>258</v>
      </c>
      <c r="O270" s="4">
        <f>Tab_06.Jun[[#This Row],[DÉBITO]]-Tab_06.Jun[[#This Row],[CRÉDITO]]</f>
        <v>258</v>
      </c>
    </row>
    <row r="271" spans="2:15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5</v>
      </c>
      <c r="D271" s="2" t="str">
        <f>_xlfn.XLOOKUP($I271,Tab_00.Trial[CONTA],Tab_00.Trial[S/A],"",0,1)</f>
        <v>A</v>
      </c>
      <c r="E271" s="2">
        <f>IF($I271="","",COUNTIFS(Tab_00.Trial[CONTA],$I271))</f>
        <v>1</v>
      </c>
      <c r="F271" s="4">
        <f>SUMIFS(Tab_05.Mai[SALDO
ATUAL],Tab_05.Mai[CONTA],$I271)</f>
        <v>424.04</v>
      </c>
      <c r="G271" s="4">
        <f t="shared" si="11"/>
        <v>0</v>
      </c>
      <c r="H271">
        <v>51290</v>
      </c>
      <c r="I271" s="3" t="s">
        <v>531</v>
      </c>
      <c r="J271" s="3" t="s">
        <v>532</v>
      </c>
      <c r="K271" s="4">
        <v>424.04</v>
      </c>
      <c r="L271" s="4">
        <v>50.54</v>
      </c>
      <c r="M271" s="4">
        <v>0</v>
      </c>
      <c r="N271" s="4">
        <v>474.58</v>
      </c>
      <c r="O271" s="4">
        <f>Tab_06.Jun[[#This Row],[DÉBITO]]-Tab_06.Jun[[#This Row],[CRÉDITO]]</f>
        <v>50.54</v>
      </c>
    </row>
    <row r="272" spans="2:15" x14ac:dyDescent="0.3">
      <c r="B272" s="2" t="str">
        <f>_xlfn.XLOOKUP($I272,Tab_00.Trial[CONTA],Tab_00.Trial[TP],"",0,1)</f>
        <v>C</v>
      </c>
      <c r="C272" s="2">
        <f>_xlfn.XLOOKUP($I272,Tab_00.Trial[CONTA],Tab_00.Trial[NV],"",0,1)</f>
        <v>5</v>
      </c>
      <c r="D272" s="2" t="str">
        <f>_xlfn.XLOOKUP($I272,Tab_00.Trial[CONTA],Tab_00.Trial[S/A],"",0,1)</f>
        <v>A</v>
      </c>
      <c r="E272" s="2">
        <f>IF($I272="","",COUNTIFS(Tab_00.Trial[CONTA],$I272))</f>
        <v>1</v>
      </c>
      <c r="F272" s="4">
        <f>SUMIFS(Tab_05.Mai[SALDO
ATUAL],Tab_05.Mai[CONTA],$I272)</f>
        <v>1750</v>
      </c>
      <c r="G272" s="4">
        <f t="shared" si="11"/>
        <v>0</v>
      </c>
      <c r="H272">
        <v>51305</v>
      </c>
      <c r="I272" s="3" t="s">
        <v>533</v>
      </c>
      <c r="J272" s="3" t="s">
        <v>534</v>
      </c>
      <c r="K272" s="4">
        <v>1750</v>
      </c>
      <c r="L272" s="4">
        <v>0</v>
      </c>
      <c r="M272" s="4">
        <v>0</v>
      </c>
      <c r="N272" s="4">
        <v>1750</v>
      </c>
      <c r="O272" s="4">
        <f>Tab_06.Jun[[#This Row],[DÉBITO]]-Tab_06.Jun[[#This Row],[CRÉDITO]]</f>
        <v>0</v>
      </c>
    </row>
    <row r="273" spans="2:15" x14ac:dyDescent="0.3">
      <c r="B273" s="2" t="str">
        <f>_xlfn.XLOOKUP($I273,Tab_00.Trial[CONTA],Tab_00.Trial[TP],"",0,1)</f>
        <v>C</v>
      </c>
      <c r="C273" s="2">
        <f>_xlfn.XLOOKUP($I273,Tab_00.Trial[CONTA],Tab_00.Trial[NV],"",0,1)</f>
        <v>5</v>
      </c>
      <c r="D273" s="2" t="str">
        <f>_xlfn.XLOOKUP($I273,Tab_00.Trial[CONTA],Tab_00.Trial[S/A],"",0,1)</f>
        <v>A</v>
      </c>
      <c r="E273" s="2">
        <f>IF($I273="","",COUNTIFS(Tab_00.Trial[CONTA],$I273))</f>
        <v>1</v>
      </c>
      <c r="F273" s="4">
        <f>SUMIFS(Tab_05.Mai[SALDO
ATUAL],Tab_05.Mai[CONTA],$I273)</f>
        <v>4744.78</v>
      </c>
      <c r="G273" s="4">
        <f t="shared" si="11"/>
        <v>0</v>
      </c>
      <c r="H273">
        <v>51335</v>
      </c>
      <c r="I273" s="3" t="s">
        <v>537</v>
      </c>
      <c r="J273" s="3" t="s">
        <v>538</v>
      </c>
      <c r="K273" s="4">
        <v>4744.78</v>
      </c>
      <c r="L273" s="4">
        <v>0.01</v>
      </c>
      <c r="M273" s="4">
        <v>0</v>
      </c>
      <c r="N273" s="4">
        <v>4744.79</v>
      </c>
      <c r="O273" s="4">
        <f>Tab_06.Jun[[#This Row],[DÉBITO]]-Tab_06.Jun[[#This Row],[CRÉDITO]]</f>
        <v>0.01</v>
      </c>
    </row>
    <row r="274" spans="2:15" x14ac:dyDescent="0.3">
      <c r="B274" s="2" t="str">
        <f>_xlfn.XLOOKUP($I274,Tab_00.Trial[CONTA],Tab_00.Trial[TP],"",0,1)</f>
        <v>C</v>
      </c>
      <c r="C274" s="2">
        <f>_xlfn.XLOOKUP($I274,Tab_00.Trial[CONTA],Tab_00.Trial[NV],"",0,1)</f>
        <v>5</v>
      </c>
      <c r="D274" s="2" t="str">
        <f>_xlfn.XLOOKUP($I274,Tab_00.Trial[CONTA],Tab_00.Trial[S/A],"",0,1)</f>
        <v>A</v>
      </c>
      <c r="E274" s="2">
        <f>IF($I274="","",COUNTIFS(Tab_00.Trial[CONTA],$I274))</f>
        <v>1</v>
      </c>
      <c r="F274" s="4">
        <f>SUMIFS(Tab_05.Mai[SALDO
ATUAL],Tab_05.Mai[CONTA],$I274)</f>
        <v>7128.57</v>
      </c>
      <c r="G274" s="4">
        <f t="shared" si="11"/>
        <v>0</v>
      </c>
      <c r="H274">
        <v>51338</v>
      </c>
      <c r="I274" s="3" t="s">
        <v>539</v>
      </c>
      <c r="J274" s="3" t="s">
        <v>540</v>
      </c>
      <c r="K274" s="4">
        <v>7128.57</v>
      </c>
      <c r="L274" s="4">
        <v>2621.68</v>
      </c>
      <c r="M274" s="4">
        <v>0</v>
      </c>
      <c r="N274" s="4">
        <v>9750.25</v>
      </c>
      <c r="O274" s="4">
        <f>Tab_06.Jun[[#This Row],[DÉBITO]]-Tab_06.Jun[[#This Row],[CRÉDITO]]</f>
        <v>2621.68</v>
      </c>
    </row>
    <row r="275" spans="2:15" x14ac:dyDescent="0.3">
      <c r="B275" s="2" t="str">
        <f>_xlfn.XLOOKUP($I275,Tab_00.Trial[CONTA],Tab_00.Trial[TP],"",0,1)</f>
        <v>C</v>
      </c>
      <c r="C275" s="2">
        <f>_xlfn.XLOOKUP($I275,Tab_00.Trial[CONTA],Tab_00.Trial[NV],"",0,1)</f>
        <v>5</v>
      </c>
      <c r="D275" s="2" t="str">
        <f>_xlfn.XLOOKUP($I275,Tab_00.Trial[CONTA],Tab_00.Trial[S/A],"",0,1)</f>
        <v>A</v>
      </c>
      <c r="E275" s="2">
        <f>IF($I275="","",COUNTIFS(Tab_00.Trial[CONTA],$I275))</f>
        <v>1</v>
      </c>
      <c r="F275" s="4">
        <f>SUMIFS(Tab_05.Mai[SALDO
ATUAL],Tab_05.Mai[CONTA],$I275)</f>
        <v>1000.77</v>
      </c>
      <c r="G275" s="4">
        <f t="shared" ref="G275:G280" si="12">$F275-$K275</f>
        <v>0</v>
      </c>
      <c r="H275">
        <v>51337</v>
      </c>
      <c r="I275" s="3" t="s">
        <v>541</v>
      </c>
      <c r="J275" s="3" t="s">
        <v>542</v>
      </c>
      <c r="K275" s="4">
        <v>1000.77</v>
      </c>
      <c r="L275" s="4">
        <v>428.1</v>
      </c>
      <c r="M275" s="4">
        <v>0</v>
      </c>
      <c r="N275" s="4">
        <v>1428.87</v>
      </c>
      <c r="O275" s="4">
        <f>Tab_06.Jun[[#This Row],[DÉBITO]]-Tab_06.Jun[[#This Row],[CRÉDITO]]</f>
        <v>428.1</v>
      </c>
    </row>
    <row r="276" spans="2:15" x14ac:dyDescent="0.3">
      <c r="B276" s="2" t="str">
        <f>_xlfn.XLOOKUP($I276,Tab_00.Trial[CONTA],Tab_00.Trial[TP],"",0,1)</f>
        <v>C</v>
      </c>
      <c r="C276" s="2">
        <f>_xlfn.XLOOKUP($I276,Tab_00.Trial[CONTA],Tab_00.Trial[NV],"",0,1)</f>
        <v>2</v>
      </c>
      <c r="D276" s="2" t="str">
        <f>_xlfn.XLOOKUP($I276,Tab_00.Trial[CONTA],Tab_00.Trial[S/A],"",0,1)</f>
        <v>S</v>
      </c>
      <c r="E276" s="2">
        <f>IF($I276="","",COUNTIFS(Tab_00.Trial[CONTA],$I276))</f>
        <v>1</v>
      </c>
      <c r="F276" s="4">
        <f>SUMIFS(Tab_05.Mai[SALDO
ATUAL],Tab_05.Mai[CONTA],$I276)</f>
        <v>270</v>
      </c>
      <c r="G276" s="4">
        <f t="shared" si="12"/>
        <v>0</v>
      </c>
      <c r="H276">
        <v>51500</v>
      </c>
      <c r="I276" s="3" t="s">
        <v>630</v>
      </c>
      <c r="J276" s="3" t="s">
        <v>728</v>
      </c>
      <c r="K276" s="4">
        <v>270</v>
      </c>
      <c r="L276" s="4">
        <v>135</v>
      </c>
      <c r="M276" s="4">
        <v>0</v>
      </c>
      <c r="N276" s="4">
        <v>405</v>
      </c>
      <c r="O276" s="4">
        <f>Tab_06.Jun[[#This Row],[DÉBITO]]-Tab_06.Jun[[#This Row],[CRÉDITO]]</f>
        <v>135</v>
      </c>
    </row>
    <row r="277" spans="2:15" x14ac:dyDescent="0.3">
      <c r="B277" s="2" t="str">
        <f>_xlfn.XLOOKUP($I277,Tab_00.Trial[CONTA],Tab_00.Trial[TP],"",0,1)</f>
        <v>C</v>
      </c>
      <c r="C277" s="2">
        <f>_xlfn.XLOOKUP($I277,Tab_00.Trial[CONTA],Tab_00.Trial[NV],"",0,1)</f>
        <v>5</v>
      </c>
      <c r="D277" s="2" t="str">
        <f>_xlfn.XLOOKUP($I277,Tab_00.Trial[CONTA],Tab_00.Trial[S/A],"",0,1)</f>
        <v>S</v>
      </c>
      <c r="E277" s="2">
        <f>IF($I277="","",COUNTIFS(Tab_00.Trial[CONTA],$I277))</f>
        <v>1</v>
      </c>
      <c r="F277" s="4">
        <f>SUMIFS(Tab_05.Mai[SALDO
ATUAL],Tab_05.Mai[CONTA],$I277)</f>
        <v>270</v>
      </c>
      <c r="G277" s="4">
        <f t="shared" si="12"/>
        <v>0</v>
      </c>
      <c r="H277">
        <v>51505</v>
      </c>
      <c r="I277" s="3" t="s">
        <v>631</v>
      </c>
      <c r="J277" s="3" t="s">
        <v>728</v>
      </c>
      <c r="K277" s="4">
        <v>270</v>
      </c>
      <c r="L277" s="4">
        <v>135</v>
      </c>
      <c r="M277" s="4">
        <v>0</v>
      </c>
      <c r="N277" s="4">
        <v>405</v>
      </c>
      <c r="O277" s="4">
        <f>Tab_06.Jun[[#This Row],[DÉBITO]]-Tab_06.Jun[[#This Row],[CRÉDITO]]</f>
        <v>135</v>
      </c>
    </row>
    <row r="278" spans="2:15" x14ac:dyDescent="0.3">
      <c r="B278" s="2" t="str">
        <f>_xlfn.XLOOKUP($I278,Tab_00.Trial[CONTA],Tab_00.Trial[TP],"",0,1)</f>
        <v>C</v>
      </c>
      <c r="C278" s="2">
        <f>_xlfn.XLOOKUP($I278,Tab_00.Trial[CONTA],Tab_00.Trial[NV],"",0,1)</f>
        <v>5</v>
      </c>
      <c r="D278" s="2" t="str">
        <f>_xlfn.XLOOKUP($I278,Tab_00.Trial[CONTA],Tab_00.Trial[S/A],"",0,1)</f>
        <v>S</v>
      </c>
      <c r="E278" s="2">
        <f>IF($I278="","",COUNTIFS(Tab_00.Trial[CONTA],$I278))</f>
        <v>1</v>
      </c>
      <c r="F278" s="4">
        <f>SUMIFS(Tab_05.Mai[SALDO
ATUAL],Tab_05.Mai[CONTA],$I278)</f>
        <v>270</v>
      </c>
      <c r="G278" s="4">
        <f t="shared" si="12"/>
        <v>0</v>
      </c>
      <c r="H278">
        <v>51565</v>
      </c>
      <c r="I278" s="3" t="s">
        <v>633</v>
      </c>
      <c r="J278" s="3" t="s">
        <v>548</v>
      </c>
      <c r="K278" s="4">
        <v>270</v>
      </c>
      <c r="L278" s="4">
        <v>135</v>
      </c>
      <c r="M278" s="4">
        <v>0</v>
      </c>
      <c r="N278" s="4">
        <v>405</v>
      </c>
      <c r="O278" s="4">
        <f>Tab_06.Jun[[#This Row],[DÉBITO]]-Tab_06.Jun[[#This Row],[CRÉDITO]]</f>
        <v>135</v>
      </c>
    </row>
    <row r="279" spans="2:15" x14ac:dyDescent="0.3">
      <c r="B279" s="2" t="str">
        <f>_xlfn.XLOOKUP($I279,Tab_00.Trial[CONTA],Tab_00.Trial[TP],"",0,1)</f>
        <v>C</v>
      </c>
      <c r="C279" s="2">
        <f>_xlfn.XLOOKUP($I279,Tab_00.Trial[CONTA],Tab_00.Trial[NV],"",0,1)</f>
        <v>5</v>
      </c>
      <c r="D279" s="2" t="str">
        <f>_xlfn.XLOOKUP($I279,Tab_00.Trial[CONTA],Tab_00.Trial[S/A],"",0,1)</f>
        <v>A</v>
      </c>
      <c r="E279" s="2">
        <f>IF($I279="","",COUNTIFS(Tab_00.Trial[CONTA],$I279))</f>
        <v>1</v>
      </c>
      <c r="F279" s="4">
        <f>SUMIFS(Tab_05.Mai[SALDO
ATUAL],Tab_05.Mai[CONTA],$I279)</f>
        <v>270</v>
      </c>
      <c r="G279" s="4">
        <f t="shared" si="12"/>
        <v>0</v>
      </c>
      <c r="H279">
        <v>51570</v>
      </c>
      <c r="I279" s="3" t="s">
        <v>547</v>
      </c>
      <c r="J279" s="3" t="s">
        <v>548</v>
      </c>
      <c r="K279" s="4">
        <v>270</v>
      </c>
      <c r="L279" s="4">
        <v>135</v>
      </c>
      <c r="M279" s="4">
        <v>0</v>
      </c>
      <c r="N279" s="4">
        <v>405</v>
      </c>
      <c r="O279" s="4">
        <f>Tab_06.Jun[[#This Row],[DÉBITO]]-Tab_06.Jun[[#This Row],[CRÉDITO]]</f>
        <v>135</v>
      </c>
    </row>
    <row r="280" spans="2:15" x14ac:dyDescent="0.3">
      <c r="B280" s="2" t="str">
        <f>_xlfn.XLOOKUP($I280,Tab_00.Trial[CONTA],Tab_00.Trial[TP],"",0,1)</f>
        <v>C</v>
      </c>
      <c r="C280" s="2">
        <f>_xlfn.XLOOKUP($I280,Tab_00.Trial[CONTA],Tab_00.Trial[NV],"",0,1)</f>
        <v>2</v>
      </c>
      <c r="D280" s="2" t="str">
        <f>_xlfn.XLOOKUP($I280,Tab_00.Trial[CONTA],Tab_00.Trial[S/A],"",0,1)</f>
        <v>S</v>
      </c>
      <c r="E280" s="2">
        <f>IF($I280="","",COUNTIFS(Tab_00.Trial[CONTA],$I280))</f>
        <v>1</v>
      </c>
      <c r="F280" s="4">
        <f>SUMIFS(Tab_05.Mai[SALDO
ATUAL],Tab_05.Mai[CONTA],$I280)</f>
        <v>-189</v>
      </c>
      <c r="G280" s="4">
        <f t="shared" si="12"/>
        <v>0</v>
      </c>
      <c r="H280">
        <v>51590</v>
      </c>
      <c r="I280" s="3" t="s">
        <v>634</v>
      </c>
      <c r="J280" s="3" t="s">
        <v>730</v>
      </c>
      <c r="K280" s="4">
        <v>-189</v>
      </c>
      <c r="L280" s="4">
        <v>0</v>
      </c>
      <c r="M280" s="4">
        <v>0</v>
      </c>
      <c r="N280" s="4">
        <v>-189</v>
      </c>
      <c r="O280" s="4">
        <f>Tab_06.Jun[[#This Row],[DÉBITO]]-Tab_06.Jun[[#This Row],[CRÉDITO]]</f>
        <v>0</v>
      </c>
    </row>
    <row r="281" spans="2:15" x14ac:dyDescent="0.3">
      <c r="B281" s="2" t="str">
        <f>_xlfn.XLOOKUP($I281,Tab_00.Trial[CONTA],Tab_00.Trial[TP],"",0,1)</f>
        <v>C</v>
      </c>
      <c r="C281" s="2">
        <f>_xlfn.XLOOKUP($I281,Tab_00.Trial[CONTA],Tab_00.Trial[NV],"",0,1)</f>
        <v>5</v>
      </c>
      <c r="D281" s="2" t="str">
        <f>_xlfn.XLOOKUP($I281,Tab_00.Trial[CONTA],Tab_00.Trial[S/A],"",0,1)</f>
        <v>S</v>
      </c>
      <c r="E281" s="2">
        <f>IF($I281="","",COUNTIFS(Tab_00.Trial[CONTA],$I281))</f>
        <v>1</v>
      </c>
      <c r="F281" s="4">
        <f>SUMIFS(Tab_05.Mai[SALDO
ATUAL],Tab_05.Mai[CONTA],$I281)</f>
        <v>-189</v>
      </c>
      <c r="G281" s="4">
        <f t="shared" ref="G281:G288" si="13">$F281-$K281</f>
        <v>0</v>
      </c>
      <c r="H281">
        <v>10216</v>
      </c>
      <c r="I281" s="3" t="s">
        <v>825</v>
      </c>
      <c r="J281" s="3" t="s">
        <v>826</v>
      </c>
      <c r="K281" s="4">
        <v>-189</v>
      </c>
      <c r="L281" s="4">
        <v>0</v>
      </c>
      <c r="M281" s="4">
        <v>0</v>
      </c>
      <c r="N281" s="4">
        <v>-189</v>
      </c>
      <c r="O281" s="4">
        <f>Tab_06.Jun[[#This Row],[DÉBITO]]-Tab_06.Jun[[#This Row],[CRÉDITO]]</f>
        <v>0</v>
      </c>
    </row>
    <row r="282" spans="2:15" x14ac:dyDescent="0.3">
      <c r="B282" s="2" t="str">
        <f>_xlfn.XLOOKUP($I282,Tab_00.Trial[CONTA],Tab_00.Trial[TP],"",0,1)</f>
        <v>C</v>
      </c>
      <c r="C282" s="2">
        <f>_xlfn.XLOOKUP($I282,Tab_00.Trial[CONTA],Tab_00.Trial[NV],"",0,1)</f>
        <v>5</v>
      </c>
      <c r="D282" s="2" t="str">
        <f>_xlfn.XLOOKUP($I282,Tab_00.Trial[CONTA],Tab_00.Trial[S/A],"",0,1)</f>
        <v>S</v>
      </c>
      <c r="E282" s="2">
        <f>IF($I282="","",COUNTIFS(Tab_00.Trial[CONTA],$I282))</f>
        <v>1</v>
      </c>
      <c r="F282" s="4">
        <f>SUMIFS(Tab_05.Mai[SALDO
ATUAL],Tab_05.Mai[CONTA],$I282)</f>
        <v>-189</v>
      </c>
      <c r="G282" s="4">
        <f t="shared" si="13"/>
        <v>0</v>
      </c>
      <c r="H282">
        <v>10230</v>
      </c>
      <c r="I282" s="3" t="s">
        <v>827</v>
      </c>
      <c r="J282" s="3" t="s">
        <v>826</v>
      </c>
      <c r="K282" s="4">
        <v>-189</v>
      </c>
      <c r="L282" s="4">
        <v>0</v>
      </c>
      <c r="M282" s="4">
        <v>0</v>
      </c>
      <c r="N282" s="4">
        <v>-189</v>
      </c>
      <c r="O282" s="4">
        <f>Tab_06.Jun[[#This Row],[DÉBITO]]-Tab_06.Jun[[#This Row],[CRÉDITO]]</f>
        <v>0</v>
      </c>
    </row>
    <row r="283" spans="2:15" x14ac:dyDescent="0.3">
      <c r="B283" s="2" t="str">
        <f>_xlfn.XLOOKUP($I283,Tab_00.Trial[CONTA],Tab_00.Trial[TP],"",0,1)</f>
        <v>C</v>
      </c>
      <c r="C283" s="2">
        <f>_xlfn.XLOOKUP($I283,Tab_00.Trial[CONTA],Tab_00.Trial[NV],"",0,1)</f>
        <v>5</v>
      </c>
      <c r="D283" s="2" t="str">
        <f>_xlfn.XLOOKUP($I283,Tab_00.Trial[CONTA],Tab_00.Trial[S/A],"",0,1)</f>
        <v>A</v>
      </c>
      <c r="E283" s="2">
        <f>IF($I283="","",COUNTIFS(Tab_00.Trial[CONTA],$I283))</f>
        <v>1</v>
      </c>
      <c r="F283" s="4">
        <f>SUMIFS(Tab_05.Mai[SALDO
ATUAL],Tab_05.Mai[CONTA],$I283)</f>
        <v>-189</v>
      </c>
      <c r="G283" s="4">
        <f t="shared" si="13"/>
        <v>0</v>
      </c>
      <c r="H283">
        <v>10237</v>
      </c>
      <c r="I283" s="3" t="s">
        <v>828</v>
      </c>
      <c r="J283" s="3" t="s">
        <v>829</v>
      </c>
      <c r="K283" s="4">
        <v>-189</v>
      </c>
      <c r="L283" s="4">
        <v>0</v>
      </c>
      <c r="M283" s="4">
        <v>0</v>
      </c>
      <c r="N283" s="4">
        <v>-189</v>
      </c>
      <c r="O283" s="4">
        <f>Tab_06.Jun[[#This Row],[DÉBITO]]-Tab_06.Jun[[#This Row],[CRÉDITO]]</f>
        <v>0</v>
      </c>
    </row>
    <row r="284" spans="2:15" x14ac:dyDescent="0.3">
      <c r="B284" s="2" t="str">
        <f>_xlfn.XLOOKUP($I284,Tab_00.Trial[CONTA],Tab_00.Trial[TP],"",0,1)</f>
        <v/>
      </c>
      <c r="C284" s="2" t="str">
        <f>_xlfn.XLOOKUP($I284,Tab_00.Trial[CONTA],Tab_00.Trial[NV],"",0,1)</f>
        <v/>
      </c>
      <c r="D284" s="2" t="str">
        <f>_xlfn.XLOOKUP($I284,Tab_00.Trial[CONTA],Tab_00.Trial[S/A],"",0,1)</f>
        <v/>
      </c>
      <c r="E284" s="2" t="str">
        <f>IF($I284="","",COUNTIFS(Tab_00.Trial[CONTA],$I284))</f>
        <v/>
      </c>
      <c r="F284" s="4">
        <f>SUMIFS(Tab_05.Mai[SALDO
ATUAL],Tab_05.Mai[CONTA],$I284)</f>
        <v>0</v>
      </c>
      <c r="G284" s="4">
        <f t="shared" si="13"/>
        <v>0</v>
      </c>
      <c r="I284" s="3"/>
      <c r="J284" s="3"/>
      <c r="K284" s="4"/>
      <c r="L284" s="4"/>
      <c r="M284" s="4"/>
      <c r="O284" s="4">
        <f>Tab_06.Jun[[#This Row],[DÉBITO]]-Tab_06.Jun[[#This Row],[CRÉDITO]]</f>
        <v>0</v>
      </c>
    </row>
    <row r="285" spans="2:15" x14ac:dyDescent="0.3">
      <c r="B285" s="2" t="str">
        <f>_xlfn.XLOOKUP($I285,Tab_00.Trial[CONTA],Tab_00.Trial[TP],"",0,1)</f>
        <v/>
      </c>
      <c r="C285" s="2" t="str">
        <f>_xlfn.XLOOKUP($I285,Tab_00.Trial[CONTA],Tab_00.Trial[NV],"",0,1)</f>
        <v/>
      </c>
      <c r="D285" s="2" t="str">
        <f>_xlfn.XLOOKUP($I285,Tab_00.Trial[CONTA],Tab_00.Trial[S/A],"",0,1)</f>
        <v/>
      </c>
      <c r="E285" s="2" t="str">
        <f>IF($I285="","",COUNTIFS(Tab_00.Trial[CONTA],$I285))</f>
        <v/>
      </c>
      <c r="F285" s="4">
        <f>SUMIFS(Tab_05.Mai[SALDO
ATUAL],Tab_05.Mai[CONTA],$I285)</f>
        <v>0</v>
      </c>
      <c r="G285" s="4">
        <f t="shared" si="13"/>
        <v>0</v>
      </c>
      <c r="I285" s="3"/>
      <c r="J285" s="3"/>
      <c r="K285" s="4"/>
      <c r="L285" s="4"/>
      <c r="M285" s="4"/>
      <c r="O285" s="4">
        <f>Tab_06.Jun[[#This Row],[DÉBITO]]-Tab_06.Jun[[#This Row],[CRÉDITO]]</f>
        <v>0</v>
      </c>
    </row>
    <row r="286" spans="2:15" x14ac:dyDescent="0.3">
      <c r="B286" s="2" t="str">
        <f>_xlfn.XLOOKUP($I286,Tab_00.Trial[CONTA],Tab_00.Trial[TP],"",0,1)</f>
        <v/>
      </c>
      <c r="C286" s="2" t="str">
        <f>_xlfn.XLOOKUP($I286,Tab_00.Trial[CONTA],Tab_00.Trial[NV],"",0,1)</f>
        <v/>
      </c>
      <c r="D286" s="2" t="str">
        <f>_xlfn.XLOOKUP($I286,Tab_00.Trial[CONTA],Tab_00.Trial[S/A],"",0,1)</f>
        <v/>
      </c>
      <c r="E286" s="2" t="str">
        <f>IF($I286="","",COUNTIFS(Tab_00.Trial[CONTA],$I286))</f>
        <v/>
      </c>
      <c r="F286" s="4">
        <f>SUMIFS(Tab_05.Mai[SALDO
ATUAL],Tab_05.Mai[CONTA],$I286)</f>
        <v>0</v>
      </c>
      <c r="G286" s="4">
        <f t="shared" si="13"/>
        <v>0</v>
      </c>
      <c r="I286" s="3"/>
      <c r="J286" s="3"/>
      <c r="K286" s="4"/>
      <c r="L286" s="4"/>
      <c r="M286" s="4"/>
      <c r="O286" s="4">
        <f>Tab_06.Jun[[#This Row],[DÉBITO]]-Tab_06.Jun[[#This Row],[CRÉDITO]]</f>
        <v>0</v>
      </c>
    </row>
    <row r="287" spans="2:15" x14ac:dyDescent="0.3">
      <c r="B287" s="2" t="str">
        <f>_xlfn.XLOOKUP($I287,Tab_00.Trial[CONTA],Tab_00.Trial[TP],"",0,1)</f>
        <v/>
      </c>
      <c r="C287" s="2" t="str">
        <f>_xlfn.XLOOKUP($I287,Tab_00.Trial[CONTA],Tab_00.Trial[NV],"",0,1)</f>
        <v/>
      </c>
      <c r="D287" s="2" t="str">
        <f>_xlfn.XLOOKUP($I287,Tab_00.Trial[CONTA],Tab_00.Trial[S/A],"",0,1)</f>
        <v/>
      </c>
      <c r="E287" s="2" t="str">
        <f>IF($I287="","",COUNTIFS(Tab_00.Trial[CONTA],$I287))</f>
        <v/>
      </c>
      <c r="F287" s="4">
        <f>SUMIFS(Tab_05.Mai[SALDO
ATUAL],Tab_05.Mai[CONTA],$I287)</f>
        <v>0</v>
      </c>
      <c r="G287" s="4">
        <f t="shared" si="13"/>
        <v>0</v>
      </c>
      <c r="I287" s="3"/>
      <c r="J287" s="3"/>
      <c r="K287" s="4"/>
      <c r="L287" s="4"/>
      <c r="M287" s="4"/>
      <c r="O287" s="4">
        <f>Tab_06.Jun[[#This Row],[DÉBITO]]-Tab_06.Jun[[#This Row],[CRÉDITO]]</f>
        <v>0</v>
      </c>
    </row>
    <row r="288" spans="2:15" x14ac:dyDescent="0.3">
      <c r="B288" s="2" t="str">
        <f>_xlfn.XLOOKUP($I288,Tab_00.Trial[CONTA],Tab_00.Trial[TP],"",0,1)</f>
        <v/>
      </c>
      <c r="C288" s="2" t="str">
        <f>_xlfn.XLOOKUP($I288,Tab_00.Trial[CONTA],Tab_00.Trial[NV],"",0,1)</f>
        <v/>
      </c>
      <c r="D288" s="2" t="str">
        <f>_xlfn.XLOOKUP($I288,Tab_00.Trial[CONTA],Tab_00.Trial[S/A],"",0,1)</f>
        <v/>
      </c>
      <c r="E288" s="2" t="str">
        <f>IF($I288="","",COUNTIFS(Tab_00.Trial[CONTA],$I288))</f>
        <v/>
      </c>
      <c r="F288" s="4">
        <f>SUMIFS(Tab_05.Mai[SALDO
ATUAL],Tab_05.Mai[CONTA],$I288)</f>
        <v>0</v>
      </c>
      <c r="G288" s="4">
        <f t="shared" si="13"/>
        <v>0</v>
      </c>
      <c r="I288" s="3"/>
      <c r="J288" s="3"/>
      <c r="K288" s="4"/>
      <c r="L288" s="4"/>
      <c r="M288" s="4"/>
      <c r="O288" s="4">
        <f>Tab_06.Jun[[#This Row],[DÉBITO]]-Tab_06.Jun[[#This Row],[CRÉDITO]]</f>
        <v>0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EC3E7-28C1-4FDD-B167-A585D8F7C713}">
  <sheetPr codeName="Planilha17"/>
  <dimension ref="B1:O295"/>
  <sheetViews>
    <sheetView showGridLines="0" showRowColHeaders="0" zoomScale="80" zoomScaleNormal="80" workbookViewId="0">
      <pane xSplit="7" ySplit="14" topLeftCell="J285" activePane="bottomRight" state="frozen"/>
      <selection activeCell="J19" sqref="J19"/>
      <selection pane="topRight" activeCell="J19" sqref="J19"/>
      <selection pane="bottomLeft" activeCell="J19" sqref="J19"/>
      <selection pane="bottomRight" activeCell="N16" sqref="N16"/>
    </sheetView>
  </sheetViews>
  <sheetFormatPr defaultColWidth="8.88671875" defaultRowHeight="13.8" outlineLevelRow="1" x14ac:dyDescent="0.3"/>
  <cols>
    <col min="1" max="1" width="2.6640625" style="1" customWidth="1"/>
    <col min="2" max="2" width="4.6640625" customWidth="1"/>
    <col min="3" max="5" width="4.6640625" style="2" customWidth="1"/>
    <col min="6" max="7" width="20.6640625" style="4" customWidth="1"/>
    <col min="8" max="8" width="15.6640625" customWidth="1"/>
    <col min="9" max="9" width="17.6640625" customWidth="1"/>
    <col min="10" max="10" width="75.6640625" customWidth="1"/>
    <col min="11" max="11" width="20.6640625" style="2" customWidth="1"/>
    <col min="12" max="13" width="20.6640625" style="3" customWidth="1"/>
    <col min="14" max="15" width="20.6640625" style="4" customWidth="1"/>
    <col min="16" max="16384" width="8.88671875" style="1"/>
  </cols>
  <sheetData>
    <row r="1" spans="2:15" x14ac:dyDescent="0.3">
      <c r="B1" s="2"/>
      <c r="H1" s="3"/>
      <c r="I1" s="3"/>
      <c r="J1" s="3"/>
      <c r="K1" s="4"/>
      <c r="L1" s="4"/>
      <c r="M1" s="4"/>
    </row>
    <row r="2" spans="2:15" outlineLevel="1" x14ac:dyDescent="0.3">
      <c r="B2" s="2" t="s">
        <v>16</v>
      </c>
      <c r="F2" s="7">
        <f ca="1">SUMIFS(INDIRECT("Tab_07.Jul["&amp;F$14&amp;"]"),Tab_07.Jul[TP],$B2,Tab_07.Jul[NV],"A")</f>
        <v>0</v>
      </c>
      <c r="G2" s="7">
        <f ca="1">SUMIFS(INDIRECT("Tab_07.Jul["&amp;G$14&amp;"]"),Tab_07.Jul[TP],$B2,Tab_07.Jul[NV],"A")</f>
        <v>0</v>
      </c>
      <c r="H2" s="3"/>
      <c r="I2" s="3"/>
      <c r="J2" s="88" t="s">
        <v>15</v>
      </c>
      <c r="K2" s="7">
        <f ca="1">SUMIFS(INDIRECT("Tab_07.Jul["&amp;K$14&amp;"]"),Tab_07.Jul[TP],$B2,Tab_07.Jul[S/A],"A")</f>
        <v>84190298.299999997</v>
      </c>
      <c r="L2" s="7">
        <f ca="1">SUMIFS(INDIRECT("Tab_07.Jul["&amp;L$14&amp;"]"),Tab_07.Jul[TP],$B2,Tab_07.Jul[S/A],"A")</f>
        <v>1720794.65</v>
      </c>
      <c r="M2" s="7">
        <f ca="1">SUMIFS(INDIRECT("Tab_07.Jul["&amp;M$14&amp;"]"),Tab_07.Jul[TP],$B2,Tab_07.Jul[S/A],"A")</f>
        <v>1177338.8600000001</v>
      </c>
      <c r="N2" s="7">
        <f ca="1">SUMIFS(INDIRECT("Tab_07.Jul["&amp;N$14&amp;"]"),Tab_07.Jul[TP],$B2,Tab_07.Jul[S/A],"A")</f>
        <v>84733754.090000004</v>
      </c>
      <c r="O2" s="7">
        <f ca="1">SUMIFS(INDIRECT("Tab_07.Jul["&amp;O$14&amp;"]"),Tab_07.Jul[TP],$B2,Tab_07.Jul[S/A],"A")</f>
        <v>543455.79</v>
      </c>
    </row>
    <row r="3" spans="2:15" outlineLevel="1" x14ac:dyDescent="0.3">
      <c r="B3" s="2" t="s">
        <v>116</v>
      </c>
      <c r="F3" s="7">
        <f ca="1">SUMIFS(INDIRECT("Tab_07.Jul["&amp;F$14&amp;"]"),Tab_07.Jul[TP],$B3,Tab_07.Jul[NV],"A")</f>
        <v>0</v>
      </c>
      <c r="G3" s="7">
        <f ca="1">SUMIFS(INDIRECT("Tab_07.Jul["&amp;G$14&amp;"]"),Tab_07.Jul[TP],$B3,Tab_07.Jul[NV],"A")</f>
        <v>0</v>
      </c>
      <c r="H3" s="3"/>
      <c r="I3" s="3"/>
      <c r="J3" s="88" t="s">
        <v>110</v>
      </c>
      <c r="K3" s="7">
        <f ca="1">SUMIFS(INDIRECT("Tab_07.Jul["&amp;K$14&amp;"]"),Tab_07.Jul[TP],$B3,Tab_07.Jul[S/A],"A")</f>
        <v>-83446298.989999995</v>
      </c>
      <c r="L3" s="7">
        <f ca="1">SUMIFS(INDIRECT("Tab_07.Jul["&amp;L$14&amp;"]"),Tab_07.Jul[TP],$B3,Tab_07.Jul[S/A],"A")</f>
        <v>408811.77</v>
      </c>
      <c r="M3" s="7">
        <f ca="1">SUMIFS(INDIRECT("Tab_07.Jul["&amp;M$14&amp;"]"),Tab_07.Jul[TP],$B3,Tab_07.Jul[S/A],"A")</f>
        <v>543187.61</v>
      </c>
      <c r="N3" s="7">
        <f ca="1">SUMIFS(INDIRECT("Tab_07.Jul["&amp;N$14&amp;"]"),Tab_07.Jul[TP],$B3,Tab_07.Jul[S/A],"A")</f>
        <v>-83580674.829999998</v>
      </c>
      <c r="O3" s="7">
        <f ca="1">SUMIFS(INDIRECT("Tab_07.Jul["&amp;O$14&amp;"]"),Tab_07.Jul[TP],$B3,Tab_07.Jul[S/A],"A")</f>
        <v>-134375.84</v>
      </c>
    </row>
    <row r="4" spans="2:15" outlineLevel="1" x14ac:dyDescent="0.3">
      <c r="B4" s="2"/>
      <c r="F4" s="8">
        <f ca="1">SUM(F$2:F$3)</f>
        <v>0</v>
      </c>
      <c r="G4" s="8">
        <f ca="1">SUM(G$2:G$3)</f>
        <v>0</v>
      </c>
      <c r="H4" s="3"/>
      <c r="I4" s="3"/>
      <c r="J4" s="88"/>
      <c r="K4" s="8">
        <f t="shared" ref="K4:O4" ca="1" si="0">SUM(K$2:K$3)</f>
        <v>743999.31</v>
      </c>
      <c r="L4" s="8">
        <f t="shared" ca="1" si="0"/>
        <v>2129606.42</v>
      </c>
      <c r="M4" s="8">
        <f t="shared" ca="1" si="0"/>
        <v>1720526.47</v>
      </c>
      <c r="N4" s="8">
        <f ca="1">SUM(N$2:N$3)</f>
        <v>1153079.26</v>
      </c>
      <c r="O4" s="8">
        <f t="shared" ca="1" si="0"/>
        <v>409079.95</v>
      </c>
    </row>
    <row r="5" spans="2:15" ht="5.0999999999999996" customHeight="1" outlineLevel="1" x14ac:dyDescent="0.3">
      <c r="B5" s="2"/>
      <c r="H5" s="3"/>
      <c r="I5" s="3"/>
      <c r="J5" s="89"/>
      <c r="K5" s="4"/>
      <c r="L5" s="4"/>
      <c r="M5" s="4"/>
    </row>
    <row r="6" spans="2:15" outlineLevel="1" x14ac:dyDescent="0.3">
      <c r="B6" s="2" t="s">
        <v>19</v>
      </c>
      <c r="F6" s="7">
        <f ca="1">SUMIFS(INDIRECT("Tab_07.Jul["&amp;F$14&amp;"]"),Tab_07.Jul[TP],$B6,Tab_07.Jul[NV],"A")</f>
        <v>0</v>
      </c>
      <c r="G6" s="7">
        <f ca="1">SUMIFS(INDIRECT("Tab_07.Jul["&amp;G$14&amp;"]"),Tab_07.Jul[TP],$B6,Tab_07.Jul[NV],"A")</f>
        <v>0</v>
      </c>
      <c r="H6" s="3"/>
      <c r="I6" s="3"/>
      <c r="J6" s="88" t="s">
        <v>18</v>
      </c>
      <c r="K6" s="7">
        <f ca="1">SUMIFS(INDIRECT("Tab_07.Jul["&amp;K$14&amp;"]"),Tab_07.Jul[TP],$B6,Tab_07.Jul[S/A],"A")</f>
        <v>-7536287.2699999996</v>
      </c>
      <c r="L6" s="7">
        <f ca="1">SUMIFS(INDIRECT("Tab_07.Jul["&amp;L$14&amp;"]"),Tab_07.Jul[TP],$B6,Tab_07.Jul[S/A],"A")</f>
        <v>11</v>
      </c>
      <c r="M6" s="7">
        <f ca="1">SUMIFS(INDIRECT("Tab_07.Jul["&amp;M$14&amp;"]"),Tab_07.Jul[TP],$B6,Tab_07.Jul[S/A],"A")</f>
        <v>1510577.84</v>
      </c>
      <c r="N6" s="7">
        <f ca="1">SUMIFS(INDIRECT("Tab_07.Jul["&amp;N$14&amp;"]"),Tab_07.Jul[TP],$B6,Tab_07.Jul[S/A],"A")</f>
        <v>-9046854.1099999994</v>
      </c>
      <c r="O6" s="7">
        <f ca="1">SUMIFS(INDIRECT("Tab_07.Jul["&amp;O$14&amp;"]"),Tab_07.Jul[TP],$B6,Tab_07.Jul[S/A],"A")</f>
        <v>-1510566.84</v>
      </c>
    </row>
    <row r="7" spans="2:15" outlineLevel="1" x14ac:dyDescent="0.3">
      <c r="B7" s="2" t="s">
        <v>20</v>
      </c>
      <c r="F7" s="7">
        <f ca="1">SUMIFS(INDIRECT("Tab_07.Jul["&amp;F$14&amp;"]"),Tab_07.Jul[TP],$B7,Tab_07.Jul[NV],"A")</f>
        <v>0</v>
      </c>
      <c r="G7" s="7">
        <f ca="1">SUMIFS(INDIRECT("Tab_07.Jul["&amp;G$14&amp;"]"),Tab_07.Jul[TP],$B7,Tab_07.Jul[NV],"A")</f>
        <v>0</v>
      </c>
      <c r="H7" s="3"/>
      <c r="I7" s="3"/>
      <c r="J7" s="88" t="s">
        <v>111</v>
      </c>
      <c r="K7" s="7">
        <f ca="1">SUMIFS(INDIRECT("Tab_07.Jul["&amp;K$14&amp;"]"),Tab_07.Jul[TP],$B7,Tab_07.Jul[S/A],"A")</f>
        <v>6792287.96</v>
      </c>
      <c r="L7" s="7">
        <f ca="1">SUMIFS(INDIRECT("Tab_07.Jul["&amp;L$14&amp;"]"),Tab_07.Jul[TP],$B7,Tab_07.Jul[S/A],"A")</f>
        <v>1129994.04</v>
      </c>
      <c r="M7" s="7">
        <f ca="1">SUMIFS(INDIRECT("Tab_07.Jul["&amp;M$14&amp;"]"),Tab_07.Jul[TP],$B7,Tab_07.Jul[S/A],"A")</f>
        <v>28507.15</v>
      </c>
      <c r="N7" s="7">
        <f ca="1">SUMIFS(INDIRECT("Tab_07.Jul["&amp;N$14&amp;"]"),Tab_07.Jul[TP],$B7,Tab_07.Jul[S/A],"A")</f>
        <v>7893774.8499999996</v>
      </c>
      <c r="O7" s="7">
        <f ca="1">SUMIFS(INDIRECT("Tab_07.Jul["&amp;O$14&amp;"]"),Tab_07.Jul[TP],$B7,Tab_07.Jul[S/A],"A")</f>
        <v>1101486.8899999999</v>
      </c>
    </row>
    <row r="8" spans="2:15" outlineLevel="1" x14ac:dyDescent="0.3">
      <c r="B8" s="2"/>
      <c r="F8" s="8">
        <f ca="1">SUM(F$6:F$7)</f>
        <v>0</v>
      </c>
      <c r="G8" s="8">
        <f ca="1">SUM(G$6:G$7)</f>
        <v>0</v>
      </c>
      <c r="H8" s="3"/>
      <c r="I8" s="3"/>
      <c r="J8" s="88"/>
      <c r="K8" s="8">
        <f ca="1">SUM(K$6:K$7)</f>
        <v>-743999.31</v>
      </c>
      <c r="L8" s="8">
        <f ca="1">SUM(L$6:L$7)</f>
        <v>1130005.04</v>
      </c>
      <c r="M8" s="8">
        <f ca="1">SUM(M$6:M$7)</f>
        <v>1539084.99</v>
      </c>
      <c r="N8" s="8">
        <f ca="1">SUM(N$6:N$7)</f>
        <v>-1153079.26</v>
      </c>
      <c r="O8" s="8">
        <f ca="1">SUM(O$6:O$7)</f>
        <v>-409079.95</v>
      </c>
    </row>
    <row r="9" spans="2:15" ht="5.0999999999999996" customHeight="1" outlineLevel="1" x14ac:dyDescent="0.3">
      <c r="B9" s="2"/>
      <c r="H9" s="3"/>
      <c r="I9" s="3"/>
      <c r="J9" s="89"/>
      <c r="K9" s="4"/>
      <c r="L9" s="4"/>
      <c r="M9" s="4"/>
    </row>
    <row r="10" spans="2:15" x14ac:dyDescent="0.3">
      <c r="B10" s="2"/>
      <c r="F10" s="11">
        <f ca="1">SUM(F$4,F$8)</f>
        <v>0</v>
      </c>
      <c r="G10" s="11">
        <f ca="1">SUM(G$4,G$8)</f>
        <v>0</v>
      </c>
      <c r="H10" s="3"/>
      <c r="I10" s="3"/>
      <c r="J10" s="88" t="s">
        <v>22</v>
      </c>
      <c r="K10" s="11">
        <f t="shared" ref="K10:O10" ca="1" si="1">SUM(K$4,K$8)</f>
        <v>0</v>
      </c>
      <c r="L10" s="11">
        <f t="shared" ca="1" si="1"/>
        <v>3259611.46</v>
      </c>
      <c r="M10" s="11">
        <f t="shared" ca="1" si="1"/>
        <v>3259611.46</v>
      </c>
      <c r="N10" s="11">
        <f ca="1">SUM(N$4,N$8)</f>
        <v>0</v>
      </c>
      <c r="O10" s="11">
        <f t="shared" ca="1" si="1"/>
        <v>0</v>
      </c>
    </row>
    <row r="11" spans="2:15" ht="5.0999999999999996" customHeight="1" x14ac:dyDescent="0.3">
      <c r="B11" s="2"/>
      <c r="H11" s="3"/>
      <c r="I11" s="3"/>
      <c r="J11" s="3"/>
      <c r="K11" s="4"/>
      <c r="L11" s="4"/>
      <c r="M11" s="4"/>
    </row>
    <row r="12" spans="2:15" x14ac:dyDescent="0.3">
      <c r="B12" s="2"/>
      <c r="F12" s="7">
        <f>SUBTOTAL(9,Tab_07.Jul[SALDO FINAL
ANTERIOR])</f>
        <v>0</v>
      </c>
      <c r="G12" s="7">
        <f>SUBTOTAL(9,Tab_07.Jul[DIFERENÇA])</f>
        <v>0</v>
      </c>
      <c r="H12" s="3"/>
      <c r="I12" s="3"/>
      <c r="J12" s="3"/>
      <c r="K12" s="7">
        <f>SUBTOTAL(9,Tab_07.Jul[SALDO
ANTERIOR])</f>
        <v>0</v>
      </c>
      <c r="L12" s="7">
        <f>SUBTOTAL(9,Tab_07.Jul[DÉBITO])</f>
        <v>16298057.300000001</v>
      </c>
      <c r="M12" s="7">
        <f>SUBTOTAL(9,Tab_07.Jul[CRÉDITO])</f>
        <v>16298057.300000001</v>
      </c>
      <c r="N12" s="7">
        <f>SUBTOTAL(9,Tab_07.Jul[SALDO
ATUAL])</f>
        <v>0</v>
      </c>
      <c r="O12" s="7">
        <f>SUBTOTAL(9,Tab_07.Jul[MOVIMENTO])</f>
        <v>0</v>
      </c>
    </row>
    <row r="13" spans="2:15" ht="5.0999999999999996" customHeight="1" x14ac:dyDescent="0.3">
      <c r="B13" s="2"/>
      <c r="H13" s="3"/>
      <c r="I13" s="3"/>
      <c r="J13" s="3"/>
      <c r="K13" s="4"/>
      <c r="L13" s="4"/>
      <c r="M13" s="4"/>
    </row>
    <row r="14" spans="2:15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5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SUMIFS(Tab_06.Jun[SALDO
ATUAL],Tab_06.Jun[CONTA],$I15)</f>
        <v>84190298.299999997</v>
      </c>
      <c r="G15" s="4">
        <f>$F15-$K15</f>
        <v>0</v>
      </c>
      <c r="H15" s="89">
        <v>10000</v>
      </c>
      <c r="I15" s="3">
        <v>1</v>
      </c>
      <c r="J15" s="3" t="s">
        <v>637</v>
      </c>
      <c r="K15" s="4">
        <v>84190298.299999997</v>
      </c>
      <c r="L15" s="4">
        <v>1720794.65</v>
      </c>
      <c r="M15" s="4">
        <v>1177338.8600000001</v>
      </c>
      <c r="N15" s="4">
        <v>84733754.090000004</v>
      </c>
      <c r="O15" s="4">
        <f>Tab_07.Jul[[#This Row],[DÉBITO]]-Tab_07.Jul[[#This Row],[CRÉDITO]]</f>
        <v>543455.79</v>
      </c>
    </row>
    <row r="16" spans="2:15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SUMIFS(Tab_06.Jun[SALDO
ATUAL],Tab_06.Jun[CONTA],$I16)</f>
        <v>10925021.640000001</v>
      </c>
      <c r="G16" s="4">
        <f>$F16-$K16</f>
        <v>0</v>
      </c>
      <c r="H16" s="89">
        <v>10015</v>
      </c>
      <c r="I16" s="3" t="s">
        <v>197</v>
      </c>
      <c r="J16" s="3" t="s">
        <v>247</v>
      </c>
      <c r="K16" s="4">
        <v>10925021.640000001</v>
      </c>
      <c r="L16" s="4">
        <v>1383632.06</v>
      </c>
      <c r="M16" s="4">
        <v>1173672.1100000001</v>
      </c>
      <c r="N16" s="4">
        <v>11134981.59</v>
      </c>
      <c r="O16" s="4">
        <f>Tab_07.Jul[[#This Row],[DÉBITO]]-Tab_07.Jul[[#This Row],[CRÉDITO]]</f>
        <v>209959.95</v>
      </c>
    </row>
    <row r="17" spans="2:15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SUMIFS(Tab_06.Jun[SALDO
ATUAL],Tab_06.Jun[CONTA],$I17)</f>
        <v>10479522.130000001</v>
      </c>
      <c r="G17" s="4">
        <f>$F17-$K17</f>
        <v>0</v>
      </c>
      <c r="H17" s="89">
        <v>10030</v>
      </c>
      <c r="I17" s="3" t="s">
        <v>199</v>
      </c>
      <c r="J17" s="3" t="s">
        <v>638</v>
      </c>
      <c r="K17" s="4">
        <v>10479522.130000001</v>
      </c>
      <c r="L17" s="4">
        <v>1363445.51</v>
      </c>
      <c r="M17" s="4">
        <v>1134240.29</v>
      </c>
      <c r="N17" s="4">
        <v>10708727.35</v>
      </c>
      <c r="O17" s="4">
        <f>Tab_07.Jul[[#This Row],[DÉBITO]]-Tab_07.Jul[[#This Row],[CRÉDITO]]</f>
        <v>229205.22</v>
      </c>
    </row>
    <row r="18" spans="2:15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SUMIFS(Tab_06.Jun[SALDO
ATUAL],Tab_06.Jun[CONTA],$I18)</f>
        <v>2150.56</v>
      </c>
      <c r="G18" s="4">
        <f t="shared" ref="G18:G49" si="2">$F18-$K18</f>
        <v>0</v>
      </c>
      <c r="H18" s="191">
        <v>10045</v>
      </c>
      <c r="I18" s="3" t="s">
        <v>201</v>
      </c>
      <c r="J18" s="3" t="s">
        <v>639</v>
      </c>
      <c r="K18" s="4">
        <v>2150.56</v>
      </c>
      <c r="L18" s="4">
        <v>0</v>
      </c>
      <c r="M18" s="4">
        <v>906.62</v>
      </c>
      <c r="N18" s="4">
        <v>1243.94</v>
      </c>
      <c r="O18" s="4">
        <f>Tab_07.Jul[[#This Row],[DÉBITO]]-Tab_07.Jul[[#This Row],[CRÉDITO]]</f>
        <v>-906.62</v>
      </c>
    </row>
    <row r="19" spans="2:15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SUMIFS(Tab_06.Jun[SALDO
ATUAL],Tab_06.Jun[CONTA],$I19)</f>
        <v>2150.56</v>
      </c>
      <c r="G19" s="4">
        <f t="shared" si="2"/>
        <v>0</v>
      </c>
      <c r="H19" s="191">
        <v>10075</v>
      </c>
      <c r="I19" s="3" t="s">
        <v>176</v>
      </c>
      <c r="J19" s="3" t="s">
        <v>274</v>
      </c>
      <c r="K19" s="4">
        <v>2150.56</v>
      </c>
      <c r="L19" s="4">
        <v>0</v>
      </c>
      <c r="M19" s="4">
        <v>906.62</v>
      </c>
      <c r="N19" s="4">
        <v>1243.94</v>
      </c>
      <c r="O19" s="4">
        <f>Tab_07.Jul[[#This Row],[DÉBITO]]-Tab_07.Jul[[#This Row],[CRÉDITO]]</f>
        <v>-906.62</v>
      </c>
    </row>
    <row r="20" spans="2:15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SUMIFS(Tab_06.Jun[SALDO
ATUAL],Tab_06.Jun[CONTA],$I20)</f>
        <v>25710.79</v>
      </c>
      <c r="G20" s="4">
        <f t="shared" si="2"/>
        <v>0</v>
      </c>
      <c r="H20" s="191">
        <v>10090</v>
      </c>
      <c r="I20" s="3" t="s">
        <v>202</v>
      </c>
      <c r="J20" s="3" t="s">
        <v>640</v>
      </c>
      <c r="K20" s="4">
        <v>25710.79</v>
      </c>
      <c r="L20" s="4">
        <v>824741.99</v>
      </c>
      <c r="M20" s="4">
        <v>827945.76</v>
      </c>
      <c r="N20" s="4">
        <v>22507.02</v>
      </c>
      <c r="O20" s="4">
        <f>Tab_07.Jul[[#This Row],[DÉBITO]]-Tab_07.Jul[[#This Row],[CRÉDITO]]</f>
        <v>-3203.77</v>
      </c>
    </row>
    <row r="21" spans="2:15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SUMIFS(Tab_06.Jun[SALDO
ATUAL],Tab_06.Jun[CONTA],$I21)</f>
        <v>1.01</v>
      </c>
      <c r="G21" s="4">
        <f t="shared" si="2"/>
        <v>0</v>
      </c>
      <c r="H21" s="191">
        <v>10110</v>
      </c>
      <c r="I21" s="3" t="s">
        <v>277</v>
      </c>
      <c r="J21" s="3" t="s">
        <v>278</v>
      </c>
      <c r="K21" s="4">
        <v>1.01</v>
      </c>
      <c r="L21" s="4">
        <v>816998.19</v>
      </c>
      <c r="M21" s="4">
        <v>816998.19</v>
      </c>
      <c r="N21" s="4">
        <v>1.01</v>
      </c>
      <c r="O21" s="4">
        <f>Tab_07.Jul[[#This Row],[DÉBITO]]-Tab_07.Jul[[#This Row],[CRÉDITO]]</f>
        <v>0</v>
      </c>
    </row>
    <row r="22" spans="2:15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SUMIFS(Tab_06.Jun[SALDO
ATUAL],Tab_06.Jun[CONTA],$I22)</f>
        <v>18232</v>
      </c>
      <c r="G22" s="4">
        <f t="shared" si="2"/>
        <v>0</v>
      </c>
      <c r="H22" s="191">
        <v>10131</v>
      </c>
      <c r="I22" s="3" t="s">
        <v>177</v>
      </c>
      <c r="J22" s="3" t="s">
        <v>279</v>
      </c>
      <c r="K22" s="4">
        <v>18232</v>
      </c>
      <c r="L22" s="4">
        <v>7693.8</v>
      </c>
      <c r="M22" s="4">
        <v>7841.07</v>
      </c>
      <c r="N22" s="4">
        <v>18084.73</v>
      </c>
      <c r="O22" s="4">
        <f>Tab_07.Jul[[#This Row],[DÉBITO]]-Tab_07.Jul[[#This Row],[CRÉDITO]]</f>
        <v>-147.27000000000001</v>
      </c>
    </row>
    <row r="23" spans="2:15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SUMIFS(Tab_06.Jun[SALDO
ATUAL],Tab_06.Jun[CONTA],$I23)</f>
        <v>7477.78</v>
      </c>
      <c r="G23" s="4">
        <f t="shared" si="2"/>
        <v>0</v>
      </c>
      <c r="H23" s="191">
        <v>10132</v>
      </c>
      <c r="I23" s="3" t="s">
        <v>280</v>
      </c>
      <c r="J23" s="3" t="s">
        <v>281</v>
      </c>
      <c r="K23" s="4">
        <v>7477.78</v>
      </c>
      <c r="L23" s="4">
        <v>50</v>
      </c>
      <c r="M23" s="4">
        <v>3106.5</v>
      </c>
      <c r="N23" s="4">
        <v>4421.28</v>
      </c>
      <c r="O23" s="4">
        <f>Tab_07.Jul[[#This Row],[DÉBITO]]-Tab_07.Jul[[#This Row],[CRÉDITO]]</f>
        <v>-3056.5</v>
      </c>
    </row>
    <row r="24" spans="2:15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S</v>
      </c>
      <c r="E24" s="2">
        <f>IF($I24="","",COUNTIFS(Tab_00.Trial[CONTA],$I24))</f>
        <v>1</v>
      </c>
      <c r="F24" s="4">
        <f>SUMIFS(Tab_06.Jun[SALDO
ATUAL],Tab_06.Jun[CONTA],$I24)</f>
        <v>10451660.779999999</v>
      </c>
      <c r="G24" s="4">
        <f t="shared" si="2"/>
        <v>0</v>
      </c>
      <c r="H24" s="191">
        <v>10180</v>
      </c>
      <c r="I24" s="3" t="s">
        <v>203</v>
      </c>
      <c r="J24" s="3" t="s">
        <v>641</v>
      </c>
      <c r="K24" s="4">
        <v>10451660.779999999</v>
      </c>
      <c r="L24" s="4">
        <v>538703.52</v>
      </c>
      <c r="M24" s="4">
        <v>305387.90999999997</v>
      </c>
      <c r="N24" s="4">
        <v>10684976.390000001</v>
      </c>
      <c r="O24" s="4">
        <f>Tab_07.Jul[[#This Row],[DÉBITO]]-Tab_07.Jul[[#This Row],[CRÉDITO]]</f>
        <v>233315.61</v>
      </c>
    </row>
    <row r="25" spans="2:15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A</v>
      </c>
      <c r="E25" s="2">
        <f>IF($I25="","",COUNTIFS(Tab_00.Trial[CONTA],$I25))</f>
        <v>1</v>
      </c>
      <c r="F25" s="4">
        <f>SUMIFS(Tab_06.Jun[SALDO
ATUAL],Tab_06.Jun[CONTA],$I25)</f>
        <v>4751351.43</v>
      </c>
      <c r="G25" s="4">
        <f t="shared" si="2"/>
        <v>0</v>
      </c>
      <c r="H25" s="191">
        <v>10200</v>
      </c>
      <c r="I25" s="3" t="s">
        <v>178</v>
      </c>
      <c r="J25" s="3" t="s">
        <v>284</v>
      </c>
      <c r="K25" s="4">
        <v>4751351.43</v>
      </c>
      <c r="L25" s="4">
        <v>487831.92</v>
      </c>
      <c r="M25" s="4">
        <v>305387.90999999997</v>
      </c>
      <c r="N25" s="4">
        <v>4933795.4400000004</v>
      </c>
      <c r="O25" s="4">
        <f>Tab_07.Jul[[#This Row],[DÉBITO]]-Tab_07.Jul[[#This Row],[CRÉDITO]]</f>
        <v>182444.01</v>
      </c>
    </row>
    <row r="26" spans="2:15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SUMIFS(Tab_06.Jun[SALDO
ATUAL],Tab_06.Jun[CONTA],$I26)</f>
        <v>5700309.3499999996</v>
      </c>
      <c r="G26" s="4">
        <f t="shared" si="2"/>
        <v>0</v>
      </c>
      <c r="H26" s="191">
        <v>10223</v>
      </c>
      <c r="I26" s="3" t="s">
        <v>287</v>
      </c>
      <c r="J26" s="3" t="s">
        <v>288</v>
      </c>
      <c r="K26" s="4">
        <v>5700309.3499999996</v>
      </c>
      <c r="L26" s="4">
        <v>50871.6</v>
      </c>
      <c r="M26" s="4">
        <v>0</v>
      </c>
      <c r="N26" s="4">
        <v>5751180.9500000002</v>
      </c>
      <c r="O26" s="4">
        <f>Tab_07.Jul[[#This Row],[DÉBITO]]-Tab_07.Jul[[#This Row],[CRÉDITO]]</f>
        <v>50871.6</v>
      </c>
    </row>
    <row r="27" spans="2:15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S</v>
      </c>
      <c r="E27" s="2">
        <f>IF($I27="","",COUNTIFS(Tab_00.Trial[CONTA],$I27))</f>
        <v>1</v>
      </c>
      <c r="F27" s="4">
        <f>SUMIFS(Tab_06.Jun[SALDO
ATUAL],Tab_06.Jun[CONTA],$I27)</f>
        <v>99274.97</v>
      </c>
      <c r="G27" s="4">
        <f t="shared" si="2"/>
        <v>0</v>
      </c>
      <c r="H27" s="191">
        <v>10270</v>
      </c>
      <c r="I27" s="3" t="s">
        <v>204</v>
      </c>
      <c r="J27" s="3" t="s">
        <v>642</v>
      </c>
      <c r="K27" s="4">
        <v>99274.97</v>
      </c>
      <c r="L27" s="4">
        <v>50</v>
      </c>
      <c r="M27" s="4">
        <v>50</v>
      </c>
      <c r="N27" s="4">
        <v>99274.97</v>
      </c>
      <c r="O27" s="4">
        <f>Tab_07.Jul[[#This Row],[DÉBITO]]-Tab_07.Jul[[#This Row],[CRÉDITO]]</f>
        <v>0</v>
      </c>
    </row>
    <row r="28" spans="2:15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SUMIFS(Tab_06.Jun[SALDO
ATUAL],Tab_06.Jun[CONTA],$I28)</f>
        <v>99274.97</v>
      </c>
      <c r="G28" s="4">
        <f t="shared" si="2"/>
        <v>0</v>
      </c>
      <c r="H28" s="191">
        <v>10345</v>
      </c>
      <c r="I28" s="3" t="s">
        <v>205</v>
      </c>
      <c r="J28" s="3" t="s">
        <v>643</v>
      </c>
      <c r="K28" s="4">
        <v>99274.97</v>
      </c>
      <c r="L28" s="4">
        <v>50</v>
      </c>
      <c r="M28" s="4">
        <v>50</v>
      </c>
      <c r="N28" s="4">
        <v>99274.97</v>
      </c>
      <c r="O28" s="4">
        <f>Tab_07.Jul[[#This Row],[DÉBITO]]-Tab_07.Jul[[#This Row],[CRÉDITO]]</f>
        <v>0</v>
      </c>
    </row>
    <row r="29" spans="2:15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A</v>
      </c>
      <c r="E29" s="2">
        <f>IF($I29="","",COUNTIFS(Tab_00.Trial[CONTA],$I29))</f>
        <v>1</v>
      </c>
      <c r="F29" s="4">
        <f>SUMIFS(Tab_06.Jun[SALDO
ATUAL],Tab_06.Jun[CONTA],$I29)</f>
        <v>99274.97</v>
      </c>
      <c r="G29" s="4">
        <f t="shared" si="2"/>
        <v>0</v>
      </c>
      <c r="H29" s="191">
        <v>10377</v>
      </c>
      <c r="I29" s="3" t="s">
        <v>291</v>
      </c>
      <c r="J29" s="3" t="s">
        <v>292</v>
      </c>
      <c r="K29" s="4">
        <v>99274.97</v>
      </c>
      <c r="L29" s="4">
        <v>50</v>
      </c>
      <c r="M29" s="4">
        <v>50</v>
      </c>
      <c r="N29" s="4">
        <v>99274.97</v>
      </c>
      <c r="O29" s="4">
        <f>Tab_07.Jul[[#This Row],[DÉBITO]]-Tab_07.Jul[[#This Row],[CRÉDITO]]</f>
        <v>0</v>
      </c>
    </row>
    <row r="30" spans="2:15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S</v>
      </c>
      <c r="E30" s="2">
        <f>IF($I30="","",COUNTIFS(Tab_00.Trial[CONTA],$I30))</f>
        <v>1</v>
      </c>
      <c r="F30" s="4">
        <f>SUMIFS(Tab_06.Jun[SALDO
ATUAL],Tab_06.Jun[CONTA],$I30)</f>
        <v>34155.129999999997</v>
      </c>
      <c r="G30" s="4">
        <f t="shared" si="2"/>
        <v>0</v>
      </c>
      <c r="H30" s="191">
        <v>10630</v>
      </c>
      <c r="I30" s="3" t="s">
        <v>206</v>
      </c>
      <c r="J30" s="3" t="s">
        <v>644</v>
      </c>
      <c r="K30" s="4">
        <v>34155.129999999997</v>
      </c>
      <c r="L30" s="4">
        <v>4454.01</v>
      </c>
      <c r="M30" s="4">
        <v>23395.37</v>
      </c>
      <c r="N30" s="4">
        <v>15213.77</v>
      </c>
      <c r="O30" s="4">
        <f>Tab_07.Jul[[#This Row],[DÉBITO]]-Tab_07.Jul[[#This Row],[CRÉDITO]]</f>
        <v>-18941.36</v>
      </c>
    </row>
    <row r="31" spans="2:15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S</v>
      </c>
      <c r="E31" s="2">
        <f>IF($I31="","",COUNTIFS(Tab_00.Trial[CONTA],$I31))</f>
        <v>1</v>
      </c>
      <c r="F31" s="4">
        <f>SUMIFS(Tab_06.Jun[SALDO
ATUAL],Tab_06.Jun[CONTA],$I31)</f>
        <v>18930.36</v>
      </c>
      <c r="G31" s="4">
        <f t="shared" si="2"/>
        <v>0</v>
      </c>
      <c r="H31" s="191">
        <v>10645</v>
      </c>
      <c r="I31" s="3" t="s">
        <v>208</v>
      </c>
      <c r="J31" s="3" t="s">
        <v>139</v>
      </c>
      <c r="K31" s="4">
        <v>18930.36</v>
      </c>
      <c r="L31" s="4">
        <v>4454.01</v>
      </c>
      <c r="M31" s="4">
        <v>23384.37</v>
      </c>
      <c r="N31" s="4">
        <v>0</v>
      </c>
      <c r="O31" s="4">
        <f>Tab_07.Jul[[#This Row],[DÉBITO]]-Tab_07.Jul[[#This Row],[CRÉDITO]]</f>
        <v>-18930.36</v>
      </c>
    </row>
    <row r="32" spans="2:15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A</v>
      </c>
      <c r="E32" s="2">
        <f>IF($I32="","",COUNTIFS(Tab_00.Trial[CONTA],$I32))</f>
        <v>1</v>
      </c>
      <c r="F32" s="4">
        <f>SUMIFS(Tab_06.Jun[SALDO
ATUAL],Tab_06.Jun[CONTA],$I32)</f>
        <v>18930.36</v>
      </c>
      <c r="G32" s="4">
        <f t="shared" si="2"/>
        <v>0</v>
      </c>
      <c r="H32" s="191">
        <v>10735</v>
      </c>
      <c r="I32" s="3" t="s">
        <v>294</v>
      </c>
      <c r="J32" s="3" t="s">
        <v>295</v>
      </c>
      <c r="K32" s="4">
        <v>18930.36</v>
      </c>
      <c r="L32" s="4">
        <v>4454.01</v>
      </c>
      <c r="M32" s="4">
        <v>23384.37</v>
      </c>
      <c r="N32" s="4">
        <v>0</v>
      </c>
      <c r="O32" s="4">
        <f>Tab_07.Jul[[#This Row],[DÉBITO]]-Tab_07.Jul[[#This Row],[CRÉDITO]]</f>
        <v>-18930.36</v>
      </c>
    </row>
    <row r="33" spans="2:15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S</v>
      </c>
      <c r="E33" s="2">
        <f>IF($I33="","",COUNTIFS(Tab_00.Trial[CONTA],$I33))</f>
        <v>1</v>
      </c>
      <c r="F33" s="4">
        <f>SUMIFS(Tab_06.Jun[SALDO
ATUAL],Tab_06.Jun[CONTA],$I33)</f>
        <v>15224.77</v>
      </c>
      <c r="G33" s="4">
        <f t="shared" si="2"/>
        <v>0</v>
      </c>
      <c r="H33" s="191">
        <v>10765</v>
      </c>
      <c r="I33" s="3" t="s">
        <v>551</v>
      </c>
      <c r="J33" s="3" t="s">
        <v>645</v>
      </c>
      <c r="K33" s="4">
        <v>15224.77</v>
      </c>
      <c r="L33" s="4">
        <v>0</v>
      </c>
      <c r="M33" s="4">
        <v>11</v>
      </c>
      <c r="N33" s="4">
        <v>15213.77</v>
      </c>
      <c r="O33" s="4">
        <f>Tab_07.Jul[[#This Row],[DÉBITO]]-Tab_07.Jul[[#This Row],[CRÉDITO]]</f>
        <v>-11</v>
      </c>
    </row>
    <row r="34" spans="2:15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A</v>
      </c>
      <c r="E34" s="2">
        <f>IF($I34="","",COUNTIFS(Tab_00.Trial[CONTA],$I34))</f>
        <v>1</v>
      </c>
      <c r="F34" s="4">
        <f>SUMIFS(Tab_06.Jun[SALDO
ATUAL],Tab_06.Jun[CONTA],$I34)</f>
        <v>15224.77</v>
      </c>
      <c r="G34" s="4">
        <f t="shared" si="2"/>
        <v>0</v>
      </c>
      <c r="H34" s="191">
        <v>10867</v>
      </c>
      <c r="I34" s="3" t="s">
        <v>831</v>
      </c>
      <c r="J34" s="3" t="s">
        <v>832</v>
      </c>
      <c r="K34" s="4">
        <v>15224.77</v>
      </c>
      <c r="L34" s="4">
        <v>0</v>
      </c>
      <c r="M34" s="4">
        <v>11</v>
      </c>
      <c r="N34" s="4">
        <v>15213.77</v>
      </c>
      <c r="O34" s="4">
        <f>Tab_07.Jul[[#This Row],[DÉBITO]]-Tab_07.Jul[[#This Row],[CRÉDITO]]</f>
        <v>-11</v>
      </c>
    </row>
    <row r="35" spans="2:15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S</v>
      </c>
      <c r="E35" s="2">
        <f>IF($I35="","",COUNTIFS(Tab_00.Trial[CONTA],$I35))</f>
        <v>1</v>
      </c>
      <c r="F35" s="4">
        <f>SUMIFS(Tab_06.Jun[SALDO
ATUAL],Tab_06.Jun[CONTA],$I35)</f>
        <v>311218.78000000003</v>
      </c>
      <c r="G35" s="4">
        <f t="shared" si="2"/>
        <v>0</v>
      </c>
      <c r="H35" s="191">
        <v>10840</v>
      </c>
      <c r="I35" s="3" t="s">
        <v>840</v>
      </c>
      <c r="J35" s="3" t="s">
        <v>841</v>
      </c>
      <c r="K35" s="4">
        <v>311218.78000000003</v>
      </c>
      <c r="L35" s="4">
        <v>15682.54</v>
      </c>
      <c r="M35" s="4">
        <v>15698.71</v>
      </c>
      <c r="N35" s="4">
        <v>311202.61</v>
      </c>
      <c r="O35" s="4">
        <f>Tab_07.Jul[[#This Row],[DÉBITO]]-Tab_07.Jul[[#This Row],[CRÉDITO]]</f>
        <v>-16.170000000000002</v>
      </c>
    </row>
    <row r="36" spans="2:15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S</v>
      </c>
      <c r="E36" s="2">
        <f>IF($I36="","",COUNTIFS(Tab_00.Trial[CONTA],$I36))</f>
        <v>1</v>
      </c>
      <c r="F36" s="4">
        <f>SUMIFS(Tab_06.Jun[SALDO
ATUAL],Tab_06.Jun[CONTA],$I36)</f>
        <v>311218.78000000003</v>
      </c>
      <c r="G36" s="4">
        <f t="shared" si="2"/>
        <v>0</v>
      </c>
      <c r="H36" s="191">
        <v>10965</v>
      </c>
      <c r="I36" s="3" t="s">
        <v>842</v>
      </c>
      <c r="J36" s="3" t="s">
        <v>843</v>
      </c>
      <c r="K36" s="4">
        <v>311218.78000000003</v>
      </c>
      <c r="L36" s="4">
        <v>0</v>
      </c>
      <c r="M36" s="4">
        <v>16.170000000000002</v>
      </c>
      <c r="N36" s="4">
        <v>311202.61</v>
      </c>
      <c r="O36" s="4">
        <f>Tab_07.Jul[[#This Row],[DÉBITO]]-Tab_07.Jul[[#This Row],[CRÉDITO]]</f>
        <v>-16.170000000000002</v>
      </c>
    </row>
    <row r="37" spans="2:15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A</v>
      </c>
      <c r="E37" s="2">
        <f>IF($I37="","",COUNTIFS(Tab_00.Trial[CONTA],$I37))</f>
        <v>1</v>
      </c>
      <c r="F37" s="4">
        <f>SUMIFS(Tab_06.Jun[SALDO
ATUAL],Tab_06.Jun[CONTA],$I37)</f>
        <v>311218.78000000003</v>
      </c>
      <c r="G37" s="4">
        <f t="shared" si="2"/>
        <v>0</v>
      </c>
      <c r="H37" s="191">
        <v>10874</v>
      </c>
      <c r="I37" s="3" t="s">
        <v>844</v>
      </c>
      <c r="J37" s="3" t="s">
        <v>843</v>
      </c>
      <c r="K37" s="4">
        <v>311218.78000000003</v>
      </c>
      <c r="L37" s="4">
        <v>0</v>
      </c>
      <c r="M37" s="4">
        <v>16.170000000000002</v>
      </c>
      <c r="N37" s="4">
        <v>311202.61</v>
      </c>
      <c r="O37" s="4">
        <f>Tab_07.Jul[[#This Row],[DÉBITO]]-Tab_07.Jul[[#This Row],[CRÉDITO]]</f>
        <v>-16.170000000000002</v>
      </c>
    </row>
    <row r="38" spans="2:15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S</v>
      </c>
      <c r="E38" s="2">
        <f>IF($I38="","",COUNTIFS(Tab_00.Trial[CONTA],$I38))</f>
        <v>1</v>
      </c>
      <c r="F38" s="4">
        <f>SUMIFS(Tab_06.Jun[SALDO
ATUAL],Tab_06.Jun[CONTA],$I38)</f>
        <v>0</v>
      </c>
      <c r="G38" s="4">
        <f t="shared" si="2"/>
        <v>0</v>
      </c>
      <c r="H38" s="191">
        <v>10881</v>
      </c>
      <c r="I38" s="3" t="s">
        <v>864</v>
      </c>
      <c r="J38" s="3" t="s">
        <v>865</v>
      </c>
      <c r="K38" s="4">
        <v>0</v>
      </c>
      <c r="L38" s="4">
        <v>15682.54</v>
      </c>
      <c r="M38" s="4">
        <v>15682.54</v>
      </c>
      <c r="N38" s="4">
        <v>0</v>
      </c>
      <c r="O38" s="4">
        <f>Tab_07.Jul[[#This Row],[DÉBITO]]-Tab_07.Jul[[#This Row],[CRÉDITO]]</f>
        <v>0</v>
      </c>
    </row>
    <row r="39" spans="2:15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A</v>
      </c>
      <c r="E39" s="2">
        <f>IF($I39="","",COUNTIFS(Tab_00.Trial[CONTA],$I39))</f>
        <v>1</v>
      </c>
      <c r="F39" s="4">
        <f>SUMIFS(Tab_06.Jun[SALDO
ATUAL],Tab_06.Jun[CONTA],$I39)</f>
        <v>0</v>
      </c>
      <c r="G39" s="4">
        <f t="shared" si="2"/>
        <v>0</v>
      </c>
      <c r="H39" s="191">
        <v>10888</v>
      </c>
      <c r="I39" s="3" t="s">
        <v>867</v>
      </c>
      <c r="J39" s="3" t="s">
        <v>868</v>
      </c>
      <c r="K39" s="4">
        <v>0</v>
      </c>
      <c r="L39" s="4">
        <v>15682.54</v>
      </c>
      <c r="M39" s="4">
        <v>15682.54</v>
      </c>
      <c r="N39" s="4">
        <v>0</v>
      </c>
      <c r="O39" s="4">
        <f>Tab_07.Jul[[#This Row],[DÉBITO]]-Tab_07.Jul[[#This Row],[CRÉDITO]]</f>
        <v>0</v>
      </c>
    </row>
    <row r="40" spans="2:15" x14ac:dyDescent="0.3">
      <c r="B40" s="2" t="str">
        <f>_xlfn.XLOOKUP($I40,Tab_00.Trial[CONTA],Tab_00.Trial[TP],"",0,1)</f>
        <v>A</v>
      </c>
      <c r="C40" s="2">
        <f>_xlfn.XLOOKUP($I40,Tab_00.Trial[CONTA],Tab_00.Trial[NV],"",0,1)</f>
        <v>5</v>
      </c>
      <c r="D40" s="2" t="str">
        <f>_xlfn.XLOOKUP($I40,Tab_00.Trial[CONTA],Tab_00.Trial[S/A],"",0,1)</f>
        <v>S</v>
      </c>
      <c r="E40" s="2">
        <f>IF($I40="","",COUNTIFS(Tab_00.Trial[CONTA],$I40))</f>
        <v>1</v>
      </c>
      <c r="F40" s="4">
        <f>SUMIFS(Tab_06.Jun[SALDO
ATUAL],Tab_06.Jun[CONTA],$I40)</f>
        <v>850.63</v>
      </c>
      <c r="G40" s="4">
        <f t="shared" si="2"/>
        <v>0</v>
      </c>
      <c r="H40" s="191">
        <v>10975</v>
      </c>
      <c r="I40" s="3" t="s">
        <v>209</v>
      </c>
      <c r="J40" s="3" t="s">
        <v>646</v>
      </c>
      <c r="K40" s="4">
        <v>850.63</v>
      </c>
      <c r="L40" s="4">
        <v>0</v>
      </c>
      <c r="M40" s="4">
        <v>287.74</v>
      </c>
      <c r="N40" s="4">
        <v>562.89</v>
      </c>
      <c r="O40" s="4">
        <f>Tab_07.Jul[[#This Row],[DÉBITO]]-Tab_07.Jul[[#This Row],[CRÉDITO]]</f>
        <v>-287.74</v>
      </c>
    </row>
    <row r="41" spans="2:15" x14ac:dyDescent="0.3">
      <c r="B41" s="2" t="str">
        <f>_xlfn.XLOOKUP($I41,Tab_00.Trial[CONTA],Tab_00.Trial[TP],"",0,1)</f>
        <v>A</v>
      </c>
      <c r="C41" s="2">
        <f>_xlfn.XLOOKUP($I41,Tab_00.Trial[CONTA],Tab_00.Trial[NV],"",0,1)</f>
        <v>5</v>
      </c>
      <c r="D41" s="2" t="str">
        <f>_xlfn.XLOOKUP($I41,Tab_00.Trial[CONTA],Tab_00.Trial[S/A],"",0,1)</f>
        <v>S</v>
      </c>
      <c r="E41" s="2">
        <f>IF($I41="","",COUNTIFS(Tab_00.Trial[CONTA],$I41))</f>
        <v>1</v>
      </c>
      <c r="F41" s="4">
        <f>SUMIFS(Tab_06.Jun[SALDO
ATUAL],Tab_06.Jun[CONTA],$I41)</f>
        <v>850.63</v>
      </c>
      <c r="G41" s="4">
        <f t="shared" si="2"/>
        <v>0</v>
      </c>
      <c r="H41" s="191">
        <v>10990</v>
      </c>
      <c r="I41" s="3" t="s">
        <v>210</v>
      </c>
      <c r="J41" s="3" t="s">
        <v>646</v>
      </c>
      <c r="K41" s="4">
        <v>850.63</v>
      </c>
      <c r="L41" s="4">
        <v>0</v>
      </c>
      <c r="M41" s="4">
        <v>287.74</v>
      </c>
      <c r="N41" s="4">
        <v>562.89</v>
      </c>
      <c r="O41" s="4">
        <f>Tab_07.Jul[[#This Row],[DÉBITO]]-Tab_07.Jul[[#This Row],[CRÉDITO]]</f>
        <v>-287.74</v>
      </c>
    </row>
    <row r="42" spans="2:15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A</v>
      </c>
      <c r="E42" s="2">
        <f>IF($I42="","",COUNTIFS(Tab_00.Trial[CONTA],$I42))</f>
        <v>1</v>
      </c>
      <c r="F42" s="4">
        <f>SUMIFS(Tab_06.Jun[SALDO
ATUAL],Tab_06.Jun[CONTA],$I42)</f>
        <v>850.63</v>
      </c>
      <c r="G42" s="4">
        <f t="shared" si="2"/>
        <v>0</v>
      </c>
      <c r="H42" s="191">
        <v>11005</v>
      </c>
      <c r="I42" s="3" t="s">
        <v>298</v>
      </c>
      <c r="J42" s="3" t="s">
        <v>299</v>
      </c>
      <c r="K42" s="4">
        <v>850.63</v>
      </c>
      <c r="L42" s="4">
        <v>0</v>
      </c>
      <c r="M42" s="4">
        <v>287.74</v>
      </c>
      <c r="N42" s="4">
        <v>562.89</v>
      </c>
      <c r="O42" s="4">
        <f>Tab_07.Jul[[#This Row],[DÉBITO]]-Tab_07.Jul[[#This Row],[CRÉDITO]]</f>
        <v>-287.74</v>
      </c>
    </row>
    <row r="43" spans="2:15" x14ac:dyDescent="0.3">
      <c r="B43" s="2" t="str">
        <f>_xlfn.XLOOKUP($I43,Tab_00.Trial[CONTA],Tab_00.Trial[TP],"",0,1)</f>
        <v>A</v>
      </c>
      <c r="C43" s="2">
        <f>_xlfn.XLOOKUP($I43,Tab_00.Trial[CONTA],Tab_00.Trial[NV],"",0,1)</f>
        <v>2</v>
      </c>
      <c r="D43" s="2" t="str">
        <f>_xlfn.XLOOKUP($I43,Tab_00.Trial[CONTA],Tab_00.Trial[S/A],"",0,1)</f>
        <v>S</v>
      </c>
      <c r="E43" s="2">
        <f>IF($I43="","",COUNTIFS(Tab_00.Trial[CONTA],$I43))</f>
        <v>1</v>
      </c>
      <c r="F43" s="4">
        <f>SUMIFS(Tab_06.Jun[SALDO
ATUAL],Tab_06.Jun[CONTA],$I43)</f>
        <v>73265276.659999996</v>
      </c>
      <c r="G43" s="4">
        <f t="shared" si="2"/>
        <v>0</v>
      </c>
      <c r="H43" s="191">
        <v>11065</v>
      </c>
      <c r="I43" s="3" t="s">
        <v>211</v>
      </c>
      <c r="J43" s="3" t="s">
        <v>76</v>
      </c>
      <c r="K43" s="4">
        <v>73265276.659999996</v>
      </c>
      <c r="L43" s="4">
        <v>337162.59</v>
      </c>
      <c r="M43" s="4">
        <v>3666.75</v>
      </c>
      <c r="N43" s="4">
        <v>73598772.5</v>
      </c>
      <c r="O43" s="4">
        <f>Tab_07.Jul[[#This Row],[DÉBITO]]-Tab_07.Jul[[#This Row],[CRÉDITO]]</f>
        <v>333495.84000000003</v>
      </c>
    </row>
    <row r="44" spans="2:15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S</v>
      </c>
      <c r="E44" s="2">
        <f>IF($I44="","",COUNTIFS(Tab_00.Trial[CONTA],$I44))</f>
        <v>1</v>
      </c>
      <c r="F44" s="4">
        <f>SUMIFS(Tab_06.Jun[SALDO
ATUAL],Tab_06.Jun[CONTA],$I44)</f>
        <v>254963.42</v>
      </c>
      <c r="G44" s="4">
        <f t="shared" si="2"/>
        <v>0</v>
      </c>
      <c r="H44" s="191">
        <v>11080</v>
      </c>
      <c r="I44" s="3" t="s">
        <v>552</v>
      </c>
      <c r="J44" s="3" t="s">
        <v>647</v>
      </c>
      <c r="K44" s="4">
        <v>254963.42</v>
      </c>
      <c r="L44" s="4">
        <v>322.2</v>
      </c>
      <c r="M44" s="4">
        <v>0</v>
      </c>
      <c r="N44" s="4">
        <v>255285.62</v>
      </c>
      <c r="O44" s="4">
        <f>Tab_07.Jul[[#This Row],[DÉBITO]]-Tab_07.Jul[[#This Row],[CRÉDITO]]</f>
        <v>322.2</v>
      </c>
    </row>
    <row r="45" spans="2:15" x14ac:dyDescent="0.3">
      <c r="B45" s="2" t="str">
        <f>_xlfn.XLOOKUP($I45,Tab_00.Trial[CONTA],Tab_00.Trial[TP],"",0,1)</f>
        <v>A</v>
      </c>
      <c r="C45" s="2">
        <f>_xlfn.XLOOKUP($I45,Tab_00.Trial[CONTA],Tab_00.Trial[NV],"",0,1)</f>
        <v>5</v>
      </c>
      <c r="D45" s="2" t="str">
        <f>_xlfn.XLOOKUP($I45,Tab_00.Trial[CONTA],Tab_00.Trial[S/A],"",0,1)</f>
        <v>S</v>
      </c>
      <c r="E45" s="2">
        <f>IF($I45="","",COUNTIFS(Tab_00.Trial[CONTA],$I45))</f>
        <v>1</v>
      </c>
      <c r="F45" s="4">
        <f>SUMIFS(Tab_06.Jun[SALDO
ATUAL],Tab_06.Jun[CONTA],$I45)</f>
        <v>254963.42</v>
      </c>
      <c r="G45" s="4">
        <f t="shared" si="2"/>
        <v>0</v>
      </c>
      <c r="H45" s="191">
        <v>11125</v>
      </c>
      <c r="I45" s="3" t="s">
        <v>553</v>
      </c>
      <c r="J45" s="3" t="s">
        <v>301</v>
      </c>
      <c r="K45" s="4">
        <v>254963.42</v>
      </c>
      <c r="L45" s="4">
        <v>322.2</v>
      </c>
      <c r="M45" s="4">
        <v>0</v>
      </c>
      <c r="N45" s="4">
        <v>255285.62</v>
      </c>
      <c r="O45" s="4">
        <f>Tab_07.Jul[[#This Row],[DÉBITO]]-Tab_07.Jul[[#This Row],[CRÉDITO]]</f>
        <v>322.2</v>
      </c>
    </row>
    <row r="46" spans="2:15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A</v>
      </c>
      <c r="E46" s="2">
        <f>IF($I46="","",COUNTIFS(Tab_00.Trial[CONTA],$I46))</f>
        <v>1</v>
      </c>
      <c r="F46" s="4">
        <f>SUMIFS(Tab_06.Jun[SALDO
ATUAL],Tab_06.Jun[CONTA],$I46)</f>
        <v>254963.42</v>
      </c>
      <c r="G46" s="4">
        <f t="shared" si="2"/>
        <v>0</v>
      </c>
      <c r="H46" s="191">
        <v>11140</v>
      </c>
      <c r="I46" s="3" t="s">
        <v>300</v>
      </c>
      <c r="J46" s="3" t="s">
        <v>301</v>
      </c>
      <c r="K46" s="4">
        <v>254963.42</v>
      </c>
      <c r="L46" s="4">
        <v>322.2</v>
      </c>
      <c r="M46" s="4">
        <v>0</v>
      </c>
      <c r="N46" s="4">
        <v>255285.62</v>
      </c>
      <c r="O46" s="4">
        <f>Tab_07.Jul[[#This Row],[DÉBITO]]-Tab_07.Jul[[#This Row],[CRÉDITO]]</f>
        <v>322.2</v>
      </c>
    </row>
    <row r="47" spans="2:15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S</v>
      </c>
      <c r="E47" s="2">
        <f>IF($I47="","",COUNTIFS(Tab_00.Trial[CONTA],$I47))</f>
        <v>1</v>
      </c>
      <c r="F47" s="4">
        <f>SUMIFS(Tab_06.Jun[SALDO
ATUAL],Tab_06.Jun[CONTA],$I47)</f>
        <v>70641000.680000007</v>
      </c>
      <c r="G47" s="4">
        <f t="shared" si="2"/>
        <v>0</v>
      </c>
      <c r="H47" s="191">
        <v>11170</v>
      </c>
      <c r="I47" s="3" t="s">
        <v>554</v>
      </c>
      <c r="J47" s="3" t="s">
        <v>648</v>
      </c>
      <c r="K47" s="4">
        <v>70641000.680000007</v>
      </c>
      <c r="L47" s="4">
        <v>336840.39</v>
      </c>
      <c r="M47" s="4">
        <v>0</v>
      </c>
      <c r="N47" s="4">
        <v>70977841.069999993</v>
      </c>
      <c r="O47" s="4">
        <f>Tab_07.Jul[[#This Row],[DÉBITO]]-Tab_07.Jul[[#This Row],[CRÉDITO]]</f>
        <v>336840.39</v>
      </c>
    </row>
    <row r="48" spans="2:15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S</v>
      </c>
      <c r="E48" s="2">
        <f>IF($I48="","",COUNTIFS(Tab_00.Trial[CONTA],$I48))</f>
        <v>1</v>
      </c>
      <c r="F48" s="4">
        <f>SUMIFS(Tab_06.Jun[SALDO
ATUAL],Tab_06.Jun[CONTA],$I48)</f>
        <v>45344232.229999997</v>
      </c>
      <c r="G48" s="4">
        <f t="shared" si="2"/>
        <v>0</v>
      </c>
      <c r="H48" s="191">
        <v>11185</v>
      </c>
      <c r="I48" s="3" t="s">
        <v>555</v>
      </c>
      <c r="J48" s="3" t="s">
        <v>649</v>
      </c>
      <c r="K48" s="4">
        <v>45344232.229999997</v>
      </c>
      <c r="L48" s="4">
        <v>0</v>
      </c>
      <c r="M48" s="4">
        <v>0</v>
      </c>
      <c r="N48" s="4">
        <v>45344232.229999997</v>
      </c>
      <c r="O48" s="4">
        <f>Tab_07.Jul[[#This Row],[DÉBITO]]-Tab_07.Jul[[#This Row],[CRÉDITO]]</f>
        <v>0</v>
      </c>
    </row>
    <row r="49" spans="2:15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A</v>
      </c>
      <c r="E49" s="2">
        <f>IF($I49="","",COUNTIFS(Tab_00.Trial[CONTA],$I49))</f>
        <v>1</v>
      </c>
      <c r="F49" s="4">
        <f>SUMIFS(Tab_06.Jun[SALDO
ATUAL],Tab_06.Jun[CONTA],$I49)</f>
        <v>42477392.43</v>
      </c>
      <c r="G49" s="4">
        <f t="shared" si="2"/>
        <v>0</v>
      </c>
      <c r="H49" s="191">
        <v>11205</v>
      </c>
      <c r="I49" s="3" t="s">
        <v>302</v>
      </c>
      <c r="J49" s="3" t="s">
        <v>303</v>
      </c>
      <c r="K49" s="4">
        <v>42477392.43</v>
      </c>
      <c r="L49" s="4">
        <v>0</v>
      </c>
      <c r="M49" s="4">
        <v>0</v>
      </c>
      <c r="N49" s="4">
        <v>42477392.43</v>
      </c>
      <c r="O49" s="4">
        <f>Tab_07.Jul[[#This Row],[DÉBITO]]-Tab_07.Jul[[#This Row],[CRÉDITO]]</f>
        <v>0</v>
      </c>
    </row>
    <row r="50" spans="2:15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A</v>
      </c>
      <c r="E50" s="2">
        <f>IF($I50="","",COUNTIFS(Tab_00.Trial[CONTA],$I50))</f>
        <v>1</v>
      </c>
      <c r="F50" s="4">
        <f>SUMIFS(Tab_06.Jun[SALDO
ATUAL],Tab_06.Jun[CONTA],$I50)</f>
        <v>2866839.8</v>
      </c>
      <c r="G50" s="4">
        <f t="shared" ref="G50:G81" si="3">$F50-$K50</f>
        <v>0</v>
      </c>
      <c r="H50" s="191">
        <v>11210</v>
      </c>
      <c r="I50" s="3" t="s">
        <v>304</v>
      </c>
      <c r="J50" s="3" t="s">
        <v>305</v>
      </c>
      <c r="K50" s="4">
        <v>2866839.8</v>
      </c>
      <c r="L50" s="4">
        <v>0</v>
      </c>
      <c r="M50" s="4">
        <v>0</v>
      </c>
      <c r="N50" s="4">
        <v>2866839.8</v>
      </c>
      <c r="O50" s="4">
        <f>Tab_07.Jul[[#This Row],[DÉBITO]]-Tab_07.Jul[[#This Row],[CRÉDITO]]</f>
        <v>0</v>
      </c>
    </row>
    <row r="51" spans="2:15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S</v>
      </c>
      <c r="E51" s="2">
        <f>IF($I51="","",COUNTIFS(Tab_00.Trial[CONTA],$I51))</f>
        <v>1</v>
      </c>
      <c r="F51" s="4">
        <f>SUMIFS(Tab_06.Jun[SALDO
ATUAL],Tab_06.Jun[CONTA],$I51)</f>
        <v>4760.84</v>
      </c>
      <c r="G51" s="4">
        <f t="shared" si="3"/>
        <v>0</v>
      </c>
      <c r="H51" s="191">
        <v>11215</v>
      </c>
      <c r="I51" s="3" t="s">
        <v>556</v>
      </c>
      <c r="J51" s="3" t="s">
        <v>650</v>
      </c>
      <c r="K51" s="4">
        <v>4760.84</v>
      </c>
      <c r="L51" s="4">
        <v>0</v>
      </c>
      <c r="M51" s="4">
        <v>0</v>
      </c>
      <c r="N51" s="4">
        <v>4760.84</v>
      </c>
      <c r="O51" s="4">
        <f>Tab_07.Jul[[#This Row],[DÉBITO]]-Tab_07.Jul[[#This Row],[CRÉDITO]]</f>
        <v>0</v>
      </c>
    </row>
    <row r="52" spans="2:15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A</v>
      </c>
      <c r="E52" s="2">
        <f>IF($I52="","",COUNTIFS(Tab_00.Trial[CONTA],$I52))</f>
        <v>1</v>
      </c>
      <c r="F52" s="4">
        <f>SUMIFS(Tab_06.Jun[SALDO
ATUAL],Tab_06.Jun[CONTA],$I52)</f>
        <v>4760.84</v>
      </c>
      <c r="G52" s="4">
        <f t="shared" si="3"/>
        <v>0</v>
      </c>
      <c r="H52" s="191">
        <v>11230</v>
      </c>
      <c r="I52" s="3" t="s">
        <v>306</v>
      </c>
      <c r="J52" s="3" t="s">
        <v>307</v>
      </c>
      <c r="K52" s="4">
        <v>4760.84</v>
      </c>
      <c r="L52" s="4">
        <v>0</v>
      </c>
      <c r="M52" s="4">
        <v>0</v>
      </c>
      <c r="N52" s="4">
        <v>4760.84</v>
      </c>
      <c r="O52" s="4">
        <f>Tab_07.Jul[[#This Row],[DÉBITO]]-Tab_07.Jul[[#This Row],[CRÉDITO]]</f>
        <v>0</v>
      </c>
    </row>
    <row r="53" spans="2:15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S</v>
      </c>
      <c r="E53" s="2">
        <f>IF($I53="","",COUNTIFS(Tab_00.Trial[CONTA],$I53))</f>
        <v>1</v>
      </c>
      <c r="F53" s="4">
        <f>SUMIFS(Tab_06.Jun[SALDO
ATUAL],Tab_06.Jun[CONTA],$I53)</f>
        <v>25292007.609999999</v>
      </c>
      <c r="G53" s="4">
        <f t="shared" si="3"/>
        <v>0</v>
      </c>
      <c r="H53" s="191">
        <v>11235</v>
      </c>
      <c r="I53" s="3" t="s">
        <v>557</v>
      </c>
      <c r="J53" s="3" t="s">
        <v>309</v>
      </c>
      <c r="K53" s="4">
        <v>25292007.609999999</v>
      </c>
      <c r="L53" s="4">
        <v>336840.39</v>
      </c>
      <c r="M53" s="4">
        <v>0</v>
      </c>
      <c r="N53" s="4">
        <v>25628848</v>
      </c>
      <c r="O53" s="4">
        <f>Tab_07.Jul[[#This Row],[DÉBITO]]-Tab_07.Jul[[#This Row],[CRÉDITO]]</f>
        <v>336840.39</v>
      </c>
    </row>
    <row r="54" spans="2:15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A</v>
      </c>
      <c r="E54" s="2">
        <f>IF($I54="","",COUNTIFS(Tab_00.Trial[CONTA],$I54))</f>
        <v>1</v>
      </c>
      <c r="F54" s="4">
        <f>SUMIFS(Tab_06.Jun[SALDO
ATUAL],Tab_06.Jun[CONTA],$I54)</f>
        <v>25292007.609999999</v>
      </c>
      <c r="G54" s="4">
        <f t="shared" si="3"/>
        <v>0</v>
      </c>
      <c r="H54" s="191">
        <v>11240</v>
      </c>
      <c r="I54" s="3" t="s">
        <v>308</v>
      </c>
      <c r="J54" s="3" t="s">
        <v>309</v>
      </c>
      <c r="K54" s="4">
        <v>25292007.609999999</v>
      </c>
      <c r="L54" s="4">
        <v>336840.39</v>
      </c>
      <c r="M54" s="4">
        <v>0</v>
      </c>
      <c r="N54" s="4">
        <v>25628848</v>
      </c>
      <c r="O54" s="4">
        <f>Tab_07.Jul[[#This Row],[DÉBITO]]-Tab_07.Jul[[#This Row],[CRÉDITO]]</f>
        <v>336840.39</v>
      </c>
    </row>
    <row r="55" spans="2:15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S</v>
      </c>
      <c r="E55" s="2">
        <f>IF($I55="","",COUNTIFS(Tab_00.Trial[CONTA],$I55))</f>
        <v>1</v>
      </c>
      <c r="F55" s="4">
        <f>SUMIFS(Tab_06.Jun[SALDO
ATUAL],Tab_06.Jun[CONTA],$I55)</f>
        <v>2369312.56</v>
      </c>
      <c r="G55" s="4">
        <f t="shared" si="3"/>
        <v>0</v>
      </c>
      <c r="H55" s="191">
        <v>11245</v>
      </c>
      <c r="I55" s="3" t="s">
        <v>213</v>
      </c>
      <c r="J55" s="3" t="s">
        <v>35</v>
      </c>
      <c r="K55" s="4">
        <v>2369312.56</v>
      </c>
      <c r="L55" s="4">
        <v>0</v>
      </c>
      <c r="M55" s="4">
        <v>3666.75</v>
      </c>
      <c r="N55" s="4">
        <v>2365645.81</v>
      </c>
      <c r="O55" s="4">
        <f>Tab_07.Jul[[#This Row],[DÉBITO]]-Tab_07.Jul[[#This Row],[CRÉDITO]]</f>
        <v>-3666.75</v>
      </c>
    </row>
    <row r="56" spans="2:15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S</v>
      </c>
      <c r="E56" s="2">
        <f>IF($I56="","",COUNTIFS(Tab_00.Trial[CONTA],$I56))</f>
        <v>1</v>
      </c>
      <c r="F56" s="4">
        <f>SUMIFS(Tab_06.Jun[SALDO
ATUAL],Tab_06.Jun[CONTA],$I56)</f>
        <v>3546368.31</v>
      </c>
      <c r="G56" s="4">
        <f t="shared" si="3"/>
        <v>0</v>
      </c>
      <c r="H56" s="191">
        <v>11260</v>
      </c>
      <c r="I56" s="3" t="s">
        <v>214</v>
      </c>
      <c r="J56" s="3" t="s">
        <v>651</v>
      </c>
      <c r="K56" s="4">
        <v>3546368.31</v>
      </c>
      <c r="L56" s="4">
        <v>0</v>
      </c>
      <c r="M56" s="4">
        <v>0</v>
      </c>
      <c r="N56" s="4">
        <v>3546368.31</v>
      </c>
      <c r="O56" s="4">
        <f>Tab_07.Jul[[#This Row],[DÉBITO]]-Tab_07.Jul[[#This Row],[CRÉDITO]]</f>
        <v>0</v>
      </c>
    </row>
    <row r="57" spans="2:15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A</v>
      </c>
      <c r="E57" s="2">
        <f>IF($I57="","",COUNTIFS(Tab_00.Trial[CONTA],$I57))</f>
        <v>1</v>
      </c>
      <c r="F57" s="4">
        <f>SUMIFS(Tab_06.Jun[SALDO
ATUAL],Tab_06.Jun[CONTA],$I57)</f>
        <v>1379260.84</v>
      </c>
      <c r="G57" s="4">
        <f t="shared" si="3"/>
        <v>0</v>
      </c>
      <c r="H57" s="191">
        <v>11275</v>
      </c>
      <c r="I57" s="3" t="s">
        <v>310</v>
      </c>
      <c r="J57" s="3" t="s">
        <v>311</v>
      </c>
      <c r="K57" s="4">
        <v>1379260.84</v>
      </c>
      <c r="L57" s="4">
        <v>0</v>
      </c>
      <c r="M57" s="4">
        <v>0</v>
      </c>
      <c r="N57" s="4">
        <v>1379260.84</v>
      </c>
      <c r="O57" s="4">
        <f>Tab_07.Jul[[#This Row],[DÉBITO]]-Tab_07.Jul[[#This Row],[CRÉDITO]]</f>
        <v>0</v>
      </c>
    </row>
    <row r="58" spans="2:15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A</v>
      </c>
      <c r="E58" s="2">
        <f>IF($I58="","",COUNTIFS(Tab_00.Trial[CONTA],$I58))</f>
        <v>1</v>
      </c>
      <c r="F58" s="4">
        <f>SUMIFS(Tab_06.Jun[SALDO
ATUAL],Tab_06.Jun[CONTA],$I58)</f>
        <v>1291140.25</v>
      </c>
      <c r="G58" s="4">
        <f t="shared" si="3"/>
        <v>0</v>
      </c>
      <c r="H58" s="191">
        <v>11290</v>
      </c>
      <c r="I58" s="3" t="s">
        <v>312</v>
      </c>
      <c r="J58" s="3" t="s">
        <v>313</v>
      </c>
      <c r="K58" s="4">
        <v>1291140.25</v>
      </c>
      <c r="L58" s="4">
        <v>0</v>
      </c>
      <c r="M58" s="4">
        <v>0</v>
      </c>
      <c r="N58" s="4">
        <v>1291140.25</v>
      </c>
      <c r="O58" s="4">
        <f>Tab_07.Jul[[#This Row],[DÉBITO]]-Tab_07.Jul[[#This Row],[CRÉDITO]]</f>
        <v>0</v>
      </c>
    </row>
    <row r="59" spans="2:15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A</v>
      </c>
      <c r="E59" s="2">
        <f>IF($I59="","",COUNTIFS(Tab_00.Trial[CONTA],$I59))</f>
        <v>1</v>
      </c>
      <c r="F59" s="4">
        <f>SUMIFS(Tab_06.Jun[SALDO
ATUAL],Tab_06.Jun[CONTA],$I59)</f>
        <v>23000</v>
      </c>
      <c r="G59" s="4">
        <f t="shared" si="3"/>
        <v>0</v>
      </c>
      <c r="H59" s="191">
        <v>11320</v>
      </c>
      <c r="I59" s="3" t="s">
        <v>181</v>
      </c>
      <c r="J59" s="3" t="s">
        <v>314</v>
      </c>
      <c r="K59" s="4">
        <v>23000</v>
      </c>
      <c r="L59" s="4">
        <v>0</v>
      </c>
      <c r="M59" s="4">
        <v>0</v>
      </c>
      <c r="N59" s="4">
        <v>23000</v>
      </c>
      <c r="O59" s="4">
        <f>Tab_07.Jul[[#This Row],[DÉBITO]]-Tab_07.Jul[[#This Row],[CRÉDITO]]</f>
        <v>0</v>
      </c>
    </row>
    <row r="60" spans="2:15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A</v>
      </c>
      <c r="E60" s="2">
        <f>IF($I60="","",COUNTIFS(Tab_00.Trial[CONTA],$I60))</f>
        <v>1</v>
      </c>
      <c r="F60" s="4">
        <f>SUMIFS(Tab_06.Jun[SALDO
ATUAL],Tab_06.Jun[CONTA],$I60)</f>
        <v>12594</v>
      </c>
      <c r="G60" s="4">
        <f t="shared" si="3"/>
        <v>0</v>
      </c>
      <c r="H60" s="191">
        <v>11335</v>
      </c>
      <c r="I60" s="3" t="s">
        <v>182</v>
      </c>
      <c r="J60" s="3" t="s">
        <v>315</v>
      </c>
      <c r="K60" s="4">
        <v>12594</v>
      </c>
      <c r="L60" s="4">
        <v>0</v>
      </c>
      <c r="M60" s="4">
        <v>0</v>
      </c>
      <c r="N60" s="4">
        <v>12594</v>
      </c>
      <c r="O60" s="4">
        <f>Tab_07.Jul[[#This Row],[DÉBITO]]-Tab_07.Jul[[#This Row],[CRÉDITO]]</f>
        <v>0</v>
      </c>
    </row>
    <row r="61" spans="2:15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SUMIFS(Tab_06.Jun[SALDO
ATUAL],Tab_06.Jun[CONTA],$I61)</f>
        <v>224642.85</v>
      </c>
      <c r="G61" s="4">
        <f t="shared" si="3"/>
        <v>0</v>
      </c>
      <c r="H61" s="191">
        <v>11350</v>
      </c>
      <c r="I61" s="3" t="s">
        <v>183</v>
      </c>
      <c r="J61" s="3" t="s">
        <v>316</v>
      </c>
      <c r="K61" s="4">
        <v>224642.85</v>
      </c>
      <c r="L61" s="4">
        <v>0</v>
      </c>
      <c r="M61" s="4">
        <v>0</v>
      </c>
      <c r="N61" s="4">
        <v>224642.85</v>
      </c>
      <c r="O61" s="4">
        <f>Tab_07.Jul[[#This Row],[DÉBITO]]-Tab_07.Jul[[#This Row],[CRÉDITO]]</f>
        <v>0</v>
      </c>
    </row>
    <row r="62" spans="2:15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SUMIFS(Tab_06.Jun[SALDO
ATUAL],Tab_06.Jun[CONTA],$I62)</f>
        <v>7349.9</v>
      </c>
      <c r="G62" s="4">
        <f t="shared" si="3"/>
        <v>0</v>
      </c>
      <c r="H62" s="191">
        <v>11365</v>
      </c>
      <c r="I62" s="3" t="s">
        <v>317</v>
      </c>
      <c r="J62" s="3" t="s">
        <v>318</v>
      </c>
      <c r="K62" s="4">
        <v>7349.9</v>
      </c>
      <c r="L62" s="4">
        <v>0</v>
      </c>
      <c r="M62" s="4">
        <v>0</v>
      </c>
      <c r="N62" s="4">
        <v>7349.9</v>
      </c>
      <c r="O62" s="4">
        <f>Tab_07.Jul[[#This Row],[DÉBITO]]-Tab_07.Jul[[#This Row],[CRÉDITO]]</f>
        <v>0</v>
      </c>
    </row>
    <row r="63" spans="2:15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A</v>
      </c>
      <c r="E63" s="2">
        <f>IF($I63="","",COUNTIFS(Tab_00.Trial[CONTA],$I63))</f>
        <v>1</v>
      </c>
      <c r="F63" s="4">
        <f>SUMIFS(Tab_06.Jun[SALDO
ATUAL],Tab_06.Jun[CONTA],$I63)</f>
        <v>128697.03</v>
      </c>
      <c r="G63" s="4">
        <f t="shared" si="3"/>
        <v>0</v>
      </c>
      <c r="H63" s="191">
        <v>11380</v>
      </c>
      <c r="I63" s="3" t="s">
        <v>184</v>
      </c>
      <c r="J63" s="3" t="s">
        <v>319</v>
      </c>
      <c r="K63" s="4">
        <v>128697.03</v>
      </c>
      <c r="L63" s="4">
        <v>0</v>
      </c>
      <c r="M63" s="4">
        <v>0</v>
      </c>
      <c r="N63" s="4">
        <v>128697.03</v>
      </c>
      <c r="O63" s="4">
        <f>Tab_07.Jul[[#This Row],[DÉBITO]]-Tab_07.Jul[[#This Row],[CRÉDITO]]</f>
        <v>0</v>
      </c>
    </row>
    <row r="64" spans="2:15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A</v>
      </c>
      <c r="E64" s="2">
        <f>IF($I64="","",COUNTIFS(Tab_00.Trial[CONTA],$I64))</f>
        <v>1</v>
      </c>
      <c r="F64" s="4">
        <f>SUMIFS(Tab_06.Jun[SALDO
ATUAL],Tab_06.Jun[CONTA],$I64)</f>
        <v>15029.74</v>
      </c>
      <c r="G64" s="4">
        <f t="shared" si="3"/>
        <v>0</v>
      </c>
      <c r="H64" s="191">
        <v>11410</v>
      </c>
      <c r="I64" s="3" t="s">
        <v>185</v>
      </c>
      <c r="J64" s="3" t="s">
        <v>320</v>
      </c>
      <c r="K64" s="4">
        <v>15029.74</v>
      </c>
      <c r="L64" s="4">
        <v>0</v>
      </c>
      <c r="M64" s="4">
        <v>0</v>
      </c>
      <c r="N64" s="4">
        <v>15029.74</v>
      </c>
      <c r="O64" s="4">
        <f>Tab_07.Jul[[#This Row],[DÉBITO]]-Tab_07.Jul[[#This Row],[CRÉDITO]]</f>
        <v>0</v>
      </c>
    </row>
    <row r="65" spans="2:15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SUMIFS(Tab_06.Jun[SALDO
ATUAL],Tab_06.Jun[CONTA],$I65)</f>
        <v>464653.7</v>
      </c>
      <c r="G65" s="4">
        <f t="shared" si="3"/>
        <v>0</v>
      </c>
      <c r="H65" s="191">
        <v>11415</v>
      </c>
      <c r="I65" s="3" t="s">
        <v>321</v>
      </c>
      <c r="J65" s="3" t="s">
        <v>322</v>
      </c>
      <c r="K65" s="4">
        <v>464653.7</v>
      </c>
      <c r="L65" s="4">
        <v>0</v>
      </c>
      <c r="M65" s="4">
        <v>0</v>
      </c>
      <c r="N65" s="4">
        <v>464653.7</v>
      </c>
      <c r="O65" s="4">
        <f>Tab_07.Jul[[#This Row],[DÉBITO]]-Tab_07.Jul[[#This Row],[CRÉDITO]]</f>
        <v>0</v>
      </c>
    </row>
    <row r="66" spans="2:15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S</v>
      </c>
      <c r="E66" s="2">
        <f>IF($I66="","",COUNTIFS(Tab_00.Trial[CONTA],$I66))</f>
        <v>1</v>
      </c>
      <c r="F66" s="4">
        <f>SUMIFS(Tab_06.Jun[SALDO
ATUAL],Tab_06.Jun[CONTA],$I66)</f>
        <v>-1177055.75</v>
      </c>
      <c r="G66" s="4">
        <f t="shared" si="3"/>
        <v>0</v>
      </c>
      <c r="H66" s="191">
        <v>11425</v>
      </c>
      <c r="I66" s="3" t="s">
        <v>215</v>
      </c>
      <c r="J66" s="3" t="s">
        <v>652</v>
      </c>
      <c r="K66" s="4">
        <v>-1177055.75</v>
      </c>
      <c r="L66" s="4">
        <v>0</v>
      </c>
      <c r="M66" s="4">
        <v>3666.75</v>
      </c>
      <c r="N66" s="4">
        <v>-1180722.5</v>
      </c>
      <c r="O66" s="4">
        <f>Tab_07.Jul[[#This Row],[DÉBITO]]-Tab_07.Jul[[#This Row],[CRÉDITO]]</f>
        <v>-3666.75</v>
      </c>
    </row>
    <row r="67" spans="2:15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SUMIFS(Tab_06.Jun[SALDO
ATUAL],Tab_06.Jun[CONTA],$I67)</f>
        <v>-664866.62</v>
      </c>
      <c r="G67" s="4">
        <f t="shared" si="3"/>
        <v>0</v>
      </c>
      <c r="H67" s="191">
        <v>11440</v>
      </c>
      <c r="I67" s="3" t="s">
        <v>186</v>
      </c>
      <c r="J67" s="3" t="s">
        <v>313</v>
      </c>
      <c r="K67" s="4">
        <v>-664866.62</v>
      </c>
      <c r="L67" s="4">
        <v>0</v>
      </c>
      <c r="M67" s="4">
        <v>2997.93</v>
      </c>
      <c r="N67" s="4">
        <v>-667864.55000000005</v>
      </c>
      <c r="O67" s="4">
        <f>Tab_07.Jul[[#This Row],[DÉBITO]]-Tab_07.Jul[[#This Row],[CRÉDITO]]</f>
        <v>-2997.93</v>
      </c>
    </row>
    <row r="68" spans="2:15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A</v>
      </c>
      <c r="E68" s="2">
        <f>IF($I68="","",COUNTIFS(Tab_00.Trial[CONTA],$I68))</f>
        <v>1</v>
      </c>
      <c r="F68" s="4">
        <f>SUMIFS(Tab_06.Jun[SALDO
ATUAL],Tab_06.Jun[CONTA],$I68)</f>
        <v>-18016.95</v>
      </c>
      <c r="G68" s="4">
        <f t="shared" si="3"/>
        <v>0</v>
      </c>
      <c r="H68" s="191">
        <v>11470</v>
      </c>
      <c r="I68" s="3" t="s">
        <v>187</v>
      </c>
      <c r="J68" s="3" t="s">
        <v>314</v>
      </c>
      <c r="K68" s="4">
        <v>-18016.95</v>
      </c>
      <c r="L68" s="4">
        <v>0</v>
      </c>
      <c r="M68" s="4">
        <v>191.67</v>
      </c>
      <c r="N68" s="4">
        <v>-18208.62</v>
      </c>
      <c r="O68" s="4">
        <f>Tab_07.Jul[[#This Row],[DÉBITO]]-Tab_07.Jul[[#This Row],[CRÉDITO]]</f>
        <v>-191.67</v>
      </c>
    </row>
    <row r="69" spans="2:15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SUMIFS(Tab_06.Jun[SALDO
ATUAL],Tab_06.Jun[CONTA],$I69)</f>
        <v>-6683.81</v>
      </c>
      <c r="G69" s="4">
        <f t="shared" si="3"/>
        <v>0</v>
      </c>
      <c r="H69" s="191">
        <v>11485</v>
      </c>
      <c r="I69" s="3" t="s">
        <v>188</v>
      </c>
      <c r="J69" s="3" t="s">
        <v>315</v>
      </c>
      <c r="K69" s="4">
        <v>-6683.81</v>
      </c>
      <c r="L69" s="4">
        <v>0</v>
      </c>
      <c r="M69" s="4">
        <v>104.95</v>
      </c>
      <c r="N69" s="4">
        <v>-6788.76</v>
      </c>
      <c r="O69" s="4">
        <f>Tab_07.Jul[[#This Row],[DÉBITO]]-Tab_07.Jul[[#This Row],[CRÉDITO]]</f>
        <v>-104.95</v>
      </c>
    </row>
    <row r="70" spans="2:15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SUMIFS(Tab_06.Jun[SALDO
ATUAL],Tab_06.Jun[CONTA],$I70)</f>
        <v>-224642.85</v>
      </c>
      <c r="G70" s="4">
        <f t="shared" si="3"/>
        <v>0</v>
      </c>
      <c r="H70" s="191">
        <v>11500</v>
      </c>
      <c r="I70" s="3" t="s">
        <v>189</v>
      </c>
      <c r="J70" s="3" t="s">
        <v>316</v>
      </c>
      <c r="K70" s="4">
        <v>-224642.85</v>
      </c>
      <c r="L70" s="4">
        <v>0</v>
      </c>
      <c r="M70" s="4">
        <v>0</v>
      </c>
      <c r="N70" s="4">
        <v>-224642.85</v>
      </c>
      <c r="O70" s="4">
        <f>Tab_07.Jul[[#This Row],[DÉBITO]]-Tab_07.Jul[[#This Row],[CRÉDITO]]</f>
        <v>0</v>
      </c>
    </row>
    <row r="71" spans="2:15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SUMIFS(Tab_06.Jun[SALDO
ATUAL],Tab_06.Jun[CONTA],$I71)</f>
        <v>-4187.04</v>
      </c>
      <c r="G71" s="4">
        <f t="shared" si="3"/>
        <v>0</v>
      </c>
      <c r="H71" s="191">
        <v>11515</v>
      </c>
      <c r="I71" s="3" t="s">
        <v>190</v>
      </c>
      <c r="J71" s="3" t="s">
        <v>318</v>
      </c>
      <c r="K71" s="4">
        <v>-4187.04</v>
      </c>
      <c r="L71" s="4">
        <v>0</v>
      </c>
      <c r="M71" s="4">
        <v>122.2</v>
      </c>
      <c r="N71" s="4">
        <v>-4309.24</v>
      </c>
      <c r="O71" s="4">
        <f>Tab_07.Jul[[#This Row],[DÉBITO]]-Tab_07.Jul[[#This Row],[CRÉDITO]]</f>
        <v>-122.2</v>
      </c>
    </row>
    <row r="72" spans="2:15" x14ac:dyDescent="0.3">
      <c r="B72" s="2" t="str">
        <f>_xlfn.XLOOKUP($I72,Tab_00.Trial[CONTA],Tab_00.Trial[TP],"",0,1)</f>
        <v>A</v>
      </c>
      <c r="C72" s="2">
        <f>_xlfn.XLOOKUP($I72,Tab_00.Trial[CONTA],Tab_00.Trial[NV],"",0,1)</f>
        <v>5</v>
      </c>
      <c r="D72" s="2" t="str">
        <f>_xlfn.XLOOKUP($I72,Tab_00.Trial[CONTA],Tab_00.Trial[S/A],"",0,1)</f>
        <v>A</v>
      </c>
      <c r="E72" s="2">
        <f>IF($I72="","",COUNTIFS(Tab_00.Trial[CONTA],$I72))</f>
        <v>1</v>
      </c>
      <c r="F72" s="4">
        <f>SUMIFS(Tab_06.Jun[SALDO
ATUAL],Tab_06.Jun[CONTA],$I72)</f>
        <v>-128697.03</v>
      </c>
      <c r="G72" s="4">
        <f t="shared" si="3"/>
        <v>0</v>
      </c>
      <c r="H72" s="191">
        <v>11530</v>
      </c>
      <c r="I72" s="3" t="s">
        <v>323</v>
      </c>
      <c r="J72" s="3" t="s">
        <v>319</v>
      </c>
      <c r="K72" s="4">
        <v>-128697.03</v>
      </c>
      <c r="L72" s="4">
        <v>0</v>
      </c>
      <c r="M72" s="4">
        <v>0</v>
      </c>
      <c r="N72" s="4">
        <v>-128697.03</v>
      </c>
      <c r="O72" s="4">
        <f>Tab_07.Jul[[#This Row],[DÉBITO]]-Tab_07.Jul[[#This Row],[CRÉDITO]]</f>
        <v>0</v>
      </c>
    </row>
    <row r="73" spans="2:15" x14ac:dyDescent="0.3">
      <c r="B73" s="2" t="str">
        <f>_xlfn.XLOOKUP($I73,Tab_00.Trial[CONTA],Tab_00.Trial[TP],"",0,1)</f>
        <v>A</v>
      </c>
      <c r="C73" s="2">
        <f>_xlfn.XLOOKUP($I73,Tab_00.Trial[CONTA],Tab_00.Trial[NV],"",0,1)</f>
        <v>5</v>
      </c>
      <c r="D73" s="2" t="str">
        <f>_xlfn.XLOOKUP($I73,Tab_00.Trial[CONTA],Tab_00.Trial[S/A],"",0,1)</f>
        <v>A</v>
      </c>
      <c r="E73" s="2">
        <f>IF($I73="","",COUNTIFS(Tab_00.Trial[CONTA],$I73))</f>
        <v>1</v>
      </c>
      <c r="F73" s="4">
        <f>SUMIFS(Tab_06.Jun[SALDO
ATUAL],Tab_06.Jun[CONTA],$I73)</f>
        <v>-15029.74</v>
      </c>
      <c r="G73" s="4">
        <f t="shared" si="3"/>
        <v>0</v>
      </c>
      <c r="H73" s="191">
        <v>11560</v>
      </c>
      <c r="I73" s="3" t="s">
        <v>324</v>
      </c>
      <c r="J73" s="3" t="s">
        <v>320</v>
      </c>
      <c r="K73" s="4">
        <v>-15029.74</v>
      </c>
      <c r="L73" s="4">
        <v>0</v>
      </c>
      <c r="M73" s="4">
        <v>0</v>
      </c>
      <c r="N73" s="4">
        <v>-15029.74</v>
      </c>
      <c r="O73" s="4">
        <f>Tab_07.Jul[[#This Row],[DÉBITO]]-Tab_07.Jul[[#This Row],[CRÉDITO]]</f>
        <v>0</v>
      </c>
    </row>
    <row r="74" spans="2:15" x14ac:dyDescent="0.3">
      <c r="B74" s="2" t="str">
        <f>_xlfn.XLOOKUP($I74,Tab_00.Trial[CONTA],Tab_00.Trial[TP],"",0,1)</f>
        <v>A</v>
      </c>
      <c r="C74" s="2">
        <f>_xlfn.XLOOKUP($I74,Tab_00.Trial[CONTA],Tab_00.Trial[NV],"",0,1)</f>
        <v>5</v>
      </c>
      <c r="D74" s="2" t="str">
        <f>_xlfn.XLOOKUP($I74,Tab_00.Trial[CONTA],Tab_00.Trial[S/A],"",0,1)</f>
        <v>A</v>
      </c>
      <c r="E74" s="2">
        <f>IF($I74="","",COUNTIFS(Tab_00.Trial[CONTA],$I74))</f>
        <v>1</v>
      </c>
      <c r="F74" s="4">
        <f>SUMIFS(Tab_06.Jun[SALDO
ATUAL],Tab_06.Jun[CONTA],$I74)</f>
        <v>-114931.71</v>
      </c>
      <c r="G74" s="4">
        <f t="shared" si="3"/>
        <v>0</v>
      </c>
      <c r="H74" s="191">
        <v>11565</v>
      </c>
      <c r="I74" s="3" t="s">
        <v>325</v>
      </c>
      <c r="J74" s="3" t="s">
        <v>322</v>
      </c>
      <c r="K74" s="4">
        <v>-114931.71</v>
      </c>
      <c r="L74" s="4">
        <v>0</v>
      </c>
      <c r="M74" s="4">
        <v>250</v>
      </c>
      <c r="N74" s="4">
        <v>-115181.71</v>
      </c>
      <c r="O74" s="4">
        <f>Tab_07.Jul[[#This Row],[DÉBITO]]-Tab_07.Jul[[#This Row],[CRÉDITO]]</f>
        <v>-250</v>
      </c>
    </row>
    <row r="75" spans="2:15" x14ac:dyDescent="0.3">
      <c r="B75" s="2" t="str">
        <f>_xlfn.XLOOKUP($I75,Tab_00.Trial[CONTA],Tab_00.Trial[TP],"",0,1)</f>
        <v>P</v>
      </c>
      <c r="C75" s="2">
        <f>_xlfn.XLOOKUP($I75,Tab_00.Trial[CONTA],Tab_00.Trial[NV],"",0,1)</f>
        <v>1</v>
      </c>
      <c r="D75" s="2" t="str">
        <f>_xlfn.XLOOKUP($I75,Tab_00.Trial[CONTA],Tab_00.Trial[S/A],"",0,1)</f>
        <v>S</v>
      </c>
      <c r="E75" s="2">
        <f>IF($I75="","",COUNTIFS(Tab_00.Trial[CONTA],$I75))</f>
        <v>1</v>
      </c>
      <c r="F75" s="4">
        <f>SUMIFS(Tab_06.Jun[SALDO
ATUAL],Tab_06.Jun[CONTA],$I75)</f>
        <v>-83446298.989999995</v>
      </c>
      <c r="G75" s="4">
        <f t="shared" si="3"/>
        <v>0</v>
      </c>
      <c r="H75" s="191">
        <v>20000</v>
      </c>
      <c r="I75" s="3">
        <v>2</v>
      </c>
      <c r="J75" s="3" t="s">
        <v>653</v>
      </c>
      <c r="K75" s="4">
        <v>-83446298.989999995</v>
      </c>
      <c r="L75" s="4">
        <v>408811.77</v>
      </c>
      <c r="M75" s="4">
        <v>543187.61</v>
      </c>
      <c r="N75" s="4">
        <v>-83580674.829999998</v>
      </c>
      <c r="O75" s="4">
        <f>Tab_07.Jul[[#This Row],[DÉBITO]]-Tab_07.Jul[[#This Row],[CRÉDITO]]</f>
        <v>-134375.84</v>
      </c>
    </row>
    <row r="76" spans="2:15" x14ac:dyDescent="0.3">
      <c r="B76" s="2" t="str">
        <f>_xlfn.XLOOKUP($I76,Tab_00.Trial[CONTA],Tab_00.Trial[TP],"",0,1)</f>
        <v>P</v>
      </c>
      <c r="C76" s="2">
        <f>_xlfn.XLOOKUP($I76,Tab_00.Trial[CONTA],Tab_00.Trial[NV],"",0,1)</f>
        <v>2</v>
      </c>
      <c r="D76" s="2" t="str">
        <f>_xlfn.XLOOKUP($I76,Tab_00.Trial[CONTA],Tab_00.Trial[S/A],"",0,1)</f>
        <v>S</v>
      </c>
      <c r="E76" s="2">
        <f>IF($I76="","",COUNTIFS(Tab_00.Trial[CONTA],$I76))</f>
        <v>1</v>
      </c>
      <c r="F76" s="4">
        <f>SUMIFS(Tab_06.Jun[SALDO
ATUAL],Tab_06.Jun[CONTA],$I76)</f>
        <v>-1311397.22</v>
      </c>
      <c r="G76" s="4">
        <f t="shared" si="3"/>
        <v>0</v>
      </c>
      <c r="H76" s="191">
        <v>20015</v>
      </c>
      <c r="I76" s="3" t="s">
        <v>216</v>
      </c>
      <c r="J76" s="3" t="s">
        <v>31</v>
      </c>
      <c r="K76" s="4">
        <v>-1311397.22</v>
      </c>
      <c r="L76" s="4">
        <v>408811.77</v>
      </c>
      <c r="M76" s="4">
        <v>543187.61</v>
      </c>
      <c r="N76" s="4">
        <v>-1445773.06</v>
      </c>
      <c r="O76" s="4">
        <f>Tab_07.Jul[[#This Row],[DÉBITO]]-Tab_07.Jul[[#This Row],[CRÉDITO]]</f>
        <v>-134375.84</v>
      </c>
    </row>
    <row r="77" spans="2:15" x14ac:dyDescent="0.3">
      <c r="B77" s="2" t="str">
        <f>_xlfn.XLOOKUP($I77,Tab_00.Trial[CONTA],Tab_00.Trial[TP],"",0,1)</f>
        <v>P</v>
      </c>
      <c r="C77" s="2">
        <f>_xlfn.XLOOKUP($I77,Tab_00.Trial[CONTA],Tab_00.Trial[NV],"",0,1)</f>
        <v>5</v>
      </c>
      <c r="D77" s="2" t="str">
        <f>_xlfn.XLOOKUP($I77,Tab_00.Trial[CONTA],Tab_00.Trial[S/A],"",0,1)</f>
        <v>S</v>
      </c>
      <c r="E77" s="2">
        <f>IF($I77="","",COUNTIFS(Tab_00.Trial[CONTA],$I77))</f>
        <v>1</v>
      </c>
      <c r="F77" s="4">
        <f>SUMIFS(Tab_06.Jun[SALDO
ATUAL],Tab_06.Jun[CONTA],$I77)</f>
        <v>-362961.2</v>
      </c>
      <c r="G77" s="4">
        <f t="shared" si="3"/>
        <v>0</v>
      </c>
      <c r="H77" s="191">
        <v>20030</v>
      </c>
      <c r="I77" s="3" t="s">
        <v>558</v>
      </c>
      <c r="J77" s="3" t="s">
        <v>654</v>
      </c>
      <c r="K77" s="4">
        <v>-362961.2</v>
      </c>
      <c r="L77" s="4">
        <v>152592.89000000001</v>
      </c>
      <c r="M77" s="4">
        <v>139210.09</v>
      </c>
      <c r="N77" s="4">
        <v>-349578.4</v>
      </c>
      <c r="O77" s="4">
        <f>Tab_07.Jul[[#This Row],[DÉBITO]]-Tab_07.Jul[[#This Row],[CRÉDITO]]</f>
        <v>13382.8</v>
      </c>
    </row>
    <row r="78" spans="2:15" x14ac:dyDescent="0.3">
      <c r="B78" s="2" t="str">
        <f>_xlfn.XLOOKUP($I78,Tab_00.Trial[CONTA],Tab_00.Trial[TP],"",0,1)</f>
        <v>P</v>
      </c>
      <c r="C78" s="2">
        <f>_xlfn.XLOOKUP($I78,Tab_00.Trial[CONTA],Tab_00.Trial[NV],"",0,1)</f>
        <v>5</v>
      </c>
      <c r="D78" s="2" t="str">
        <f>_xlfn.XLOOKUP($I78,Tab_00.Trial[CONTA],Tab_00.Trial[S/A],"",0,1)</f>
        <v>S</v>
      </c>
      <c r="E78" s="2">
        <f>IF($I78="","",COUNTIFS(Tab_00.Trial[CONTA],$I78))</f>
        <v>1</v>
      </c>
      <c r="F78" s="4">
        <f>SUMIFS(Tab_06.Jun[SALDO
ATUAL],Tab_06.Jun[CONTA],$I78)</f>
        <v>0</v>
      </c>
      <c r="G78" s="4">
        <f t="shared" si="3"/>
        <v>0</v>
      </c>
      <c r="H78" s="191">
        <v>20045</v>
      </c>
      <c r="I78" s="3" t="s">
        <v>559</v>
      </c>
      <c r="J78" s="3" t="s">
        <v>655</v>
      </c>
      <c r="K78" s="4">
        <v>0</v>
      </c>
      <c r="L78" s="4">
        <v>64094.879999999997</v>
      </c>
      <c r="M78" s="4">
        <v>64094.879999999997</v>
      </c>
      <c r="N78" s="4">
        <v>0</v>
      </c>
      <c r="O78" s="4">
        <f>Tab_07.Jul[[#This Row],[DÉBITO]]-Tab_07.Jul[[#This Row],[CRÉDITO]]</f>
        <v>0</v>
      </c>
    </row>
    <row r="79" spans="2:15" x14ac:dyDescent="0.3">
      <c r="B79" s="2" t="str">
        <f>_xlfn.XLOOKUP($I79,Tab_00.Trial[CONTA],Tab_00.Trial[TP],"",0,1)</f>
        <v>P</v>
      </c>
      <c r="C79" s="2">
        <f>_xlfn.XLOOKUP($I79,Tab_00.Trial[CONTA],Tab_00.Trial[NV],"",0,1)</f>
        <v>5</v>
      </c>
      <c r="D79" s="2" t="str">
        <f>_xlfn.XLOOKUP($I79,Tab_00.Trial[CONTA],Tab_00.Trial[S/A],"",0,1)</f>
        <v>A</v>
      </c>
      <c r="E79" s="2">
        <f>IF($I79="","",COUNTIFS(Tab_00.Trial[CONTA],$I79))</f>
        <v>1</v>
      </c>
      <c r="F79" s="4">
        <f>SUMIFS(Tab_06.Jun[SALDO
ATUAL],Tab_06.Jun[CONTA],$I79)</f>
        <v>0</v>
      </c>
      <c r="G79" s="4">
        <f t="shared" si="3"/>
        <v>0</v>
      </c>
      <c r="H79" s="191">
        <v>20060</v>
      </c>
      <c r="I79" s="3" t="s">
        <v>326</v>
      </c>
      <c r="J79" s="3" t="s">
        <v>327</v>
      </c>
      <c r="K79" s="4">
        <v>0</v>
      </c>
      <c r="L79" s="4">
        <v>62905.75</v>
      </c>
      <c r="M79" s="4">
        <v>62905.75</v>
      </c>
      <c r="N79" s="4">
        <v>0</v>
      </c>
      <c r="O79" s="4">
        <f>Tab_07.Jul[[#This Row],[DÉBITO]]-Tab_07.Jul[[#This Row],[CRÉDITO]]</f>
        <v>0</v>
      </c>
    </row>
    <row r="80" spans="2:15" x14ac:dyDescent="0.3">
      <c r="B80" s="2" t="str">
        <f>_xlfn.XLOOKUP($I80,Tab_00.Trial[CONTA],Tab_00.Trial[TP],"",0,1)</f>
        <v>P</v>
      </c>
      <c r="C80" s="2">
        <f>_xlfn.XLOOKUP($I80,Tab_00.Trial[CONTA],Tab_00.Trial[NV],"",0,1)</f>
        <v>5</v>
      </c>
      <c r="D80" s="2" t="str">
        <f>_xlfn.XLOOKUP($I80,Tab_00.Trial[CONTA],Tab_00.Trial[S/A],"",0,1)</f>
        <v>A</v>
      </c>
      <c r="E80" s="2">
        <f>IF($I80="","",COUNTIFS(Tab_00.Trial[CONTA],$I80))</f>
        <v>1</v>
      </c>
      <c r="F80" s="4">
        <f>SUMIFS(Tab_06.Jun[SALDO
ATUAL],Tab_06.Jun[CONTA],$I80)</f>
        <v>0</v>
      </c>
      <c r="G80" s="4">
        <f t="shared" si="3"/>
        <v>0</v>
      </c>
      <c r="H80" s="191">
        <v>20105</v>
      </c>
      <c r="I80" s="3" t="s">
        <v>330</v>
      </c>
      <c r="J80" s="3" t="s">
        <v>331</v>
      </c>
      <c r="K80" s="4">
        <v>0</v>
      </c>
      <c r="L80" s="4">
        <v>1189.1300000000001</v>
      </c>
      <c r="M80" s="4">
        <v>1189.1300000000001</v>
      </c>
      <c r="N80" s="4">
        <v>0</v>
      </c>
      <c r="O80" s="4">
        <f>Tab_07.Jul[[#This Row],[DÉBITO]]-Tab_07.Jul[[#This Row],[CRÉDITO]]</f>
        <v>0</v>
      </c>
    </row>
    <row r="81" spans="2:15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S</v>
      </c>
      <c r="E81" s="2">
        <f>IF($I81="","",COUNTIFS(Tab_00.Trial[CONTA],$I81))</f>
        <v>1</v>
      </c>
      <c r="F81" s="4">
        <f>SUMIFS(Tab_06.Jun[SALDO
ATUAL],Tab_06.Jun[CONTA],$I81)</f>
        <v>-68217.09</v>
      </c>
      <c r="G81" s="4">
        <f t="shared" si="3"/>
        <v>0</v>
      </c>
      <c r="H81" s="191">
        <v>20120</v>
      </c>
      <c r="I81" s="3" t="s">
        <v>560</v>
      </c>
      <c r="J81" s="3" t="s">
        <v>656</v>
      </c>
      <c r="K81" s="4">
        <v>-68217.09</v>
      </c>
      <c r="L81" s="4">
        <v>0</v>
      </c>
      <c r="M81" s="4">
        <v>11609.94</v>
      </c>
      <c r="N81" s="4">
        <v>-79827.03</v>
      </c>
      <c r="O81" s="4">
        <f>Tab_07.Jul[[#This Row],[DÉBITO]]-Tab_07.Jul[[#This Row],[CRÉDITO]]</f>
        <v>-11609.94</v>
      </c>
    </row>
    <row r="82" spans="2:15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A</v>
      </c>
      <c r="E82" s="2">
        <f>IF($I82="","",COUNTIFS(Tab_00.Trial[CONTA],$I82))</f>
        <v>1</v>
      </c>
      <c r="F82" s="4">
        <f>SUMIFS(Tab_06.Jun[SALDO
ATUAL],Tab_06.Jun[CONTA],$I82)</f>
        <v>-50233.57</v>
      </c>
      <c r="G82" s="4">
        <f t="shared" ref="G82:G113" si="4">$F82-$K82</f>
        <v>0</v>
      </c>
      <c r="H82" s="191">
        <v>20135</v>
      </c>
      <c r="I82" s="3" t="s">
        <v>332</v>
      </c>
      <c r="J82" s="3" t="s">
        <v>333</v>
      </c>
      <c r="K82" s="4">
        <v>-50233.57</v>
      </c>
      <c r="L82" s="4">
        <v>0</v>
      </c>
      <c r="M82" s="4">
        <v>8550.02</v>
      </c>
      <c r="N82" s="4">
        <v>-58783.59</v>
      </c>
      <c r="O82" s="4">
        <f>Tab_07.Jul[[#This Row],[DÉBITO]]-Tab_07.Jul[[#This Row],[CRÉDITO]]</f>
        <v>-8550.02</v>
      </c>
    </row>
    <row r="83" spans="2:15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A</v>
      </c>
      <c r="E83" s="2">
        <f>IF($I83="","",COUNTIFS(Tab_00.Trial[CONTA],$I83))</f>
        <v>1</v>
      </c>
      <c r="F83" s="4">
        <f>SUMIFS(Tab_06.Jun[SALDO
ATUAL],Tab_06.Jun[CONTA],$I83)</f>
        <v>-4018.63</v>
      </c>
      <c r="G83" s="4">
        <f t="shared" si="4"/>
        <v>0</v>
      </c>
      <c r="H83" s="191">
        <v>20150</v>
      </c>
      <c r="I83" s="3" t="s">
        <v>778</v>
      </c>
      <c r="J83" s="3" t="s">
        <v>779</v>
      </c>
      <c r="K83" s="4">
        <v>-4018.63</v>
      </c>
      <c r="L83" s="4">
        <v>0</v>
      </c>
      <c r="M83" s="4">
        <v>684</v>
      </c>
      <c r="N83" s="4">
        <v>-4702.63</v>
      </c>
      <c r="O83" s="4">
        <f>Tab_07.Jul[[#This Row],[DÉBITO]]-Tab_07.Jul[[#This Row],[CRÉDITO]]</f>
        <v>-684</v>
      </c>
    </row>
    <row r="84" spans="2:15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A</v>
      </c>
      <c r="E84" s="2">
        <f>IF($I84="","",COUNTIFS(Tab_00.Trial[CONTA],$I84))</f>
        <v>1</v>
      </c>
      <c r="F84" s="4">
        <f>SUMIFS(Tab_06.Jun[SALDO
ATUAL],Tab_06.Jun[CONTA],$I84)</f>
        <v>-502.32</v>
      </c>
      <c r="G84" s="4">
        <f t="shared" si="4"/>
        <v>0</v>
      </c>
      <c r="H84" s="191">
        <v>20165</v>
      </c>
      <c r="I84" s="3" t="s">
        <v>780</v>
      </c>
      <c r="J84" s="3" t="s">
        <v>781</v>
      </c>
      <c r="K84" s="4">
        <v>-502.32</v>
      </c>
      <c r="L84" s="4">
        <v>0</v>
      </c>
      <c r="M84" s="4">
        <v>85.49</v>
      </c>
      <c r="N84" s="4">
        <v>-587.80999999999995</v>
      </c>
      <c r="O84" s="4">
        <f>Tab_07.Jul[[#This Row],[DÉBITO]]-Tab_07.Jul[[#This Row],[CRÉDITO]]</f>
        <v>-85.49</v>
      </c>
    </row>
    <row r="85" spans="2:15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A</v>
      </c>
      <c r="E85" s="2">
        <f>IF($I85="","",COUNTIFS(Tab_00.Trial[CONTA],$I85))</f>
        <v>1</v>
      </c>
      <c r="F85" s="4">
        <f>SUMIFS(Tab_06.Jun[SALDO
ATUAL],Tab_06.Jun[CONTA],$I85)</f>
        <v>-13462.57</v>
      </c>
      <c r="G85" s="4">
        <f t="shared" si="4"/>
        <v>0</v>
      </c>
      <c r="H85" s="191">
        <v>10097</v>
      </c>
      <c r="I85" s="3" t="s">
        <v>782</v>
      </c>
      <c r="J85" s="3" t="s">
        <v>783</v>
      </c>
      <c r="K85" s="4">
        <v>-13462.57</v>
      </c>
      <c r="L85" s="4">
        <v>0</v>
      </c>
      <c r="M85" s="4">
        <v>2290.4299999999998</v>
      </c>
      <c r="N85" s="4">
        <v>-15753</v>
      </c>
      <c r="O85" s="4">
        <f>Tab_07.Jul[[#This Row],[DÉBITO]]-Tab_07.Jul[[#This Row],[CRÉDITO]]</f>
        <v>-2290.4299999999998</v>
      </c>
    </row>
    <row r="86" spans="2:15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S</v>
      </c>
      <c r="E86" s="2">
        <f>IF($I86="","",COUNTIFS(Tab_00.Trial[CONTA],$I86))</f>
        <v>1</v>
      </c>
      <c r="F86" s="4">
        <f>SUMIFS(Tab_06.Jun[SALDO
ATUAL],Tab_06.Jun[CONTA],$I86)</f>
        <v>-252088.29</v>
      </c>
      <c r="G86" s="4">
        <f t="shared" si="4"/>
        <v>0</v>
      </c>
      <c r="H86" s="191">
        <v>20180</v>
      </c>
      <c r="I86" s="3" t="s">
        <v>561</v>
      </c>
      <c r="J86" s="3" t="s">
        <v>657</v>
      </c>
      <c r="K86" s="4">
        <v>-252088.29</v>
      </c>
      <c r="L86" s="4">
        <v>41313.24</v>
      </c>
      <c r="M86" s="4">
        <v>15481.24</v>
      </c>
      <c r="N86" s="4">
        <v>-226256.29</v>
      </c>
      <c r="O86" s="4">
        <f>Tab_07.Jul[[#This Row],[DÉBITO]]-Tab_07.Jul[[#This Row],[CRÉDITO]]</f>
        <v>25832</v>
      </c>
    </row>
    <row r="87" spans="2:15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A</v>
      </c>
      <c r="E87" s="2">
        <f>IF($I87="","",COUNTIFS(Tab_00.Trial[CONTA],$I87))</f>
        <v>1</v>
      </c>
      <c r="F87" s="4">
        <f>SUMIFS(Tab_06.Jun[SALDO
ATUAL],Tab_06.Jun[CONTA],$I87)</f>
        <v>-185444.76</v>
      </c>
      <c r="G87" s="4">
        <f t="shared" si="4"/>
        <v>0</v>
      </c>
      <c r="H87" s="191">
        <v>20195</v>
      </c>
      <c r="I87" s="3" t="s">
        <v>334</v>
      </c>
      <c r="J87" s="3" t="s">
        <v>335</v>
      </c>
      <c r="K87" s="4">
        <v>-185444.76</v>
      </c>
      <c r="L87" s="4">
        <v>30422.13</v>
      </c>
      <c r="M87" s="4">
        <v>11400.03</v>
      </c>
      <c r="N87" s="4">
        <v>-166422.66</v>
      </c>
      <c r="O87" s="4">
        <f>Tab_07.Jul[[#This Row],[DÉBITO]]-Tab_07.Jul[[#This Row],[CRÉDITO]]</f>
        <v>19022.099999999999</v>
      </c>
    </row>
    <row r="88" spans="2:15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A</v>
      </c>
      <c r="E88" s="2">
        <f>IF($I88="","",COUNTIFS(Tab_00.Trial[CONTA],$I88))</f>
        <v>1</v>
      </c>
      <c r="F88" s="4">
        <f>SUMIFS(Tab_06.Jun[SALDO
ATUAL],Tab_06.Jun[CONTA],$I88)</f>
        <v>-14835.41</v>
      </c>
      <c r="G88" s="4">
        <f t="shared" si="4"/>
        <v>0</v>
      </c>
      <c r="H88" s="191">
        <v>20210</v>
      </c>
      <c r="I88" s="3" t="s">
        <v>784</v>
      </c>
      <c r="J88" s="3" t="s">
        <v>785</v>
      </c>
      <c r="K88" s="4">
        <v>-14835.41</v>
      </c>
      <c r="L88" s="4">
        <v>2433.75</v>
      </c>
      <c r="M88" s="4">
        <v>912</v>
      </c>
      <c r="N88" s="4">
        <v>-13313.66</v>
      </c>
      <c r="O88" s="4">
        <f>Tab_07.Jul[[#This Row],[DÉBITO]]-Tab_07.Jul[[#This Row],[CRÉDITO]]</f>
        <v>1521.75</v>
      </c>
    </row>
    <row r="89" spans="2:15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A</v>
      </c>
      <c r="E89" s="2">
        <f>IF($I89="","",COUNTIFS(Tab_00.Trial[CONTA],$I89))</f>
        <v>1</v>
      </c>
      <c r="F89" s="4">
        <f>SUMIFS(Tab_06.Jun[SALDO
ATUAL],Tab_06.Jun[CONTA],$I89)</f>
        <v>-2108.85</v>
      </c>
      <c r="G89" s="4">
        <f t="shared" si="4"/>
        <v>0</v>
      </c>
      <c r="H89" s="191">
        <v>20225</v>
      </c>
      <c r="I89" s="3" t="s">
        <v>786</v>
      </c>
      <c r="J89" s="3" t="s">
        <v>787</v>
      </c>
      <c r="K89" s="4">
        <v>-2108.85</v>
      </c>
      <c r="L89" s="4">
        <v>304.22000000000003</v>
      </c>
      <c r="M89" s="4">
        <v>114.02</v>
      </c>
      <c r="N89" s="4">
        <v>-1918.65</v>
      </c>
      <c r="O89" s="4">
        <f>Tab_07.Jul[[#This Row],[DÉBITO]]-Tab_07.Jul[[#This Row],[CRÉDITO]]</f>
        <v>190.2</v>
      </c>
    </row>
    <row r="90" spans="2:15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A</v>
      </c>
      <c r="E90" s="2">
        <f>IF($I90="","",COUNTIFS(Tab_00.Trial[CONTA],$I90))</f>
        <v>1</v>
      </c>
      <c r="F90" s="4">
        <f>SUMIFS(Tab_06.Jun[SALDO
ATUAL],Tab_06.Jun[CONTA],$I90)</f>
        <v>-49699.27</v>
      </c>
      <c r="G90" s="4">
        <f t="shared" si="4"/>
        <v>0</v>
      </c>
      <c r="H90" s="191">
        <v>10104</v>
      </c>
      <c r="I90" s="3" t="s">
        <v>788</v>
      </c>
      <c r="J90" s="3" t="s">
        <v>789</v>
      </c>
      <c r="K90" s="4">
        <v>-49699.27</v>
      </c>
      <c r="L90" s="4">
        <v>8153.14</v>
      </c>
      <c r="M90" s="4">
        <v>3055.19</v>
      </c>
      <c r="N90" s="4">
        <v>-44601.32</v>
      </c>
      <c r="O90" s="4">
        <f>Tab_07.Jul[[#This Row],[DÉBITO]]-Tab_07.Jul[[#This Row],[CRÉDITO]]</f>
        <v>5097.95</v>
      </c>
    </row>
    <row r="91" spans="2:15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S</v>
      </c>
      <c r="E91" s="2">
        <f>IF($I91="","",COUNTIFS(Tab_00.Trial[CONTA],$I91))</f>
        <v>1</v>
      </c>
      <c r="F91" s="4">
        <f>SUMIFS(Tab_06.Jun[SALDO
ATUAL],Tab_06.Jun[CONTA],$I91)</f>
        <v>-32583.05</v>
      </c>
      <c r="G91" s="4">
        <f t="shared" si="4"/>
        <v>0</v>
      </c>
      <c r="H91" s="191">
        <v>20240</v>
      </c>
      <c r="I91" s="3" t="s">
        <v>562</v>
      </c>
      <c r="J91" s="3" t="s">
        <v>658</v>
      </c>
      <c r="K91" s="4">
        <v>-32583.05</v>
      </c>
      <c r="L91" s="4">
        <v>37112.01</v>
      </c>
      <c r="M91" s="4">
        <v>37731.47</v>
      </c>
      <c r="N91" s="4">
        <v>-33202.51</v>
      </c>
      <c r="O91" s="4">
        <f>Tab_07.Jul[[#This Row],[DÉBITO]]-Tab_07.Jul[[#This Row],[CRÉDITO]]</f>
        <v>-619.46</v>
      </c>
    </row>
    <row r="92" spans="2:15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A</v>
      </c>
      <c r="E92" s="2">
        <f>IF($I92="","",COUNTIFS(Tab_00.Trial[CONTA],$I92))</f>
        <v>1</v>
      </c>
      <c r="F92" s="4">
        <f>SUMIFS(Tab_06.Jun[SALDO
ATUAL],Tab_06.Jun[CONTA],$I92)</f>
        <v>-32070.07</v>
      </c>
      <c r="G92" s="4">
        <f t="shared" si="4"/>
        <v>0</v>
      </c>
      <c r="H92" s="191">
        <v>20255</v>
      </c>
      <c r="I92" s="3" t="s">
        <v>336</v>
      </c>
      <c r="J92" s="3" t="s">
        <v>337</v>
      </c>
      <c r="K92" s="4">
        <v>-32070.07</v>
      </c>
      <c r="L92" s="4">
        <v>36599.03</v>
      </c>
      <c r="M92" s="4">
        <v>37147.39</v>
      </c>
      <c r="N92" s="4">
        <v>-32618.43</v>
      </c>
      <c r="O92" s="4">
        <f>Tab_07.Jul[[#This Row],[DÉBITO]]-Tab_07.Jul[[#This Row],[CRÉDITO]]</f>
        <v>-548.36</v>
      </c>
    </row>
    <row r="93" spans="2:15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A</v>
      </c>
      <c r="E93" s="2">
        <f>IF($I93="","",COUNTIFS(Tab_00.Trial[CONTA],$I93))</f>
        <v>1</v>
      </c>
      <c r="F93" s="4">
        <f>SUMIFS(Tab_06.Jun[SALDO
ATUAL],Tab_06.Jun[CONTA],$I93)</f>
        <v>-512.98</v>
      </c>
      <c r="G93" s="4">
        <f t="shared" si="4"/>
        <v>0</v>
      </c>
      <c r="H93" s="191">
        <v>20270</v>
      </c>
      <c r="I93" s="3" t="s">
        <v>338</v>
      </c>
      <c r="J93" s="3" t="s">
        <v>339</v>
      </c>
      <c r="K93" s="4">
        <v>-512.98</v>
      </c>
      <c r="L93" s="4">
        <v>512.98</v>
      </c>
      <c r="M93" s="4">
        <v>584.08000000000004</v>
      </c>
      <c r="N93" s="4">
        <v>-584.08000000000004</v>
      </c>
      <c r="O93" s="4">
        <f>Tab_07.Jul[[#This Row],[DÉBITO]]-Tab_07.Jul[[#This Row],[CRÉDITO]]</f>
        <v>-71.099999999999994</v>
      </c>
    </row>
    <row r="94" spans="2:15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S</v>
      </c>
      <c r="E94" s="2">
        <f>IF($I94="","",COUNTIFS(Tab_00.Trial[CONTA],$I94))</f>
        <v>1</v>
      </c>
      <c r="F94" s="4">
        <f>SUMIFS(Tab_06.Jun[SALDO
ATUAL],Tab_06.Jun[CONTA],$I94)</f>
        <v>-10072.77</v>
      </c>
      <c r="G94" s="4">
        <f t="shared" si="4"/>
        <v>0</v>
      </c>
      <c r="H94" s="191">
        <v>20345</v>
      </c>
      <c r="I94" s="3" t="s">
        <v>563</v>
      </c>
      <c r="J94" s="3" t="s">
        <v>659</v>
      </c>
      <c r="K94" s="4">
        <v>-10072.77</v>
      </c>
      <c r="L94" s="4">
        <v>10072.76</v>
      </c>
      <c r="M94" s="4">
        <v>10292.56</v>
      </c>
      <c r="N94" s="4">
        <v>-10292.57</v>
      </c>
      <c r="O94" s="4">
        <f>Tab_07.Jul[[#This Row],[DÉBITO]]-Tab_07.Jul[[#This Row],[CRÉDITO]]</f>
        <v>-219.8</v>
      </c>
    </row>
    <row r="95" spans="2:15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A</v>
      </c>
      <c r="E95" s="2">
        <f>IF($I95="","",COUNTIFS(Tab_00.Trial[CONTA],$I95))</f>
        <v>1</v>
      </c>
      <c r="F95" s="4">
        <f>SUMIFS(Tab_06.Jun[SALDO
ATUAL],Tab_06.Jun[CONTA],$I95)</f>
        <v>-9043.31</v>
      </c>
      <c r="G95" s="4">
        <f t="shared" si="4"/>
        <v>0</v>
      </c>
      <c r="H95" s="191">
        <v>20360</v>
      </c>
      <c r="I95" s="3" t="s">
        <v>340</v>
      </c>
      <c r="J95" s="3" t="s">
        <v>341</v>
      </c>
      <c r="K95" s="4">
        <v>-9043.31</v>
      </c>
      <c r="L95" s="4">
        <v>9043.31</v>
      </c>
      <c r="M95" s="4">
        <v>9187.0499999999993</v>
      </c>
      <c r="N95" s="4">
        <v>-9187.0499999999993</v>
      </c>
      <c r="O95" s="4">
        <f>Tab_07.Jul[[#This Row],[DÉBITO]]-Tab_07.Jul[[#This Row],[CRÉDITO]]</f>
        <v>-143.74</v>
      </c>
    </row>
    <row r="96" spans="2:15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A</v>
      </c>
      <c r="E96" s="2">
        <f>IF($I96="","",COUNTIFS(Tab_00.Trial[CONTA],$I96))</f>
        <v>1</v>
      </c>
      <c r="F96" s="4">
        <f>SUMIFS(Tab_06.Jun[SALDO
ATUAL],Tab_06.Jun[CONTA],$I96)</f>
        <v>-1029.46</v>
      </c>
      <c r="G96" s="4">
        <f t="shared" si="4"/>
        <v>0</v>
      </c>
      <c r="H96" s="191">
        <v>20375</v>
      </c>
      <c r="I96" s="3" t="s">
        <v>342</v>
      </c>
      <c r="J96" s="3" t="s">
        <v>343</v>
      </c>
      <c r="K96" s="4">
        <v>-1029.46</v>
      </c>
      <c r="L96" s="4">
        <v>1029.45</v>
      </c>
      <c r="M96" s="4">
        <v>1105.51</v>
      </c>
      <c r="N96" s="4">
        <v>-1105.52</v>
      </c>
      <c r="O96" s="4">
        <f>Tab_07.Jul[[#This Row],[DÉBITO]]-Tab_07.Jul[[#This Row],[CRÉDITO]]</f>
        <v>-76.06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S</v>
      </c>
      <c r="E97" s="2">
        <f>IF($I97="","",COUNTIFS(Tab_00.Trial[CONTA],$I97))</f>
        <v>1</v>
      </c>
      <c r="F97" s="4">
        <f>SUMIFS(Tab_06.Jun[SALDO
ATUAL],Tab_06.Jun[CONTA],$I97)</f>
        <v>-899982.51</v>
      </c>
      <c r="G97" s="4">
        <f t="shared" si="4"/>
        <v>0</v>
      </c>
      <c r="H97" s="191">
        <v>20390</v>
      </c>
      <c r="I97" s="3" t="s">
        <v>218</v>
      </c>
      <c r="J97" s="3" t="s">
        <v>660</v>
      </c>
      <c r="K97" s="4">
        <v>-899982.51</v>
      </c>
      <c r="L97" s="4">
        <v>227376.48</v>
      </c>
      <c r="M97" s="4">
        <v>382121.32</v>
      </c>
      <c r="N97" s="4">
        <v>-1054727.3500000001</v>
      </c>
      <c r="O97" s="4">
        <f>Tab_07.Jul[[#This Row],[DÉBITO]]-Tab_07.Jul[[#This Row],[CRÉDITO]]</f>
        <v>-154744.84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S</v>
      </c>
      <c r="E98" s="2">
        <f>IF($I98="","",COUNTIFS(Tab_00.Trial[CONTA],$I98))</f>
        <v>1</v>
      </c>
      <c r="F98" s="4">
        <f>SUMIFS(Tab_06.Jun[SALDO
ATUAL],Tab_06.Jun[CONTA],$I98)</f>
        <v>-90941.77</v>
      </c>
      <c r="G98" s="4">
        <f t="shared" si="4"/>
        <v>0</v>
      </c>
      <c r="H98" s="191">
        <v>20405</v>
      </c>
      <c r="I98" s="3" t="s">
        <v>219</v>
      </c>
      <c r="J98" s="3" t="s">
        <v>56</v>
      </c>
      <c r="K98" s="4">
        <v>-90941.77</v>
      </c>
      <c r="L98" s="4">
        <v>167684.32999999999</v>
      </c>
      <c r="M98" s="4">
        <v>137155.96</v>
      </c>
      <c r="N98" s="4">
        <v>-60413.4</v>
      </c>
      <c r="O98" s="4">
        <f>Tab_07.Jul[[#This Row],[DÉBITO]]-Tab_07.Jul[[#This Row],[CRÉDITO]]</f>
        <v>30528.37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A</v>
      </c>
      <c r="E99" s="2">
        <f>IF($I99="","",COUNTIFS(Tab_00.Trial[CONTA],$I99))</f>
        <v>1</v>
      </c>
      <c r="F99" s="4">
        <f>SUMIFS(Tab_06.Jun[SALDO
ATUAL],Tab_06.Jun[CONTA],$I99)</f>
        <v>-90941.77</v>
      </c>
      <c r="G99" s="4">
        <f t="shared" si="4"/>
        <v>0</v>
      </c>
      <c r="H99" s="191">
        <v>20420</v>
      </c>
      <c r="I99" s="3" t="s">
        <v>344</v>
      </c>
      <c r="J99" s="3" t="s">
        <v>56</v>
      </c>
      <c r="K99" s="4">
        <v>-90941.77</v>
      </c>
      <c r="L99" s="4">
        <v>167684.32999999999</v>
      </c>
      <c r="M99" s="4">
        <v>137155.96</v>
      </c>
      <c r="N99" s="4">
        <v>-60413.4</v>
      </c>
      <c r="O99" s="4">
        <f>Tab_07.Jul[[#This Row],[DÉBITO]]-Tab_07.Jul[[#This Row],[CRÉDITO]]</f>
        <v>30528.37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S</v>
      </c>
      <c r="E100" s="2">
        <f>IF($I100="","",COUNTIFS(Tab_00.Trial[CONTA],$I100))</f>
        <v>1</v>
      </c>
      <c r="F100" s="4">
        <f>SUMIFS(Tab_06.Jun[SALDO
ATUAL],Tab_06.Jun[CONTA],$I100)</f>
        <v>-809040.74</v>
      </c>
      <c r="G100" s="4">
        <f t="shared" si="4"/>
        <v>0</v>
      </c>
      <c r="H100" s="191">
        <v>20455</v>
      </c>
      <c r="I100" s="3" t="s">
        <v>220</v>
      </c>
      <c r="J100" s="3" t="s">
        <v>346</v>
      </c>
      <c r="K100" s="4">
        <v>-809040.74</v>
      </c>
      <c r="L100" s="4">
        <v>59692.15</v>
      </c>
      <c r="M100" s="4">
        <v>244965.36</v>
      </c>
      <c r="N100" s="4">
        <v>-994313.95</v>
      </c>
      <c r="O100" s="4">
        <f>Tab_07.Jul[[#This Row],[DÉBITO]]-Tab_07.Jul[[#This Row],[CRÉDITO]]</f>
        <v>-185273.21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A</v>
      </c>
      <c r="E101" s="2">
        <f>IF($I101="","",COUNTIFS(Tab_00.Trial[CONTA],$I101))</f>
        <v>1</v>
      </c>
      <c r="F101" s="4">
        <f>SUMIFS(Tab_06.Jun[SALDO
ATUAL],Tab_06.Jun[CONTA],$I101)</f>
        <v>-809040.74</v>
      </c>
      <c r="G101" s="4">
        <f t="shared" si="4"/>
        <v>0</v>
      </c>
      <c r="H101" s="191">
        <v>20460</v>
      </c>
      <c r="I101" s="3" t="s">
        <v>345</v>
      </c>
      <c r="J101" s="3" t="s">
        <v>346</v>
      </c>
      <c r="K101" s="4">
        <v>-809040.74</v>
      </c>
      <c r="L101" s="4">
        <v>59692.15</v>
      </c>
      <c r="M101" s="4">
        <v>244965.36</v>
      </c>
      <c r="N101" s="4">
        <v>-994313.95</v>
      </c>
      <c r="O101" s="4">
        <f>Tab_07.Jul[[#This Row],[DÉBITO]]-Tab_07.Jul[[#This Row],[CRÉDITO]]</f>
        <v>-185273.21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S</v>
      </c>
      <c r="E102" s="2">
        <f>IF($I102="","",COUNTIFS(Tab_00.Trial[CONTA],$I102))</f>
        <v>1</v>
      </c>
      <c r="F102" s="4">
        <f>SUMIFS(Tab_06.Jun[SALDO
ATUAL],Tab_06.Jun[CONTA],$I102)</f>
        <v>-22079.599999999999</v>
      </c>
      <c r="G102" s="4">
        <f t="shared" si="4"/>
        <v>0</v>
      </c>
      <c r="H102" s="191">
        <v>20465</v>
      </c>
      <c r="I102" s="3" t="s">
        <v>221</v>
      </c>
      <c r="J102" s="3" t="s">
        <v>661</v>
      </c>
      <c r="K102" s="4">
        <v>-22079.599999999999</v>
      </c>
      <c r="L102" s="4">
        <v>28166.18</v>
      </c>
      <c r="M102" s="4">
        <v>21349.13</v>
      </c>
      <c r="N102" s="4">
        <v>-15262.55</v>
      </c>
      <c r="O102" s="4">
        <f>Tab_07.Jul[[#This Row],[DÉBITO]]-Tab_07.Jul[[#This Row],[CRÉDITO]]</f>
        <v>6817.05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S</v>
      </c>
      <c r="E103" s="2">
        <f>IF($I103="","",COUNTIFS(Tab_00.Trial[CONTA],$I103))</f>
        <v>1</v>
      </c>
      <c r="F103" s="4">
        <f>SUMIFS(Tab_06.Jun[SALDO
ATUAL],Tab_06.Jun[CONTA],$I103)</f>
        <v>-22079.599999999999</v>
      </c>
      <c r="G103" s="4">
        <f t="shared" si="4"/>
        <v>0</v>
      </c>
      <c r="H103" s="191">
        <v>20480</v>
      </c>
      <c r="I103" s="3" t="s">
        <v>222</v>
      </c>
      <c r="J103" s="3" t="s">
        <v>662</v>
      </c>
      <c r="K103" s="4">
        <v>-22079.599999999999</v>
      </c>
      <c r="L103" s="4">
        <v>28155.18</v>
      </c>
      <c r="M103" s="4">
        <v>21338.13</v>
      </c>
      <c r="N103" s="4">
        <v>-15262.55</v>
      </c>
      <c r="O103" s="4">
        <f>Tab_07.Jul[[#This Row],[DÉBITO]]-Tab_07.Jul[[#This Row],[CRÉDITO]]</f>
        <v>6817.05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A</v>
      </c>
      <c r="E104" s="2">
        <f>IF($I104="","",COUNTIFS(Tab_00.Trial[CONTA],$I104))</f>
        <v>1</v>
      </c>
      <c r="F104" s="4">
        <f>SUMIFS(Tab_06.Jun[SALDO
ATUAL],Tab_06.Jun[CONTA],$I104)</f>
        <v>-1612.21</v>
      </c>
      <c r="G104" s="4">
        <f t="shared" si="4"/>
        <v>0</v>
      </c>
      <c r="H104" s="191">
        <v>20495</v>
      </c>
      <c r="I104" s="3" t="s">
        <v>191</v>
      </c>
      <c r="J104" s="3" t="s">
        <v>347</v>
      </c>
      <c r="K104" s="4">
        <v>-1612.21</v>
      </c>
      <c r="L104" s="4">
        <v>1778.47</v>
      </c>
      <c r="M104" s="4">
        <v>1050.49</v>
      </c>
      <c r="N104" s="4">
        <v>-884.23</v>
      </c>
      <c r="O104" s="4">
        <f>Tab_07.Jul[[#This Row],[DÉBITO]]-Tab_07.Jul[[#This Row],[CRÉDITO]]</f>
        <v>727.98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A</v>
      </c>
      <c r="E105" s="2">
        <f>IF($I105="","",COUNTIFS(Tab_00.Trial[CONTA],$I105))</f>
        <v>1</v>
      </c>
      <c r="F105" s="4">
        <f>SUMIFS(Tab_06.Jun[SALDO
ATUAL],Tab_06.Jun[CONTA],$I105)</f>
        <v>-15479</v>
      </c>
      <c r="G105" s="4">
        <f t="shared" si="4"/>
        <v>0</v>
      </c>
      <c r="H105" s="191">
        <v>20510</v>
      </c>
      <c r="I105" s="3" t="s">
        <v>192</v>
      </c>
      <c r="J105" s="3" t="s">
        <v>348</v>
      </c>
      <c r="K105" s="4">
        <v>-15479</v>
      </c>
      <c r="L105" s="4">
        <v>21207.88</v>
      </c>
      <c r="M105" s="4">
        <v>16715</v>
      </c>
      <c r="N105" s="4">
        <v>-10986.12</v>
      </c>
      <c r="O105" s="4">
        <f>Tab_07.Jul[[#This Row],[DÉBITO]]-Tab_07.Jul[[#This Row],[CRÉDITO]]</f>
        <v>4492.88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A</v>
      </c>
      <c r="E106" s="2">
        <f>IF($I106="","",COUNTIFS(Tab_00.Trial[CONTA],$I106))</f>
        <v>1</v>
      </c>
      <c r="F106" s="4">
        <f>SUMIFS(Tab_06.Jun[SALDO
ATUAL],Tab_06.Jun[CONTA],$I106)</f>
        <v>-335.15</v>
      </c>
      <c r="G106" s="4">
        <f t="shared" si="4"/>
        <v>0</v>
      </c>
      <c r="H106" s="191">
        <v>20515</v>
      </c>
      <c r="I106" s="3" t="s">
        <v>264</v>
      </c>
      <c r="J106" s="3" t="s">
        <v>349</v>
      </c>
      <c r="K106" s="4">
        <v>-335.15</v>
      </c>
      <c r="L106" s="4">
        <v>335.15</v>
      </c>
      <c r="M106" s="4">
        <v>0</v>
      </c>
      <c r="N106" s="4">
        <v>0</v>
      </c>
      <c r="O106" s="4">
        <f>Tab_07.Jul[[#This Row],[DÉBITO]]-Tab_07.Jul[[#This Row],[CRÉDITO]]</f>
        <v>335.15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A</v>
      </c>
      <c r="E107" s="2">
        <f>IF($I107="","",COUNTIFS(Tab_00.Trial[CONTA],$I107))</f>
        <v>1</v>
      </c>
      <c r="F107" s="4">
        <f>SUMIFS(Tab_06.Jun[SALDO
ATUAL],Tab_06.Jun[CONTA],$I107)</f>
        <v>-4630.79</v>
      </c>
      <c r="G107" s="4">
        <f t="shared" si="4"/>
        <v>0</v>
      </c>
      <c r="H107" s="191">
        <v>20525</v>
      </c>
      <c r="I107" s="3" t="s">
        <v>350</v>
      </c>
      <c r="J107" s="3" t="s">
        <v>351</v>
      </c>
      <c r="K107" s="4">
        <v>-4630.79</v>
      </c>
      <c r="L107" s="4">
        <v>4822.51</v>
      </c>
      <c r="M107" s="4">
        <v>3561.47</v>
      </c>
      <c r="N107" s="4">
        <v>-3369.75</v>
      </c>
      <c r="O107" s="4">
        <f>Tab_07.Jul[[#This Row],[DÉBITO]]-Tab_07.Jul[[#This Row],[CRÉDITO]]</f>
        <v>1261.04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A</v>
      </c>
      <c r="E108" s="2">
        <f>IF($I108="","",COUNTIFS(Tab_00.Trial[CONTA],$I108))</f>
        <v>1</v>
      </c>
      <c r="F108" s="4">
        <f>SUMIFS(Tab_06.Jun[SALDO
ATUAL],Tab_06.Jun[CONTA],$I108)</f>
        <v>-22.45</v>
      </c>
      <c r="G108" s="4">
        <f t="shared" si="4"/>
        <v>0</v>
      </c>
      <c r="H108" s="191">
        <v>20540</v>
      </c>
      <c r="I108" s="3" t="s">
        <v>352</v>
      </c>
      <c r="J108" s="3" t="s">
        <v>353</v>
      </c>
      <c r="K108" s="4">
        <v>-22.45</v>
      </c>
      <c r="L108" s="4">
        <v>11.17</v>
      </c>
      <c r="M108" s="4">
        <v>11.17</v>
      </c>
      <c r="N108" s="4">
        <v>-22.45</v>
      </c>
      <c r="O108" s="4">
        <f>Tab_07.Jul[[#This Row],[DÉBITO]]-Tab_07.Jul[[#This Row],[CRÉDITO]]</f>
        <v>0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S</v>
      </c>
      <c r="E109" s="2">
        <f>IF($I109="","",COUNTIFS(Tab_00.Trial[CONTA],$I109))</f>
        <v>1</v>
      </c>
      <c r="F109" s="4">
        <f>SUMIFS(Tab_06.Jun[SALDO
ATUAL],Tab_06.Jun[CONTA],$I109)</f>
        <v>0</v>
      </c>
      <c r="G109" s="4">
        <f t="shared" si="4"/>
        <v>0</v>
      </c>
      <c r="H109" s="191">
        <v>20565</v>
      </c>
      <c r="I109" s="3" t="s">
        <v>223</v>
      </c>
      <c r="J109" s="3" t="s">
        <v>663</v>
      </c>
      <c r="K109" s="4">
        <v>0</v>
      </c>
      <c r="L109" s="4">
        <v>11</v>
      </c>
      <c r="M109" s="4">
        <v>11</v>
      </c>
      <c r="N109" s="4">
        <v>0</v>
      </c>
      <c r="O109" s="4">
        <f>Tab_07.Jul[[#This Row],[DÉBITO]]-Tab_07.Jul[[#This Row],[CRÉDITO]]</f>
        <v>0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A</v>
      </c>
      <c r="E110" s="2">
        <f>IF($I110="","",COUNTIFS(Tab_00.Trial[CONTA],$I110))</f>
        <v>1</v>
      </c>
      <c r="F110" s="4">
        <f>SUMIFS(Tab_06.Jun[SALDO
ATUAL],Tab_06.Jun[CONTA],$I110)</f>
        <v>0</v>
      </c>
      <c r="G110" s="4">
        <f t="shared" si="4"/>
        <v>0</v>
      </c>
      <c r="H110" s="191">
        <v>20576</v>
      </c>
      <c r="I110" s="3" t="s">
        <v>354</v>
      </c>
      <c r="J110" s="3" t="s">
        <v>355</v>
      </c>
      <c r="K110" s="4">
        <v>0</v>
      </c>
      <c r="L110" s="4">
        <v>11</v>
      </c>
      <c r="M110" s="4">
        <v>11</v>
      </c>
      <c r="N110" s="4">
        <v>0</v>
      </c>
      <c r="O110" s="4">
        <f>Tab_07.Jul[[#This Row],[DÉBITO]]-Tab_07.Jul[[#This Row],[CRÉDITO]]</f>
        <v>0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S</v>
      </c>
      <c r="E111" s="2">
        <f>IF($I111="","",COUNTIFS(Tab_00.Trial[CONTA],$I111))</f>
        <v>1</v>
      </c>
      <c r="F111" s="4">
        <f>SUMIFS(Tab_06.Jun[SALDO
ATUAL],Tab_06.Jun[CONTA],$I111)</f>
        <v>-22524.71</v>
      </c>
      <c r="G111" s="4">
        <f t="shared" si="4"/>
        <v>0</v>
      </c>
      <c r="H111" s="191">
        <v>20690</v>
      </c>
      <c r="I111" s="3" t="s">
        <v>224</v>
      </c>
      <c r="J111" s="3" t="s">
        <v>664</v>
      </c>
      <c r="K111" s="4">
        <v>-22524.71</v>
      </c>
      <c r="L111" s="4">
        <v>676.22</v>
      </c>
      <c r="M111" s="4">
        <v>507.07</v>
      </c>
      <c r="N111" s="4">
        <v>-22355.56</v>
      </c>
      <c r="O111" s="4">
        <f>Tab_07.Jul[[#This Row],[DÉBITO]]-Tab_07.Jul[[#This Row],[CRÉDITO]]</f>
        <v>169.15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S</v>
      </c>
      <c r="E112" s="2">
        <f>IF($I112="","",COUNTIFS(Tab_00.Trial[CONTA],$I112))</f>
        <v>1</v>
      </c>
      <c r="F112" s="4">
        <f>SUMIFS(Tab_06.Jun[SALDO
ATUAL],Tab_06.Jun[CONTA],$I112)</f>
        <v>-22524.71</v>
      </c>
      <c r="G112" s="4">
        <f t="shared" si="4"/>
        <v>0</v>
      </c>
      <c r="H112" s="191">
        <v>20705</v>
      </c>
      <c r="I112" s="3" t="s">
        <v>225</v>
      </c>
      <c r="J112" s="3" t="s">
        <v>665</v>
      </c>
      <c r="K112" s="4">
        <v>-22524.71</v>
      </c>
      <c r="L112" s="4">
        <v>676.22</v>
      </c>
      <c r="M112" s="4">
        <v>507.07</v>
      </c>
      <c r="N112" s="4">
        <v>-22355.56</v>
      </c>
      <c r="O112" s="4">
        <f>Tab_07.Jul[[#This Row],[DÉBITO]]-Tab_07.Jul[[#This Row],[CRÉDITO]]</f>
        <v>169.15</v>
      </c>
    </row>
    <row r="113" spans="2:15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A</v>
      </c>
      <c r="E113" s="2">
        <f>IF($I113="","",COUNTIFS(Tab_00.Trial[CONTA],$I113))</f>
        <v>1</v>
      </c>
      <c r="F113" s="4">
        <f>SUMIFS(Tab_06.Jun[SALDO
ATUAL],Tab_06.Jun[CONTA],$I113)</f>
        <v>-22524.71</v>
      </c>
      <c r="G113" s="4">
        <f t="shared" si="4"/>
        <v>0</v>
      </c>
      <c r="H113" s="191">
        <v>20750</v>
      </c>
      <c r="I113" s="3" t="s">
        <v>356</v>
      </c>
      <c r="J113" s="3" t="s">
        <v>357</v>
      </c>
      <c r="K113" s="4">
        <v>-22524.71</v>
      </c>
      <c r="L113" s="4">
        <v>676.22</v>
      </c>
      <c r="M113" s="4">
        <v>507.07</v>
      </c>
      <c r="N113" s="4">
        <v>-22355.56</v>
      </c>
      <c r="O113" s="4">
        <f>Tab_07.Jul[[#This Row],[DÉBITO]]-Tab_07.Jul[[#This Row],[CRÉDITO]]</f>
        <v>169.15</v>
      </c>
    </row>
    <row r="114" spans="2:15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5</v>
      </c>
      <c r="D114" s="2" t="str">
        <f>_xlfn.XLOOKUP($I114,Tab_00.Trial[CONTA],Tab_00.Trial[S/A],"",0,1)</f>
        <v>S</v>
      </c>
      <c r="E114" s="2">
        <f>IF($I114="","",COUNTIFS(Tab_00.Trial[CONTA],$I114))</f>
        <v>1</v>
      </c>
      <c r="F114" s="4">
        <f>SUMIFS(Tab_06.Jun[SALDO
ATUAL],Tab_06.Jun[CONTA],$I114)</f>
        <v>-3849.2</v>
      </c>
      <c r="G114" s="4">
        <f t="shared" ref="G114:G145" si="5">$F114-$K114</f>
        <v>0</v>
      </c>
      <c r="H114" s="191">
        <v>20765</v>
      </c>
      <c r="I114" s="3" t="s">
        <v>564</v>
      </c>
      <c r="J114" s="3" t="s">
        <v>666</v>
      </c>
      <c r="K114" s="4">
        <v>-3849.2</v>
      </c>
      <c r="L114" s="4">
        <v>0</v>
      </c>
      <c r="M114" s="4">
        <v>0</v>
      </c>
      <c r="N114" s="4">
        <v>-3849.2</v>
      </c>
      <c r="O114" s="4">
        <f>Tab_07.Jul[[#This Row],[DÉBITO]]-Tab_07.Jul[[#This Row],[CRÉDITO]]</f>
        <v>0</v>
      </c>
    </row>
    <row r="115" spans="2:15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5</v>
      </c>
      <c r="D115" s="2" t="str">
        <f>_xlfn.XLOOKUP($I115,Tab_00.Trial[CONTA],Tab_00.Trial[S/A],"",0,1)</f>
        <v>S</v>
      </c>
      <c r="E115" s="2">
        <f>IF($I115="","",COUNTIFS(Tab_00.Trial[CONTA],$I115))</f>
        <v>1</v>
      </c>
      <c r="F115" s="4">
        <f>SUMIFS(Tab_06.Jun[SALDO
ATUAL],Tab_06.Jun[CONTA],$I115)</f>
        <v>-3849.2</v>
      </c>
      <c r="G115" s="4">
        <f t="shared" si="5"/>
        <v>0</v>
      </c>
      <c r="H115" s="191">
        <v>20780</v>
      </c>
      <c r="I115" s="3" t="s">
        <v>565</v>
      </c>
      <c r="J115" s="3" t="s">
        <v>667</v>
      </c>
      <c r="K115" s="4">
        <v>-3849.2</v>
      </c>
      <c r="L115" s="4">
        <v>0</v>
      </c>
      <c r="M115" s="4">
        <v>0</v>
      </c>
      <c r="N115" s="4">
        <v>-3849.2</v>
      </c>
      <c r="O115" s="4">
        <f>Tab_07.Jul[[#This Row],[DÉBITO]]-Tab_07.Jul[[#This Row],[CRÉDITO]]</f>
        <v>0</v>
      </c>
    </row>
    <row r="116" spans="2:15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5</v>
      </c>
      <c r="D116" s="2" t="str">
        <f>_xlfn.XLOOKUP($I116,Tab_00.Trial[CONTA],Tab_00.Trial[S/A],"",0,1)</f>
        <v>A</v>
      </c>
      <c r="E116" s="2">
        <f>IF($I116="","",COUNTIFS(Tab_00.Trial[CONTA],$I116))</f>
        <v>1</v>
      </c>
      <c r="F116" s="4">
        <f>SUMIFS(Tab_06.Jun[SALDO
ATUAL],Tab_06.Jun[CONTA],$I116)</f>
        <v>-3849.2</v>
      </c>
      <c r="G116" s="4">
        <f t="shared" si="5"/>
        <v>0</v>
      </c>
      <c r="H116" s="191">
        <v>20790</v>
      </c>
      <c r="I116" s="3" t="s">
        <v>358</v>
      </c>
      <c r="J116" s="3" t="s">
        <v>359</v>
      </c>
      <c r="K116" s="4">
        <v>-3849.2</v>
      </c>
      <c r="L116" s="4">
        <v>0</v>
      </c>
      <c r="M116" s="4">
        <v>0</v>
      </c>
      <c r="N116" s="4">
        <v>-3849.2</v>
      </c>
      <c r="O116" s="4">
        <f>Tab_07.Jul[[#This Row],[DÉBITO]]-Tab_07.Jul[[#This Row],[CRÉDITO]]</f>
        <v>0</v>
      </c>
    </row>
    <row r="117" spans="2:15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2</v>
      </c>
      <c r="D117" s="2" t="str">
        <f>_xlfn.XLOOKUP($I117,Tab_00.Trial[CONTA],Tab_00.Trial[S/A],"",0,1)</f>
        <v>S</v>
      </c>
      <c r="E117" s="2">
        <f>IF($I117="","",COUNTIFS(Tab_00.Trial[CONTA],$I117))</f>
        <v>1</v>
      </c>
      <c r="F117" s="4">
        <f>SUMIFS(Tab_06.Jun[SALDO
ATUAL],Tab_06.Jun[CONTA],$I117)</f>
        <v>-46934.04</v>
      </c>
      <c r="G117" s="4">
        <f t="shared" si="5"/>
        <v>0</v>
      </c>
      <c r="H117" s="191">
        <v>20885</v>
      </c>
      <c r="I117" s="3" t="s">
        <v>226</v>
      </c>
      <c r="J117" s="3" t="s">
        <v>76</v>
      </c>
      <c r="K117" s="4">
        <v>-46934.04</v>
      </c>
      <c r="L117" s="4">
        <v>0</v>
      </c>
      <c r="M117" s="4">
        <v>0</v>
      </c>
      <c r="N117" s="4">
        <v>-46934.04</v>
      </c>
      <c r="O117" s="4">
        <f>Tab_07.Jul[[#This Row],[DÉBITO]]-Tab_07.Jul[[#This Row],[CRÉDITO]]</f>
        <v>0</v>
      </c>
    </row>
    <row r="118" spans="2:15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5</v>
      </c>
      <c r="D118" s="2" t="str">
        <f>_xlfn.XLOOKUP($I118,Tab_00.Trial[CONTA],Tab_00.Trial[S/A],"",0,1)</f>
        <v>S</v>
      </c>
      <c r="E118" s="2">
        <f>IF($I118="","",COUNTIFS(Tab_00.Trial[CONTA],$I118))</f>
        <v>1</v>
      </c>
      <c r="F118" s="4">
        <f>SUMIFS(Tab_06.Jun[SALDO
ATUAL],Tab_06.Jun[CONTA],$I118)</f>
        <v>-46934.04</v>
      </c>
      <c r="G118" s="4">
        <f t="shared" si="5"/>
        <v>0</v>
      </c>
      <c r="H118" s="191">
        <v>21110</v>
      </c>
      <c r="I118" s="3" t="s">
        <v>566</v>
      </c>
      <c r="J118" s="3" t="s">
        <v>668</v>
      </c>
      <c r="K118" s="4">
        <v>-46934.04</v>
      </c>
      <c r="L118" s="4">
        <v>0</v>
      </c>
      <c r="M118" s="4">
        <v>0</v>
      </c>
      <c r="N118" s="4">
        <v>-46934.04</v>
      </c>
      <c r="O118" s="4">
        <f>Tab_07.Jul[[#This Row],[DÉBITO]]-Tab_07.Jul[[#This Row],[CRÉDITO]]</f>
        <v>0</v>
      </c>
    </row>
    <row r="119" spans="2:15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5</v>
      </c>
      <c r="D119" s="2" t="str">
        <f>_xlfn.XLOOKUP($I119,Tab_00.Trial[CONTA],Tab_00.Trial[S/A],"",0,1)</f>
        <v>S</v>
      </c>
      <c r="E119" s="2">
        <f>IF($I119="","",COUNTIFS(Tab_00.Trial[CONTA],$I119))</f>
        <v>1</v>
      </c>
      <c r="F119" s="4">
        <f>SUMIFS(Tab_06.Jun[SALDO
ATUAL],Tab_06.Jun[CONTA],$I119)</f>
        <v>-46934.04</v>
      </c>
      <c r="G119" s="4">
        <f t="shared" si="5"/>
        <v>0</v>
      </c>
      <c r="H119" s="191">
        <v>21125</v>
      </c>
      <c r="I119" s="3" t="s">
        <v>567</v>
      </c>
      <c r="J119" s="3" t="s">
        <v>669</v>
      </c>
      <c r="K119" s="4">
        <v>-46934.04</v>
      </c>
      <c r="L119" s="4">
        <v>0</v>
      </c>
      <c r="M119" s="4">
        <v>0</v>
      </c>
      <c r="N119" s="4">
        <v>-46934.04</v>
      </c>
      <c r="O119" s="4">
        <f>Tab_07.Jul[[#This Row],[DÉBITO]]-Tab_07.Jul[[#This Row],[CRÉDITO]]</f>
        <v>0</v>
      </c>
    </row>
    <row r="120" spans="2:15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5</v>
      </c>
      <c r="D120" s="2" t="str">
        <f>_xlfn.XLOOKUP($I120,Tab_00.Trial[CONTA],Tab_00.Trial[S/A],"",0,1)</f>
        <v>A</v>
      </c>
      <c r="E120" s="2">
        <f>IF($I120="","",COUNTIFS(Tab_00.Trial[CONTA],$I120))</f>
        <v>1</v>
      </c>
      <c r="F120" s="4">
        <f>SUMIFS(Tab_06.Jun[SALDO
ATUAL],Tab_06.Jun[CONTA],$I120)</f>
        <v>-31934.04</v>
      </c>
      <c r="G120" s="4">
        <f t="shared" si="5"/>
        <v>0</v>
      </c>
      <c r="H120" s="191">
        <v>21170</v>
      </c>
      <c r="I120" s="3" t="s">
        <v>360</v>
      </c>
      <c r="J120" s="3" t="s">
        <v>361</v>
      </c>
      <c r="K120" s="4">
        <v>-31934.04</v>
      </c>
      <c r="L120" s="4">
        <v>0</v>
      </c>
      <c r="M120" s="4">
        <v>0</v>
      </c>
      <c r="N120" s="4">
        <v>-31934.04</v>
      </c>
      <c r="O120" s="4">
        <f>Tab_07.Jul[[#This Row],[DÉBITO]]-Tab_07.Jul[[#This Row],[CRÉDITO]]</f>
        <v>0</v>
      </c>
    </row>
    <row r="121" spans="2:15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5</v>
      </c>
      <c r="D121" s="2" t="str">
        <f>_xlfn.XLOOKUP($I121,Tab_00.Trial[CONTA],Tab_00.Trial[S/A],"",0,1)</f>
        <v>A</v>
      </c>
      <c r="E121" s="2">
        <f>IF($I121="","",COUNTIFS(Tab_00.Trial[CONTA],$I121))</f>
        <v>1</v>
      </c>
      <c r="F121" s="4">
        <f>SUMIFS(Tab_06.Jun[SALDO
ATUAL],Tab_06.Jun[CONTA],$I121)</f>
        <v>-15000</v>
      </c>
      <c r="G121" s="4">
        <f t="shared" si="5"/>
        <v>0</v>
      </c>
      <c r="H121" s="191">
        <v>21185</v>
      </c>
      <c r="I121" s="3" t="s">
        <v>362</v>
      </c>
      <c r="J121" s="3" t="s">
        <v>363</v>
      </c>
      <c r="K121" s="4">
        <v>-15000</v>
      </c>
      <c r="L121" s="4">
        <v>0</v>
      </c>
      <c r="M121" s="4">
        <v>0</v>
      </c>
      <c r="N121" s="4">
        <v>-15000</v>
      </c>
      <c r="O121" s="4">
        <f>Tab_07.Jul[[#This Row],[DÉBITO]]-Tab_07.Jul[[#This Row],[CRÉDITO]]</f>
        <v>0</v>
      </c>
    </row>
    <row r="122" spans="2:15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2</v>
      </c>
      <c r="D122" s="2" t="str">
        <f>_xlfn.XLOOKUP($I122,Tab_00.Trial[CONTA],Tab_00.Trial[S/A],"",0,1)</f>
        <v>S</v>
      </c>
      <c r="E122" s="2">
        <f>IF($I122="","",COUNTIFS(Tab_00.Trial[CONTA],$I122))</f>
        <v>1</v>
      </c>
      <c r="F122" s="4">
        <f>SUMIFS(Tab_06.Jun[SALDO
ATUAL],Tab_06.Jun[CONTA],$I122)</f>
        <v>-82087967.730000004</v>
      </c>
      <c r="G122" s="4">
        <f t="shared" si="5"/>
        <v>0</v>
      </c>
      <c r="H122" s="191">
        <v>21200</v>
      </c>
      <c r="I122" s="3" t="s">
        <v>228</v>
      </c>
      <c r="J122" s="3" t="s">
        <v>670</v>
      </c>
      <c r="K122" s="4">
        <v>-82087967.730000004</v>
      </c>
      <c r="L122" s="4">
        <v>0</v>
      </c>
      <c r="M122" s="4">
        <v>0</v>
      </c>
      <c r="N122" s="4">
        <v>-82087967.730000004</v>
      </c>
      <c r="O122" s="4">
        <f>Tab_07.Jul[[#This Row],[DÉBITO]]-Tab_07.Jul[[#This Row],[CRÉDITO]]</f>
        <v>0</v>
      </c>
    </row>
    <row r="123" spans="2:15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S</v>
      </c>
      <c r="E123" s="2">
        <f>IF($I123="","",COUNTIFS(Tab_00.Trial[CONTA],$I123))</f>
        <v>1</v>
      </c>
      <c r="F123" s="4">
        <f>SUMIFS(Tab_06.Jun[SALDO
ATUAL],Tab_06.Jun[CONTA],$I123)</f>
        <v>-82087967.730000004</v>
      </c>
      <c r="G123" s="4">
        <f t="shared" si="5"/>
        <v>0</v>
      </c>
      <c r="H123" s="191">
        <v>21215</v>
      </c>
      <c r="I123" s="3" t="s">
        <v>229</v>
      </c>
      <c r="J123" s="3" t="s">
        <v>670</v>
      </c>
      <c r="K123" s="4">
        <v>-82087967.730000004</v>
      </c>
      <c r="L123" s="4">
        <v>0</v>
      </c>
      <c r="M123" s="4">
        <v>0</v>
      </c>
      <c r="N123" s="4">
        <v>-82087967.730000004</v>
      </c>
      <c r="O123" s="4">
        <f>Tab_07.Jul[[#This Row],[DÉBITO]]-Tab_07.Jul[[#This Row],[CRÉDITO]]</f>
        <v>0</v>
      </c>
    </row>
    <row r="124" spans="2:15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5</v>
      </c>
      <c r="D124" s="2" t="str">
        <f>_xlfn.XLOOKUP($I124,Tab_00.Trial[CONTA],Tab_00.Trial[S/A],"",0,1)</f>
        <v>S</v>
      </c>
      <c r="E124" s="2">
        <f>IF($I124="","",COUNTIFS(Tab_00.Trial[CONTA],$I124))</f>
        <v>1</v>
      </c>
      <c r="F124" s="4">
        <f>SUMIFS(Tab_06.Jun[SALDO
ATUAL],Tab_06.Jun[CONTA],$I124)</f>
        <v>-104784619.59999999</v>
      </c>
      <c r="G124" s="4">
        <f t="shared" si="5"/>
        <v>0</v>
      </c>
      <c r="H124" s="191">
        <v>21230</v>
      </c>
      <c r="I124" s="3" t="s">
        <v>230</v>
      </c>
      <c r="J124" s="3" t="s">
        <v>364</v>
      </c>
      <c r="K124" s="4">
        <v>-104784619.59999999</v>
      </c>
      <c r="L124" s="4">
        <v>0</v>
      </c>
      <c r="M124" s="4">
        <v>0</v>
      </c>
      <c r="N124" s="4">
        <v>-104784619.59999999</v>
      </c>
      <c r="O124" s="4">
        <f>Tab_07.Jul[[#This Row],[DÉBITO]]-Tab_07.Jul[[#This Row],[CRÉDITO]]</f>
        <v>0</v>
      </c>
    </row>
    <row r="125" spans="2:15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5</v>
      </c>
      <c r="D125" s="2" t="str">
        <f>_xlfn.XLOOKUP($I125,Tab_00.Trial[CONTA],Tab_00.Trial[S/A],"",0,1)</f>
        <v>A</v>
      </c>
      <c r="E125" s="2">
        <f>IF($I125="","",COUNTIFS(Tab_00.Trial[CONTA],$I125))</f>
        <v>1</v>
      </c>
      <c r="F125" s="4">
        <f>SUMIFS(Tab_06.Jun[SALDO
ATUAL],Tab_06.Jun[CONTA],$I125)</f>
        <v>-104784619.59999999</v>
      </c>
      <c r="G125" s="4">
        <f t="shared" si="5"/>
        <v>0</v>
      </c>
      <c r="H125" s="191">
        <v>21245</v>
      </c>
      <c r="I125" s="3" t="s">
        <v>193</v>
      </c>
      <c r="J125" s="3" t="s">
        <v>364</v>
      </c>
      <c r="K125" s="4">
        <v>-104784619.59999999</v>
      </c>
      <c r="L125" s="4">
        <v>0</v>
      </c>
      <c r="M125" s="4">
        <v>0</v>
      </c>
      <c r="N125" s="4">
        <v>-104784619.59999999</v>
      </c>
      <c r="O125" s="4">
        <f>Tab_07.Jul[[#This Row],[DÉBITO]]-Tab_07.Jul[[#This Row],[CRÉDITO]]</f>
        <v>0</v>
      </c>
    </row>
    <row r="126" spans="2:15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S</v>
      </c>
      <c r="E126" s="2">
        <f>IF($I126="","",COUNTIFS(Tab_00.Trial[CONTA],$I126))</f>
        <v>1</v>
      </c>
      <c r="F126" s="4">
        <f>SUMIFS(Tab_06.Jun[SALDO
ATUAL],Tab_06.Jun[CONTA],$I126)</f>
        <v>32587250.850000001</v>
      </c>
      <c r="G126" s="4">
        <f t="shared" si="5"/>
        <v>0</v>
      </c>
      <c r="H126" s="191">
        <v>21305</v>
      </c>
      <c r="I126" s="3" t="s">
        <v>568</v>
      </c>
      <c r="J126" s="3" t="s">
        <v>671</v>
      </c>
      <c r="K126" s="4">
        <v>32587250.850000001</v>
      </c>
      <c r="L126" s="4">
        <v>0</v>
      </c>
      <c r="M126" s="4">
        <v>0</v>
      </c>
      <c r="N126" s="4">
        <v>32587250.850000001</v>
      </c>
      <c r="O126" s="4">
        <f>Tab_07.Jul[[#This Row],[DÉBITO]]-Tab_07.Jul[[#This Row],[CRÉDITO]]</f>
        <v>0</v>
      </c>
    </row>
    <row r="127" spans="2:15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A</v>
      </c>
      <c r="E127" s="2">
        <f>IF($I127="","",COUNTIFS(Tab_00.Trial[CONTA],$I127))</f>
        <v>1</v>
      </c>
      <c r="F127" s="4">
        <f>SUMIFS(Tab_06.Jun[SALDO
ATUAL],Tab_06.Jun[CONTA],$I127)</f>
        <v>-827719.82</v>
      </c>
      <c r="G127" s="4">
        <f t="shared" si="5"/>
        <v>0</v>
      </c>
      <c r="H127" s="191">
        <v>21320</v>
      </c>
      <c r="I127" s="3" t="s">
        <v>743</v>
      </c>
      <c r="J127" s="3" t="s">
        <v>744</v>
      </c>
      <c r="K127" s="4">
        <v>-827719.82</v>
      </c>
      <c r="L127" s="4">
        <v>0</v>
      </c>
      <c r="M127" s="4">
        <v>0</v>
      </c>
      <c r="N127" s="4">
        <v>-827719.82</v>
      </c>
      <c r="O127" s="4">
        <f>Tab_07.Jul[[#This Row],[DÉBITO]]-Tab_07.Jul[[#This Row],[CRÉDITO]]</f>
        <v>0</v>
      </c>
    </row>
    <row r="128" spans="2:15" x14ac:dyDescent="0.3">
      <c r="B128" s="2" t="str">
        <f>_xlfn.XLOOKUP($I128,Tab_00.Trial[CONTA],Tab_00.Trial[TP],"",0,1)</f>
        <v>P</v>
      </c>
      <c r="C128" s="2">
        <f>_xlfn.XLOOKUP($I128,Tab_00.Trial[CONTA],Tab_00.Trial[NV],"",0,1)</f>
        <v>5</v>
      </c>
      <c r="D128" s="2" t="str">
        <f>_xlfn.XLOOKUP($I128,Tab_00.Trial[CONTA],Tab_00.Trial[S/A],"",0,1)</f>
        <v>A</v>
      </c>
      <c r="E128" s="2">
        <f>IF($I128="","",COUNTIFS(Tab_00.Trial[CONTA],$I128))</f>
        <v>1</v>
      </c>
      <c r="F128" s="4">
        <f>SUMIFS(Tab_06.Jun[SALDO
ATUAL],Tab_06.Jun[CONTA],$I128)</f>
        <v>33414970.670000002</v>
      </c>
      <c r="G128" s="4">
        <f t="shared" si="5"/>
        <v>0</v>
      </c>
      <c r="H128" s="191">
        <v>21335</v>
      </c>
      <c r="I128" s="3" t="s">
        <v>365</v>
      </c>
      <c r="J128" s="3" t="s">
        <v>366</v>
      </c>
      <c r="K128" s="4">
        <v>33414970.670000002</v>
      </c>
      <c r="L128" s="4">
        <v>0</v>
      </c>
      <c r="M128" s="4">
        <v>0</v>
      </c>
      <c r="N128" s="4">
        <v>33414970.670000002</v>
      </c>
      <c r="O128" s="4">
        <f>Tab_07.Jul[[#This Row],[DÉBITO]]-Tab_07.Jul[[#This Row],[CRÉDITO]]</f>
        <v>0</v>
      </c>
    </row>
    <row r="129" spans="2:15" x14ac:dyDescent="0.3">
      <c r="B129" s="2" t="str">
        <f>_xlfn.XLOOKUP($I129,Tab_00.Trial[CONTA],Tab_00.Trial[TP],"",0,1)</f>
        <v>P</v>
      </c>
      <c r="C129" s="2">
        <f>_xlfn.XLOOKUP($I129,Tab_00.Trial[CONTA],Tab_00.Trial[NV],"",0,1)</f>
        <v>5</v>
      </c>
      <c r="D129" s="2" t="str">
        <f>_xlfn.XLOOKUP($I129,Tab_00.Trial[CONTA],Tab_00.Trial[S/A],"",0,1)</f>
        <v>S</v>
      </c>
      <c r="E129" s="2">
        <f>IF($I129="","",COUNTIFS(Tab_00.Trial[CONTA],$I129))</f>
        <v>1</v>
      </c>
      <c r="F129" s="4">
        <f>SUMIFS(Tab_06.Jun[SALDO
ATUAL],Tab_06.Jun[CONTA],$I129)</f>
        <v>-9890598.9800000004</v>
      </c>
      <c r="G129" s="4">
        <f t="shared" si="5"/>
        <v>0</v>
      </c>
      <c r="H129" s="191">
        <v>21350</v>
      </c>
      <c r="I129" s="3" t="s">
        <v>745</v>
      </c>
      <c r="J129" s="3" t="s">
        <v>746</v>
      </c>
      <c r="K129" s="4">
        <v>-9890598.9800000004</v>
      </c>
      <c r="L129" s="4">
        <v>0</v>
      </c>
      <c r="M129" s="4">
        <v>0</v>
      </c>
      <c r="N129" s="4">
        <v>-9890598.9800000004</v>
      </c>
      <c r="O129" s="4">
        <f>Tab_07.Jul[[#This Row],[DÉBITO]]-Tab_07.Jul[[#This Row],[CRÉDITO]]</f>
        <v>0</v>
      </c>
    </row>
    <row r="130" spans="2:15" x14ac:dyDescent="0.3">
      <c r="B130" s="2" t="str">
        <f>_xlfn.XLOOKUP($I130,Tab_00.Trial[CONTA],Tab_00.Trial[TP],"",0,1)</f>
        <v>P</v>
      </c>
      <c r="C130" s="2">
        <f>_xlfn.XLOOKUP($I130,Tab_00.Trial[CONTA],Tab_00.Trial[NV],"",0,1)</f>
        <v>5</v>
      </c>
      <c r="D130" s="2" t="str">
        <f>_xlfn.XLOOKUP($I130,Tab_00.Trial[CONTA],Tab_00.Trial[S/A],"",0,1)</f>
        <v>A</v>
      </c>
      <c r="E130" s="2">
        <f>IF($I130="","",COUNTIFS(Tab_00.Trial[CONTA],$I130))</f>
        <v>1</v>
      </c>
      <c r="F130" s="4">
        <f>SUMIFS(Tab_06.Jun[SALDO
ATUAL],Tab_06.Jun[CONTA],$I130)</f>
        <v>-9890598.9800000004</v>
      </c>
      <c r="G130" s="4">
        <f t="shared" si="5"/>
        <v>0</v>
      </c>
      <c r="H130" s="191">
        <v>21365</v>
      </c>
      <c r="I130" s="3" t="s">
        <v>747</v>
      </c>
      <c r="J130" s="3" t="s">
        <v>746</v>
      </c>
      <c r="K130" s="4">
        <v>-9890598.9800000004</v>
      </c>
      <c r="L130" s="4">
        <v>0</v>
      </c>
      <c r="M130" s="4">
        <v>0</v>
      </c>
      <c r="N130" s="4">
        <v>-9890598.9800000004</v>
      </c>
      <c r="O130" s="4">
        <f>Tab_07.Jul[[#This Row],[DÉBITO]]-Tab_07.Jul[[#This Row],[CRÉDITO]]</f>
        <v>0</v>
      </c>
    </row>
    <row r="131" spans="2:15" x14ac:dyDescent="0.3">
      <c r="B131" s="2" t="str">
        <f>_xlfn.XLOOKUP($I131,Tab_00.Trial[CONTA],Tab_00.Trial[TP],"",0,1)</f>
        <v>R</v>
      </c>
      <c r="C131" s="2">
        <f>_xlfn.XLOOKUP($I131,Tab_00.Trial[CONTA],Tab_00.Trial[NV],"",0,1)</f>
        <v>1</v>
      </c>
      <c r="D131" s="2" t="str">
        <f>_xlfn.XLOOKUP($I131,Tab_00.Trial[CONTA],Tab_00.Trial[S/A],"",0,1)</f>
        <v>S</v>
      </c>
      <c r="E131" s="2">
        <f>IF($I131="","",COUNTIFS(Tab_00.Trial[CONTA],$I131))</f>
        <v>1</v>
      </c>
      <c r="F131" s="4">
        <f>SUMIFS(Tab_06.Jun[SALDO
ATUAL],Tab_06.Jun[CONTA],$I131)</f>
        <v>-7536287.2699999996</v>
      </c>
      <c r="G131" s="4">
        <f t="shared" si="5"/>
        <v>0</v>
      </c>
      <c r="H131" s="191">
        <v>30000</v>
      </c>
      <c r="I131" s="3">
        <v>3</v>
      </c>
      <c r="J131" s="3" t="s">
        <v>672</v>
      </c>
      <c r="K131" s="4">
        <v>-7536287.2699999996</v>
      </c>
      <c r="L131" s="4">
        <v>11</v>
      </c>
      <c r="M131" s="4">
        <v>1510577.84</v>
      </c>
      <c r="N131" s="4">
        <v>-9046854.1099999994</v>
      </c>
      <c r="O131" s="4">
        <f>Tab_07.Jul[[#This Row],[DÉBITO]]-Tab_07.Jul[[#This Row],[CRÉDITO]]</f>
        <v>-1510566.84</v>
      </c>
    </row>
    <row r="132" spans="2:15" x14ac:dyDescent="0.3">
      <c r="B132" s="2" t="str">
        <f>_xlfn.XLOOKUP($I132,Tab_00.Trial[CONTA],Tab_00.Trial[TP],"",0,1)</f>
        <v>R</v>
      </c>
      <c r="C132" s="2">
        <f>_xlfn.XLOOKUP($I132,Tab_00.Trial[CONTA],Tab_00.Trial[NV],"",0,1)</f>
        <v>2</v>
      </c>
      <c r="D132" s="2" t="str">
        <f>_xlfn.XLOOKUP($I132,Tab_00.Trial[CONTA],Tab_00.Trial[S/A],"",0,1)</f>
        <v>S</v>
      </c>
      <c r="E132" s="2">
        <f>IF($I132="","",COUNTIFS(Tab_00.Trial[CONTA],$I132))</f>
        <v>1</v>
      </c>
      <c r="F132" s="4">
        <f>SUMIFS(Tab_06.Jun[SALDO
ATUAL],Tab_06.Jun[CONTA],$I132)</f>
        <v>-3665658.71</v>
      </c>
      <c r="G132" s="4">
        <f t="shared" si="5"/>
        <v>0</v>
      </c>
      <c r="H132" s="191">
        <v>30030</v>
      </c>
      <c r="I132" s="3" t="s">
        <v>231</v>
      </c>
      <c r="J132" s="3" t="s">
        <v>673</v>
      </c>
      <c r="K132" s="4">
        <v>-3665658.71</v>
      </c>
      <c r="L132" s="4">
        <v>0</v>
      </c>
      <c r="M132" s="4">
        <v>626798.06000000006</v>
      </c>
      <c r="N132" s="4">
        <v>-4292456.7699999996</v>
      </c>
      <c r="O132" s="4">
        <f>Tab_07.Jul[[#This Row],[DÉBITO]]-Tab_07.Jul[[#This Row],[CRÉDITO]]</f>
        <v>-626798.06000000006</v>
      </c>
    </row>
    <row r="133" spans="2:15" x14ac:dyDescent="0.3">
      <c r="B133" s="2" t="str">
        <f>_xlfn.XLOOKUP($I133,Tab_00.Trial[CONTA],Tab_00.Trial[TP],"",0,1)</f>
        <v>R</v>
      </c>
      <c r="C133" s="2">
        <f>_xlfn.XLOOKUP($I133,Tab_00.Trial[CONTA],Tab_00.Trial[NV],"",0,1)</f>
        <v>5</v>
      </c>
      <c r="D133" s="2" t="str">
        <f>_xlfn.XLOOKUP($I133,Tab_00.Trial[CONTA],Tab_00.Trial[S/A],"",0,1)</f>
        <v>S</v>
      </c>
      <c r="E133" s="2">
        <f>IF($I133="","",COUNTIFS(Tab_00.Trial[CONTA],$I133))</f>
        <v>1</v>
      </c>
      <c r="F133" s="4">
        <f>SUMIFS(Tab_06.Jun[SALDO
ATUAL],Tab_06.Jun[CONTA],$I133)</f>
        <v>-2161513.35</v>
      </c>
      <c r="G133" s="4">
        <f t="shared" si="5"/>
        <v>0</v>
      </c>
      <c r="H133" s="191">
        <v>30045</v>
      </c>
      <c r="I133" s="3" t="s">
        <v>232</v>
      </c>
      <c r="J133" s="3" t="s">
        <v>674</v>
      </c>
      <c r="K133" s="4">
        <v>-2161513.35</v>
      </c>
      <c r="L133" s="4">
        <v>0</v>
      </c>
      <c r="M133" s="4">
        <v>457031.23</v>
      </c>
      <c r="N133" s="4">
        <v>-2618544.58</v>
      </c>
      <c r="O133" s="4">
        <f>Tab_07.Jul[[#This Row],[DÉBITO]]-Tab_07.Jul[[#This Row],[CRÉDITO]]</f>
        <v>-457031.23</v>
      </c>
    </row>
    <row r="134" spans="2:15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5</v>
      </c>
      <c r="D134" s="2" t="str">
        <f>_xlfn.XLOOKUP($I134,Tab_00.Trial[CONTA],Tab_00.Trial[S/A],"",0,1)</f>
        <v>S</v>
      </c>
      <c r="E134" s="2">
        <f>IF($I134="","",COUNTIFS(Tab_00.Trial[CONTA],$I134))</f>
        <v>1</v>
      </c>
      <c r="F134" s="4">
        <f>SUMIFS(Tab_06.Jun[SALDO
ATUAL],Tab_06.Jun[CONTA],$I134)</f>
        <v>-782226.4</v>
      </c>
      <c r="G134" s="4">
        <f t="shared" si="5"/>
        <v>0</v>
      </c>
      <c r="H134" s="191">
        <v>30470</v>
      </c>
      <c r="I134" s="3" t="s">
        <v>233</v>
      </c>
      <c r="J134" s="3" t="s">
        <v>675</v>
      </c>
      <c r="K134" s="4">
        <v>-782226.4</v>
      </c>
      <c r="L134" s="4">
        <v>0</v>
      </c>
      <c r="M134" s="4">
        <v>133881.88</v>
      </c>
      <c r="N134" s="4">
        <v>-916108.28</v>
      </c>
      <c r="O134" s="4">
        <f>Tab_07.Jul[[#This Row],[DÉBITO]]-Tab_07.Jul[[#This Row],[CRÉDITO]]</f>
        <v>-133881.88</v>
      </c>
    </row>
    <row r="135" spans="2:15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5</v>
      </c>
      <c r="D135" s="2" t="str">
        <f>_xlfn.XLOOKUP($I135,Tab_00.Trial[CONTA],Tab_00.Trial[S/A],"",0,1)</f>
        <v>A</v>
      </c>
      <c r="E135" s="2">
        <f>IF($I135="","",COUNTIFS(Tab_00.Trial[CONTA],$I135))</f>
        <v>1</v>
      </c>
      <c r="F135" s="4">
        <f>SUMIFS(Tab_06.Jun[SALDO
ATUAL],Tab_06.Jun[CONTA],$I135)</f>
        <v>-782226.4</v>
      </c>
      <c r="G135" s="4">
        <f t="shared" si="5"/>
        <v>0</v>
      </c>
      <c r="H135" s="191">
        <v>30471</v>
      </c>
      <c r="I135" s="3" t="s">
        <v>194</v>
      </c>
      <c r="J135" s="3" t="s">
        <v>367</v>
      </c>
      <c r="K135" s="4">
        <v>-782226.4</v>
      </c>
      <c r="L135" s="4">
        <v>0</v>
      </c>
      <c r="M135" s="4">
        <v>133881.88</v>
      </c>
      <c r="N135" s="4">
        <v>-916108.28</v>
      </c>
      <c r="O135" s="4">
        <f>Tab_07.Jul[[#This Row],[DÉBITO]]-Tab_07.Jul[[#This Row],[CRÉDITO]]</f>
        <v>-133881.88</v>
      </c>
    </row>
    <row r="136" spans="2:15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S</v>
      </c>
      <c r="E136" s="2">
        <f>IF($I136="","",COUNTIFS(Tab_00.Trial[CONTA],$I136))</f>
        <v>1</v>
      </c>
      <c r="F136" s="4">
        <f>SUMIFS(Tab_06.Jun[SALDO
ATUAL],Tab_06.Jun[CONTA],$I136)</f>
        <v>-1379286.95</v>
      </c>
      <c r="G136" s="4">
        <f t="shared" si="5"/>
        <v>0</v>
      </c>
      <c r="H136" s="191">
        <v>30475</v>
      </c>
      <c r="I136" s="3" t="s">
        <v>735</v>
      </c>
      <c r="J136" s="3" t="s">
        <v>736</v>
      </c>
      <c r="K136" s="4">
        <v>-1379286.95</v>
      </c>
      <c r="L136" s="4">
        <v>0</v>
      </c>
      <c r="M136" s="4">
        <v>323149.34999999998</v>
      </c>
      <c r="N136" s="4">
        <v>-1702436.3</v>
      </c>
      <c r="O136" s="4">
        <f>Tab_07.Jul[[#This Row],[DÉBITO]]-Tab_07.Jul[[#This Row],[CRÉDITO]]</f>
        <v>-323149.34999999998</v>
      </c>
    </row>
    <row r="137" spans="2:15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A</v>
      </c>
      <c r="E137" s="2">
        <f>IF($I137="","",COUNTIFS(Tab_00.Trial[CONTA],$I137))</f>
        <v>1</v>
      </c>
      <c r="F137" s="4">
        <f>SUMIFS(Tab_06.Jun[SALDO
ATUAL],Tab_06.Jun[CONTA],$I137)</f>
        <v>-1379286.95</v>
      </c>
      <c r="G137" s="4">
        <f t="shared" si="5"/>
        <v>0</v>
      </c>
      <c r="H137" s="191">
        <v>30476</v>
      </c>
      <c r="I137" s="3" t="s">
        <v>737</v>
      </c>
      <c r="J137" s="3" t="s">
        <v>814</v>
      </c>
      <c r="K137" s="4">
        <v>-1379286.95</v>
      </c>
      <c r="L137" s="4">
        <v>0</v>
      </c>
      <c r="M137" s="4">
        <v>323149.34999999998</v>
      </c>
      <c r="N137" s="4">
        <v>-1702436.3</v>
      </c>
      <c r="O137" s="4">
        <f>Tab_07.Jul[[#This Row],[DÉBITO]]-Tab_07.Jul[[#This Row],[CRÉDITO]]</f>
        <v>-323149.34999999998</v>
      </c>
    </row>
    <row r="138" spans="2:15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S</v>
      </c>
      <c r="E138" s="2">
        <f>IF($I138="","",COUNTIFS(Tab_00.Trial[CONTA],$I138))</f>
        <v>1</v>
      </c>
      <c r="F138" s="4">
        <f>SUMIFS(Tab_06.Jun[SALDO
ATUAL],Tab_06.Jun[CONTA],$I138)</f>
        <v>-1504145.36</v>
      </c>
      <c r="G138" s="4">
        <f t="shared" si="5"/>
        <v>0</v>
      </c>
      <c r="H138" s="191">
        <v>30645</v>
      </c>
      <c r="I138" s="3" t="s">
        <v>569</v>
      </c>
      <c r="J138" s="3" t="s">
        <v>676</v>
      </c>
      <c r="K138" s="4">
        <v>-1504145.36</v>
      </c>
      <c r="L138" s="4">
        <v>0</v>
      </c>
      <c r="M138" s="4">
        <v>169766.83</v>
      </c>
      <c r="N138" s="4">
        <v>-1673912.19</v>
      </c>
      <c r="O138" s="4">
        <f>Tab_07.Jul[[#This Row],[DÉBITO]]-Tab_07.Jul[[#This Row],[CRÉDITO]]</f>
        <v>-169766.83</v>
      </c>
    </row>
    <row r="139" spans="2:15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S</v>
      </c>
      <c r="E139" s="2">
        <f>IF($I139="","",COUNTIFS(Tab_00.Trial[CONTA],$I139))</f>
        <v>1</v>
      </c>
      <c r="F139" s="4">
        <f>SUMIFS(Tab_06.Jun[SALDO
ATUAL],Tab_06.Jun[CONTA],$I139)</f>
        <v>-1006348.88</v>
      </c>
      <c r="G139" s="4">
        <f t="shared" si="5"/>
        <v>0</v>
      </c>
      <c r="H139" s="191">
        <v>30660</v>
      </c>
      <c r="I139" s="3" t="s">
        <v>570</v>
      </c>
      <c r="J139" s="3" t="s">
        <v>677</v>
      </c>
      <c r="K139" s="4">
        <v>-1006348.88</v>
      </c>
      <c r="L139" s="4">
        <v>0</v>
      </c>
      <c r="M139" s="4">
        <v>86800.75</v>
      </c>
      <c r="N139" s="4">
        <v>-1093149.6299999999</v>
      </c>
      <c r="O139" s="4">
        <f>Tab_07.Jul[[#This Row],[DÉBITO]]-Tab_07.Jul[[#This Row],[CRÉDITO]]</f>
        <v>-86800.75</v>
      </c>
    </row>
    <row r="140" spans="2:15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A</v>
      </c>
      <c r="E140" s="2">
        <f>IF($I140="","",COUNTIFS(Tab_00.Trial[CONTA],$I140))</f>
        <v>1</v>
      </c>
      <c r="F140" s="4">
        <f>SUMIFS(Tab_06.Jun[SALDO
ATUAL],Tab_06.Jun[CONTA],$I140)</f>
        <v>-453145.9</v>
      </c>
      <c r="G140" s="4">
        <f t="shared" si="5"/>
        <v>0</v>
      </c>
      <c r="H140" s="191">
        <v>30675</v>
      </c>
      <c r="I140" s="3" t="s">
        <v>368</v>
      </c>
      <c r="J140" s="3" t="s">
        <v>369</v>
      </c>
      <c r="K140" s="4">
        <v>-453145.9</v>
      </c>
      <c r="L140" s="4">
        <v>0</v>
      </c>
      <c r="M140" s="4">
        <v>35652.550000000003</v>
      </c>
      <c r="N140" s="4">
        <v>-488798.45</v>
      </c>
      <c r="O140" s="4">
        <f>Tab_07.Jul[[#This Row],[DÉBITO]]-Tab_07.Jul[[#This Row],[CRÉDITO]]</f>
        <v>-35652.550000000003</v>
      </c>
    </row>
    <row r="141" spans="2:15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5</v>
      </c>
      <c r="D141" s="2" t="str">
        <f>_xlfn.XLOOKUP($I141,Tab_00.Trial[CONTA],Tab_00.Trial[S/A],"",0,1)</f>
        <v>A</v>
      </c>
      <c r="E141" s="2">
        <f>IF($I141="","",COUNTIFS(Tab_00.Trial[CONTA],$I141))</f>
        <v>1</v>
      </c>
      <c r="F141" s="4">
        <f>SUMIFS(Tab_06.Jun[SALDO
ATUAL],Tab_06.Jun[CONTA],$I141)</f>
        <v>-371413.04</v>
      </c>
      <c r="G141" s="4">
        <f t="shared" si="5"/>
        <v>0</v>
      </c>
      <c r="H141" s="191">
        <v>30690</v>
      </c>
      <c r="I141" s="3" t="s">
        <v>370</v>
      </c>
      <c r="J141" s="3" t="s">
        <v>371</v>
      </c>
      <c r="K141" s="4">
        <v>-371413.04</v>
      </c>
      <c r="L141" s="4">
        <v>0</v>
      </c>
      <c r="M141" s="4">
        <v>35465.660000000003</v>
      </c>
      <c r="N141" s="4">
        <v>-406878.7</v>
      </c>
      <c r="O141" s="4">
        <f>Tab_07.Jul[[#This Row],[DÉBITO]]-Tab_07.Jul[[#This Row],[CRÉDITO]]</f>
        <v>-35465.660000000003</v>
      </c>
    </row>
    <row r="142" spans="2:15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A</v>
      </c>
      <c r="E142" s="2">
        <f>IF($I142="","",COUNTIFS(Tab_00.Trial[CONTA],$I142))</f>
        <v>1</v>
      </c>
      <c r="F142" s="4">
        <f>SUMIFS(Tab_06.Jun[SALDO
ATUAL],Tab_06.Jun[CONTA],$I142)</f>
        <v>-6547.36</v>
      </c>
      <c r="G142" s="4">
        <f t="shared" si="5"/>
        <v>0</v>
      </c>
      <c r="H142" s="191">
        <v>30705</v>
      </c>
      <c r="I142" s="3" t="s">
        <v>372</v>
      </c>
      <c r="J142" s="3" t="s">
        <v>373</v>
      </c>
      <c r="K142" s="4">
        <v>-6547.36</v>
      </c>
      <c r="L142" s="4">
        <v>0</v>
      </c>
      <c r="M142" s="4">
        <v>0</v>
      </c>
      <c r="N142" s="4">
        <v>-6547.36</v>
      </c>
      <c r="O142" s="4">
        <f>Tab_07.Jul[[#This Row],[DÉBITO]]-Tab_07.Jul[[#This Row],[CRÉDITO]]</f>
        <v>0</v>
      </c>
    </row>
    <row r="143" spans="2:15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A</v>
      </c>
      <c r="E143" s="2">
        <f>IF($I143="","",COUNTIFS(Tab_00.Trial[CONTA],$I143))</f>
        <v>1</v>
      </c>
      <c r="F143" s="4">
        <f>SUMIFS(Tab_06.Jun[SALDO
ATUAL],Tab_06.Jun[CONTA],$I143)</f>
        <v>-89524.57</v>
      </c>
      <c r="G143" s="4">
        <f t="shared" si="5"/>
        <v>0</v>
      </c>
      <c r="H143" s="191">
        <v>30710</v>
      </c>
      <c r="I143" s="3" t="s">
        <v>845</v>
      </c>
      <c r="J143" s="3" t="s">
        <v>846</v>
      </c>
      <c r="K143" s="4">
        <v>-89524.57</v>
      </c>
      <c r="L143" s="4">
        <v>0</v>
      </c>
      <c r="M143" s="4">
        <v>0</v>
      </c>
      <c r="N143" s="4">
        <v>-89524.57</v>
      </c>
      <c r="O143" s="4">
        <f>Tab_07.Jul[[#This Row],[DÉBITO]]-Tab_07.Jul[[#This Row],[CRÉDITO]]</f>
        <v>0</v>
      </c>
    </row>
    <row r="144" spans="2:15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5</v>
      </c>
      <c r="D144" s="2" t="str">
        <f>_xlfn.XLOOKUP($I144,Tab_00.Trial[CONTA],Tab_00.Trial[S/A],"",0,1)</f>
        <v>A</v>
      </c>
      <c r="E144" s="2">
        <f>IF($I144="","",COUNTIFS(Tab_00.Trial[CONTA],$I144))</f>
        <v>1</v>
      </c>
      <c r="F144" s="4">
        <f>SUMIFS(Tab_06.Jun[SALDO
ATUAL],Tab_06.Jun[CONTA],$I144)</f>
        <v>-85718.01</v>
      </c>
      <c r="G144" s="4">
        <f t="shared" si="5"/>
        <v>0</v>
      </c>
      <c r="H144" s="191">
        <v>10895</v>
      </c>
      <c r="I144" s="3" t="s">
        <v>927</v>
      </c>
      <c r="J144" s="3" t="s">
        <v>928</v>
      </c>
      <c r="K144" s="4">
        <v>-85718.01</v>
      </c>
      <c r="L144" s="4">
        <v>0</v>
      </c>
      <c r="M144" s="4">
        <v>15682.54</v>
      </c>
      <c r="N144" s="4">
        <v>-101400.55</v>
      </c>
      <c r="O144" s="4">
        <f>Tab_07.Jul[[#This Row],[DÉBITO]]-Tab_07.Jul[[#This Row],[CRÉDITO]]</f>
        <v>-15682.54</v>
      </c>
    </row>
    <row r="145" spans="2:15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5</v>
      </c>
      <c r="D145" s="2" t="str">
        <f>_xlfn.XLOOKUP($I145,Tab_00.Trial[CONTA],Tab_00.Trial[S/A],"",0,1)</f>
        <v>S</v>
      </c>
      <c r="E145" s="2">
        <f>IF($I145="","",COUNTIFS(Tab_00.Trial[CONTA],$I145))</f>
        <v>1</v>
      </c>
      <c r="F145" s="4">
        <f>SUMIFS(Tab_06.Jun[SALDO
ATUAL],Tab_06.Jun[CONTA],$I145)</f>
        <v>-497796.48</v>
      </c>
      <c r="G145" s="4">
        <f t="shared" si="5"/>
        <v>0</v>
      </c>
      <c r="H145" s="191">
        <v>30720</v>
      </c>
      <c r="I145" s="3" t="s">
        <v>571</v>
      </c>
      <c r="J145" s="3" t="s">
        <v>377</v>
      </c>
      <c r="K145" s="4">
        <v>-497796.48</v>
      </c>
      <c r="L145" s="4">
        <v>0</v>
      </c>
      <c r="M145" s="4">
        <v>82966.080000000002</v>
      </c>
      <c r="N145" s="4">
        <v>-580762.56000000006</v>
      </c>
      <c r="O145" s="4">
        <f>Tab_07.Jul[[#This Row],[DÉBITO]]-Tab_07.Jul[[#This Row],[CRÉDITO]]</f>
        <v>-82966.080000000002</v>
      </c>
    </row>
    <row r="146" spans="2:15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5</v>
      </c>
      <c r="D146" s="2" t="str">
        <f>_xlfn.XLOOKUP($I146,Tab_00.Trial[CONTA],Tab_00.Trial[S/A],"",0,1)</f>
        <v>A</v>
      </c>
      <c r="E146" s="2">
        <f>IF($I146="","",COUNTIFS(Tab_00.Trial[CONTA],$I146))</f>
        <v>1</v>
      </c>
      <c r="F146" s="4">
        <f>SUMIFS(Tab_06.Jun[SALDO
ATUAL],Tab_06.Jun[CONTA],$I146)</f>
        <v>-497796.48</v>
      </c>
      <c r="G146" s="4">
        <f t="shared" ref="G146:G177" si="6">$F146-$K146</f>
        <v>0</v>
      </c>
      <c r="H146" s="191">
        <v>30735</v>
      </c>
      <c r="I146" s="3" t="s">
        <v>376</v>
      </c>
      <c r="J146" s="3" t="s">
        <v>377</v>
      </c>
      <c r="K146" s="4">
        <v>-497796.48</v>
      </c>
      <c r="L146" s="4">
        <v>0</v>
      </c>
      <c r="M146" s="4">
        <v>82966.080000000002</v>
      </c>
      <c r="N146" s="4">
        <v>-580762.56000000006</v>
      </c>
      <c r="O146" s="4">
        <f>Tab_07.Jul[[#This Row],[DÉBITO]]-Tab_07.Jul[[#This Row],[CRÉDITO]]</f>
        <v>-82966.080000000002</v>
      </c>
    </row>
    <row r="147" spans="2:15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2</v>
      </c>
      <c r="D147" s="2" t="str">
        <f>_xlfn.XLOOKUP($I147,Tab_00.Trial[CONTA],Tab_00.Trial[S/A],"",0,1)</f>
        <v>S</v>
      </c>
      <c r="E147" s="2">
        <f>IF($I147="","",COUNTIFS(Tab_00.Trial[CONTA],$I147))</f>
        <v>1</v>
      </c>
      <c r="F147" s="4">
        <f>SUMIFS(Tab_06.Jun[SALDO
ATUAL],Tab_06.Jun[CONTA],$I147)</f>
        <v>-2631478.66</v>
      </c>
      <c r="G147" s="4">
        <f t="shared" si="6"/>
        <v>0</v>
      </c>
      <c r="H147" s="191">
        <v>31065</v>
      </c>
      <c r="I147" s="3" t="s">
        <v>574</v>
      </c>
      <c r="J147" s="3" t="s">
        <v>680</v>
      </c>
      <c r="K147" s="4">
        <v>-2631478.66</v>
      </c>
      <c r="L147" s="4">
        <v>11</v>
      </c>
      <c r="M147" s="4">
        <v>446985.84</v>
      </c>
      <c r="N147" s="4">
        <v>-3078453.5</v>
      </c>
      <c r="O147" s="4">
        <f>Tab_07.Jul[[#This Row],[DÉBITO]]-Tab_07.Jul[[#This Row],[CRÉDITO]]</f>
        <v>-446974.84</v>
      </c>
    </row>
    <row r="148" spans="2:15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S</v>
      </c>
      <c r="E148" s="2">
        <f>IF($I148="","",COUNTIFS(Tab_00.Trial[CONTA],$I148))</f>
        <v>1</v>
      </c>
      <c r="F148" s="4">
        <f>SUMIFS(Tab_06.Jun[SALDO
ATUAL],Tab_06.Jun[CONTA],$I148)</f>
        <v>0</v>
      </c>
      <c r="G148" s="4">
        <f t="shared" si="6"/>
        <v>0</v>
      </c>
      <c r="H148" s="191">
        <v>31080</v>
      </c>
      <c r="I148" s="3" t="s">
        <v>575</v>
      </c>
      <c r="J148" s="3" t="s">
        <v>681</v>
      </c>
      <c r="K148" s="4">
        <v>0</v>
      </c>
      <c r="L148" s="4">
        <v>0</v>
      </c>
      <c r="M148" s="4">
        <v>50</v>
      </c>
      <c r="N148" s="4">
        <v>-50</v>
      </c>
      <c r="O148" s="4">
        <f>Tab_07.Jul[[#This Row],[DÉBITO]]-Tab_07.Jul[[#This Row],[CRÉDITO]]</f>
        <v>-50</v>
      </c>
    </row>
    <row r="149" spans="2:15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5</v>
      </c>
      <c r="D149" s="2" t="str">
        <f>_xlfn.XLOOKUP($I149,Tab_00.Trial[CONTA],Tab_00.Trial[S/A],"",0,1)</f>
        <v>S</v>
      </c>
      <c r="E149" s="2">
        <f>IF($I149="","",COUNTIFS(Tab_00.Trial[CONTA],$I149))</f>
        <v>1</v>
      </c>
      <c r="F149" s="4">
        <f>SUMIFS(Tab_06.Jun[SALDO
ATUAL],Tab_06.Jun[CONTA],$I149)</f>
        <v>0</v>
      </c>
      <c r="G149" s="4">
        <f t="shared" si="6"/>
        <v>0</v>
      </c>
      <c r="H149" s="191">
        <v>31095</v>
      </c>
      <c r="I149" s="3" t="s">
        <v>576</v>
      </c>
      <c r="J149" s="3" t="s">
        <v>815</v>
      </c>
      <c r="K149" s="4">
        <v>0</v>
      </c>
      <c r="L149" s="4">
        <v>0</v>
      </c>
      <c r="M149" s="4">
        <v>50</v>
      </c>
      <c r="N149" s="4">
        <v>-50</v>
      </c>
      <c r="O149" s="4">
        <f>Tab_07.Jul[[#This Row],[DÉBITO]]-Tab_07.Jul[[#This Row],[CRÉDITO]]</f>
        <v>-50</v>
      </c>
    </row>
    <row r="150" spans="2:15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5</v>
      </c>
      <c r="D150" s="2" t="str">
        <f>_xlfn.XLOOKUP($I150,Tab_00.Trial[CONTA],Tab_00.Trial[S/A],"",0,1)</f>
        <v>A</v>
      </c>
      <c r="E150" s="2">
        <f>IF($I150="","",COUNTIFS(Tab_00.Trial[CONTA],$I150))</f>
        <v>1</v>
      </c>
      <c r="F150" s="4">
        <f>SUMIFS(Tab_06.Jun[SALDO
ATUAL],Tab_06.Jun[CONTA],$I150)</f>
        <v>0</v>
      </c>
      <c r="G150" s="4">
        <f t="shared" si="6"/>
        <v>0</v>
      </c>
      <c r="H150" s="191">
        <v>31096</v>
      </c>
      <c r="I150" s="3" t="s">
        <v>382</v>
      </c>
      <c r="J150" s="3" t="s">
        <v>292</v>
      </c>
      <c r="K150" s="4">
        <v>0</v>
      </c>
      <c r="L150" s="4">
        <v>0</v>
      </c>
      <c r="M150" s="4">
        <v>50</v>
      </c>
      <c r="N150" s="4">
        <v>-50</v>
      </c>
      <c r="O150" s="4">
        <f>Tab_07.Jul[[#This Row],[DÉBITO]]-Tab_07.Jul[[#This Row],[CRÉDITO]]</f>
        <v>-50</v>
      </c>
    </row>
    <row r="151" spans="2:15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5</v>
      </c>
      <c r="D151" s="2" t="str">
        <f>_xlfn.XLOOKUP($I151,Tab_00.Trial[CONTA],Tab_00.Trial[S/A],"",0,1)</f>
        <v>S</v>
      </c>
      <c r="E151" s="2">
        <f>IF($I151="","",COUNTIFS(Tab_00.Trial[CONTA],$I151))</f>
        <v>1</v>
      </c>
      <c r="F151" s="4">
        <f>SUMIFS(Tab_06.Jun[SALDO
ATUAL],Tab_06.Jun[CONTA],$I151)</f>
        <v>0</v>
      </c>
      <c r="G151" s="4">
        <f t="shared" si="6"/>
        <v>0</v>
      </c>
      <c r="H151" s="191">
        <v>31140</v>
      </c>
      <c r="I151" s="3" t="s">
        <v>577</v>
      </c>
      <c r="J151" s="3" t="s">
        <v>683</v>
      </c>
      <c r="K151" s="4">
        <v>0</v>
      </c>
      <c r="L151" s="4">
        <v>11</v>
      </c>
      <c r="M151" s="4">
        <v>0</v>
      </c>
      <c r="N151" s="4">
        <v>11</v>
      </c>
      <c r="O151" s="4">
        <f>Tab_07.Jul[[#This Row],[DÉBITO]]-Tab_07.Jul[[#This Row],[CRÉDITO]]</f>
        <v>11</v>
      </c>
    </row>
    <row r="152" spans="2:15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5</v>
      </c>
      <c r="D152" s="2" t="str">
        <f>_xlfn.XLOOKUP($I152,Tab_00.Trial[CONTA],Tab_00.Trial[S/A],"",0,1)</f>
        <v>S</v>
      </c>
      <c r="E152" s="2">
        <f>IF($I152="","",COUNTIFS(Tab_00.Trial[CONTA],$I152))</f>
        <v>1</v>
      </c>
      <c r="F152" s="4">
        <f>SUMIFS(Tab_06.Jun[SALDO
ATUAL],Tab_06.Jun[CONTA],$I152)</f>
        <v>0</v>
      </c>
      <c r="G152" s="4">
        <f t="shared" si="6"/>
        <v>0</v>
      </c>
      <c r="H152" s="191">
        <v>31215</v>
      </c>
      <c r="I152" s="3" t="s">
        <v>847</v>
      </c>
      <c r="J152" s="3" t="s">
        <v>848</v>
      </c>
      <c r="K152" s="4">
        <v>0</v>
      </c>
      <c r="L152" s="4">
        <v>11</v>
      </c>
      <c r="M152" s="4">
        <v>0</v>
      </c>
      <c r="N152" s="4">
        <v>11</v>
      </c>
      <c r="O152" s="4">
        <f>Tab_07.Jul[[#This Row],[DÉBITO]]-Tab_07.Jul[[#This Row],[CRÉDITO]]</f>
        <v>11</v>
      </c>
    </row>
    <row r="153" spans="2:15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5</v>
      </c>
      <c r="D153" s="2" t="str">
        <f>_xlfn.XLOOKUP($I153,Tab_00.Trial[CONTA],Tab_00.Trial[S/A],"",0,1)</f>
        <v>A</v>
      </c>
      <c r="E153" s="2">
        <f>IF($I153="","",COUNTIFS(Tab_00.Trial[CONTA],$I153))</f>
        <v>1</v>
      </c>
      <c r="F153" s="4">
        <f>SUMIFS(Tab_06.Jun[SALDO
ATUAL],Tab_06.Jun[CONTA],$I153)</f>
        <v>0</v>
      </c>
      <c r="G153" s="4">
        <f t="shared" si="6"/>
        <v>0</v>
      </c>
      <c r="H153" s="191">
        <v>31246</v>
      </c>
      <c r="I153" s="3" t="s">
        <v>849</v>
      </c>
      <c r="J153" s="3" t="s">
        <v>850</v>
      </c>
      <c r="K153" s="4">
        <v>0</v>
      </c>
      <c r="L153" s="4">
        <v>11</v>
      </c>
      <c r="M153" s="4">
        <v>0</v>
      </c>
      <c r="N153" s="4">
        <v>11</v>
      </c>
      <c r="O153" s="4">
        <f>Tab_07.Jul[[#This Row],[DÉBITO]]-Tab_07.Jul[[#This Row],[CRÉDITO]]</f>
        <v>11</v>
      </c>
    </row>
    <row r="154" spans="2:15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5</v>
      </c>
      <c r="D154" s="2" t="str">
        <f>_xlfn.XLOOKUP($I154,Tab_00.Trial[CONTA],Tab_00.Trial[S/A],"",0,1)</f>
        <v>S</v>
      </c>
      <c r="E154" s="2">
        <f>IF($I154="","",COUNTIFS(Tab_00.Trial[CONTA],$I154))</f>
        <v>1</v>
      </c>
      <c r="F154" s="4">
        <f>SUMIFS(Tab_06.Jun[SALDO
ATUAL],Tab_06.Jun[CONTA],$I154)</f>
        <v>-2631478.66</v>
      </c>
      <c r="G154" s="4">
        <f t="shared" si="6"/>
        <v>0</v>
      </c>
      <c r="H154" s="191">
        <v>31260</v>
      </c>
      <c r="I154" s="3" t="s">
        <v>580</v>
      </c>
      <c r="J154" s="3" t="s">
        <v>816</v>
      </c>
      <c r="K154" s="4">
        <v>-2631478.66</v>
      </c>
      <c r="L154" s="4">
        <v>0</v>
      </c>
      <c r="M154" s="4">
        <v>446935.84</v>
      </c>
      <c r="N154" s="4">
        <v>-3078414.5</v>
      </c>
      <c r="O154" s="4">
        <f>Tab_07.Jul[[#This Row],[DÉBITO]]-Tab_07.Jul[[#This Row],[CRÉDITO]]</f>
        <v>-446935.84</v>
      </c>
    </row>
    <row r="155" spans="2:15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5</v>
      </c>
      <c r="D155" s="2" t="str">
        <f>_xlfn.XLOOKUP($I155,Tab_00.Trial[CONTA],Tab_00.Trial[S/A],"",0,1)</f>
        <v>S</v>
      </c>
      <c r="E155" s="2">
        <f>IF($I155="","",COUNTIFS(Tab_00.Trial[CONTA],$I155))</f>
        <v>1</v>
      </c>
      <c r="F155" s="4">
        <f>SUMIFS(Tab_06.Jun[SALDO
ATUAL],Tab_06.Jun[CONTA],$I155)</f>
        <v>-2631478.66</v>
      </c>
      <c r="G155" s="4">
        <f t="shared" si="6"/>
        <v>0</v>
      </c>
      <c r="H155" s="191">
        <v>31275</v>
      </c>
      <c r="I155" s="3" t="s">
        <v>581</v>
      </c>
      <c r="J155" s="3" t="s">
        <v>687</v>
      </c>
      <c r="K155" s="4">
        <v>-2631478.66</v>
      </c>
      <c r="L155" s="4">
        <v>0</v>
      </c>
      <c r="M155" s="4">
        <v>446935.84</v>
      </c>
      <c r="N155" s="4">
        <v>-3078414.5</v>
      </c>
      <c r="O155" s="4">
        <f>Tab_07.Jul[[#This Row],[DÉBITO]]-Tab_07.Jul[[#This Row],[CRÉDITO]]</f>
        <v>-446935.84</v>
      </c>
    </row>
    <row r="156" spans="2:15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5</v>
      </c>
      <c r="D156" s="2" t="str">
        <f>_xlfn.XLOOKUP($I156,Tab_00.Trial[CONTA],Tab_00.Trial[S/A],"",0,1)</f>
        <v>A</v>
      </c>
      <c r="E156" s="2">
        <f>IF($I156="","",COUNTIFS(Tab_00.Trial[CONTA],$I156))</f>
        <v>1</v>
      </c>
      <c r="F156" s="4">
        <f>SUMIFS(Tab_06.Jun[SALDO
ATUAL],Tab_06.Jun[CONTA],$I156)</f>
        <v>-2585677.6800000002</v>
      </c>
      <c r="G156" s="4">
        <f t="shared" si="6"/>
        <v>0</v>
      </c>
      <c r="H156" s="191">
        <v>31291</v>
      </c>
      <c r="I156" s="3" t="s">
        <v>387</v>
      </c>
      <c r="J156" s="3" t="s">
        <v>388</v>
      </c>
      <c r="K156" s="4">
        <v>-2585677.6800000002</v>
      </c>
      <c r="L156" s="4">
        <v>0</v>
      </c>
      <c r="M156" s="4">
        <v>440421.58</v>
      </c>
      <c r="N156" s="4">
        <v>-3026099.26</v>
      </c>
      <c r="O156" s="4">
        <f>Tab_07.Jul[[#This Row],[DÉBITO]]-Tab_07.Jul[[#This Row],[CRÉDITO]]</f>
        <v>-440421.58</v>
      </c>
    </row>
    <row r="157" spans="2:15" x14ac:dyDescent="0.3">
      <c r="B157" s="2" t="str">
        <f>_xlfn.XLOOKUP($I157,Tab_00.Trial[CONTA],Tab_00.Trial[TP],"",0,1)</f>
        <v>R</v>
      </c>
      <c r="C157" s="2">
        <f>_xlfn.XLOOKUP($I157,Tab_00.Trial[CONTA],Tab_00.Trial[NV],"",0,1)</f>
        <v>5</v>
      </c>
      <c r="D157" s="2" t="str">
        <f>_xlfn.XLOOKUP($I157,Tab_00.Trial[CONTA],Tab_00.Trial[S/A],"",0,1)</f>
        <v>A</v>
      </c>
      <c r="E157" s="2">
        <f>IF($I157="","",COUNTIFS(Tab_00.Trial[CONTA],$I157))</f>
        <v>1</v>
      </c>
      <c r="F157" s="4">
        <f>SUMIFS(Tab_06.Jun[SALDO
ATUAL],Tab_06.Jun[CONTA],$I157)</f>
        <v>-45800.98</v>
      </c>
      <c r="G157" s="4">
        <f t="shared" si="6"/>
        <v>0</v>
      </c>
      <c r="H157" s="191">
        <v>31292</v>
      </c>
      <c r="I157" s="3" t="s">
        <v>389</v>
      </c>
      <c r="J157" s="3" t="s">
        <v>390</v>
      </c>
      <c r="K157" s="4">
        <v>-45800.98</v>
      </c>
      <c r="L157" s="4">
        <v>0</v>
      </c>
      <c r="M157" s="4">
        <v>6514.26</v>
      </c>
      <c r="N157" s="4">
        <v>-52315.24</v>
      </c>
      <c r="O157" s="4">
        <f>Tab_07.Jul[[#This Row],[DÉBITO]]-Tab_07.Jul[[#This Row],[CRÉDITO]]</f>
        <v>-6514.26</v>
      </c>
    </row>
    <row r="158" spans="2:15" x14ac:dyDescent="0.3">
      <c r="B158" s="2" t="str">
        <f>_xlfn.XLOOKUP($I158,Tab_00.Trial[CONTA],Tab_00.Trial[TP],"",0,1)</f>
        <v>R</v>
      </c>
      <c r="C158" s="2">
        <f>_xlfn.XLOOKUP($I158,Tab_00.Trial[CONTA],Tab_00.Trial[NV],"",0,1)</f>
        <v>2</v>
      </c>
      <c r="D158" s="2" t="str">
        <f>_xlfn.XLOOKUP($I158,Tab_00.Trial[CONTA],Tab_00.Trial[S/A],"",0,1)</f>
        <v>S</v>
      </c>
      <c r="E158" s="2">
        <f>IF($I158="","",COUNTIFS(Tab_00.Trial[CONTA],$I158))</f>
        <v>1</v>
      </c>
      <c r="F158" s="4">
        <f>SUMIFS(Tab_06.Jun[SALDO
ATUAL],Tab_06.Jun[CONTA],$I158)</f>
        <v>-1232949.8999999999</v>
      </c>
      <c r="G158" s="4">
        <f t="shared" si="6"/>
        <v>0</v>
      </c>
      <c r="H158" s="191">
        <v>31470</v>
      </c>
      <c r="I158" s="3" t="s">
        <v>582</v>
      </c>
      <c r="J158" s="3" t="s">
        <v>688</v>
      </c>
      <c r="K158" s="4">
        <v>-1232949.8999999999</v>
      </c>
      <c r="L158" s="4">
        <v>0</v>
      </c>
      <c r="M158" s="4">
        <v>435543.94</v>
      </c>
      <c r="N158" s="4">
        <v>-1668493.84</v>
      </c>
      <c r="O158" s="4">
        <f>Tab_07.Jul[[#This Row],[DÉBITO]]-Tab_07.Jul[[#This Row],[CRÉDITO]]</f>
        <v>-435543.94</v>
      </c>
    </row>
    <row r="159" spans="2:15" x14ac:dyDescent="0.3">
      <c r="B159" s="2" t="str">
        <f>_xlfn.XLOOKUP($I159,Tab_00.Trial[CONTA],Tab_00.Trial[TP],"",0,1)</f>
        <v>R</v>
      </c>
      <c r="C159" s="2">
        <f>_xlfn.XLOOKUP($I159,Tab_00.Trial[CONTA],Tab_00.Trial[NV],"",0,1)</f>
        <v>5</v>
      </c>
      <c r="D159" s="2" t="str">
        <f>_xlfn.XLOOKUP($I159,Tab_00.Trial[CONTA],Tab_00.Trial[S/A],"",0,1)</f>
        <v>S</v>
      </c>
      <c r="E159" s="2">
        <f>IF($I159="","",COUNTIFS(Tab_00.Trial[CONTA],$I159))</f>
        <v>1</v>
      </c>
      <c r="F159" s="4">
        <f>SUMIFS(Tab_06.Jun[SALDO
ATUAL],Tab_06.Jun[CONTA],$I159)</f>
        <v>-73.430000000000007</v>
      </c>
      <c r="G159" s="4">
        <f t="shared" si="6"/>
        <v>0</v>
      </c>
      <c r="H159" s="191">
        <v>31590</v>
      </c>
      <c r="I159" s="3" t="s">
        <v>583</v>
      </c>
      <c r="J159" s="3" t="s">
        <v>689</v>
      </c>
      <c r="K159" s="4">
        <v>-73.430000000000007</v>
      </c>
      <c r="L159" s="4">
        <v>0</v>
      </c>
      <c r="M159" s="4">
        <v>0.03</v>
      </c>
      <c r="N159" s="4">
        <v>-73.459999999999994</v>
      </c>
      <c r="O159" s="4">
        <f>Tab_07.Jul[[#This Row],[DÉBITO]]-Tab_07.Jul[[#This Row],[CRÉDITO]]</f>
        <v>-0.03</v>
      </c>
    </row>
    <row r="160" spans="2:15" x14ac:dyDescent="0.3">
      <c r="B160" s="2" t="str">
        <f>_xlfn.XLOOKUP($I160,Tab_00.Trial[CONTA],Tab_00.Trial[TP],"",0,1)</f>
        <v>R</v>
      </c>
      <c r="C160" s="2">
        <f>_xlfn.XLOOKUP($I160,Tab_00.Trial[CONTA],Tab_00.Trial[NV],"",0,1)</f>
        <v>5</v>
      </c>
      <c r="D160" s="2" t="str">
        <f>_xlfn.XLOOKUP($I160,Tab_00.Trial[CONTA],Tab_00.Trial[S/A],"",0,1)</f>
        <v>S</v>
      </c>
      <c r="E160" s="2">
        <f>IF($I160="","",COUNTIFS(Tab_00.Trial[CONTA],$I160))</f>
        <v>1</v>
      </c>
      <c r="F160" s="4">
        <f>SUMIFS(Tab_06.Jun[SALDO
ATUAL],Tab_06.Jun[CONTA],$I160)</f>
        <v>-73.430000000000007</v>
      </c>
      <c r="G160" s="4">
        <f t="shared" si="6"/>
        <v>0</v>
      </c>
      <c r="H160" s="191">
        <v>31605</v>
      </c>
      <c r="I160" s="3" t="s">
        <v>584</v>
      </c>
      <c r="J160" s="3" t="s">
        <v>689</v>
      </c>
      <c r="K160" s="4">
        <v>-73.430000000000007</v>
      </c>
      <c r="L160" s="4">
        <v>0</v>
      </c>
      <c r="M160" s="4">
        <v>0.03</v>
      </c>
      <c r="N160" s="4">
        <v>-73.459999999999994</v>
      </c>
      <c r="O160" s="4">
        <f>Tab_07.Jul[[#This Row],[DÉBITO]]-Tab_07.Jul[[#This Row],[CRÉDITO]]</f>
        <v>-0.03</v>
      </c>
    </row>
    <row r="161" spans="2:15" x14ac:dyDescent="0.3">
      <c r="B161" s="2" t="str">
        <f>_xlfn.XLOOKUP($I161,Tab_00.Trial[CONTA],Tab_00.Trial[TP],"",0,1)</f>
        <v>R</v>
      </c>
      <c r="C161" s="2">
        <f>_xlfn.XLOOKUP($I161,Tab_00.Trial[CONTA],Tab_00.Trial[NV],"",0,1)</f>
        <v>5</v>
      </c>
      <c r="D161" s="2" t="str">
        <f>_xlfn.XLOOKUP($I161,Tab_00.Trial[CONTA],Tab_00.Trial[S/A],"",0,1)</f>
        <v>A</v>
      </c>
      <c r="E161" s="2">
        <f>IF($I161="","",COUNTIFS(Tab_00.Trial[CONTA],$I161))</f>
        <v>1</v>
      </c>
      <c r="F161" s="4">
        <f>SUMIFS(Tab_06.Jun[SALDO
ATUAL],Tab_06.Jun[CONTA],$I161)</f>
        <v>-73.430000000000007</v>
      </c>
      <c r="G161" s="4">
        <f t="shared" si="6"/>
        <v>0</v>
      </c>
      <c r="H161" s="191">
        <v>31645</v>
      </c>
      <c r="I161" s="3" t="s">
        <v>391</v>
      </c>
      <c r="J161" s="3" t="s">
        <v>392</v>
      </c>
      <c r="K161" s="4">
        <v>-73.430000000000007</v>
      </c>
      <c r="L161" s="4">
        <v>0</v>
      </c>
      <c r="M161" s="4">
        <v>0.03</v>
      </c>
      <c r="N161" s="4">
        <v>-73.459999999999994</v>
      </c>
      <c r="O161" s="4">
        <f>Tab_07.Jul[[#This Row],[DÉBITO]]-Tab_07.Jul[[#This Row],[CRÉDITO]]</f>
        <v>-0.03</v>
      </c>
    </row>
    <row r="162" spans="2:15" x14ac:dyDescent="0.3">
      <c r="B162" s="2" t="str">
        <f>_xlfn.XLOOKUP($I162,Tab_00.Trial[CONTA],Tab_00.Trial[TP],"",0,1)</f>
        <v>R</v>
      </c>
      <c r="C162" s="2">
        <f>_xlfn.XLOOKUP($I162,Tab_00.Trial[CONTA],Tab_00.Trial[NV],"",0,1)</f>
        <v>5</v>
      </c>
      <c r="D162" s="2" t="str">
        <f>_xlfn.XLOOKUP($I162,Tab_00.Trial[CONTA],Tab_00.Trial[S/A],"",0,1)</f>
        <v>S</v>
      </c>
      <c r="E162" s="2">
        <f>IF($I162="","",COUNTIFS(Tab_00.Trial[CONTA],$I162))</f>
        <v>1</v>
      </c>
      <c r="F162" s="4">
        <f>SUMIFS(Tab_06.Jun[SALDO
ATUAL],Tab_06.Jun[CONTA],$I162)</f>
        <v>-1232876.47</v>
      </c>
      <c r="G162" s="4">
        <f t="shared" si="6"/>
        <v>0</v>
      </c>
      <c r="H162" s="191">
        <v>31650</v>
      </c>
      <c r="I162" s="3" t="s">
        <v>585</v>
      </c>
      <c r="J162" s="3" t="s">
        <v>690</v>
      </c>
      <c r="K162" s="4">
        <v>-1232876.47</v>
      </c>
      <c r="L162" s="4">
        <v>0</v>
      </c>
      <c r="M162" s="4">
        <v>435543.91</v>
      </c>
      <c r="N162" s="4">
        <v>-1668420.38</v>
      </c>
      <c r="O162" s="4">
        <f>Tab_07.Jul[[#This Row],[DÉBITO]]-Tab_07.Jul[[#This Row],[CRÉDITO]]</f>
        <v>-435543.91</v>
      </c>
    </row>
    <row r="163" spans="2:15" x14ac:dyDescent="0.3">
      <c r="B163" s="2" t="str">
        <f>_xlfn.XLOOKUP($I163,Tab_00.Trial[CONTA],Tab_00.Trial[TP],"",0,1)</f>
        <v>R</v>
      </c>
      <c r="C163" s="2">
        <f>_xlfn.XLOOKUP($I163,Tab_00.Trial[CONTA],Tab_00.Trial[NV],"",0,1)</f>
        <v>5</v>
      </c>
      <c r="D163" s="2" t="str">
        <f>_xlfn.XLOOKUP($I163,Tab_00.Trial[CONTA],Tab_00.Trial[S/A],"",0,1)</f>
        <v>S</v>
      </c>
      <c r="E163" s="2">
        <f>IF($I163="","",COUNTIFS(Tab_00.Trial[CONTA],$I163))</f>
        <v>1</v>
      </c>
      <c r="F163" s="4">
        <f>SUMIFS(Tab_06.Jun[SALDO
ATUAL],Tab_06.Jun[CONTA],$I163)</f>
        <v>-1232876.47</v>
      </c>
      <c r="G163" s="4">
        <f t="shared" si="6"/>
        <v>0</v>
      </c>
      <c r="H163" s="191">
        <v>31665</v>
      </c>
      <c r="I163" s="3" t="s">
        <v>586</v>
      </c>
      <c r="J163" s="3" t="s">
        <v>394</v>
      </c>
      <c r="K163" s="4">
        <v>-1232876.47</v>
      </c>
      <c r="L163" s="4">
        <v>0</v>
      </c>
      <c r="M163" s="4">
        <v>435543.91</v>
      </c>
      <c r="N163" s="4">
        <v>-1668420.38</v>
      </c>
      <c r="O163" s="4">
        <f>Tab_07.Jul[[#This Row],[DÉBITO]]-Tab_07.Jul[[#This Row],[CRÉDITO]]</f>
        <v>-435543.91</v>
      </c>
    </row>
    <row r="164" spans="2:15" x14ac:dyDescent="0.3">
      <c r="B164" s="2" t="str">
        <f>_xlfn.XLOOKUP($I164,Tab_00.Trial[CONTA],Tab_00.Trial[TP],"",0,1)</f>
        <v>R</v>
      </c>
      <c r="C164" s="2">
        <f>_xlfn.XLOOKUP($I164,Tab_00.Trial[CONTA],Tab_00.Trial[NV],"",0,1)</f>
        <v>5</v>
      </c>
      <c r="D164" s="2" t="str">
        <f>_xlfn.XLOOKUP($I164,Tab_00.Trial[CONTA],Tab_00.Trial[S/A],"",0,1)</f>
        <v>A</v>
      </c>
      <c r="E164" s="2">
        <f>IF($I164="","",COUNTIFS(Tab_00.Trial[CONTA],$I164))</f>
        <v>1</v>
      </c>
      <c r="F164" s="4">
        <f>SUMIFS(Tab_06.Jun[SALDO
ATUAL],Tab_06.Jun[CONTA],$I164)</f>
        <v>-1232876.47</v>
      </c>
      <c r="G164" s="4">
        <f t="shared" si="6"/>
        <v>0</v>
      </c>
      <c r="H164" s="191">
        <v>31680</v>
      </c>
      <c r="I164" s="3" t="s">
        <v>393</v>
      </c>
      <c r="J164" s="3" t="s">
        <v>394</v>
      </c>
      <c r="K164" s="4">
        <v>-1232876.47</v>
      </c>
      <c r="L164" s="4">
        <v>0</v>
      </c>
      <c r="M164" s="4">
        <v>435543.91</v>
      </c>
      <c r="N164" s="4">
        <v>-1668420.38</v>
      </c>
      <c r="O164" s="4">
        <f>Tab_07.Jul[[#This Row],[DÉBITO]]-Tab_07.Jul[[#This Row],[CRÉDITO]]</f>
        <v>-435543.91</v>
      </c>
    </row>
    <row r="165" spans="2:15" x14ac:dyDescent="0.3">
      <c r="B165" s="2" t="str">
        <f>_xlfn.XLOOKUP($I165,Tab_00.Trial[CONTA],Tab_00.Trial[TP],"",0,1)</f>
        <v>R</v>
      </c>
      <c r="C165" s="2">
        <f>_xlfn.XLOOKUP($I165,Tab_00.Trial[CONTA],Tab_00.Trial[NV],"",0,1)</f>
        <v>2</v>
      </c>
      <c r="D165" s="2" t="str">
        <f>_xlfn.XLOOKUP($I165,Tab_00.Trial[CONTA],Tab_00.Trial[S/A],"",0,1)</f>
        <v>S</v>
      </c>
      <c r="E165" s="2">
        <f>IF($I165="","",COUNTIFS(Tab_00.Trial[CONTA],$I165))</f>
        <v>1</v>
      </c>
      <c r="F165" s="4">
        <f>SUMIFS(Tab_06.Jun[SALDO
ATUAL],Tab_06.Jun[CONTA],$I165)</f>
        <v>-6200</v>
      </c>
      <c r="G165" s="4">
        <f t="shared" si="6"/>
        <v>0</v>
      </c>
      <c r="H165" s="191">
        <v>31725</v>
      </c>
      <c r="I165" s="3" t="s">
        <v>587</v>
      </c>
      <c r="J165" s="3" t="s">
        <v>691</v>
      </c>
      <c r="K165" s="4">
        <v>-6200</v>
      </c>
      <c r="L165" s="4">
        <v>0</v>
      </c>
      <c r="M165" s="4">
        <v>1250</v>
      </c>
      <c r="N165" s="4">
        <v>-7450</v>
      </c>
      <c r="O165" s="4">
        <f>Tab_07.Jul[[#This Row],[DÉBITO]]-Tab_07.Jul[[#This Row],[CRÉDITO]]</f>
        <v>-1250</v>
      </c>
    </row>
    <row r="166" spans="2:15" x14ac:dyDescent="0.3">
      <c r="B166" s="2" t="str">
        <f>_xlfn.XLOOKUP($I166,Tab_00.Trial[CONTA],Tab_00.Trial[TP],"",0,1)</f>
        <v>R</v>
      </c>
      <c r="C166" s="2">
        <f>_xlfn.XLOOKUP($I166,Tab_00.Trial[CONTA],Tab_00.Trial[NV],"",0,1)</f>
        <v>5</v>
      </c>
      <c r="D166" s="2" t="str">
        <f>_xlfn.XLOOKUP($I166,Tab_00.Trial[CONTA],Tab_00.Trial[S/A],"",0,1)</f>
        <v>S</v>
      </c>
      <c r="E166" s="2">
        <f>IF($I166="","",COUNTIFS(Tab_00.Trial[CONTA],$I166))</f>
        <v>1</v>
      </c>
      <c r="F166" s="4">
        <f>SUMIFS(Tab_06.Jun[SALDO
ATUAL],Tab_06.Jun[CONTA],$I166)</f>
        <v>-6200</v>
      </c>
      <c r="G166" s="4">
        <f t="shared" si="6"/>
        <v>0</v>
      </c>
      <c r="H166" s="191">
        <v>30722</v>
      </c>
      <c r="I166" s="3" t="s">
        <v>588</v>
      </c>
      <c r="J166" s="3" t="s">
        <v>692</v>
      </c>
      <c r="K166" s="4">
        <v>-6200</v>
      </c>
      <c r="L166" s="4">
        <v>0</v>
      </c>
      <c r="M166" s="4">
        <v>1250</v>
      </c>
      <c r="N166" s="4">
        <v>-7450</v>
      </c>
      <c r="O166" s="4">
        <f>Tab_07.Jul[[#This Row],[DÉBITO]]-Tab_07.Jul[[#This Row],[CRÉDITO]]</f>
        <v>-1250</v>
      </c>
    </row>
    <row r="167" spans="2:15" x14ac:dyDescent="0.3">
      <c r="B167" s="2" t="str">
        <f>_xlfn.XLOOKUP($I167,Tab_00.Trial[CONTA],Tab_00.Trial[TP],"",0,1)</f>
        <v>R</v>
      </c>
      <c r="C167" s="2">
        <f>_xlfn.XLOOKUP($I167,Tab_00.Trial[CONTA],Tab_00.Trial[NV],"",0,1)</f>
        <v>5</v>
      </c>
      <c r="D167" s="2" t="str">
        <f>_xlfn.XLOOKUP($I167,Tab_00.Trial[CONTA],Tab_00.Trial[S/A],"",0,1)</f>
        <v>S</v>
      </c>
      <c r="E167" s="2">
        <f>IF($I167="","",COUNTIFS(Tab_00.Trial[CONTA],$I167))</f>
        <v>1</v>
      </c>
      <c r="F167" s="4">
        <f>SUMIFS(Tab_06.Jun[SALDO
ATUAL],Tab_06.Jun[CONTA],$I167)</f>
        <v>-6200</v>
      </c>
      <c r="G167" s="4">
        <f t="shared" si="6"/>
        <v>0</v>
      </c>
      <c r="H167" s="191">
        <v>30729</v>
      </c>
      <c r="I167" s="3" t="s">
        <v>589</v>
      </c>
      <c r="J167" s="3" t="s">
        <v>692</v>
      </c>
      <c r="K167" s="4">
        <v>-6200</v>
      </c>
      <c r="L167" s="4">
        <v>0</v>
      </c>
      <c r="M167" s="4">
        <v>1250</v>
      </c>
      <c r="N167" s="4">
        <v>-7450</v>
      </c>
      <c r="O167" s="4">
        <f>Tab_07.Jul[[#This Row],[DÉBITO]]-Tab_07.Jul[[#This Row],[CRÉDITO]]</f>
        <v>-1250</v>
      </c>
    </row>
    <row r="168" spans="2:15" x14ac:dyDescent="0.3">
      <c r="B168" s="2" t="str">
        <f>_xlfn.XLOOKUP($I168,Tab_00.Trial[CONTA],Tab_00.Trial[TP],"",0,1)</f>
        <v>R</v>
      </c>
      <c r="C168" s="2">
        <f>_xlfn.XLOOKUP($I168,Tab_00.Trial[CONTA],Tab_00.Trial[NV],"",0,1)</f>
        <v>5</v>
      </c>
      <c r="D168" s="2" t="str">
        <f>_xlfn.XLOOKUP($I168,Tab_00.Trial[CONTA],Tab_00.Trial[S/A],"",0,1)</f>
        <v>A</v>
      </c>
      <c r="E168" s="2">
        <f>IF($I168="","",COUNTIFS(Tab_00.Trial[CONTA],$I168))</f>
        <v>1</v>
      </c>
      <c r="F168" s="4">
        <f>SUMIFS(Tab_06.Jun[SALDO
ATUAL],Tab_06.Jun[CONTA],$I168)</f>
        <v>-6200</v>
      </c>
      <c r="G168" s="4">
        <f t="shared" si="6"/>
        <v>0</v>
      </c>
      <c r="H168" s="191">
        <v>30736</v>
      </c>
      <c r="I168" s="3" t="s">
        <v>395</v>
      </c>
      <c r="J168" s="3" t="s">
        <v>396</v>
      </c>
      <c r="K168" s="4">
        <v>-6200</v>
      </c>
      <c r="L168" s="4">
        <v>0</v>
      </c>
      <c r="M168" s="4">
        <v>1250</v>
      </c>
      <c r="N168" s="4">
        <v>-7450</v>
      </c>
      <c r="O168" s="4">
        <f>Tab_07.Jul[[#This Row],[DÉBITO]]-Tab_07.Jul[[#This Row],[CRÉDITO]]</f>
        <v>-1250</v>
      </c>
    </row>
    <row r="169" spans="2:15" x14ac:dyDescent="0.3">
      <c r="B169" s="2" t="str">
        <f>_xlfn.XLOOKUP($I169,Tab_00.Trial[CONTA],Tab_00.Trial[TP],"",0,1)</f>
        <v>C</v>
      </c>
      <c r="C169" s="2">
        <f>_xlfn.XLOOKUP($I169,Tab_00.Trial[CONTA],Tab_00.Trial[NV],"",0,1)</f>
        <v>1</v>
      </c>
      <c r="D169" s="2" t="str">
        <f>_xlfn.XLOOKUP($I169,Tab_00.Trial[CONTA],Tab_00.Trial[S/A],"",0,1)</f>
        <v>S</v>
      </c>
      <c r="E169" s="2">
        <f>IF($I169="","",COUNTIFS(Tab_00.Trial[CONTA],$I169))</f>
        <v>1</v>
      </c>
      <c r="F169" s="4">
        <f>SUMIFS(Tab_06.Jun[SALDO
ATUAL],Tab_06.Jun[CONTA],$I169)</f>
        <v>5012429.41</v>
      </c>
      <c r="G169" s="4">
        <f t="shared" si="6"/>
        <v>0</v>
      </c>
      <c r="H169" s="191">
        <v>40000</v>
      </c>
      <c r="I169" s="3">
        <v>4</v>
      </c>
      <c r="J169" s="3" t="s">
        <v>693</v>
      </c>
      <c r="K169" s="4">
        <v>5012429.41</v>
      </c>
      <c r="L169" s="4">
        <v>858610.27</v>
      </c>
      <c r="M169" s="4">
        <v>14978.01</v>
      </c>
      <c r="N169" s="4">
        <v>5856061.6699999999</v>
      </c>
      <c r="O169" s="4">
        <f>Tab_07.Jul[[#This Row],[DÉBITO]]-Tab_07.Jul[[#This Row],[CRÉDITO]]</f>
        <v>843632.26</v>
      </c>
    </row>
    <row r="170" spans="2:15" x14ac:dyDescent="0.3">
      <c r="B170" s="2" t="str">
        <f>_xlfn.XLOOKUP($I170,Tab_00.Trial[CONTA],Tab_00.Trial[TP],"",0,1)</f>
        <v>C</v>
      </c>
      <c r="C170" s="2">
        <f>_xlfn.XLOOKUP($I170,Tab_00.Trial[CONTA],Tab_00.Trial[NV],"",0,1)</f>
        <v>2</v>
      </c>
      <c r="D170" s="2" t="str">
        <f>_xlfn.XLOOKUP($I170,Tab_00.Trial[CONTA],Tab_00.Trial[S/A],"",0,1)</f>
        <v>S</v>
      </c>
      <c r="E170" s="2">
        <f>IF($I170="","",COUNTIFS(Tab_00.Trial[CONTA],$I170))</f>
        <v>1</v>
      </c>
      <c r="F170" s="4">
        <f>SUMIFS(Tab_06.Jun[SALDO
ATUAL],Tab_06.Jun[CONTA],$I170)</f>
        <v>5012429.41</v>
      </c>
      <c r="G170" s="4">
        <f t="shared" si="6"/>
        <v>0</v>
      </c>
      <c r="H170" s="191">
        <v>40015</v>
      </c>
      <c r="I170" s="3" t="s">
        <v>234</v>
      </c>
      <c r="J170" s="3" t="s">
        <v>817</v>
      </c>
      <c r="K170" s="4">
        <v>5012429.41</v>
      </c>
      <c r="L170" s="4">
        <v>858594.1</v>
      </c>
      <c r="M170" s="4">
        <v>14978.01</v>
      </c>
      <c r="N170" s="4">
        <v>5856045.5</v>
      </c>
      <c r="O170" s="4">
        <f>Tab_07.Jul[[#This Row],[DÉBITO]]-Tab_07.Jul[[#This Row],[CRÉDITO]]</f>
        <v>843616.09</v>
      </c>
    </row>
    <row r="171" spans="2:15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5</v>
      </c>
      <c r="D171" s="2" t="str">
        <f>_xlfn.XLOOKUP($I171,Tab_00.Trial[CONTA],Tab_00.Trial[S/A],"",0,1)</f>
        <v>S</v>
      </c>
      <c r="E171" s="2">
        <f>IF($I171="","",COUNTIFS(Tab_00.Trial[CONTA],$I171))</f>
        <v>1</v>
      </c>
      <c r="F171" s="4">
        <f>SUMIFS(Tab_06.Jun[SALDO
ATUAL],Tab_06.Jun[CONTA],$I171)</f>
        <v>1024992.8</v>
      </c>
      <c r="G171" s="4">
        <f t="shared" si="6"/>
        <v>0</v>
      </c>
      <c r="H171" s="191">
        <v>40030</v>
      </c>
      <c r="I171" s="3" t="s">
        <v>235</v>
      </c>
      <c r="J171" s="3" t="s">
        <v>818</v>
      </c>
      <c r="K171" s="4">
        <v>1024992.8</v>
      </c>
      <c r="L171" s="4">
        <v>156597.51</v>
      </c>
      <c r="M171" s="4">
        <v>14978.01</v>
      </c>
      <c r="N171" s="4">
        <v>1166612.3</v>
      </c>
      <c r="O171" s="4">
        <f>Tab_07.Jul[[#This Row],[DÉBITO]]-Tab_07.Jul[[#This Row],[CRÉDITO]]</f>
        <v>141619.5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5</v>
      </c>
      <c r="D172" s="2" t="str">
        <f>_xlfn.XLOOKUP($I172,Tab_00.Trial[CONTA],Tab_00.Trial[S/A],"",0,1)</f>
        <v>S</v>
      </c>
      <c r="E172" s="2">
        <f>IF($I172="","",COUNTIFS(Tab_00.Trial[CONTA],$I172))</f>
        <v>1</v>
      </c>
      <c r="F172" s="4">
        <f>SUMIFS(Tab_06.Jun[SALDO
ATUAL],Tab_06.Jun[CONTA],$I172)</f>
        <v>422451</v>
      </c>
      <c r="G172" s="4">
        <f t="shared" si="6"/>
        <v>0</v>
      </c>
      <c r="H172" s="191">
        <v>40045</v>
      </c>
      <c r="I172" s="3" t="s">
        <v>236</v>
      </c>
      <c r="J172" s="3" t="s">
        <v>696</v>
      </c>
      <c r="K172" s="4">
        <v>422451</v>
      </c>
      <c r="L172" s="4">
        <v>65941.08</v>
      </c>
      <c r="M172" s="4">
        <v>11147.59</v>
      </c>
      <c r="N172" s="4">
        <v>477244.49</v>
      </c>
      <c r="O172" s="4">
        <f>Tab_07.Jul[[#This Row],[DÉBITO]]-Tab_07.Jul[[#This Row],[CRÉDITO]]</f>
        <v>54793.49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A</v>
      </c>
      <c r="E173" s="2">
        <f>IF($I173="","",COUNTIFS(Tab_00.Trial[CONTA],$I173))</f>
        <v>1</v>
      </c>
      <c r="F173" s="4">
        <f>SUMIFS(Tab_06.Jun[SALDO
ATUAL],Tab_06.Jun[CONTA],$I173)</f>
        <v>289892.45</v>
      </c>
      <c r="G173" s="4">
        <f t="shared" si="6"/>
        <v>0</v>
      </c>
      <c r="H173" s="191">
        <v>40060</v>
      </c>
      <c r="I173" s="3" t="s">
        <v>195</v>
      </c>
      <c r="J173" s="3" t="s">
        <v>427</v>
      </c>
      <c r="K173" s="4">
        <v>289892.45</v>
      </c>
      <c r="L173" s="4">
        <v>48223.8</v>
      </c>
      <c r="M173" s="4">
        <v>11147.59</v>
      </c>
      <c r="N173" s="4">
        <v>326968.65999999997</v>
      </c>
      <c r="O173" s="4">
        <f>Tab_07.Jul[[#This Row],[DÉBITO]]-Tab_07.Jul[[#This Row],[CRÉDITO]]</f>
        <v>37076.21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A</v>
      </c>
      <c r="E174" s="2">
        <f>IF($I174="","",COUNTIFS(Tab_00.Trial[CONTA],$I174))</f>
        <v>1</v>
      </c>
      <c r="F174" s="4">
        <f>SUMIFS(Tab_06.Jun[SALDO
ATUAL],Tab_06.Jun[CONTA],$I174)</f>
        <v>46745.78</v>
      </c>
      <c r="G174" s="4">
        <f t="shared" si="6"/>
        <v>0</v>
      </c>
      <c r="H174" s="191">
        <v>40075</v>
      </c>
      <c r="I174" s="3" t="s">
        <v>430</v>
      </c>
      <c r="J174" s="3" t="s">
        <v>431</v>
      </c>
      <c r="K174" s="4">
        <v>46745.78</v>
      </c>
      <c r="L174" s="4">
        <v>6726.67</v>
      </c>
      <c r="M174" s="4">
        <v>0</v>
      </c>
      <c r="N174" s="4">
        <v>53472.45</v>
      </c>
      <c r="O174" s="4">
        <f>Tab_07.Jul[[#This Row],[DÉBITO]]-Tab_07.Jul[[#This Row],[CRÉDITO]]</f>
        <v>6726.67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A</v>
      </c>
      <c r="E175" s="2">
        <f>IF($I175="","",COUNTIFS(Tab_00.Trial[CONTA],$I175))</f>
        <v>1</v>
      </c>
      <c r="F175" s="4">
        <f>SUMIFS(Tab_06.Jun[SALDO
ATUAL],Tab_06.Jun[CONTA],$I175)</f>
        <v>30270.16</v>
      </c>
      <c r="G175" s="4">
        <f t="shared" si="6"/>
        <v>0</v>
      </c>
      <c r="H175" s="191">
        <v>40085</v>
      </c>
      <c r="I175" s="3" t="s">
        <v>432</v>
      </c>
      <c r="J175" s="3" t="s">
        <v>433</v>
      </c>
      <c r="K175" s="4">
        <v>30270.16</v>
      </c>
      <c r="L175" s="4">
        <v>6330.11</v>
      </c>
      <c r="M175" s="4">
        <v>0</v>
      </c>
      <c r="N175" s="4">
        <v>36600.269999999997</v>
      </c>
      <c r="O175" s="4">
        <f>Tab_07.Jul[[#This Row],[DÉBITO]]-Tab_07.Jul[[#This Row],[CRÉDITO]]</f>
        <v>6330.11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A</v>
      </c>
      <c r="E176" s="2">
        <f>IF($I176="","",COUNTIFS(Tab_00.Trial[CONTA],$I176))</f>
        <v>1</v>
      </c>
      <c r="F176" s="4">
        <f>SUMIFS(Tab_06.Jun[SALDO
ATUAL],Tab_06.Jun[CONTA],$I176)</f>
        <v>41858.21</v>
      </c>
      <c r="G176" s="4">
        <f t="shared" si="6"/>
        <v>0</v>
      </c>
      <c r="H176" s="191">
        <v>10111</v>
      </c>
      <c r="I176" s="3" t="s">
        <v>790</v>
      </c>
      <c r="J176" s="3" t="s">
        <v>791</v>
      </c>
      <c r="K176" s="4">
        <v>41858.21</v>
      </c>
      <c r="L176" s="4">
        <v>1802.73</v>
      </c>
      <c r="M176" s="4">
        <v>0</v>
      </c>
      <c r="N176" s="4">
        <v>43660.94</v>
      </c>
      <c r="O176" s="4">
        <f>Tab_07.Jul[[#This Row],[DÉBITO]]-Tab_07.Jul[[#This Row],[CRÉDITO]]</f>
        <v>1802.73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A</v>
      </c>
      <c r="E177" s="2">
        <f>IF($I177="","",COUNTIFS(Tab_00.Trial[CONTA],$I177))</f>
        <v>1</v>
      </c>
      <c r="F177" s="4">
        <f>SUMIFS(Tab_06.Jun[SALDO
ATUAL],Tab_06.Jun[CONTA],$I177)</f>
        <v>2517.27</v>
      </c>
      <c r="G177" s="4">
        <f t="shared" si="6"/>
        <v>0</v>
      </c>
      <c r="H177" s="191">
        <v>10118</v>
      </c>
      <c r="I177" s="3" t="s">
        <v>792</v>
      </c>
      <c r="J177" s="3" t="s">
        <v>793</v>
      </c>
      <c r="K177" s="4">
        <v>2517.27</v>
      </c>
      <c r="L177" s="4">
        <v>538.13</v>
      </c>
      <c r="M177" s="4">
        <v>0</v>
      </c>
      <c r="N177" s="4">
        <v>3055.4</v>
      </c>
      <c r="O177" s="4">
        <f>Tab_07.Jul[[#This Row],[DÉBITO]]-Tab_07.Jul[[#This Row],[CRÉDITO]]</f>
        <v>538.13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A</v>
      </c>
      <c r="E178" s="2">
        <f>IF($I178="","",COUNTIFS(Tab_00.Trial[CONTA],$I178))</f>
        <v>1</v>
      </c>
      <c r="F178" s="4">
        <f>SUMIFS(Tab_06.Jun[SALDO
ATUAL],Tab_06.Jun[CONTA],$I178)</f>
        <v>330.49</v>
      </c>
      <c r="G178" s="4">
        <f t="shared" ref="G178:G198" si="7">$F178-$K178</f>
        <v>0</v>
      </c>
      <c r="H178" s="191">
        <v>10139</v>
      </c>
      <c r="I178" s="3" t="s">
        <v>794</v>
      </c>
      <c r="J178" s="3" t="s">
        <v>795</v>
      </c>
      <c r="K178" s="4">
        <v>330.49</v>
      </c>
      <c r="L178" s="4">
        <v>67.28</v>
      </c>
      <c r="M178" s="4">
        <v>0</v>
      </c>
      <c r="N178" s="4">
        <v>397.77</v>
      </c>
      <c r="O178" s="4">
        <f>Tab_07.Jul[[#This Row],[DÉBITO]]-Tab_07.Jul[[#This Row],[CRÉDITO]]</f>
        <v>67.28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A</v>
      </c>
      <c r="E179" s="2">
        <f>IF($I179="","",COUNTIFS(Tab_00.Trial[CONTA],$I179))</f>
        <v>1</v>
      </c>
      <c r="F179" s="4">
        <f>SUMIFS(Tab_06.Jun[SALDO
ATUAL],Tab_06.Jun[CONTA],$I179)</f>
        <v>8112.36</v>
      </c>
      <c r="G179" s="4">
        <f t="shared" si="7"/>
        <v>0</v>
      </c>
      <c r="H179" s="191">
        <v>10146</v>
      </c>
      <c r="I179" s="3" t="s">
        <v>796</v>
      </c>
      <c r="J179" s="3" t="s">
        <v>797</v>
      </c>
      <c r="K179" s="4">
        <v>8112.36</v>
      </c>
      <c r="L179" s="4">
        <v>1695.5</v>
      </c>
      <c r="M179" s="4">
        <v>0</v>
      </c>
      <c r="N179" s="4">
        <v>9807.86</v>
      </c>
      <c r="O179" s="4">
        <f>Tab_07.Jul[[#This Row],[DÉBITO]]-Tab_07.Jul[[#This Row],[CRÉDITO]]</f>
        <v>1695.5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A</v>
      </c>
      <c r="E180" s="2">
        <f>IF($I180="","",COUNTIFS(Tab_00.Trial[CONTA],$I180))</f>
        <v>1</v>
      </c>
      <c r="F180" s="4">
        <f>SUMIFS(Tab_06.Jun[SALDO
ATUAL],Tab_06.Jun[CONTA],$I180)</f>
        <v>2421.59</v>
      </c>
      <c r="G180" s="4">
        <f t="shared" si="7"/>
        <v>0</v>
      </c>
      <c r="H180" s="191">
        <v>10153</v>
      </c>
      <c r="I180" s="3" t="s">
        <v>798</v>
      </c>
      <c r="J180" s="3" t="s">
        <v>799</v>
      </c>
      <c r="K180" s="4">
        <v>2421.59</v>
      </c>
      <c r="L180" s="4">
        <v>506.41</v>
      </c>
      <c r="M180" s="4">
        <v>0</v>
      </c>
      <c r="N180" s="4">
        <v>2928</v>
      </c>
      <c r="O180" s="4">
        <f>Tab_07.Jul[[#This Row],[DÉBITO]]-Tab_07.Jul[[#This Row],[CRÉDITO]]</f>
        <v>506.41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A</v>
      </c>
      <c r="E181" s="2">
        <f>IF($I181="","",COUNTIFS(Tab_00.Trial[CONTA],$I181))</f>
        <v>1</v>
      </c>
      <c r="F181" s="4">
        <f>SUMIFS(Tab_06.Jun[SALDO
ATUAL],Tab_06.Jun[CONTA],$I181)</f>
        <v>302.69</v>
      </c>
      <c r="G181" s="4">
        <f t="shared" si="7"/>
        <v>0</v>
      </c>
      <c r="H181" s="191">
        <v>10160</v>
      </c>
      <c r="I181" s="3" t="s">
        <v>800</v>
      </c>
      <c r="J181" s="3" t="s">
        <v>801</v>
      </c>
      <c r="K181" s="4">
        <v>302.69</v>
      </c>
      <c r="L181" s="4">
        <v>50.45</v>
      </c>
      <c r="M181" s="4">
        <v>0</v>
      </c>
      <c r="N181" s="4">
        <v>353.14</v>
      </c>
      <c r="O181" s="4">
        <f>Tab_07.Jul[[#This Row],[DÉBITO]]-Tab_07.Jul[[#This Row],[CRÉDITO]]</f>
        <v>50.45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S</v>
      </c>
      <c r="E182" s="2">
        <f>IF($I182="","",COUNTIFS(Tab_00.Trial[CONTA],$I182))</f>
        <v>1</v>
      </c>
      <c r="F182" s="4">
        <f>SUMIFS(Tab_06.Jun[SALDO
ATUAL],Tab_06.Jun[CONTA],$I182)</f>
        <v>155616.79</v>
      </c>
      <c r="G182" s="4">
        <f t="shared" si="7"/>
        <v>0</v>
      </c>
      <c r="H182" s="191">
        <v>40150</v>
      </c>
      <c r="I182" s="3" t="s">
        <v>590</v>
      </c>
      <c r="J182" s="3" t="s">
        <v>697</v>
      </c>
      <c r="K182" s="4">
        <v>155616.79</v>
      </c>
      <c r="L182" s="4">
        <v>26643.32</v>
      </c>
      <c r="M182" s="4">
        <v>3365.72</v>
      </c>
      <c r="N182" s="4">
        <v>178894.39</v>
      </c>
      <c r="O182" s="4">
        <f>Tab_07.Jul[[#This Row],[DÉBITO]]-Tab_07.Jul[[#This Row],[CRÉDITO]]</f>
        <v>23277.599999999999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A</v>
      </c>
      <c r="E183" s="2">
        <f>IF($I183="","",COUNTIFS(Tab_00.Trial[CONTA],$I183))</f>
        <v>1</v>
      </c>
      <c r="F183" s="4">
        <f>SUMIFS(Tab_06.Jun[SALDO
ATUAL],Tab_06.Jun[CONTA],$I183)</f>
        <v>150849.46</v>
      </c>
      <c r="G183" s="4">
        <f t="shared" si="7"/>
        <v>0</v>
      </c>
      <c r="H183" s="191">
        <v>40165</v>
      </c>
      <c r="I183" s="3" t="s">
        <v>434</v>
      </c>
      <c r="J183" s="3" t="s">
        <v>435</v>
      </c>
      <c r="K183" s="4">
        <v>150849.46</v>
      </c>
      <c r="L183" s="4">
        <v>25050.02</v>
      </c>
      <c r="M183" s="4">
        <v>1487.14</v>
      </c>
      <c r="N183" s="4">
        <v>174412.34</v>
      </c>
      <c r="O183" s="4">
        <f>Tab_07.Jul[[#This Row],[DÉBITO]]-Tab_07.Jul[[#This Row],[CRÉDITO]]</f>
        <v>23562.880000000001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A</v>
      </c>
      <c r="E184" s="2">
        <f>IF($I184="","",COUNTIFS(Tab_00.Trial[CONTA],$I184))</f>
        <v>1</v>
      </c>
      <c r="F184" s="4">
        <f>SUMIFS(Tab_06.Jun[SALDO
ATUAL],Tab_06.Jun[CONTA],$I184)</f>
        <v>4767.33</v>
      </c>
      <c r="G184" s="4">
        <f t="shared" si="7"/>
        <v>0</v>
      </c>
      <c r="H184" s="191">
        <v>40195</v>
      </c>
      <c r="I184" s="3" t="s">
        <v>750</v>
      </c>
      <c r="J184" s="3" t="s">
        <v>751</v>
      </c>
      <c r="K184" s="4">
        <v>4767.33</v>
      </c>
      <c r="L184" s="4">
        <v>1593.3</v>
      </c>
      <c r="M184" s="4">
        <v>1878.58</v>
      </c>
      <c r="N184" s="4">
        <v>4482.05</v>
      </c>
      <c r="O184" s="4">
        <f>Tab_07.Jul[[#This Row],[DÉBITO]]-Tab_07.Jul[[#This Row],[CRÉDITO]]</f>
        <v>-285.27999999999997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S</v>
      </c>
      <c r="E185" s="2">
        <f>IF($I185="","",COUNTIFS(Tab_00.Trial[CONTA],$I185))</f>
        <v>1</v>
      </c>
      <c r="F185" s="4">
        <f>SUMIFS(Tab_06.Jun[SALDO
ATUAL],Tab_06.Jun[CONTA],$I185)</f>
        <v>130610.46</v>
      </c>
      <c r="G185" s="4">
        <f t="shared" si="7"/>
        <v>0</v>
      </c>
      <c r="H185" s="191">
        <v>40210</v>
      </c>
      <c r="I185" s="3" t="s">
        <v>591</v>
      </c>
      <c r="J185" s="3" t="s">
        <v>698</v>
      </c>
      <c r="K185" s="4">
        <v>130610.46</v>
      </c>
      <c r="L185" s="4">
        <v>13616.33</v>
      </c>
      <c r="M185" s="4">
        <v>464.7</v>
      </c>
      <c r="N185" s="4">
        <v>143762.09</v>
      </c>
      <c r="O185" s="4">
        <f>Tab_07.Jul[[#This Row],[DÉBITO]]-Tab_07.Jul[[#This Row],[CRÉDITO]]</f>
        <v>13151.63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A</v>
      </c>
      <c r="E186" s="2">
        <f>IF($I186="","",COUNTIFS(Tab_00.Trial[CONTA],$I186))</f>
        <v>1</v>
      </c>
      <c r="F186" s="4">
        <f>SUMIFS(Tab_06.Jun[SALDO
ATUAL],Tab_06.Jun[CONTA],$I186)</f>
        <v>104991.49</v>
      </c>
      <c r="G186" s="4">
        <f t="shared" si="7"/>
        <v>0</v>
      </c>
      <c r="H186" s="191">
        <v>40225</v>
      </c>
      <c r="I186" s="3" t="s">
        <v>436</v>
      </c>
      <c r="J186" s="3" t="s">
        <v>437</v>
      </c>
      <c r="K186" s="4">
        <v>104991.49</v>
      </c>
      <c r="L186" s="4">
        <v>9936.44</v>
      </c>
      <c r="M186" s="4">
        <v>0</v>
      </c>
      <c r="N186" s="4">
        <v>114927.93</v>
      </c>
      <c r="O186" s="4">
        <f>Tab_07.Jul[[#This Row],[DÉBITO]]-Tab_07.Jul[[#This Row],[CRÉDITO]]</f>
        <v>9936.44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A</v>
      </c>
      <c r="E187" s="2">
        <f>IF($I187="","",COUNTIFS(Tab_00.Trial[CONTA],$I187))</f>
        <v>1</v>
      </c>
      <c r="F187" s="4">
        <f>SUMIFS(Tab_06.Jun[SALDO
ATUAL],Tab_06.Jun[CONTA],$I187)</f>
        <v>22010.29</v>
      </c>
      <c r="G187" s="4">
        <f t="shared" si="7"/>
        <v>0</v>
      </c>
      <c r="H187" s="191">
        <v>40240</v>
      </c>
      <c r="I187" s="3" t="s">
        <v>438</v>
      </c>
      <c r="J187" s="3" t="s">
        <v>196</v>
      </c>
      <c r="K187" s="4">
        <v>22010.29</v>
      </c>
      <c r="L187" s="4">
        <v>3309.12</v>
      </c>
      <c r="M187" s="4">
        <v>464.7</v>
      </c>
      <c r="N187" s="4">
        <v>24854.71</v>
      </c>
      <c r="O187" s="4">
        <f>Tab_07.Jul[[#This Row],[DÉBITO]]-Tab_07.Jul[[#This Row],[CRÉDITO]]</f>
        <v>2844.42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A</v>
      </c>
      <c r="E188" s="2">
        <f>IF($I188="","",COUNTIFS(Tab_00.Trial[CONTA],$I188))</f>
        <v>1</v>
      </c>
      <c r="F188" s="4">
        <f>SUMIFS(Tab_06.Jun[SALDO
ATUAL],Tab_06.Jun[CONTA],$I188)</f>
        <v>3608.68</v>
      </c>
      <c r="G188" s="4">
        <f t="shared" si="7"/>
        <v>0</v>
      </c>
      <c r="H188" s="191">
        <v>40255</v>
      </c>
      <c r="I188" s="3" t="s">
        <v>439</v>
      </c>
      <c r="J188" s="3" t="s">
        <v>440</v>
      </c>
      <c r="K188" s="4">
        <v>3608.68</v>
      </c>
      <c r="L188" s="4">
        <v>370.77</v>
      </c>
      <c r="M188" s="4">
        <v>0</v>
      </c>
      <c r="N188" s="4">
        <v>3979.45</v>
      </c>
      <c r="O188" s="4">
        <f>Tab_07.Jul[[#This Row],[DÉBITO]]-Tab_07.Jul[[#This Row],[CRÉDITO]]</f>
        <v>370.77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S</v>
      </c>
      <c r="E189" s="2">
        <f>IF($I189="","",COUNTIFS(Tab_00.Trial[CONTA],$I189))</f>
        <v>1</v>
      </c>
      <c r="F189" s="4">
        <f>SUMIFS(Tab_06.Jun[SALDO
ATUAL],Tab_06.Jun[CONTA],$I189)</f>
        <v>8031.9</v>
      </c>
      <c r="G189" s="4">
        <f t="shared" si="7"/>
        <v>0</v>
      </c>
      <c r="H189" s="191">
        <v>40285</v>
      </c>
      <c r="I189" s="3" t="s">
        <v>592</v>
      </c>
      <c r="J189" s="3" t="s">
        <v>699</v>
      </c>
      <c r="K189" s="4">
        <v>8031.9</v>
      </c>
      <c r="L189" s="4">
        <v>1711.6</v>
      </c>
      <c r="M189" s="4">
        <v>0</v>
      </c>
      <c r="N189" s="4">
        <v>9743.5</v>
      </c>
      <c r="O189" s="4">
        <f>Tab_07.Jul[[#This Row],[DÉBITO]]-Tab_07.Jul[[#This Row],[CRÉDITO]]</f>
        <v>1711.6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A</v>
      </c>
      <c r="E190" s="2">
        <f>IF($I190="","",COUNTIFS(Tab_00.Trial[CONTA],$I190))</f>
        <v>1</v>
      </c>
      <c r="F190" s="4">
        <f>SUMIFS(Tab_06.Jun[SALDO
ATUAL],Tab_06.Jun[CONTA],$I190)</f>
        <v>8031.9</v>
      </c>
      <c r="G190" s="4">
        <f t="shared" si="7"/>
        <v>0</v>
      </c>
      <c r="H190" s="191">
        <v>40300</v>
      </c>
      <c r="I190" s="3" t="s">
        <v>397</v>
      </c>
      <c r="J190" s="3" t="s">
        <v>398</v>
      </c>
      <c r="K190" s="4">
        <v>8031.9</v>
      </c>
      <c r="L190" s="4">
        <v>1711.6</v>
      </c>
      <c r="M190" s="4">
        <v>0</v>
      </c>
      <c r="N190" s="4">
        <v>9743.5</v>
      </c>
      <c r="O190" s="4">
        <f>Tab_07.Jul[[#This Row],[DÉBITO]]-Tab_07.Jul[[#This Row],[CRÉDITO]]</f>
        <v>1711.6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S</v>
      </c>
      <c r="E191" s="2">
        <f>IF($I191="","",COUNTIFS(Tab_00.Trial[CONTA],$I191))</f>
        <v>1</v>
      </c>
      <c r="F191" s="4">
        <f>SUMIFS(Tab_06.Jun[SALDO
ATUAL],Tab_06.Jun[CONTA],$I191)</f>
        <v>213723.01</v>
      </c>
      <c r="G191" s="4">
        <f t="shared" si="7"/>
        <v>0</v>
      </c>
      <c r="H191" s="191">
        <v>40295</v>
      </c>
      <c r="I191" s="3" t="s">
        <v>593</v>
      </c>
      <c r="J191" s="3" t="s">
        <v>711</v>
      </c>
      <c r="K191" s="4">
        <v>213723.01</v>
      </c>
      <c r="L191" s="4">
        <v>31975.96</v>
      </c>
      <c r="M191" s="4">
        <v>0</v>
      </c>
      <c r="N191" s="4">
        <v>245698.97</v>
      </c>
      <c r="O191" s="4">
        <f>Tab_07.Jul[[#This Row],[DÉBITO]]-Tab_07.Jul[[#This Row],[CRÉDITO]]</f>
        <v>31975.96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A</v>
      </c>
      <c r="E192" s="2">
        <f>IF($I192="","",COUNTIFS(Tab_00.Trial[CONTA],$I192))</f>
        <v>1</v>
      </c>
      <c r="F192" s="4">
        <f>SUMIFS(Tab_06.Jun[SALDO
ATUAL],Tab_06.Jun[CONTA],$I192)</f>
        <v>24815.759999999998</v>
      </c>
      <c r="G192" s="4">
        <f t="shared" si="7"/>
        <v>0</v>
      </c>
      <c r="H192" s="191">
        <v>40339</v>
      </c>
      <c r="I192" s="3" t="s">
        <v>403</v>
      </c>
      <c r="J192" s="3" t="s">
        <v>404</v>
      </c>
      <c r="K192" s="4">
        <v>24815.759999999998</v>
      </c>
      <c r="L192" s="4">
        <v>4135.96</v>
      </c>
      <c r="M192" s="4">
        <v>0</v>
      </c>
      <c r="N192" s="4">
        <v>28951.72</v>
      </c>
      <c r="O192" s="4">
        <f>Tab_07.Jul[[#This Row],[DÉBITO]]-Tab_07.Jul[[#This Row],[CRÉDITO]]</f>
        <v>4135.96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5</v>
      </c>
      <c r="D193" s="2" t="str">
        <f>_xlfn.XLOOKUP($I193,Tab_00.Trial[CONTA],Tab_00.Trial[S/A],"",0,1)</f>
        <v>A</v>
      </c>
      <c r="E193" s="2">
        <f>IF($I193="","",COUNTIFS(Tab_00.Trial[CONTA],$I193))</f>
        <v>1</v>
      </c>
      <c r="F193" s="4">
        <f>SUMIFS(Tab_06.Jun[SALDO
ATUAL],Tab_06.Jun[CONTA],$I193)</f>
        <v>168542</v>
      </c>
      <c r="G193" s="4">
        <f t="shared" si="7"/>
        <v>0</v>
      </c>
      <c r="H193" s="191">
        <v>40341</v>
      </c>
      <c r="I193" s="3" t="s">
        <v>405</v>
      </c>
      <c r="J193" s="3" t="s">
        <v>406</v>
      </c>
      <c r="K193" s="4">
        <v>168542</v>
      </c>
      <c r="L193" s="4">
        <v>27840</v>
      </c>
      <c r="M193" s="4">
        <v>0</v>
      </c>
      <c r="N193" s="4">
        <v>196382</v>
      </c>
      <c r="O193" s="4">
        <f>Tab_07.Jul[[#This Row],[DÉBITO]]-Tab_07.Jul[[#This Row],[CRÉDITO]]</f>
        <v>27840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5</v>
      </c>
      <c r="D194" s="2" t="str">
        <f>_xlfn.XLOOKUP($I194,Tab_00.Trial[CONTA],Tab_00.Trial[S/A],"",0,1)</f>
        <v>A</v>
      </c>
      <c r="E194" s="2">
        <f>IF($I194="","",COUNTIFS(Tab_00.Trial[CONTA],$I194))</f>
        <v>1</v>
      </c>
      <c r="F194" s="4">
        <f>SUMIFS(Tab_06.Jun[SALDO
ATUAL],Tab_06.Jun[CONTA],$I194)</f>
        <v>20365.25</v>
      </c>
      <c r="G194" s="4">
        <f t="shared" si="7"/>
        <v>0</v>
      </c>
      <c r="H194" s="191">
        <v>40350</v>
      </c>
      <c r="I194" s="3" t="s">
        <v>407</v>
      </c>
      <c r="J194" s="3" t="s">
        <v>408</v>
      </c>
      <c r="K194" s="4">
        <v>20365.25</v>
      </c>
      <c r="L194" s="4">
        <v>0</v>
      </c>
      <c r="M194" s="4">
        <v>0</v>
      </c>
      <c r="N194" s="4">
        <v>20365.25</v>
      </c>
      <c r="O194" s="4">
        <f>Tab_07.Jul[[#This Row],[DÉBITO]]-Tab_07.Jul[[#This Row],[CRÉDITO]]</f>
        <v>0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S</v>
      </c>
      <c r="E195" s="2">
        <f>IF($I195="","",COUNTIFS(Tab_00.Trial[CONTA],$I195))</f>
        <v>1</v>
      </c>
      <c r="F195" s="4">
        <f>SUMIFS(Tab_06.Jun[SALDO
ATUAL],Tab_06.Jun[CONTA],$I195)</f>
        <v>90856.76</v>
      </c>
      <c r="G195" s="4">
        <f t="shared" si="7"/>
        <v>0</v>
      </c>
      <c r="H195" s="191">
        <v>40353</v>
      </c>
      <c r="I195" s="3" t="s">
        <v>594</v>
      </c>
      <c r="J195" s="3" t="s">
        <v>819</v>
      </c>
      <c r="K195" s="4">
        <v>90856.76</v>
      </c>
      <c r="L195" s="4">
        <v>16281.96</v>
      </c>
      <c r="M195" s="4">
        <v>0</v>
      </c>
      <c r="N195" s="4">
        <v>107138.72</v>
      </c>
      <c r="O195" s="4">
        <f>Tab_07.Jul[[#This Row],[DÉBITO]]-Tab_07.Jul[[#This Row],[CRÉDITO]]</f>
        <v>16281.96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A</v>
      </c>
      <c r="E196" s="2">
        <f>IF($I196="","",COUNTIFS(Tab_00.Trial[CONTA],$I196))</f>
        <v>1</v>
      </c>
      <c r="F196" s="4">
        <f>SUMIFS(Tab_06.Jun[SALDO
ATUAL],Tab_06.Jun[CONTA],$I196)</f>
        <v>300</v>
      </c>
      <c r="G196" s="4">
        <f t="shared" si="7"/>
        <v>0</v>
      </c>
      <c r="H196" s="191">
        <v>40354</v>
      </c>
      <c r="I196" s="3" t="s">
        <v>411</v>
      </c>
      <c r="J196" s="3" t="s">
        <v>412</v>
      </c>
      <c r="K196" s="4">
        <v>300</v>
      </c>
      <c r="L196" s="4">
        <v>0</v>
      </c>
      <c r="M196" s="4">
        <v>0</v>
      </c>
      <c r="N196" s="4">
        <v>300</v>
      </c>
      <c r="O196" s="4">
        <f>Tab_07.Jul[[#This Row],[DÉBITO]]-Tab_07.Jul[[#This Row],[CRÉDITO]]</f>
        <v>0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5</v>
      </c>
      <c r="D197" s="2" t="str">
        <f>_xlfn.XLOOKUP($I197,Tab_00.Trial[CONTA],Tab_00.Trial[S/A],"",0,1)</f>
        <v>A</v>
      </c>
      <c r="E197" s="2">
        <f>IF($I197="","",COUNTIFS(Tab_00.Trial[CONTA],$I197))</f>
        <v>1</v>
      </c>
      <c r="F197" s="4">
        <f>SUMIFS(Tab_06.Jun[SALDO
ATUAL],Tab_06.Jun[CONTA],$I197)</f>
        <v>90556.76</v>
      </c>
      <c r="G197" s="4">
        <f t="shared" si="7"/>
        <v>0</v>
      </c>
      <c r="H197" s="191">
        <v>40355</v>
      </c>
      <c r="I197" s="3" t="s">
        <v>413</v>
      </c>
      <c r="J197" s="3" t="s">
        <v>414</v>
      </c>
      <c r="K197" s="4">
        <v>90556.76</v>
      </c>
      <c r="L197" s="4">
        <v>16281.96</v>
      </c>
      <c r="M197" s="4">
        <v>0</v>
      </c>
      <c r="N197" s="4">
        <v>106838.72</v>
      </c>
      <c r="O197" s="4">
        <f>Tab_07.Jul[[#This Row],[DÉBITO]]-Tab_07.Jul[[#This Row],[CRÉDITO]]</f>
        <v>16281.96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5</v>
      </c>
      <c r="D198" s="2" t="str">
        <f>_xlfn.XLOOKUP($I198,Tab_00.Trial[CONTA],Tab_00.Trial[S/A],"",0,1)</f>
        <v>S</v>
      </c>
      <c r="E198" s="2">
        <f>IF($I198="","",COUNTIFS(Tab_00.Trial[CONTA],$I198))</f>
        <v>1</v>
      </c>
      <c r="F198" s="4">
        <f>SUMIFS(Tab_06.Jun[SALDO
ATUAL],Tab_06.Jun[CONTA],$I198)</f>
        <v>3702.88</v>
      </c>
      <c r="G198" s="4">
        <f t="shared" si="7"/>
        <v>0</v>
      </c>
      <c r="H198" s="191">
        <v>40365</v>
      </c>
      <c r="I198" s="3" t="s">
        <v>595</v>
      </c>
      <c r="J198" s="3" t="s">
        <v>420</v>
      </c>
      <c r="K198" s="4">
        <v>3702.88</v>
      </c>
      <c r="L198" s="4">
        <v>427.26</v>
      </c>
      <c r="M198" s="4">
        <v>0</v>
      </c>
      <c r="N198" s="4">
        <v>4130.1400000000003</v>
      </c>
      <c r="O198" s="4">
        <f>Tab_07.Jul[[#This Row],[DÉBITO]]-Tab_07.Jul[[#This Row],[CRÉDITO]]</f>
        <v>427.26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5</v>
      </c>
      <c r="D199" s="2" t="str">
        <f>_xlfn.XLOOKUP($I199,Tab_00.Trial[CONTA],Tab_00.Trial[S/A],"",0,1)</f>
        <v>A</v>
      </c>
      <c r="E199" s="2">
        <f>IF($I199="","",COUNTIFS(Tab_00.Trial[CONTA],$I199))</f>
        <v>1</v>
      </c>
      <c r="F199" s="4">
        <f>SUMIFS(Tab_06.Jun[SALDO
ATUAL],Tab_06.Jun[CONTA],$I199)</f>
        <v>3702.88</v>
      </c>
      <c r="G199" s="4">
        <f t="shared" ref="G199:G200" si="8">$F199-$K199</f>
        <v>0</v>
      </c>
      <c r="H199" s="191">
        <v>40366</v>
      </c>
      <c r="I199" s="3" t="s">
        <v>419</v>
      </c>
      <c r="J199" s="3" t="s">
        <v>420</v>
      </c>
      <c r="K199" s="4">
        <v>3702.88</v>
      </c>
      <c r="L199" s="4">
        <v>427.26</v>
      </c>
      <c r="M199" s="4">
        <v>0</v>
      </c>
      <c r="N199" s="4">
        <v>4130.1400000000003</v>
      </c>
      <c r="O199" s="4">
        <f>Tab_07.Jul[[#This Row],[DÉBITO]]-Tab_07.Jul[[#This Row],[CRÉDITO]]</f>
        <v>427.26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5</v>
      </c>
      <c r="D200" s="2" t="str">
        <f>_xlfn.XLOOKUP($I200,Tab_00.Trial[CONTA],Tab_00.Trial[S/A],"",0,1)</f>
        <v>S</v>
      </c>
      <c r="E200" s="2">
        <f>IF($I200="","",COUNTIFS(Tab_00.Trial[CONTA],$I200))</f>
        <v>1</v>
      </c>
      <c r="F200" s="4">
        <f>SUMIFS(Tab_06.Jun[SALDO
ATUAL],Tab_06.Jun[CONTA],$I200)</f>
        <v>3987436.61</v>
      </c>
      <c r="G200" s="4">
        <f t="shared" si="8"/>
        <v>0</v>
      </c>
      <c r="H200" s="191">
        <v>40345</v>
      </c>
      <c r="I200" s="3" t="s">
        <v>237</v>
      </c>
      <c r="J200" s="3" t="s">
        <v>702</v>
      </c>
      <c r="K200" s="4">
        <v>3987436.61</v>
      </c>
      <c r="L200" s="4">
        <v>701996.59</v>
      </c>
      <c r="M200" s="4">
        <v>0</v>
      </c>
      <c r="N200" s="4">
        <v>4689433.2</v>
      </c>
      <c r="O200" s="4">
        <f>Tab_07.Jul[[#This Row],[DÉBITO]]-Tab_07.Jul[[#This Row],[CRÉDITO]]</f>
        <v>701996.59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5</v>
      </c>
      <c r="D201" s="2" t="str">
        <f>_xlfn.XLOOKUP($I201,Tab_00.Trial[CONTA],Tab_00.Trial[S/A],"",0,1)</f>
        <v>S</v>
      </c>
      <c r="E201" s="2">
        <f>IF($I201="","",COUNTIFS(Tab_00.Trial[CONTA],$I201))</f>
        <v>1</v>
      </c>
      <c r="F201" s="4">
        <f>SUMIFS(Tab_06.Jun[SALDO
ATUAL],Tab_06.Jun[CONTA],$I201)</f>
        <v>3987436.61</v>
      </c>
      <c r="G201" s="4">
        <f t="shared" ref="G201:G232" si="9">$F201-$K201</f>
        <v>0</v>
      </c>
      <c r="H201" s="191">
        <v>40360</v>
      </c>
      <c r="I201" s="3" t="s">
        <v>238</v>
      </c>
      <c r="J201" s="3" t="s">
        <v>820</v>
      </c>
      <c r="K201" s="4">
        <v>3987436.61</v>
      </c>
      <c r="L201" s="4">
        <v>701996.59</v>
      </c>
      <c r="M201" s="4">
        <v>0</v>
      </c>
      <c r="N201" s="4">
        <v>4689433.2</v>
      </c>
      <c r="O201" s="4">
        <f>Tab_07.Jul[[#This Row],[DÉBITO]]-Tab_07.Jul[[#This Row],[CRÉDITO]]</f>
        <v>701996.59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5</v>
      </c>
      <c r="D202" s="2" t="str">
        <f>_xlfn.XLOOKUP($I202,Tab_00.Trial[CONTA],Tab_00.Trial[S/A],"",0,1)</f>
        <v>A</v>
      </c>
      <c r="E202" s="2">
        <f>IF($I202="","",COUNTIFS(Tab_00.Trial[CONTA],$I202))</f>
        <v>1</v>
      </c>
      <c r="F202" s="4">
        <f>SUMIFS(Tab_06.Jun[SALDO
ATUAL],Tab_06.Jun[CONTA],$I202)</f>
        <v>1379286.95</v>
      </c>
      <c r="G202" s="4">
        <f t="shared" si="9"/>
        <v>0</v>
      </c>
      <c r="H202" s="191">
        <v>40425</v>
      </c>
      <c r="I202" s="3" t="s">
        <v>421</v>
      </c>
      <c r="J202" s="3" t="s">
        <v>422</v>
      </c>
      <c r="K202" s="4">
        <v>1379286.95</v>
      </c>
      <c r="L202" s="4">
        <v>323149.34999999998</v>
      </c>
      <c r="M202" s="4">
        <v>0</v>
      </c>
      <c r="N202" s="4">
        <v>1702436.3</v>
      </c>
      <c r="O202" s="4">
        <f>Tab_07.Jul[[#This Row],[DÉBITO]]-Tab_07.Jul[[#This Row],[CRÉDITO]]</f>
        <v>323149.34999999998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5</v>
      </c>
      <c r="D203" s="2" t="str">
        <f>_xlfn.XLOOKUP($I203,Tab_00.Trial[CONTA],Tab_00.Trial[S/A],"",0,1)</f>
        <v>A</v>
      </c>
      <c r="E203" s="2">
        <f>IF($I203="","",COUNTIFS(Tab_00.Trial[CONTA],$I203))</f>
        <v>1</v>
      </c>
      <c r="F203" s="4">
        <f>SUMIFS(Tab_06.Jun[SALDO
ATUAL],Tab_06.Jun[CONTA],$I203)</f>
        <v>782226.4</v>
      </c>
      <c r="G203" s="4">
        <f t="shared" si="9"/>
        <v>0</v>
      </c>
      <c r="H203" s="191">
        <v>40468</v>
      </c>
      <c r="I203" s="3" t="s">
        <v>738</v>
      </c>
      <c r="J203" s="3" t="s">
        <v>367</v>
      </c>
      <c r="K203" s="4">
        <v>782226.4</v>
      </c>
      <c r="L203" s="4">
        <v>133881.88</v>
      </c>
      <c r="M203" s="4">
        <v>0</v>
      </c>
      <c r="N203" s="4">
        <v>916108.28</v>
      </c>
      <c r="O203" s="4">
        <f>Tab_07.Jul[[#This Row],[DÉBITO]]-Tab_07.Jul[[#This Row],[CRÉDITO]]</f>
        <v>133881.88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5</v>
      </c>
      <c r="D204" s="2" t="str">
        <f>_xlfn.XLOOKUP($I204,Tab_00.Trial[CONTA],Tab_00.Trial[S/A],"",0,1)</f>
        <v>A</v>
      </c>
      <c r="E204" s="2">
        <f>IF($I204="","",COUNTIFS(Tab_00.Trial[CONTA],$I204))</f>
        <v>1</v>
      </c>
      <c r="F204" s="4">
        <f>SUMIFS(Tab_06.Jun[SALDO
ATUAL],Tab_06.Jun[CONTA],$I204)</f>
        <v>1825923.26</v>
      </c>
      <c r="G204" s="4">
        <f t="shared" si="9"/>
        <v>0</v>
      </c>
      <c r="H204" s="191">
        <v>40469</v>
      </c>
      <c r="I204" s="3" t="s">
        <v>423</v>
      </c>
      <c r="J204" s="3" t="s">
        <v>424</v>
      </c>
      <c r="K204" s="4">
        <v>1825923.26</v>
      </c>
      <c r="L204" s="4">
        <v>244965.36</v>
      </c>
      <c r="M204" s="4">
        <v>0</v>
      </c>
      <c r="N204" s="4">
        <v>2070888.62</v>
      </c>
      <c r="O204" s="4">
        <f>Tab_07.Jul[[#This Row],[DÉBITO]]-Tab_07.Jul[[#This Row],[CRÉDITO]]</f>
        <v>244965.36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2</v>
      </c>
      <c r="D205" s="2" t="str">
        <f>_xlfn.XLOOKUP($I205,Tab_00.Trial[CONTA],Tab_00.Trial[S/A],"",0,1)</f>
        <v>S</v>
      </c>
      <c r="E205" s="2">
        <f>IF($I205="","",COUNTIFS(Tab_00.Trial[CONTA],$I205))</f>
        <v>1</v>
      </c>
      <c r="F205" s="4">
        <f>SUMIFS(Tab_06.Jun[SALDO
ATUAL],Tab_06.Jun[CONTA],$I205)</f>
        <v>0</v>
      </c>
      <c r="G205" s="4">
        <f t="shared" si="9"/>
        <v>0</v>
      </c>
      <c r="H205" s="191">
        <v>40590</v>
      </c>
      <c r="I205" s="3" t="s">
        <v>596</v>
      </c>
      <c r="J205" s="3" t="s">
        <v>680</v>
      </c>
      <c r="K205" s="4">
        <v>0</v>
      </c>
      <c r="L205" s="4">
        <v>16.170000000000002</v>
      </c>
      <c r="M205" s="4">
        <v>0</v>
      </c>
      <c r="N205" s="4">
        <v>16.170000000000002</v>
      </c>
      <c r="O205" s="4">
        <f>Tab_07.Jul[[#This Row],[DÉBITO]]-Tab_07.Jul[[#This Row],[CRÉDITO]]</f>
        <v>16.170000000000002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5</v>
      </c>
      <c r="D206" s="2" t="str">
        <f>_xlfn.XLOOKUP($I206,Tab_00.Trial[CONTA],Tab_00.Trial[S/A],"",0,1)</f>
        <v>S</v>
      </c>
      <c r="E206" s="2">
        <f>IF($I206="","",COUNTIFS(Tab_00.Trial[CONTA],$I206))</f>
        <v>1</v>
      </c>
      <c r="F206" s="4">
        <f>SUMIFS(Tab_06.Jun[SALDO
ATUAL],Tab_06.Jun[CONTA],$I206)</f>
        <v>0</v>
      </c>
      <c r="G206" s="4">
        <f t="shared" si="9"/>
        <v>0</v>
      </c>
      <c r="H206" s="191">
        <v>40600</v>
      </c>
      <c r="I206" s="3" t="s">
        <v>597</v>
      </c>
      <c r="J206" s="3" t="s">
        <v>703</v>
      </c>
      <c r="K206" s="4">
        <v>0</v>
      </c>
      <c r="L206" s="4">
        <v>16.170000000000002</v>
      </c>
      <c r="M206" s="4">
        <v>0</v>
      </c>
      <c r="N206" s="4">
        <v>16.170000000000002</v>
      </c>
      <c r="O206" s="4">
        <f>Tab_07.Jul[[#This Row],[DÉBITO]]-Tab_07.Jul[[#This Row],[CRÉDITO]]</f>
        <v>16.170000000000002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5</v>
      </c>
      <c r="D207" s="2" t="str">
        <f>_xlfn.XLOOKUP($I207,Tab_00.Trial[CONTA],Tab_00.Trial[S/A],"",0,1)</f>
        <v>S</v>
      </c>
      <c r="E207" s="2">
        <f>IF($I207="","",COUNTIFS(Tab_00.Trial[CONTA],$I207))</f>
        <v>1</v>
      </c>
      <c r="F207" s="4">
        <f>SUMIFS(Tab_06.Jun[SALDO
ATUAL],Tab_06.Jun[CONTA],$I207)</f>
        <v>0</v>
      </c>
      <c r="G207" s="4">
        <f t="shared" si="9"/>
        <v>0</v>
      </c>
      <c r="H207" s="191">
        <v>40615</v>
      </c>
      <c r="I207" s="3" t="s">
        <v>598</v>
      </c>
      <c r="J207" s="3" t="s">
        <v>704</v>
      </c>
      <c r="K207" s="4">
        <v>0</v>
      </c>
      <c r="L207" s="4">
        <v>16.170000000000002</v>
      </c>
      <c r="M207" s="4">
        <v>0</v>
      </c>
      <c r="N207" s="4">
        <v>16.170000000000002</v>
      </c>
      <c r="O207" s="4">
        <f>Tab_07.Jul[[#This Row],[DÉBITO]]-Tab_07.Jul[[#This Row],[CRÉDITO]]</f>
        <v>16.170000000000002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5</v>
      </c>
      <c r="D208" s="2" t="str">
        <f>_xlfn.XLOOKUP($I208,Tab_00.Trial[CONTA],Tab_00.Trial[S/A],"",0,1)</f>
        <v>A</v>
      </c>
      <c r="E208" s="2">
        <f>IF($I208="","",COUNTIFS(Tab_00.Trial[CONTA],$I208))</f>
        <v>1</v>
      </c>
      <c r="F208" s="4">
        <f>SUMIFS(Tab_06.Jun[SALDO
ATUAL],Tab_06.Jun[CONTA],$I208)</f>
        <v>0</v>
      </c>
      <c r="G208" s="4">
        <f t="shared" si="9"/>
        <v>0</v>
      </c>
      <c r="H208" s="191">
        <v>40620</v>
      </c>
      <c r="I208" s="3" t="s">
        <v>425</v>
      </c>
      <c r="J208" s="3" t="s">
        <v>426</v>
      </c>
      <c r="K208" s="4">
        <v>0</v>
      </c>
      <c r="L208" s="4">
        <v>16.170000000000002</v>
      </c>
      <c r="M208" s="4">
        <v>0</v>
      </c>
      <c r="N208" s="4">
        <v>16.170000000000002</v>
      </c>
      <c r="O208" s="4">
        <f>Tab_07.Jul[[#This Row],[DÉBITO]]-Tab_07.Jul[[#This Row],[CRÉDITO]]</f>
        <v>16.170000000000002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1</v>
      </c>
      <c r="D209" s="2" t="str">
        <f>_xlfn.XLOOKUP($I209,Tab_00.Trial[CONTA],Tab_00.Trial[S/A],"",0,1)</f>
        <v>S</v>
      </c>
      <c r="E209" s="2">
        <f>IF($I209="","",COUNTIFS(Tab_00.Trial[CONTA],$I209))</f>
        <v>1</v>
      </c>
      <c r="F209" s="4">
        <f>SUMIFS(Tab_06.Jun[SALDO
ATUAL],Tab_06.Jun[CONTA],$I209)</f>
        <v>1779858.55</v>
      </c>
      <c r="G209" s="4">
        <f t="shared" si="9"/>
        <v>0</v>
      </c>
      <c r="H209" s="191">
        <v>50000</v>
      </c>
      <c r="I209" s="3">
        <v>5</v>
      </c>
      <c r="J209" s="3" t="s">
        <v>705</v>
      </c>
      <c r="K209" s="4">
        <v>1779858.55</v>
      </c>
      <c r="L209" s="4">
        <v>271383.77</v>
      </c>
      <c r="M209" s="4">
        <v>13529.14</v>
      </c>
      <c r="N209" s="4">
        <v>2037713.18</v>
      </c>
      <c r="O209" s="4">
        <f>Tab_07.Jul[[#This Row],[DÉBITO]]-Tab_07.Jul[[#This Row],[CRÉDITO]]</f>
        <v>257854.63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2</v>
      </c>
      <c r="D210" s="2" t="str">
        <f>_xlfn.XLOOKUP($I210,Tab_00.Trial[CONTA],Tab_00.Trial[S/A],"",0,1)</f>
        <v>S</v>
      </c>
      <c r="E210" s="2">
        <f>IF($I210="","",COUNTIFS(Tab_00.Trial[CONTA],$I210))</f>
        <v>1</v>
      </c>
      <c r="F210" s="4">
        <f>SUMIFS(Tab_06.Jun[SALDO
ATUAL],Tab_06.Jun[CONTA],$I210)</f>
        <v>1779642.55</v>
      </c>
      <c r="G210" s="4">
        <f t="shared" si="9"/>
        <v>0</v>
      </c>
      <c r="H210" s="191">
        <v>50015</v>
      </c>
      <c r="I210" s="3" t="s">
        <v>599</v>
      </c>
      <c r="J210" s="3" t="s">
        <v>821</v>
      </c>
      <c r="K210" s="4">
        <v>1779642.55</v>
      </c>
      <c r="L210" s="4">
        <v>271383.77</v>
      </c>
      <c r="M210" s="4">
        <v>13529.14</v>
      </c>
      <c r="N210" s="4">
        <v>2037497.18</v>
      </c>
      <c r="O210" s="4">
        <f>Tab_07.Jul[[#This Row],[DÉBITO]]-Tab_07.Jul[[#This Row],[CRÉDITO]]</f>
        <v>257854.63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5</v>
      </c>
      <c r="D211" s="2" t="str">
        <f>_xlfn.XLOOKUP($I211,Tab_00.Trial[CONTA],Tab_00.Trial[S/A],"",0,1)</f>
        <v>S</v>
      </c>
      <c r="E211" s="2">
        <f>IF($I211="","",COUNTIFS(Tab_00.Trial[CONTA],$I211))</f>
        <v>1</v>
      </c>
      <c r="F211" s="4">
        <f>SUMIFS(Tab_06.Jun[SALDO
ATUAL],Tab_06.Jun[CONTA],$I211)</f>
        <v>736112.89</v>
      </c>
      <c r="G211" s="4">
        <f t="shared" si="9"/>
        <v>0</v>
      </c>
      <c r="H211" s="191">
        <v>50030</v>
      </c>
      <c r="I211" s="3" t="s">
        <v>600</v>
      </c>
      <c r="J211" s="3" t="s">
        <v>706</v>
      </c>
      <c r="K211" s="4">
        <v>736112.89</v>
      </c>
      <c r="L211" s="4">
        <v>81558.22</v>
      </c>
      <c r="M211" s="4">
        <v>13529.14</v>
      </c>
      <c r="N211" s="4">
        <v>804141.97</v>
      </c>
      <c r="O211" s="4">
        <f>Tab_07.Jul[[#This Row],[DÉBITO]]-Tab_07.Jul[[#This Row],[CRÉDITO]]</f>
        <v>68029.08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S</v>
      </c>
      <c r="E212" s="2">
        <f>IF($I212="","",COUNTIFS(Tab_00.Trial[CONTA],$I212))</f>
        <v>1</v>
      </c>
      <c r="F212" s="4">
        <f>SUMIFS(Tab_06.Jun[SALDO
ATUAL],Tab_06.Jun[CONTA],$I212)</f>
        <v>451967.44</v>
      </c>
      <c r="G212" s="4">
        <f t="shared" si="9"/>
        <v>0</v>
      </c>
      <c r="H212" s="191">
        <v>50045</v>
      </c>
      <c r="I212" s="3" t="s">
        <v>601</v>
      </c>
      <c r="J212" s="3" t="s">
        <v>707</v>
      </c>
      <c r="K212" s="4">
        <v>451967.44</v>
      </c>
      <c r="L212" s="4">
        <v>63858.85</v>
      </c>
      <c r="M212" s="4">
        <v>11432.48</v>
      </c>
      <c r="N212" s="4">
        <v>504393.81</v>
      </c>
      <c r="O212" s="4">
        <f>Tab_07.Jul[[#This Row],[DÉBITO]]-Tab_07.Jul[[#This Row],[CRÉDITO]]</f>
        <v>52426.37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A</v>
      </c>
      <c r="E213" s="2">
        <f>IF($I213="","",COUNTIFS(Tab_00.Trial[CONTA],$I213))</f>
        <v>1</v>
      </c>
      <c r="F213" s="4">
        <f>SUMIFS(Tab_06.Jun[SALDO
ATUAL],Tab_06.Jun[CONTA],$I213)</f>
        <v>270376.56</v>
      </c>
      <c r="G213" s="4">
        <f t="shared" si="9"/>
        <v>0</v>
      </c>
      <c r="H213" s="191">
        <v>50060</v>
      </c>
      <c r="I213" s="3" t="s">
        <v>441</v>
      </c>
      <c r="J213" s="3" t="s">
        <v>427</v>
      </c>
      <c r="K213" s="4">
        <v>270376.56</v>
      </c>
      <c r="L213" s="4">
        <v>54484.95</v>
      </c>
      <c r="M213" s="4">
        <v>11432.48</v>
      </c>
      <c r="N213" s="4">
        <v>313429.03000000003</v>
      </c>
      <c r="O213" s="4">
        <f>Tab_07.Jul[[#This Row],[DÉBITO]]-Tab_07.Jul[[#This Row],[CRÉDITO]]</f>
        <v>43052.47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5</v>
      </c>
      <c r="D214" s="2" t="str">
        <f>_xlfn.XLOOKUP($I214,Tab_00.Trial[CONTA],Tab_00.Trial[S/A],"",0,1)</f>
        <v>A</v>
      </c>
      <c r="E214" s="2">
        <f>IF($I214="","",COUNTIFS(Tab_00.Trial[CONTA],$I214))</f>
        <v>1</v>
      </c>
      <c r="F214" s="4">
        <f>SUMIFS(Tab_06.Jun[SALDO
ATUAL],Tab_06.Jun[CONTA],$I214)</f>
        <v>38492.01</v>
      </c>
      <c r="G214" s="4">
        <f t="shared" si="9"/>
        <v>0</v>
      </c>
      <c r="H214" s="191">
        <v>50090</v>
      </c>
      <c r="I214" s="3" t="s">
        <v>443</v>
      </c>
      <c r="J214" s="3" t="s">
        <v>431</v>
      </c>
      <c r="K214" s="4">
        <v>38492.01</v>
      </c>
      <c r="L214" s="4">
        <v>4673.3599999999997</v>
      </c>
      <c r="M214" s="4">
        <v>0</v>
      </c>
      <c r="N214" s="4">
        <v>43165.37</v>
      </c>
      <c r="O214" s="4">
        <f>Tab_07.Jul[[#This Row],[DÉBITO]]-Tab_07.Jul[[#This Row],[CRÉDITO]]</f>
        <v>4673.3599999999997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A</v>
      </c>
      <c r="E215" s="2">
        <f>IF($I215="","",COUNTIFS(Tab_00.Trial[CONTA],$I215))</f>
        <v>1</v>
      </c>
      <c r="F215" s="4">
        <f>SUMIFS(Tab_06.Jun[SALDO
ATUAL],Tab_06.Jun[CONTA],$I215)</f>
        <v>31902.27</v>
      </c>
      <c r="G215" s="4">
        <f t="shared" si="9"/>
        <v>0</v>
      </c>
      <c r="H215" s="191">
        <v>50105</v>
      </c>
      <c r="I215" s="3" t="s">
        <v>444</v>
      </c>
      <c r="J215" s="3" t="s">
        <v>433</v>
      </c>
      <c r="K215" s="4">
        <v>31902.27</v>
      </c>
      <c r="L215" s="4">
        <v>2219.91</v>
      </c>
      <c r="M215" s="4">
        <v>0</v>
      </c>
      <c r="N215" s="4">
        <v>34122.18</v>
      </c>
      <c r="O215" s="4">
        <f>Tab_07.Jul[[#This Row],[DÉBITO]]-Tab_07.Jul[[#This Row],[CRÉDITO]]</f>
        <v>2219.91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A</v>
      </c>
      <c r="E216" s="2">
        <f>IF($I216="","",COUNTIFS(Tab_00.Trial[CONTA],$I216))</f>
        <v>1</v>
      </c>
      <c r="F216" s="4">
        <f>SUMIFS(Tab_06.Jun[SALDO
ATUAL],Tab_06.Jun[CONTA],$I216)</f>
        <v>85959.77</v>
      </c>
      <c r="G216" s="4">
        <f t="shared" si="9"/>
        <v>0</v>
      </c>
      <c r="H216" s="191">
        <v>50120</v>
      </c>
      <c r="I216" s="3" t="s">
        <v>775</v>
      </c>
      <c r="J216" s="3" t="s">
        <v>749</v>
      </c>
      <c r="K216" s="4">
        <v>85959.77</v>
      </c>
      <c r="L216" s="4">
        <v>0</v>
      </c>
      <c r="M216" s="4">
        <v>0</v>
      </c>
      <c r="N216" s="4">
        <v>85959.77</v>
      </c>
      <c r="O216" s="4">
        <f>Tab_07.Jul[[#This Row],[DÉBITO]]-Tab_07.Jul[[#This Row],[CRÉDITO]]</f>
        <v>0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A</v>
      </c>
      <c r="E217" s="2">
        <f>IF($I217="","",COUNTIFS(Tab_00.Trial[CONTA],$I217))</f>
        <v>1</v>
      </c>
      <c r="F217" s="4">
        <f>SUMIFS(Tab_06.Jun[SALDO
ATUAL],Tab_06.Jun[CONTA],$I217)</f>
        <v>476.67</v>
      </c>
      <c r="G217" s="4">
        <f t="shared" si="9"/>
        <v>0</v>
      </c>
      <c r="H217" s="191">
        <v>50205</v>
      </c>
      <c r="I217" s="3" t="s">
        <v>447</v>
      </c>
      <c r="J217" s="3" t="s">
        <v>448</v>
      </c>
      <c r="K217" s="4">
        <v>476.67</v>
      </c>
      <c r="L217" s="4">
        <v>0</v>
      </c>
      <c r="M217" s="4">
        <v>0</v>
      </c>
      <c r="N217" s="4">
        <v>476.67</v>
      </c>
      <c r="O217" s="4">
        <f>Tab_07.Jul[[#This Row],[DÉBITO]]-Tab_07.Jul[[#This Row],[CRÉDITO]]</f>
        <v>0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A</v>
      </c>
      <c r="E218" s="2">
        <f>IF($I218="","",COUNTIFS(Tab_00.Trial[CONTA],$I218))</f>
        <v>1</v>
      </c>
      <c r="F218" s="4">
        <f>SUMIFS(Tab_06.Jun[SALDO
ATUAL],Tab_06.Jun[CONTA],$I218)</f>
        <v>4524.8100000000004</v>
      </c>
      <c r="G218" s="4">
        <f t="shared" si="9"/>
        <v>0</v>
      </c>
      <c r="H218" s="191">
        <v>10167</v>
      </c>
      <c r="I218" s="3" t="s">
        <v>802</v>
      </c>
      <c r="J218" s="3" t="s">
        <v>791</v>
      </c>
      <c r="K218" s="4">
        <v>4524.8100000000004</v>
      </c>
      <c r="L218" s="4">
        <v>1252.46</v>
      </c>
      <c r="M218" s="4">
        <v>0</v>
      </c>
      <c r="N218" s="4">
        <v>5777.27</v>
      </c>
      <c r="O218" s="4">
        <f>Tab_07.Jul[[#This Row],[DÉBITO]]-Tab_07.Jul[[#This Row],[CRÉDITO]]</f>
        <v>1252.46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A</v>
      </c>
      <c r="E219" s="2">
        <f>IF($I219="","",COUNTIFS(Tab_00.Trial[CONTA],$I219))</f>
        <v>1</v>
      </c>
      <c r="F219" s="4">
        <f>SUMIFS(Tab_06.Jun[SALDO
ATUAL],Tab_06.Jun[CONTA],$I219)</f>
        <v>10773.66</v>
      </c>
      <c r="G219" s="4">
        <f t="shared" si="9"/>
        <v>0</v>
      </c>
      <c r="H219" s="191">
        <v>10174</v>
      </c>
      <c r="I219" s="3" t="s">
        <v>803</v>
      </c>
      <c r="J219" s="3" t="s">
        <v>793</v>
      </c>
      <c r="K219" s="4">
        <v>10773.66</v>
      </c>
      <c r="L219" s="4">
        <v>373.87</v>
      </c>
      <c r="M219" s="4">
        <v>0</v>
      </c>
      <c r="N219" s="4">
        <v>11147.53</v>
      </c>
      <c r="O219" s="4">
        <f>Tab_07.Jul[[#This Row],[DÉBITO]]-Tab_07.Jul[[#This Row],[CRÉDITO]]</f>
        <v>373.87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A</v>
      </c>
      <c r="E220" s="2">
        <f>IF($I220="","",COUNTIFS(Tab_00.Trial[CONTA],$I220))</f>
        <v>1</v>
      </c>
      <c r="F220" s="4">
        <f>SUMIFS(Tab_06.Jun[SALDO
ATUAL],Tab_06.Jun[CONTA],$I220)</f>
        <v>177.77</v>
      </c>
      <c r="G220" s="4">
        <f t="shared" si="9"/>
        <v>0</v>
      </c>
      <c r="H220" s="191">
        <v>10181</v>
      </c>
      <c r="I220" s="3" t="s">
        <v>804</v>
      </c>
      <c r="J220" s="3" t="s">
        <v>795</v>
      </c>
      <c r="K220" s="4">
        <v>177.77</v>
      </c>
      <c r="L220" s="4">
        <v>46.74</v>
      </c>
      <c r="M220" s="4">
        <v>0</v>
      </c>
      <c r="N220" s="4">
        <v>224.51</v>
      </c>
      <c r="O220" s="4">
        <f>Tab_07.Jul[[#This Row],[DÉBITO]]-Tab_07.Jul[[#This Row],[CRÉDITO]]</f>
        <v>46.74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A</v>
      </c>
      <c r="E221" s="2">
        <f>IF($I221="","",COUNTIFS(Tab_00.Trial[CONTA],$I221))</f>
        <v>1</v>
      </c>
      <c r="F221" s="4">
        <f>SUMIFS(Tab_06.Jun[SALDO
ATUAL],Tab_06.Jun[CONTA],$I221)</f>
        <v>6950.01</v>
      </c>
      <c r="G221" s="4">
        <f t="shared" si="9"/>
        <v>0</v>
      </c>
      <c r="H221" s="191">
        <v>10188</v>
      </c>
      <c r="I221" s="3" t="s">
        <v>805</v>
      </c>
      <c r="J221" s="3" t="s">
        <v>797</v>
      </c>
      <c r="K221" s="4">
        <v>6950.01</v>
      </c>
      <c r="L221" s="4">
        <v>594.92999999999995</v>
      </c>
      <c r="M221" s="4">
        <v>0</v>
      </c>
      <c r="N221" s="4">
        <v>7544.94</v>
      </c>
      <c r="O221" s="4">
        <f>Tab_07.Jul[[#This Row],[DÉBITO]]-Tab_07.Jul[[#This Row],[CRÉDITO]]</f>
        <v>594.92999999999995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A</v>
      </c>
      <c r="E222" s="2">
        <f>IF($I222="","",COUNTIFS(Tab_00.Trial[CONTA],$I222))</f>
        <v>1</v>
      </c>
      <c r="F222" s="4">
        <f>SUMIFS(Tab_06.Jun[SALDO
ATUAL],Tab_06.Jun[CONTA],$I222)</f>
        <v>2074.59</v>
      </c>
      <c r="G222" s="4">
        <f t="shared" si="9"/>
        <v>0</v>
      </c>
      <c r="H222" s="191">
        <v>10202</v>
      </c>
      <c r="I222" s="3" t="s">
        <v>806</v>
      </c>
      <c r="J222" s="3" t="s">
        <v>799</v>
      </c>
      <c r="K222" s="4">
        <v>2074.59</v>
      </c>
      <c r="L222" s="4">
        <v>177.59</v>
      </c>
      <c r="M222" s="4">
        <v>0</v>
      </c>
      <c r="N222" s="4">
        <v>2252.1799999999998</v>
      </c>
      <c r="O222" s="4">
        <f>Tab_07.Jul[[#This Row],[DÉBITO]]-Tab_07.Jul[[#This Row],[CRÉDITO]]</f>
        <v>177.59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A</v>
      </c>
      <c r="E223" s="2">
        <f>IF($I223="","",COUNTIFS(Tab_00.Trial[CONTA],$I223))</f>
        <v>1</v>
      </c>
      <c r="F223" s="4">
        <f>SUMIFS(Tab_06.Jun[SALDO
ATUAL],Tab_06.Jun[CONTA],$I223)</f>
        <v>259.32</v>
      </c>
      <c r="G223" s="4">
        <f t="shared" si="9"/>
        <v>0</v>
      </c>
      <c r="H223" s="191">
        <v>10209</v>
      </c>
      <c r="I223" s="3" t="s">
        <v>807</v>
      </c>
      <c r="J223" s="3" t="s">
        <v>801</v>
      </c>
      <c r="K223" s="4">
        <v>259.32</v>
      </c>
      <c r="L223" s="4">
        <v>35.04</v>
      </c>
      <c r="M223" s="4">
        <v>0</v>
      </c>
      <c r="N223" s="4">
        <v>294.36</v>
      </c>
      <c r="O223" s="4">
        <f>Tab_07.Jul[[#This Row],[DÉBITO]]-Tab_07.Jul[[#This Row],[CRÉDITO]]</f>
        <v>35.04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S</v>
      </c>
      <c r="E224" s="2">
        <f>IF($I224="","",COUNTIFS(Tab_00.Trial[CONTA],$I224))</f>
        <v>1</v>
      </c>
      <c r="F224" s="4">
        <f>SUMIFS(Tab_06.Jun[SALDO
ATUAL],Tab_06.Jun[CONTA],$I224)</f>
        <v>1014</v>
      </c>
      <c r="G224" s="4">
        <f t="shared" si="9"/>
        <v>0</v>
      </c>
      <c r="H224" s="191">
        <v>50150</v>
      </c>
      <c r="I224" s="3" t="s">
        <v>602</v>
      </c>
      <c r="J224" s="3" t="s">
        <v>708</v>
      </c>
      <c r="K224" s="4">
        <v>1014</v>
      </c>
      <c r="L224" s="4">
        <v>2096.66</v>
      </c>
      <c r="M224" s="4">
        <v>2096.66</v>
      </c>
      <c r="N224" s="4">
        <v>1014</v>
      </c>
      <c r="O224" s="4">
        <f>Tab_07.Jul[[#This Row],[DÉBITO]]-Tab_07.Jul[[#This Row],[CRÉDITO]]</f>
        <v>0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A</v>
      </c>
      <c r="E225" s="2">
        <f>IF($I225="","",COUNTIFS(Tab_00.Trial[CONTA],$I225))</f>
        <v>1</v>
      </c>
      <c r="F225" s="4">
        <f>SUMIFS(Tab_06.Jun[SALDO
ATUAL],Tab_06.Jun[CONTA],$I225)</f>
        <v>0</v>
      </c>
      <c r="G225" s="4">
        <f t="shared" si="9"/>
        <v>0</v>
      </c>
      <c r="H225" s="191">
        <v>50165</v>
      </c>
      <c r="I225" s="3" t="s">
        <v>772</v>
      </c>
      <c r="J225" s="3" t="s">
        <v>435</v>
      </c>
      <c r="K225" s="4">
        <v>0</v>
      </c>
      <c r="L225" s="4">
        <v>734.28</v>
      </c>
      <c r="M225" s="4">
        <v>734.28</v>
      </c>
      <c r="N225" s="4">
        <v>0</v>
      </c>
      <c r="O225" s="4">
        <f>Tab_07.Jul[[#This Row],[DÉBITO]]-Tab_07.Jul[[#This Row],[CRÉDITO]]</f>
        <v>0</v>
      </c>
    </row>
    <row r="226" spans="2:15" x14ac:dyDescent="0.3">
      <c r="B226" s="2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A</v>
      </c>
      <c r="E226" s="2">
        <f>IF($I226="","",COUNTIFS(Tab_00.Trial[CONTA],$I226))</f>
        <v>1</v>
      </c>
      <c r="F226" s="4">
        <f>SUMIFS(Tab_06.Jun[SALDO
ATUAL],Tab_06.Jun[CONTA],$I226)</f>
        <v>0</v>
      </c>
      <c r="G226" s="4">
        <f t="shared" si="9"/>
        <v>0</v>
      </c>
      <c r="H226" s="191">
        <v>50195</v>
      </c>
      <c r="I226" s="3" t="s">
        <v>773</v>
      </c>
      <c r="J226" s="3" t="s">
        <v>751</v>
      </c>
      <c r="K226" s="4">
        <v>0</v>
      </c>
      <c r="L226" s="4">
        <v>1362.38</v>
      </c>
      <c r="M226" s="4">
        <v>1362.38</v>
      </c>
      <c r="N226" s="4">
        <v>0</v>
      </c>
      <c r="O226" s="4">
        <f>Tab_07.Jul[[#This Row],[DÉBITO]]-Tab_07.Jul[[#This Row],[CRÉDITO]]</f>
        <v>0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A</v>
      </c>
      <c r="E227" s="2">
        <f>IF($I227="","",COUNTIFS(Tab_00.Trial[CONTA],$I227))</f>
        <v>1</v>
      </c>
      <c r="F227" s="4">
        <f>SUMIFS(Tab_06.Jun[SALDO
ATUAL],Tab_06.Jun[CONTA],$I227)</f>
        <v>1014</v>
      </c>
      <c r="G227" s="4">
        <f t="shared" si="9"/>
        <v>0</v>
      </c>
      <c r="H227" s="191">
        <v>50211</v>
      </c>
      <c r="I227" s="3" t="s">
        <v>455</v>
      </c>
      <c r="J227" s="3" t="s">
        <v>456</v>
      </c>
      <c r="K227" s="4">
        <v>1014</v>
      </c>
      <c r="L227" s="4">
        <v>0</v>
      </c>
      <c r="M227" s="4">
        <v>0</v>
      </c>
      <c r="N227" s="4">
        <v>1014</v>
      </c>
      <c r="O227" s="4">
        <f>Tab_07.Jul[[#This Row],[DÉBITO]]-Tab_07.Jul[[#This Row],[CRÉDITO]]</f>
        <v>0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S</v>
      </c>
      <c r="E228" s="2">
        <f>IF($I228="","",COUNTIFS(Tab_00.Trial[CONTA],$I228))</f>
        <v>1</v>
      </c>
      <c r="F228" s="4">
        <f>SUMIFS(Tab_06.Jun[SALDO
ATUAL],Tab_06.Jun[CONTA],$I228)</f>
        <v>281776.45</v>
      </c>
      <c r="G228" s="4">
        <f t="shared" si="9"/>
        <v>0</v>
      </c>
      <c r="H228" s="191">
        <v>50215</v>
      </c>
      <c r="I228" s="3" t="s">
        <v>603</v>
      </c>
      <c r="J228" s="3" t="s">
        <v>709</v>
      </c>
      <c r="K228" s="4">
        <v>281776.45</v>
      </c>
      <c r="L228" s="4">
        <v>15412.71</v>
      </c>
      <c r="M228" s="4">
        <v>0</v>
      </c>
      <c r="N228" s="4">
        <v>297189.15999999997</v>
      </c>
      <c r="O228" s="4">
        <f>Tab_07.Jul[[#This Row],[DÉBITO]]-Tab_07.Jul[[#This Row],[CRÉDITO]]</f>
        <v>15412.71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A</v>
      </c>
      <c r="E229" s="2">
        <f>IF($I229="","",COUNTIFS(Tab_00.Trial[CONTA],$I229))</f>
        <v>1</v>
      </c>
      <c r="F229" s="4">
        <f>SUMIFS(Tab_06.Jun[SALDO
ATUAL],Tab_06.Jun[CONTA],$I229)</f>
        <v>73086.490000000005</v>
      </c>
      <c r="G229" s="4">
        <f t="shared" si="9"/>
        <v>0</v>
      </c>
      <c r="H229" s="191">
        <v>50225</v>
      </c>
      <c r="I229" s="3" t="s">
        <v>451</v>
      </c>
      <c r="J229" s="3" t="s">
        <v>437</v>
      </c>
      <c r="K229" s="4">
        <v>73086.490000000005</v>
      </c>
      <c r="L229" s="4">
        <v>11538.01</v>
      </c>
      <c r="M229" s="4">
        <v>0</v>
      </c>
      <c r="N229" s="4">
        <v>84624.5</v>
      </c>
      <c r="O229" s="4">
        <f>Tab_07.Jul[[#This Row],[DÉBITO]]-Tab_07.Jul[[#This Row],[CRÉDITO]]</f>
        <v>11538.01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A</v>
      </c>
      <c r="E230" s="2">
        <f>IF($I230="","",COUNTIFS(Tab_00.Trial[CONTA],$I230))</f>
        <v>1</v>
      </c>
      <c r="F230" s="4">
        <f>SUMIFS(Tab_06.Jun[SALDO
ATUAL],Tab_06.Jun[CONTA],$I230)</f>
        <v>205962.84</v>
      </c>
      <c r="G230" s="4">
        <f t="shared" si="9"/>
        <v>0</v>
      </c>
      <c r="H230" s="191">
        <v>50240</v>
      </c>
      <c r="I230" s="3" t="s">
        <v>452</v>
      </c>
      <c r="J230" s="3" t="s">
        <v>196</v>
      </c>
      <c r="K230" s="4">
        <v>205962.84</v>
      </c>
      <c r="L230" s="4">
        <v>3444.18</v>
      </c>
      <c r="M230" s="4">
        <v>0</v>
      </c>
      <c r="N230" s="4">
        <v>209407.02</v>
      </c>
      <c r="O230" s="4">
        <f>Tab_07.Jul[[#This Row],[DÉBITO]]-Tab_07.Jul[[#This Row],[CRÉDITO]]</f>
        <v>3444.18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A</v>
      </c>
      <c r="E231" s="2">
        <f>IF($I231="","",COUNTIFS(Tab_00.Trial[CONTA],$I231))</f>
        <v>1</v>
      </c>
      <c r="F231" s="4">
        <f>SUMIFS(Tab_06.Jun[SALDO
ATUAL],Tab_06.Jun[CONTA],$I231)</f>
        <v>2727.12</v>
      </c>
      <c r="G231" s="4">
        <f t="shared" si="9"/>
        <v>0</v>
      </c>
      <c r="H231" s="191">
        <v>50255</v>
      </c>
      <c r="I231" s="3" t="s">
        <v>453</v>
      </c>
      <c r="J231" s="3" t="s">
        <v>454</v>
      </c>
      <c r="K231" s="4">
        <v>2727.12</v>
      </c>
      <c r="L231" s="4">
        <v>430.52</v>
      </c>
      <c r="M231" s="4">
        <v>0</v>
      </c>
      <c r="N231" s="4">
        <v>3157.64</v>
      </c>
      <c r="O231" s="4">
        <f>Tab_07.Jul[[#This Row],[DÉBITO]]-Tab_07.Jul[[#This Row],[CRÉDITO]]</f>
        <v>430.52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S</v>
      </c>
      <c r="E232" s="2">
        <f>IF($I232="","",COUNTIFS(Tab_00.Trial[CONTA],$I232))</f>
        <v>1</v>
      </c>
      <c r="F232" s="4">
        <f>SUMIFS(Tab_06.Jun[SALDO
ATUAL],Tab_06.Jun[CONTA],$I232)</f>
        <v>1355</v>
      </c>
      <c r="G232" s="4">
        <f t="shared" si="9"/>
        <v>0</v>
      </c>
      <c r="H232" s="191">
        <v>50290</v>
      </c>
      <c r="I232" s="3" t="s">
        <v>604</v>
      </c>
      <c r="J232" s="3" t="s">
        <v>710</v>
      </c>
      <c r="K232" s="4">
        <v>1355</v>
      </c>
      <c r="L232" s="4">
        <v>190</v>
      </c>
      <c r="M232" s="4">
        <v>0</v>
      </c>
      <c r="N232" s="4">
        <v>1545</v>
      </c>
      <c r="O232" s="4">
        <f>Tab_07.Jul[[#This Row],[DÉBITO]]-Tab_07.Jul[[#This Row],[CRÉDITO]]</f>
        <v>190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A</v>
      </c>
      <c r="E233" s="2">
        <f>IF($I233="","",COUNTIFS(Tab_00.Trial[CONTA],$I233))</f>
        <v>1</v>
      </c>
      <c r="F233" s="4">
        <f>SUMIFS(Tab_06.Jun[SALDO
ATUAL],Tab_06.Jun[CONTA],$I233)</f>
        <v>1355</v>
      </c>
      <c r="G233" s="4">
        <f t="shared" ref="G233:G264" si="10">$F233-$K233</f>
        <v>0</v>
      </c>
      <c r="H233" s="191">
        <v>50295</v>
      </c>
      <c r="I233" s="3" t="s">
        <v>457</v>
      </c>
      <c r="J233" s="3" t="s">
        <v>458</v>
      </c>
      <c r="K233" s="4">
        <v>1355</v>
      </c>
      <c r="L233" s="4">
        <v>190</v>
      </c>
      <c r="M233" s="4">
        <v>0</v>
      </c>
      <c r="N233" s="4">
        <v>1545</v>
      </c>
      <c r="O233" s="4">
        <f>Tab_07.Jul[[#This Row],[DÉBITO]]-Tab_07.Jul[[#This Row],[CRÉDITO]]</f>
        <v>190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S</v>
      </c>
      <c r="E234" s="2">
        <f>IF($I234="","",COUNTIFS(Tab_00.Trial[CONTA],$I234))</f>
        <v>1</v>
      </c>
      <c r="F234" s="4">
        <f>SUMIFS(Tab_06.Jun[SALDO
ATUAL],Tab_06.Jun[CONTA],$I234)</f>
        <v>863373.9</v>
      </c>
      <c r="G234" s="4">
        <f t="shared" si="10"/>
        <v>0</v>
      </c>
      <c r="H234" s="191">
        <v>50285</v>
      </c>
      <c r="I234" s="3" t="s">
        <v>605</v>
      </c>
      <c r="J234" s="3" t="s">
        <v>711</v>
      </c>
      <c r="K234" s="4">
        <v>863373.9</v>
      </c>
      <c r="L234" s="4">
        <v>167870.49</v>
      </c>
      <c r="M234" s="4">
        <v>0</v>
      </c>
      <c r="N234" s="4">
        <v>1031244.39</v>
      </c>
      <c r="O234" s="4">
        <f>Tab_07.Jul[[#This Row],[DÉBITO]]-Tab_07.Jul[[#This Row],[CRÉDITO]]</f>
        <v>167870.49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S</v>
      </c>
      <c r="E235" s="2">
        <f>IF($I235="","",COUNTIFS(Tab_00.Trial[CONTA],$I235))</f>
        <v>1</v>
      </c>
      <c r="F235" s="4">
        <f>SUMIFS(Tab_06.Jun[SALDO
ATUAL],Tab_06.Jun[CONTA],$I235)</f>
        <v>365577.42</v>
      </c>
      <c r="G235" s="4">
        <f t="shared" si="10"/>
        <v>0</v>
      </c>
      <c r="H235" s="191">
        <v>50300</v>
      </c>
      <c r="I235" s="3" t="s">
        <v>606</v>
      </c>
      <c r="J235" s="3" t="s">
        <v>712</v>
      </c>
      <c r="K235" s="4">
        <v>365577.42</v>
      </c>
      <c r="L235" s="4">
        <v>84904.41</v>
      </c>
      <c r="M235" s="4">
        <v>0</v>
      </c>
      <c r="N235" s="4">
        <v>450481.83</v>
      </c>
      <c r="O235" s="4">
        <f>Tab_07.Jul[[#This Row],[DÉBITO]]-Tab_07.Jul[[#This Row],[CRÉDITO]]</f>
        <v>84904.41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A</v>
      </c>
      <c r="E236" s="2">
        <f>IF($I236="","",COUNTIFS(Tab_00.Trial[CONTA],$I236))</f>
        <v>1</v>
      </c>
      <c r="F236" s="4">
        <f>SUMIFS(Tab_06.Jun[SALDO
ATUAL],Tab_06.Jun[CONTA],$I236)</f>
        <v>45851.82</v>
      </c>
      <c r="G236" s="4">
        <f t="shared" si="10"/>
        <v>0</v>
      </c>
      <c r="H236" s="191">
        <v>50315</v>
      </c>
      <c r="I236" s="3" t="s">
        <v>459</v>
      </c>
      <c r="J236" s="3" t="s">
        <v>460</v>
      </c>
      <c r="K236" s="4">
        <v>45851.82</v>
      </c>
      <c r="L236" s="4">
        <v>7634.62</v>
      </c>
      <c r="M236" s="4">
        <v>0</v>
      </c>
      <c r="N236" s="4">
        <v>53486.44</v>
      </c>
      <c r="O236" s="4">
        <f>Tab_07.Jul[[#This Row],[DÉBITO]]-Tab_07.Jul[[#This Row],[CRÉDITO]]</f>
        <v>7634.62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A</v>
      </c>
      <c r="E237" s="2">
        <f>IF($I237="","",COUNTIFS(Tab_00.Trial[CONTA],$I237))</f>
        <v>1</v>
      </c>
      <c r="F237" s="4">
        <f>SUMIFS(Tab_06.Jun[SALDO
ATUAL],Tab_06.Jun[CONTA],$I237)</f>
        <v>93576.76</v>
      </c>
      <c r="G237" s="4">
        <f t="shared" si="10"/>
        <v>0</v>
      </c>
      <c r="H237" s="191">
        <v>50330</v>
      </c>
      <c r="I237" s="3" t="s">
        <v>461</v>
      </c>
      <c r="J237" s="3" t="s">
        <v>462</v>
      </c>
      <c r="K237" s="4">
        <v>93576.76</v>
      </c>
      <c r="L237" s="4">
        <v>11469.72</v>
      </c>
      <c r="M237" s="4">
        <v>0</v>
      </c>
      <c r="N237" s="4">
        <v>105046.48</v>
      </c>
      <c r="O237" s="4">
        <f>Tab_07.Jul[[#This Row],[DÉBITO]]-Tab_07.Jul[[#This Row],[CRÉDITO]]</f>
        <v>11469.72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A</v>
      </c>
      <c r="E238" s="2">
        <f>IF($I238="","",COUNTIFS(Tab_00.Trial[CONTA],$I238))</f>
        <v>1</v>
      </c>
      <c r="F238" s="4">
        <f>SUMIFS(Tab_06.Jun[SALDO
ATUAL],Tab_06.Jun[CONTA],$I238)</f>
        <v>21500.01</v>
      </c>
      <c r="G238" s="4">
        <f t="shared" si="10"/>
        <v>0</v>
      </c>
      <c r="H238" s="191">
        <v>50345</v>
      </c>
      <c r="I238" s="3" t="s">
        <v>463</v>
      </c>
      <c r="J238" s="3" t="s">
        <v>464</v>
      </c>
      <c r="K238" s="4">
        <v>21500.01</v>
      </c>
      <c r="L238" s="4">
        <v>0</v>
      </c>
      <c r="M238" s="4">
        <v>0</v>
      </c>
      <c r="N238" s="4">
        <v>21500.01</v>
      </c>
      <c r="O238" s="4">
        <f>Tab_07.Jul[[#This Row],[DÉBITO]]-Tab_07.Jul[[#This Row],[CRÉDITO]]</f>
        <v>0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A</v>
      </c>
      <c r="E239" s="2">
        <f>IF($I239="","",COUNTIFS(Tab_00.Trial[CONTA],$I239))</f>
        <v>1</v>
      </c>
      <c r="F239" s="4">
        <f>SUMIFS(Tab_06.Jun[SALDO
ATUAL],Tab_06.Jun[CONTA],$I239)</f>
        <v>108728.09</v>
      </c>
      <c r="G239" s="4">
        <f t="shared" si="10"/>
        <v>0</v>
      </c>
      <c r="H239" s="191">
        <v>50360</v>
      </c>
      <c r="I239" s="3" t="s">
        <v>465</v>
      </c>
      <c r="J239" s="3" t="s">
        <v>466</v>
      </c>
      <c r="K239" s="4">
        <v>108728.09</v>
      </c>
      <c r="L239" s="4">
        <v>49166.95</v>
      </c>
      <c r="M239" s="4">
        <v>0</v>
      </c>
      <c r="N239" s="4">
        <v>157895.04000000001</v>
      </c>
      <c r="O239" s="4">
        <f>Tab_07.Jul[[#This Row],[DÉBITO]]-Tab_07.Jul[[#This Row],[CRÉDITO]]</f>
        <v>49166.95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A</v>
      </c>
      <c r="E240" s="2">
        <f>IF($I240="","",COUNTIFS(Tab_00.Trial[CONTA],$I240))</f>
        <v>1</v>
      </c>
      <c r="F240" s="4">
        <f>SUMIFS(Tab_06.Jun[SALDO
ATUAL],Tab_06.Jun[CONTA],$I240)</f>
        <v>27000</v>
      </c>
      <c r="G240" s="4">
        <f t="shared" si="10"/>
        <v>0</v>
      </c>
      <c r="H240" s="191">
        <v>50375</v>
      </c>
      <c r="I240" s="3" t="s">
        <v>473</v>
      </c>
      <c r="J240" s="3" t="s">
        <v>474</v>
      </c>
      <c r="K240" s="4">
        <v>27000</v>
      </c>
      <c r="L240" s="4">
        <v>4500</v>
      </c>
      <c r="M240" s="4">
        <v>0</v>
      </c>
      <c r="N240" s="4">
        <v>31500</v>
      </c>
      <c r="O240" s="4">
        <f>Tab_07.Jul[[#This Row],[DÉBITO]]-Tab_07.Jul[[#This Row],[CRÉDITO]]</f>
        <v>4500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A</v>
      </c>
      <c r="E241" s="2">
        <f>IF($I241="","",COUNTIFS(Tab_00.Trial[CONTA],$I241))</f>
        <v>1</v>
      </c>
      <c r="F241" s="4">
        <f>SUMIFS(Tab_06.Jun[SALDO
ATUAL],Tab_06.Jun[CONTA],$I241)</f>
        <v>1341.36</v>
      </c>
      <c r="G241" s="4">
        <f t="shared" si="10"/>
        <v>0</v>
      </c>
      <c r="H241" s="191">
        <v>50405</v>
      </c>
      <c r="I241" s="3" t="s">
        <v>467</v>
      </c>
      <c r="J241" s="3" t="s">
        <v>468</v>
      </c>
      <c r="K241" s="4">
        <v>1341.36</v>
      </c>
      <c r="L241" s="4">
        <v>223.56</v>
      </c>
      <c r="M241" s="4">
        <v>0</v>
      </c>
      <c r="N241" s="4">
        <v>1564.92</v>
      </c>
      <c r="O241" s="4">
        <f>Tab_07.Jul[[#This Row],[DÉBITO]]-Tab_07.Jul[[#This Row],[CRÉDITO]]</f>
        <v>223.56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A</v>
      </c>
      <c r="E242" s="2">
        <f>IF($I242="","",COUNTIFS(Tab_00.Trial[CONTA],$I242))</f>
        <v>1</v>
      </c>
      <c r="F242" s="4">
        <f>SUMIFS(Tab_06.Jun[SALDO
ATUAL],Tab_06.Jun[CONTA],$I242)</f>
        <v>39598.92</v>
      </c>
      <c r="G242" s="4">
        <f t="shared" si="10"/>
        <v>0</v>
      </c>
      <c r="H242" s="191">
        <v>50430</v>
      </c>
      <c r="I242" s="3" t="s">
        <v>469</v>
      </c>
      <c r="J242" s="3" t="s">
        <v>470</v>
      </c>
      <c r="K242" s="4">
        <v>39598.92</v>
      </c>
      <c r="L242" s="4">
        <v>6599.82</v>
      </c>
      <c r="M242" s="4">
        <v>0</v>
      </c>
      <c r="N242" s="4">
        <v>46198.74</v>
      </c>
      <c r="O242" s="4">
        <f>Tab_07.Jul[[#This Row],[DÉBITO]]-Tab_07.Jul[[#This Row],[CRÉDITO]]</f>
        <v>6599.82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A</v>
      </c>
      <c r="E243" s="2">
        <f>IF($I243="","",COUNTIFS(Tab_00.Trial[CONTA],$I243))</f>
        <v>1</v>
      </c>
      <c r="F243" s="4">
        <f>SUMIFS(Tab_06.Jun[SALDO
ATUAL],Tab_06.Jun[CONTA],$I243)</f>
        <v>27980.46</v>
      </c>
      <c r="G243" s="4">
        <f t="shared" si="10"/>
        <v>0</v>
      </c>
      <c r="H243" s="191">
        <v>50432</v>
      </c>
      <c r="I243" s="3" t="s">
        <v>471</v>
      </c>
      <c r="J243" s="3" t="s">
        <v>472</v>
      </c>
      <c r="K243" s="4">
        <v>27980.46</v>
      </c>
      <c r="L243" s="4">
        <v>5309.74</v>
      </c>
      <c r="M243" s="4">
        <v>0</v>
      </c>
      <c r="N243" s="4">
        <v>33290.199999999997</v>
      </c>
      <c r="O243" s="4">
        <f>Tab_07.Jul[[#This Row],[DÉBITO]]-Tab_07.Jul[[#This Row],[CRÉDITO]]</f>
        <v>5309.74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S</v>
      </c>
      <c r="E244" s="2">
        <f>IF($I244="","",COUNTIFS(Tab_00.Trial[CONTA],$I244))</f>
        <v>1</v>
      </c>
      <c r="F244" s="4">
        <f>SUMIFS(Tab_06.Jun[SALDO
ATUAL],Tab_06.Jun[CONTA],$I244)</f>
        <v>497796.48</v>
      </c>
      <c r="G244" s="4">
        <f t="shared" si="10"/>
        <v>0</v>
      </c>
      <c r="H244" s="191">
        <v>50465</v>
      </c>
      <c r="I244" s="3" t="s">
        <v>608</v>
      </c>
      <c r="J244" s="3" t="s">
        <v>713</v>
      </c>
      <c r="K244" s="4">
        <v>497796.48</v>
      </c>
      <c r="L244" s="4">
        <v>82966.080000000002</v>
      </c>
      <c r="M244" s="4">
        <v>0</v>
      </c>
      <c r="N244" s="4">
        <v>580762.56000000006</v>
      </c>
      <c r="O244" s="4">
        <f>Tab_07.Jul[[#This Row],[DÉBITO]]-Tab_07.Jul[[#This Row],[CRÉDITO]]</f>
        <v>82966.080000000002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A</v>
      </c>
      <c r="E245" s="2">
        <f>IF($I245="","",COUNTIFS(Tab_00.Trial[CONTA],$I245))</f>
        <v>1</v>
      </c>
      <c r="F245" s="4">
        <f>SUMIFS(Tab_06.Jun[SALDO
ATUAL],Tab_06.Jun[CONTA],$I245)</f>
        <v>107880.48</v>
      </c>
      <c r="G245" s="4">
        <f t="shared" si="10"/>
        <v>0</v>
      </c>
      <c r="H245" s="191">
        <v>50480</v>
      </c>
      <c r="I245" s="3" t="s">
        <v>741</v>
      </c>
      <c r="J245" s="3" t="s">
        <v>742</v>
      </c>
      <c r="K245" s="4">
        <v>107880.48</v>
      </c>
      <c r="L245" s="4">
        <v>17980.080000000002</v>
      </c>
      <c r="M245" s="4">
        <v>0</v>
      </c>
      <c r="N245" s="4">
        <v>125860.56</v>
      </c>
      <c r="O245" s="4">
        <f>Tab_07.Jul[[#This Row],[DÉBITO]]-Tab_07.Jul[[#This Row],[CRÉDITO]]</f>
        <v>17980.080000000002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A</v>
      </c>
      <c r="E246" s="2">
        <f>IF($I246="","",COUNTIFS(Tab_00.Trial[CONTA],$I246))</f>
        <v>1</v>
      </c>
      <c r="F246" s="4">
        <f>SUMIFS(Tab_06.Jun[SALDO
ATUAL],Tab_06.Jun[CONTA],$I246)</f>
        <v>45000</v>
      </c>
      <c r="G246" s="4">
        <f t="shared" si="10"/>
        <v>0</v>
      </c>
      <c r="H246" s="191">
        <v>50495</v>
      </c>
      <c r="I246" s="3" t="s">
        <v>833</v>
      </c>
      <c r="J246" s="3" t="s">
        <v>834</v>
      </c>
      <c r="K246" s="4">
        <v>45000</v>
      </c>
      <c r="L246" s="4">
        <v>7500</v>
      </c>
      <c r="M246" s="4">
        <v>0</v>
      </c>
      <c r="N246" s="4">
        <v>52500</v>
      </c>
      <c r="O246" s="4">
        <f>Tab_07.Jul[[#This Row],[DÉBITO]]-Tab_07.Jul[[#This Row],[CRÉDITO]]</f>
        <v>7500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A</v>
      </c>
      <c r="E247" s="2">
        <f>IF($I247="","",COUNTIFS(Tab_00.Trial[CONTA],$I247))</f>
        <v>1</v>
      </c>
      <c r="F247" s="4">
        <f>SUMIFS(Tab_06.Jun[SALDO
ATUAL],Tab_06.Jun[CONTA],$I247)</f>
        <v>344916</v>
      </c>
      <c r="G247" s="4">
        <f t="shared" si="10"/>
        <v>0</v>
      </c>
      <c r="H247" s="191">
        <v>50500</v>
      </c>
      <c r="I247" s="3" t="s">
        <v>480</v>
      </c>
      <c r="J247" s="3" t="s">
        <v>481</v>
      </c>
      <c r="K247" s="4">
        <v>344916</v>
      </c>
      <c r="L247" s="4">
        <v>57486</v>
      </c>
      <c r="M247" s="4">
        <v>0</v>
      </c>
      <c r="N247" s="4">
        <v>402402</v>
      </c>
      <c r="O247" s="4">
        <f>Tab_07.Jul[[#This Row],[DÉBITO]]-Tab_07.Jul[[#This Row],[CRÉDITO]]</f>
        <v>57486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S</v>
      </c>
      <c r="E248" s="2">
        <f>IF($I248="","",COUNTIFS(Tab_00.Trial[CONTA],$I248))</f>
        <v>1</v>
      </c>
      <c r="F248" s="4">
        <f>SUMIFS(Tab_06.Jun[SALDO
ATUAL],Tab_06.Jun[CONTA],$I248)</f>
        <v>13492.39</v>
      </c>
      <c r="G248" s="4">
        <f t="shared" si="10"/>
        <v>0</v>
      </c>
      <c r="H248" s="191">
        <v>50510</v>
      </c>
      <c r="I248" s="3" t="s">
        <v>609</v>
      </c>
      <c r="J248" s="3" t="s">
        <v>714</v>
      </c>
      <c r="K248" s="4">
        <v>13492.39</v>
      </c>
      <c r="L248" s="4">
        <v>1813.26</v>
      </c>
      <c r="M248" s="4">
        <v>0</v>
      </c>
      <c r="N248" s="4">
        <v>15305.65</v>
      </c>
      <c r="O248" s="4">
        <f>Tab_07.Jul[[#This Row],[DÉBITO]]-Tab_07.Jul[[#This Row],[CRÉDITO]]</f>
        <v>1813.26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S</v>
      </c>
      <c r="E249" s="2">
        <f>IF($I249="","",COUNTIFS(Tab_00.Trial[CONTA],$I249))</f>
        <v>1</v>
      </c>
      <c r="F249" s="4">
        <f>SUMIFS(Tab_06.Jun[SALDO
ATUAL],Tab_06.Jun[CONTA],$I249)</f>
        <v>13492.39</v>
      </c>
      <c r="G249" s="4">
        <f t="shared" si="10"/>
        <v>0</v>
      </c>
      <c r="H249" s="191">
        <v>50525</v>
      </c>
      <c r="I249" s="3" t="s">
        <v>610</v>
      </c>
      <c r="J249" s="3" t="s">
        <v>714</v>
      </c>
      <c r="K249" s="4">
        <v>13492.39</v>
      </c>
      <c r="L249" s="4">
        <v>1813.26</v>
      </c>
      <c r="M249" s="4">
        <v>0</v>
      </c>
      <c r="N249" s="4">
        <v>15305.65</v>
      </c>
      <c r="O249" s="4">
        <f>Tab_07.Jul[[#This Row],[DÉBITO]]-Tab_07.Jul[[#This Row],[CRÉDITO]]</f>
        <v>1813.26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A</v>
      </c>
      <c r="E250" s="2">
        <f>IF($I250="","",COUNTIFS(Tab_00.Trial[CONTA],$I250))</f>
        <v>1</v>
      </c>
      <c r="F250" s="4">
        <f>SUMIFS(Tab_06.Jun[SALDO
ATUAL],Tab_06.Jun[CONTA],$I250)</f>
        <v>4138.99</v>
      </c>
      <c r="G250" s="4">
        <f t="shared" si="10"/>
        <v>0</v>
      </c>
      <c r="H250" s="191">
        <v>50540</v>
      </c>
      <c r="I250" s="3" t="s">
        <v>482</v>
      </c>
      <c r="J250" s="3" t="s">
        <v>483</v>
      </c>
      <c r="K250" s="4">
        <v>4138.99</v>
      </c>
      <c r="L250" s="4">
        <v>866.32</v>
      </c>
      <c r="M250" s="4">
        <v>0</v>
      </c>
      <c r="N250" s="4">
        <v>5005.3100000000004</v>
      </c>
      <c r="O250" s="4">
        <f>Tab_07.Jul[[#This Row],[DÉBITO]]-Tab_07.Jul[[#This Row],[CRÉDITO]]</f>
        <v>866.32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A</v>
      </c>
      <c r="E251" s="2">
        <f>IF($I251="","",COUNTIFS(Tab_00.Trial[CONTA],$I251))</f>
        <v>1</v>
      </c>
      <c r="F251" s="4">
        <f>SUMIFS(Tab_06.Jun[SALDO
ATUAL],Tab_06.Jun[CONTA],$I251)</f>
        <v>5000</v>
      </c>
      <c r="G251" s="4">
        <f t="shared" si="10"/>
        <v>0</v>
      </c>
      <c r="H251" s="191">
        <v>50555</v>
      </c>
      <c r="I251" s="3" t="s">
        <v>752</v>
      </c>
      <c r="J251" s="3" t="s">
        <v>753</v>
      </c>
      <c r="K251" s="4">
        <v>5000</v>
      </c>
      <c r="L251" s="4">
        <v>0</v>
      </c>
      <c r="M251" s="4">
        <v>0</v>
      </c>
      <c r="N251" s="4">
        <v>5000</v>
      </c>
      <c r="O251" s="4">
        <f>Tab_07.Jul[[#This Row],[DÉBITO]]-Tab_07.Jul[[#This Row],[CRÉDITO]]</f>
        <v>0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A</v>
      </c>
      <c r="E252" s="2">
        <f>IF($I252="","",COUNTIFS(Tab_00.Trial[CONTA],$I252))</f>
        <v>1</v>
      </c>
      <c r="F252" s="4">
        <f>SUMIFS(Tab_06.Jun[SALDO
ATUAL],Tab_06.Jun[CONTA],$I252)</f>
        <v>4353.3999999999996</v>
      </c>
      <c r="G252" s="4">
        <f t="shared" si="10"/>
        <v>0</v>
      </c>
      <c r="H252" s="191">
        <v>50570</v>
      </c>
      <c r="I252" s="3" t="s">
        <v>484</v>
      </c>
      <c r="J252" s="3" t="s">
        <v>485</v>
      </c>
      <c r="K252" s="4">
        <v>4353.3999999999996</v>
      </c>
      <c r="L252" s="4">
        <v>946.94</v>
      </c>
      <c r="M252" s="4">
        <v>0</v>
      </c>
      <c r="N252" s="4">
        <v>5300.34</v>
      </c>
      <c r="O252" s="4">
        <f>Tab_07.Jul[[#This Row],[DÉBITO]]-Tab_07.Jul[[#This Row],[CRÉDITO]]</f>
        <v>946.94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S</v>
      </c>
      <c r="E253" s="2">
        <f>IF($I253="","",COUNTIFS(Tab_00.Trial[CONTA],$I253))</f>
        <v>1</v>
      </c>
      <c r="F253" s="4">
        <f>SUMIFS(Tab_06.Jun[SALDO
ATUAL],Tab_06.Jun[CONTA],$I253)</f>
        <v>58072.959999999999</v>
      </c>
      <c r="G253" s="4">
        <f t="shared" si="10"/>
        <v>0</v>
      </c>
      <c r="H253" s="191">
        <v>50660</v>
      </c>
      <c r="I253" s="3" t="s">
        <v>612</v>
      </c>
      <c r="J253" s="3" t="s">
        <v>716</v>
      </c>
      <c r="K253" s="4">
        <v>58072.959999999999</v>
      </c>
      <c r="L253" s="4">
        <v>7586.35</v>
      </c>
      <c r="M253" s="4">
        <v>0</v>
      </c>
      <c r="N253" s="4">
        <v>65659.31</v>
      </c>
      <c r="O253" s="4">
        <f>Tab_07.Jul[[#This Row],[DÉBITO]]-Tab_07.Jul[[#This Row],[CRÉDITO]]</f>
        <v>7586.35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S</v>
      </c>
      <c r="E254" s="2">
        <f>IF($I254="","",COUNTIFS(Tab_00.Trial[CONTA],$I254))</f>
        <v>1</v>
      </c>
      <c r="F254" s="4">
        <f>SUMIFS(Tab_06.Jun[SALDO
ATUAL],Tab_06.Jun[CONTA],$I254)</f>
        <v>37402.639999999999</v>
      </c>
      <c r="G254" s="4">
        <f t="shared" si="10"/>
        <v>0</v>
      </c>
      <c r="H254" s="191">
        <v>50675</v>
      </c>
      <c r="I254" s="3" t="s">
        <v>613</v>
      </c>
      <c r="J254" s="3" t="s">
        <v>717</v>
      </c>
      <c r="K254" s="4">
        <v>37402.639999999999</v>
      </c>
      <c r="L254" s="4">
        <v>5018.91</v>
      </c>
      <c r="M254" s="4">
        <v>0</v>
      </c>
      <c r="N254" s="4">
        <v>42421.55</v>
      </c>
      <c r="O254" s="4">
        <f>Tab_07.Jul[[#This Row],[DÉBITO]]-Tab_07.Jul[[#This Row],[CRÉDITO]]</f>
        <v>5018.91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A</v>
      </c>
      <c r="E255" s="2">
        <f>IF($I255="","",COUNTIFS(Tab_00.Trial[CONTA],$I255))</f>
        <v>1</v>
      </c>
      <c r="F255" s="4">
        <f>SUMIFS(Tab_06.Jun[SALDO
ATUAL],Tab_06.Jun[CONTA],$I255)</f>
        <v>18640.080000000002</v>
      </c>
      <c r="G255" s="4">
        <f t="shared" si="10"/>
        <v>0</v>
      </c>
      <c r="H255" s="191">
        <v>50690</v>
      </c>
      <c r="I255" s="3" t="s">
        <v>491</v>
      </c>
      <c r="J255" s="3" t="s">
        <v>492</v>
      </c>
      <c r="K255" s="4">
        <v>18640.080000000002</v>
      </c>
      <c r="L255" s="4">
        <v>1918.54</v>
      </c>
      <c r="M255" s="4">
        <v>0</v>
      </c>
      <c r="N255" s="4">
        <v>20558.62</v>
      </c>
      <c r="O255" s="4">
        <f>Tab_07.Jul[[#This Row],[DÉBITO]]-Tab_07.Jul[[#This Row],[CRÉDITO]]</f>
        <v>1918.54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A</v>
      </c>
      <c r="E256" s="2">
        <f>IF($I256="","",COUNTIFS(Tab_00.Trial[CONTA],$I256))</f>
        <v>1</v>
      </c>
      <c r="F256" s="4">
        <f>SUMIFS(Tab_06.Jun[SALDO
ATUAL],Tab_06.Jun[CONTA],$I256)</f>
        <v>10362.86</v>
      </c>
      <c r="G256" s="4">
        <f t="shared" si="10"/>
        <v>0</v>
      </c>
      <c r="H256" s="191">
        <v>50705</v>
      </c>
      <c r="I256" s="3" t="s">
        <v>493</v>
      </c>
      <c r="J256" s="3" t="s">
        <v>494</v>
      </c>
      <c r="K256" s="4">
        <v>10362.86</v>
      </c>
      <c r="L256" s="4">
        <v>1523.82</v>
      </c>
      <c r="M256" s="4">
        <v>0</v>
      </c>
      <c r="N256" s="4">
        <v>11886.68</v>
      </c>
      <c r="O256" s="4">
        <f>Tab_07.Jul[[#This Row],[DÉBITO]]-Tab_07.Jul[[#This Row],[CRÉDITO]]</f>
        <v>1523.82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A</v>
      </c>
      <c r="E257" s="2">
        <f>IF($I257="","",COUNTIFS(Tab_00.Trial[CONTA],$I257))</f>
        <v>1</v>
      </c>
      <c r="F257" s="4">
        <f>SUMIFS(Tab_06.Jun[SALDO
ATUAL],Tab_06.Jun[CONTA],$I257)</f>
        <v>8399.7000000000007</v>
      </c>
      <c r="G257" s="4">
        <f t="shared" si="10"/>
        <v>0</v>
      </c>
      <c r="H257" s="191">
        <v>50720</v>
      </c>
      <c r="I257" s="3" t="s">
        <v>495</v>
      </c>
      <c r="J257" s="3" t="s">
        <v>496</v>
      </c>
      <c r="K257" s="4">
        <v>8399.7000000000007</v>
      </c>
      <c r="L257" s="4">
        <v>1576.55</v>
      </c>
      <c r="M257" s="4">
        <v>0</v>
      </c>
      <c r="N257" s="4">
        <v>9976.25</v>
      </c>
      <c r="O257" s="4">
        <f>Tab_07.Jul[[#This Row],[DÉBITO]]-Tab_07.Jul[[#This Row],[CRÉDITO]]</f>
        <v>1576.55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S</v>
      </c>
      <c r="E258" s="2">
        <f>IF($I258="","",COUNTIFS(Tab_00.Trial[CONTA],$I258))</f>
        <v>1</v>
      </c>
      <c r="F258" s="4">
        <f>SUMIFS(Tab_06.Jun[SALDO
ATUAL],Tab_06.Jun[CONTA],$I258)</f>
        <v>20670.32</v>
      </c>
      <c r="G258" s="4">
        <f t="shared" si="10"/>
        <v>0</v>
      </c>
      <c r="H258" s="191">
        <v>50750</v>
      </c>
      <c r="I258" s="3" t="s">
        <v>614</v>
      </c>
      <c r="J258" s="3" t="s">
        <v>718</v>
      </c>
      <c r="K258" s="4">
        <v>20670.32</v>
      </c>
      <c r="L258" s="4">
        <v>2567.44</v>
      </c>
      <c r="M258" s="4">
        <v>0</v>
      </c>
      <c r="N258" s="4">
        <v>23237.759999999998</v>
      </c>
      <c r="O258" s="4">
        <f>Tab_07.Jul[[#This Row],[DÉBITO]]-Tab_07.Jul[[#This Row],[CRÉDITO]]</f>
        <v>2567.44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A</v>
      </c>
      <c r="E259" s="2">
        <f>IF($I259="","",COUNTIFS(Tab_00.Trial[CONTA],$I259))</f>
        <v>1</v>
      </c>
      <c r="F259" s="4">
        <f>SUMIFS(Tab_06.Jun[SALDO
ATUAL],Tab_06.Jun[CONTA],$I259)</f>
        <v>95</v>
      </c>
      <c r="G259" s="4">
        <f t="shared" si="10"/>
        <v>0</v>
      </c>
      <c r="H259" s="191">
        <v>50765</v>
      </c>
      <c r="I259" s="3" t="s">
        <v>497</v>
      </c>
      <c r="J259" s="3" t="s">
        <v>498</v>
      </c>
      <c r="K259" s="4">
        <v>95</v>
      </c>
      <c r="L259" s="4">
        <v>0</v>
      </c>
      <c r="M259" s="4">
        <v>0</v>
      </c>
      <c r="N259" s="4">
        <v>95</v>
      </c>
      <c r="O259" s="4">
        <f>Tab_07.Jul[[#This Row],[DÉBITO]]-Tab_07.Jul[[#This Row],[CRÉDITO]]</f>
        <v>0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A</v>
      </c>
      <c r="E260" s="2">
        <f>IF($I260="","",COUNTIFS(Tab_00.Trial[CONTA],$I260))</f>
        <v>1</v>
      </c>
      <c r="F260" s="4">
        <f>SUMIFS(Tab_06.Jun[SALDO
ATUAL],Tab_06.Jun[CONTA],$I260)</f>
        <v>9626.74</v>
      </c>
      <c r="G260" s="4">
        <f t="shared" si="10"/>
        <v>0</v>
      </c>
      <c r="H260" s="191">
        <v>50780</v>
      </c>
      <c r="I260" s="3" t="s">
        <v>499</v>
      </c>
      <c r="J260" s="3" t="s">
        <v>500</v>
      </c>
      <c r="K260" s="4">
        <v>9626.74</v>
      </c>
      <c r="L260" s="4">
        <v>167.4</v>
      </c>
      <c r="M260" s="4">
        <v>0</v>
      </c>
      <c r="N260" s="4">
        <v>9794.14</v>
      </c>
      <c r="O260" s="4">
        <f>Tab_07.Jul[[#This Row],[DÉBITO]]-Tab_07.Jul[[#This Row],[CRÉDITO]]</f>
        <v>167.4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A</v>
      </c>
      <c r="E261" s="2">
        <f>IF($I261="","",COUNTIFS(Tab_00.Trial[CONTA],$I261))</f>
        <v>1</v>
      </c>
      <c r="F261" s="4">
        <f>SUMIFS(Tab_06.Jun[SALDO
ATUAL],Tab_06.Jun[CONTA],$I261)</f>
        <v>7640.44</v>
      </c>
      <c r="G261" s="4">
        <f t="shared" si="10"/>
        <v>0</v>
      </c>
      <c r="H261" s="191">
        <v>50795</v>
      </c>
      <c r="I261" s="3" t="s">
        <v>501</v>
      </c>
      <c r="J261" s="3" t="s">
        <v>502</v>
      </c>
      <c r="K261" s="4">
        <v>7640.44</v>
      </c>
      <c r="L261" s="4">
        <v>2024.25</v>
      </c>
      <c r="M261" s="4">
        <v>0</v>
      </c>
      <c r="N261" s="4">
        <v>9664.69</v>
      </c>
      <c r="O261" s="4">
        <f>Tab_07.Jul[[#This Row],[DÉBITO]]-Tab_07.Jul[[#This Row],[CRÉDITO]]</f>
        <v>2024.25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A</v>
      </c>
      <c r="E262" s="2">
        <f>IF($I262="","",COUNTIFS(Tab_00.Trial[CONTA],$I262))</f>
        <v>1</v>
      </c>
      <c r="F262" s="4">
        <f>SUMIFS(Tab_06.Jun[SALDO
ATUAL],Tab_06.Jun[CONTA],$I262)</f>
        <v>3308.14</v>
      </c>
      <c r="G262" s="4">
        <f t="shared" si="10"/>
        <v>0</v>
      </c>
      <c r="H262" s="191">
        <v>50810</v>
      </c>
      <c r="I262" s="3" t="s">
        <v>503</v>
      </c>
      <c r="J262" s="3" t="s">
        <v>504</v>
      </c>
      <c r="K262" s="4">
        <v>3308.14</v>
      </c>
      <c r="L262" s="4">
        <v>375.79</v>
      </c>
      <c r="M262" s="4">
        <v>0</v>
      </c>
      <c r="N262" s="4">
        <v>3683.93</v>
      </c>
      <c r="O262" s="4">
        <f>Tab_07.Jul[[#This Row],[DÉBITO]]-Tab_07.Jul[[#This Row],[CRÉDITO]]</f>
        <v>375.79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S</v>
      </c>
      <c r="E263" s="2">
        <f>IF($I263="","",COUNTIFS(Tab_00.Trial[CONTA],$I263))</f>
        <v>1</v>
      </c>
      <c r="F263" s="4">
        <f>SUMIFS(Tab_06.Jun[SALDO
ATUAL],Tab_06.Jun[CONTA],$I263)</f>
        <v>38396.339999999997</v>
      </c>
      <c r="G263" s="4">
        <f t="shared" si="10"/>
        <v>0</v>
      </c>
      <c r="H263" s="191">
        <v>50870</v>
      </c>
      <c r="I263" s="3" t="s">
        <v>615</v>
      </c>
      <c r="J263" s="3" t="s">
        <v>719</v>
      </c>
      <c r="K263" s="4">
        <v>38396.339999999997</v>
      </c>
      <c r="L263" s="4">
        <v>4362.9799999999996</v>
      </c>
      <c r="M263" s="4">
        <v>0</v>
      </c>
      <c r="N263" s="4">
        <v>42759.32</v>
      </c>
      <c r="O263" s="4">
        <f>Tab_07.Jul[[#This Row],[DÉBITO]]-Tab_07.Jul[[#This Row],[CRÉDITO]]</f>
        <v>4362.9799999999996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S</v>
      </c>
      <c r="E264" s="2">
        <f>IF($I264="","",COUNTIFS(Tab_00.Trial[CONTA],$I264))</f>
        <v>1</v>
      </c>
      <c r="F264" s="4">
        <f>SUMIFS(Tab_06.Jun[SALDO
ATUAL],Tab_06.Jun[CONTA],$I264)</f>
        <v>1726.44</v>
      </c>
      <c r="G264" s="4">
        <f t="shared" si="10"/>
        <v>0</v>
      </c>
      <c r="H264" s="191">
        <v>50915</v>
      </c>
      <c r="I264" s="3" t="s">
        <v>617</v>
      </c>
      <c r="J264" s="3" t="s">
        <v>721</v>
      </c>
      <c r="K264" s="4">
        <v>1726.44</v>
      </c>
      <c r="L264" s="4">
        <v>287.74</v>
      </c>
      <c r="M264" s="4">
        <v>0</v>
      </c>
      <c r="N264" s="4">
        <v>2014.18</v>
      </c>
      <c r="O264" s="4">
        <f>Tab_07.Jul[[#This Row],[DÉBITO]]-Tab_07.Jul[[#This Row],[CRÉDITO]]</f>
        <v>287.74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A</v>
      </c>
      <c r="E265" s="2">
        <f>IF($I265="","",COUNTIFS(Tab_00.Trial[CONTA],$I265))</f>
        <v>1</v>
      </c>
      <c r="F265" s="4">
        <f>SUMIFS(Tab_06.Jun[SALDO
ATUAL],Tab_06.Jun[CONTA],$I265)</f>
        <v>1726.44</v>
      </c>
      <c r="G265" s="4">
        <f t="shared" ref="G265:G269" si="11">$F265-$K265</f>
        <v>0</v>
      </c>
      <c r="H265" s="191">
        <v>50945</v>
      </c>
      <c r="I265" s="3" t="s">
        <v>739</v>
      </c>
      <c r="J265" s="3" t="s">
        <v>740</v>
      </c>
      <c r="K265" s="4">
        <v>1726.44</v>
      </c>
      <c r="L265" s="4">
        <v>287.74</v>
      </c>
      <c r="M265" s="4">
        <v>0</v>
      </c>
      <c r="N265" s="4">
        <v>2014.18</v>
      </c>
      <c r="O265" s="4">
        <f>Tab_07.Jul[[#This Row],[DÉBITO]]-Tab_07.Jul[[#This Row],[CRÉDITO]]</f>
        <v>287.74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S</v>
      </c>
      <c r="E266" s="2">
        <f>IF($I266="","",COUNTIFS(Tab_00.Trial[CONTA],$I266))</f>
        <v>1</v>
      </c>
      <c r="F266" s="4">
        <f>SUMIFS(Tab_06.Jun[SALDO
ATUAL],Tab_06.Jun[CONTA],$I266)</f>
        <v>15463.56</v>
      </c>
      <c r="G266" s="4">
        <f t="shared" si="11"/>
        <v>0</v>
      </c>
      <c r="H266" s="191">
        <v>50960</v>
      </c>
      <c r="I266" s="3" t="s">
        <v>618</v>
      </c>
      <c r="J266" s="3" t="s">
        <v>722</v>
      </c>
      <c r="K266" s="4">
        <v>15463.56</v>
      </c>
      <c r="L266" s="4">
        <v>2592.38</v>
      </c>
      <c r="M266" s="4">
        <v>0</v>
      </c>
      <c r="N266" s="4">
        <v>18055.939999999999</v>
      </c>
      <c r="O266" s="4">
        <f>Tab_07.Jul[[#This Row],[DÉBITO]]-Tab_07.Jul[[#This Row],[CRÉDITO]]</f>
        <v>2592.38</v>
      </c>
    </row>
    <row r="267" spans="2:15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5</v>
      </c>
      <c r="D267" s="2" t="str">
        <f>_xlfn.XLOOKUP($I267,Tab_00.Trial[CONTA],Tab_00.Trial[S/A],"",0,1)</f>
        <v>A</v>
      </c>
      <c r="E267" s="2">
        <f>IF($I267="","",COUNTIFS(Tab_00.Trial[CONTA],$I267))</f>
        <v>1</v>
      </c>
      <c r="F267" s="4">
        <f>SUMIFS(Tab_06.Jun[SALDO
ATUAL],Tab_06.Jun[CONTA],$I267)</f>
        <v>15463.56</v>
      </c>
      <c r="G267" s="4">
        <f t="shared" si="11"/>
        <v>0</v>
      </c>
      <c r="H267" s="191">
        <v>50965</v>
      </c>
      <c r="I267" s="3" t="s">
        <v>511</v>
      </c>
      <c r="J267" s="3" t="s">
        <v>512</v>
      </c>
      <c r="K267" s="4">
        <v>15463.56</v>
      </c>
      <c r="L267" s="4">
        <v>2592.38</v>
      </c>
      <c r="M267" s="4">
        <v>0</v>
      </c>
      <c r="N267" s="4">
        <v>18055.939999999999</v>
      </c>
      <c r="O267" s="4">
        <f>Tab_07.Jul[[#This Row],[DÉBITO]]-Tab_07.Jul[[#This Row],[CRÉDITO]]</f>
        <v>2592.38</v>
      </c>
    </row>
    <row r="268" spans="2:15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5</v>
      </c>
      <c r="D268" s="2" t="str">
        <f>_xlfn.XLOOKUP($I268,Tab_00.Trial[CONTA],Tab_00.Trial[S/A],"",0,1)</f>
        <v>S</v>
      </c>
      <c r="E268" s="2">
        <f>IF($I268="","",COUNTIFS(Tab_00.Trial[CONTA],$I268))</f>
        <v>1</v>
      </c>
      <c r="F268" s="4">
        <f>SUMIFS(Tab_06.Jun[SALDO
ATUAL],Tab_06.Jun[CONTA],$I268)</f>
        <v>21206.34</v>
      </c>
      <c r="G268" s="4">
        <f t="shared" si="11"/>
        <v>0</v>
      </c>
      <c r="H268" s="191">
        <v>50970</v>
      </c>
      <c r="I268" s="3" t="s">
        <v>619</v>
      </c>
      <c r="J268" s="3" t="s">
        <v>420</v>
      </c>
      <c r="K268" s="4">
        <v>21206.34</v>
      </c>
      <c r="L268" s="4">
        <v>1482.86</v>
      </c>
      <c r="M268" s="4">
        <v>0</v>
      </c>
      <c r="N268" s="4">
        <v>22689.200000000001</v>
      </c>
      <c r="O268" s="4">
        <f>Tab_07.Jul[[#This Row],[DÉBITO]]-Tab_07.Jul[[#This Row],[CRÉDITO]]</f>
        <v>1482.86</v>
      </c>
    </row>
    <row r="269" spans="2:15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5</v>
      </c>
      <c r="D269" s="2" t="str">
        <f>_xlfn.XLOOKUP($I269,Tab_00.Trial[CONTA],Tab_00.Trial[S/A],"",0,1)</f>
        <v>A</v>
      </c>
      <c r="E269" s="2">
        <f>IF($I269="","",COUNTIFS(Tab_00.Trial[CONTA],$I269))</f>
        <v>1</v>
      </c>
      <c r="F269" s="4">
        <f>SUMIFS(Tab_06.Jun[SALDO
ATUAL],Tab_06.Jun[CONTA],$I269)</f>
        <v>21206.34</v>
      </c>
      <c r="G269" s="4">
        <f t="shared" si="11"/>
        <v>0</v>
      </c>
      <c r="H269" s="191">
        <v>50975</v>
      </c>
      <c r="I269" s="3" t="s">
        <v>515</v>
      </c>
      <c r="J269" s="3" t="s">
        <v>420</v>
      </c>
      <c r="K269" s="4">
        <v>21206.34</v>
      </c>
      <c r="L269" s="4">
        <v>1482.86</v>
      </c>
      <c r="M269" s="4">
        <v>0</v>
      </c>
      <c r="N269" s="4">
        <v>22689.200000000001</v>
      </c>
      <c r="O269" s="4">
        <f>Tab_07.Jul[[#This Row],[DÉBITO]]-Tab_07.Jul[[#This Row],[CRÉDITO]]</f>
        <v>1482.86</v>
      </c>
    </row>
    <row r="270" spans="2:15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S</v>
      </c>
      <c r="E270" s="2">
        <f>IF($I270="","",COUNTIFS(Tab_00.Trial[CONTA],$I270))</f>
        <v>1</v>
      </c>
      <c r="F270" s="4">
        <f>SUMIFS(Tab_06.Jun[SALDO
ATUAL],Tab_06.Jun[CONTA],$I270)</f>
        <v>9880.73</v>
      </c>
      <c r="G270" s="4">
        <f t="shared" ref="G270:G274" si="12">$F270-$K270</f>
        <v>0</v>
      </c>
      <c r="H270" s="191">
        <v>50990</v>
      </c>
      <c r="I270" s="3" t="s">
        <v>621</v>
      </c>
      <c r="J270" s="3" t="s">
        <v>723</v>
      </c>
      <c r="K270" s="4">
        <v>9880.73</v>
      </c>
      <c r="L270" s="4">
        <v>1860.58</v>
      </c>
      <c r="M270" s="4">
        <v>0</v>
      </c>
      <c r="N270" s="4">
        <v>11741.31</v>
      </c>
      <c r="O270" s="4">
        <f>Tab_07.Jul[[#This Row],[DÉBITO]]-Tab_07.Jul[[#This Row],[CRÉDITO]]</f>
        <v>1860.58</v>
      </c>
    </row>
    <row r="271" spans="2:15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5</v>
      </c>
      <c r="D271" s="2" t="str">
        <f>_xlfn.XLOOKUP($I271,Tab_00.Trial[CONTA],Tab_00.Trial[S/A],"",0,1)</f>
        <v>S</v>
      </c>
      <c r="E271" s="2">
        <f>IF($I271="","",COUNTIFS(Tab_00.Trial[CONTA],$I271))</f>
        <v>1</v>
      </c>
      <c r="F271" s="4">
        <f>SUMIFS(Tab_06.Jun[SALDO
ATUAL],Tab_06.Jun[CONTA],$I271)</f>
        <v>9880.73</v>
      </c>
      <c r="G271" s="4">
        <f t="shared" si="12"/>
        <v>0</v>
      </c>
      <c r="H271" s="191">
        <v>51005</v>
      </c>
      <c r="I271" s="3" t="s">
        <v>622</v>
      </c>
      <c r="J271" s="3" t="s">
        <v>723</v>
      </c>
      <c r="K271" s="4">
        <v>9880.73</v>
      </c>
      <c r="L271" s="4">
        <v>1860.58</v>
      </c>
      <c r="M271" s="4">
        <v>0</v>
      </c>
      <c r="N271" s="4">
        <v>11741.31</v>
      </c>
      <c r="O271" s="4">
        <f>Tab_07.Jul[[#This Row],[DÉBITO]]-Tab_07.Jul[[#This Row],[CRÉDITO]]</f>
        <v>1860.58</v>
      </c>
    </row>
    <row r="272" spans="2:15" x14ac:dyDescent="0.3">
      <c r="B272" s="2" t="str">
        <f>_xlfn.XLOOKUP($I272,Tab_00.Trial[CONTA],Tab_00.Trial[TP],"",0,1)</f>
        <v>C</v>
      </c>
      <c r="C272" s="2">
        <f>_xlfn.XLOOKUP($I272,Tab_00.Trial[CONTA],Tab_00.Trial[NV],"",0,1)</f>
        <v>5</v>
      </c>
      <c r="D272" s="2" t="str">
        <f>_xlfn.XLOOKUP($I272,Tab_00.Trial[CONTA],Tab_00.Trial[S/A],"",0,1)</f>
        <v>A</v>
      </c>
      <c r="E272" s="2">
        <f>IF($I272="","",COUNTIFS(Tab_00.Trial[CONTA],$I272))</f>
        <v>1</v>
      </c>
      <c r="F272" s="4">
        <f>SUMIFS(Tab_06.Jun[SALDO
ATUAL],Tab_06.Jun[CONTA],$I272)</f>
        <v>9880.73</v>
      </c>
      <c r="G272" s="4">
        <f t="shared" si="12"/>
        <v>0</v>
      </c>
      <c r="H272" s="191">
        <v>51019</v>
      </c>
      <c r="I272" s="3" t="s">
        <v>518</v>
      </c>
      <c r="J272" s="3" t="s">
        <v>519</v>
      </c>
      <c r="K272" s="4">
        <v>9880.73</v>
      </c>
      <c r="L272" s="4">
        <v>1860.58</v>
      </c>
      <c r="M272" s="4">
        <v>0</v>
      </c>
      <c r="N272" s="4">
        <v>11741.31</v>
      </c>
      <c r="O272" s="4">
        <f>Tab_07.Jul[[#This Row],[DÉBITO]]-Tab_07.Jul[[#This Row],[CRÉDITO]]</f>
        <v>1860.58</v>
      </c>
    </row>
    <row r="273" spans="2:15" x14ac:dyDescent="0.3">
      <c r="B273" s="2" t="str">
        <f>_xlfn.XLOOKUP($I273,Tab_00.Trial[CONTA],Tab_00.Trial[TP],"",0,1)</f>
        <v>C</v>
      </c>
      <c r="C273" s="2">
        <f>_xlfn.XLOOKUP($I273,Tab_00.Trial[CONTA],Tab_00.Trial[NV],"",0,1)</f>
        <v>5</v>
      </c>
      <c r="D273" s="2" t="str">
        <f>_xlfn.XLOOKUP($I273,Tab_00.Trial[CONTA],Tab_00.Trial[S/A],"",0,1)</f>
        <v>S</v>
      </c>
      <c r="E273" s="2">
        <f>IF($I273="","",COUNTIFS(Tab_00.Trial[CONTA],$I273))</f>
        <v>1</v>
      </c>
      <c r="F273" s="4">
        <f>SUMIFS(Tab_06.Jun[SALDO
ATUAL],Tab_06.Jun[CONTA],$I273)</f>
        <v>25281.74</v>
      </c>
      <c r="G273" s="4">
        <f t="shared" si="12"/>
        <v>0</v>
      </c>
      <c r="H273" s="191">
        <v>51050</v>
      </c>
      <c r="I273" s="3" t="s">
        <v>623</v>
      </c>
      <c r="J273" s="3" t="s">
        <v>724</v>
      </c>
      <c r="K273" s="4">
        <v>25281.74</v>
      </c>
      <c r="L273" s="4">
        <v>3666.75</v>
      </c>
      <c r="M273" s="4">
        <v>0</v>
      </c>
      <c r="N273" s="4">
        <v>28948.49</v>
      </c>
      <c r="O273" s="4">
        <f>Tab_07.Jul[[#This Row],[DÉBITO]]-Tab_07.Jul[[#This Row],[CRÉDITO]]</f>
        <v>3666.75</v>
      </c>
    </row>
    <row r="274" spans="2:15" x14ac:dyDescent="0.3">
      <c r="B274" s="2" t="str">
        <f>_xlfn.XLOOKUP($I274,Tab_00.Trial[CONTA],Tab_00.Trial[TP],"",0,1)</f>
        <v>C</v>
      </c>
      <c r="C274" s="2">
        <f>_xlfn.XLOOKUP($I274,Tab_00.Trial[CONTA],Tab_00.Trial[NV],"",0,1)</f>
        <v>5</v>
      </c>
      <c r="D274" s="2" t="str">
        <f>_xlfn.XLOOKUP($I274,Tab_00.Trial[CONTA],Tab_00.Trial[S/A],"",0,1)</f>
        <v>S</v>
      </c>
      <c r="E274" s="2">
        <f>IF($I274="","",COUNTIFS(Tab_00.Trial[CONTA],$I274))</f>
        <v>1</v>
      </c>
      <c r="F274" s="4">
        <f>SUMIFS(Tab_06.Jun[SALDO
ATUAL],Tab_06.Jun[CONTA],$I274)</f>
        <v>25281.74</v>
      </c>
      <c r="G274" s="4">
        <f t="shared" si="12"/>
        <v>0</v>
      </c>
      <c r="H274" s="191">
        <v>51065</v>
      </c>
      <c r="I274" s="3" t="s">
        <v>624</v>
      </c>
      <c r="J274" s="3" t="s">
        <v>724</v>
      </c>
      <c r="K274" s="4">
        <v>25281.74</v>
      </c>
      <c r="L274" s="4">
        <v>3666.75</v>
      </c>
      <c r="M274" s="4">
        <v>0</v>
      </c>
      <c r="N274" s="4">
        <v>28948.49</v>
      </c>
      <c r="O274" s="4">
        <f>Tab_07.Jul[[#This Row],[DÉBITO]]-Tab_07.Jul[[#This Row],[CRÉDITO]]</f>
        <v>3666.75</v>
      </c>
    </row>
    <row r="275" spans="2:15" x14ac:dyDescent="0.3">
      <c r="B275" s="2" t="str">
        <f>_xlfn.XLOOKUP($I275,Tab_00.Trial[CONTA],Tab_00.Trial[TP],"",0,1)</f>
        <v>C</v>
      </c>
      <c r="C275" s="2">
        <f>_xlfn.XLOOKUP($I275,Tab_00.Trial[CONTA],Tab_00.Trial[NV],"",0,1)</f>
        <v>5</v>
      </c>
      <c r="D275" s="2" t="str">
        <f>_xlfn.XLOOKUP($I275,Tab_00.Trial[CONTA],Tab_00.Trial[S/A],"",0,1)</f>
        <v>A</v>
      </c>
      <c r="E275" s="2">
        <f>IF($I275="","",COUNTIFS(Tab_00.Trial[CONTA],$I275))</f>
        <v>1</v>
      </c>
      <c r="F275" s="4">
        <f>SUMIFS(Tab_06.Jun[SALDO
ATUAL],Tab_06.Jun[CONTA],$I275)</f>
        <v>25281.74</v>
      </c>
      <c r="G275" s="4">
        <f t="shared" ref="G275:G288" si="13">$F275-$K275</f>
        <v>0</v>
      </c>
      <c r="H275" s="191">
        <v>51080</v>
      </c>
      <c r="I275" s="3" t="s">
        <v>520</v>
      </c>
      <c r="J275" s="3" t="s">
        <v>521</v>
      </c>
      <c r="K275" s="4">
        <v>25281.74</v>
      </c>
      <c r="L275" s="4">
        <v>3666.75</v>
      </c>
      <c r="M275" s="4">
        <v>0</v>
      </c>
      <c r="N275" s="4">
        <v>28948.49</v>
      </c>
      <c r="O275" s="4">
        <f>Tab_07.Jul[[#This Row],[DÉBITO]]-Tab_07.Jul[[#This Row],[CRÉDITO]]</f>
        <v>3666.75</v>
      </c>
    </row>
    <row r="276" spans="2:15" x14ac:dyDescent="0.3">
      <c r="B276" s="2" t="str">
        <f>_xlfn.XLOOKUP($I276,Tab_00.Trial[CONTA],Tab_00.Trial[TP],"",0,1)</f>
        <v>C</v>
      </c>
      <c r="C276" s="2">
        <f>_xlfn.XLOOKUP($I276,Tab_00.Trial[CONTA],Tab_00.Trial[NV],"",0,1)</f>
        <v>5</v>
      </c>
      <c r="D276" s="2" t="str">
        <f>_xlfn.XLOOKUP($I276,Tab_00.Trial[CONTA],Tab_00.Trial[S/A],"",0,1)</f>
        <v>S</v>
      </c>
      <c r="E276" s="2">
        <f>IF($I276="","",COUNTIFS(Tab_00.Trial[CONTA],$I276))</f>
        <v>1</v>
      </c>
      <c r="F276" s="4">
        <f>SUMIFS(Tab_06.Jun[SALDO
ATUAL],Tab_06.Jun[CONTA],$I276)</f>
        <v>35031.599999999999</v>
      </c>
      <c r="G276" s="4">
        <f t="shared" si="13"/>
        <v>0</v>
      </c>
      <c r="H276" s="191">
        <v>51110</v>
      </c>
      <c r="I276" s="3" t="s">
        <v>625</v>
      </c>
      <c r="J276" s="3" t="s">
        <v>542</v>
      </c>
      <c r="K276" s="4">
        <v>35031.599999999999</v>
      </c>
      <c r="L276" s="4">
        <v>2665.14</v>
      </c>
      <c r="M276" s="4">
        <v>0</v>
      </c>
      <c r="N276" s="4">
        <v>37696.74</v>
      </c>
      <c r="O276" s="4">
        <f>Tab_07.Jul[[#This Row],[DÉBITO]]-Tab_07.Jul[[#This Row],[CRÉDITO]]</f>
        <v>2665.14</v>
      </c>
    </row>
    <row r="277" spans="2:15" x14ac:dyDescent="0.3">
      <c r="B277" s="2" t="str">
        <f>_xlfn.XLOOKUP($I277,Tab_00.Trial[CONTA],Tab_00.Trial[TP],"",0,1)</f>
        <v>C</v>
      </c>
      <c r="C277" s="2">
        <f>_xlfn.XLOOKUP($I277,Tab_00.Trial[CONTA],Tab_00.Trial[NV],"",0,1)</f>
        <v>5</v>
      </c>
      <c r="D277" s="2" t="str">
        <f>_xlfn.XLOOKUP($I277,Tab_00.Trial[CONTA],Tab_00.Trial[S/A],"",0,1)</f>
        <v>S</v>
      </c>
      <c r="E277" s="2">
        <f>IF($I277="","",COUNTIFS(Tab_00.Trial[CONTA],$I277))</f>
        <v>1</v>
      </c>
      <c r="F277" s="4">
        <f>SUMIFS(Tab_06.Jun[SALDO
ATUAL],Tab_06.Jun[CONTA],$I277)</f>
        <v>15996.99</v>
      </c>
      <c r="G277" s="4">
        <f t="shared" si="13"/>
        <v>0</v>
      </c>
      <c r="H277" s="191">
        <v>51125</v>
      </c>
      <c r="I277" s="3" t="s">
        <v>626</v>
      </c>
      <c r="J277" s="3" t="s">
        <v>725</v>
      </c>
      <c r="K277" s="4">
        <v>15996.99</v>
      </c>
      <c r="L277" s="4">
        <v>99.82</v>
      </c>
      <c r="M277" s="4">
        <v>0</v>
      </c>
      <c r="N277" s="4">
        <v>16096.81</v>
      </c>
      <c r="O277" s="4">
        <f>Tab_07.Jul[[#This Row],[DÉBITO]]-Tab_07.Jul[[#This Row],[CRÉDITO]]</f>
        <v>99.82</v>
      </c>
    </row>
    <row r="278" spans="2:15" x14ac:dyDescent="0.3">
      <c r="B278" s="2" t="str">
        <f>_xlfn.XLOOKUP($I278,Tab_00.Trial[CONTA],Tab_00.Trial[TP],"",0,1)</f>
        <v>C</v>
      </c>
      <c r="C278" s="2">
        <f>_xlfn.XLOOKUP($I278,Tab_00.Trial[CONTA],Tab_00.Trial[NV],"",0,1)</f>
        <v>5</v>
      </c>
      <c r="D278" s="2" t="str">
        <f>_xlfn.XLOOKUP($I278,Tab_00.Trial[CONTA],Tab_00.Trial[S/A],"",0,1)</f>
        <v>A</v>
      </c>
      <c r="E278" s="2">
        <f>IF($I278="","",COUNTIFS(Tab_00.Trial[CONTA],$I278))</f>
        <v>1</v>
      </c>
      <c r="F278" s="4">
        <f>SUMIFS(Tab_06.Jun[SALDO
ATUAL],Tab_06.Jun[CONTA],$I278)</f>
        <v>15527.74</v>
      </c>
      <c r="G278" s="4">
        <f t="shared" si="13"/>
        <v>0</v>
      </c>
      <c r="H278" s="191">
        <v>51200</v>
      </c>
      <c r="I278" s="3" t="s">
        <v>522</v>
      </c>
      <c r="J278" s="3" t="s">
        <v>523</v>
      </c>
      <c r="K278" s="4">
        <v>15527.74</v>
      </c>
      <c r="L278" s="4">
        <v>0</v>
      </c>
      <c r="M278" s="4">
        <v>0</v>
      </c>
      <c r="N278" s="4">
        <v>15527.74</v>
      </c>
      <c r="O278" s="4">
        <f>Tab_07.Jul[[#This Row],[DÉBITO]]-Tab_07.Jul[[#This Row],[CRÉDITO]]</f>
        <v>0</v>
      </c>
    </row>
    <row r="279" spans="2:15" x14ac:dyDescent="0.3">
      <c r="B279" s="2" t="str">
        <f>_xlfn.XLOOKUP($I279,Tab_00.Trial[CONTA],Tab_00.Trial[TP],"",0,1)</f>
        <v>C</v>
      </c>
      <c r="C279" s="2">
        <f>_xlfn.XLOOKUP($I279,Tab_00.Trial[CONTA],Tab_00.Trial[NV],"",0,1)</f>
        <v>5</v>
      </c>
      <c r="D279" s="2" t="str">
        <f>_xlfn.XLOOKUP($I279,Tab_00.Trial[CONTA],Tab_00.Trial[S/A],"",0,1)</f>
        <v>A</v>
      </c>
      <c r="E279" s="2">
        <f>IF($I279="","",COUNTIFS(Tab_00.Trial[CONTA],$I279))</f>
        <v>1</v>
      </c>
      <c r="F279" s="4">
        <f>SUMIFS(Tab_06.Jun[SALDO
ATUAL],Tab_06.Jun[CONTA],$I279)</f>
        <v>469.25</v>
      </c>
      <c r="G279" s="4">
        <f t="shared" si="13"/>
        <v>0</v>
      </c>
      <c r="H279" s="191">
        <v>51220</v>
      </c>
      <c r="I279" s="3" t="s">
        <v>524</v>
      </c>
      <c r="J279" s="3" t="s">
        <v>525</v>
      </c>
      <c r="K279" s="4">
        <v>469.25</v>
      </c>
      <c r="L279" s="4">
        <v>99.82</v>
      </c>
      <c r="M279" s="4">
        <v>0</v>
      </c>
      <c r="N279" s="4">
        <v>569.07000000000005</v>
      </c>
      <c r="O279" s="4">
        <f>Tab_07.Jul[[#This Row],[DÉBITO]]-Tab_07.Jul[[#This Row],[CRÉDITO]]</f>
        <v>99.82</v>
      </c>
    </row>
    <row r="280" spans="2:15" x14ac:dyDescent="0.3">
      <c r="B280" s="2" t="str">
        <f>_xlfn.XLOOKUP($I280,Tab_00.Trial[CONTA],Tab_00.Trial[TP],"",0,1)</f>
        <v>C</v>
      </c>
      <c r="C280" s="2">
        <f>_xlfn.XLOOKUP($I280,Tab_00.Trial[CONTA],Tab_00.Trial[NV],"",0,1)</f>
        <v>5</v>
      </c>
      <c r="D280" s="2" t="str">
        <f>_xlfn.XLOOKUP($I280,Tab_00.Trial[CONTA],Tab_00.Trial[S/A],"",0,1)</f>
        <v>S</v>
      </c>
      <c r="E280" s="2">
        <f>IF($I280="","",COUNTIFS(Tab_00.Trial[CONTA],$I280))</f>
        <v>1</v>
      </c>
      <c r="F280" s="4">
        <f>SUMIFS(Tab_06.Jun[SALDO
ATUAL],Tab_06.Jun[CONTA],$I280)</f>
        <v>19034.61</v>
      </c>
      <c r="G280" s="4">
        <f t="shared" si="13"/>
        <v>0</v>
      </c>
      <c r="H280" s="191">
        <v>51230</v>
      </c>
      <c r="I280" s="3" t="s">
        <v>627</v>
      </c>
      <c r="J280" s="3" t="s">
        <v>542</v>
      </c>
      <c r="K280" s="4">
        <v>19034.61</v>
      </c>
      <c r="L280" s="4">
        <v>2565.3200000000002</v>
      </c>
      <c r="M280" s="4">
        <v>0</v>
      </c>
      <c r="N280" s="4">
        <v>21599.93</v>
      </c>
      <c r="O280" s="4">
        <f>Tab_07.Jul[[#This Row],[DÉBITO]]-Tab_07.Jul[[#This Row],[CRÉDITO]]</f>
        <v>2565.3200000000002</v>
      </c>
    </row>
    <row r="281" spans="2:15" x14ac:dyDescent="0.3">
      <c r="B281" s="2" t="str">
        <f>_xlfn.XLOOKUP($I281,Tab_00.Trial[CONTA],Tab_00.Trial[TP],"",0,1)</f>
        <v>C</v>
      </c>
      <c r="C281" s="2">
        <f>_xlfn.XLOOKUP($I281,Tab_00.Trial[CONTA],Tab_00.Trial[NV],"",0,1)</f>
        <v>5</v>
      </c>
      <c r="D281" s="2" t="str">
        <f>_xlfn.XLOOKUP($I281,Tab_00.Trial[CONTA],Tab_00.Trial[S/A],"",0,1)</f>
        <v>A</v>
      </c>
      <c r="E281" s="2">
        <f>IF($I281="","",COUNTIFS(Tab_00.Trial[CONTA],$I281))</f>
        <v>1</v>
      </c>
      <c r="F281" s="4">
        <f>SUMIFS(Tab_06.Jun[SALDO
ATUAL],Tab_06.Jun[CONTA],$I281)</f>
        <v>628.12</v>
      </c>
      <c r="G281" s="4">
        <f t="shared" si="13"/>
        <v>0</v>
      </c>
      <c r="H281" s="191">
        <v>51245</v>
      </c>
      <c r="I281" s="3" t="s">
        <v>528</v>
      </c>
      <c r="J281" s="3" t="s">
        <v>416</v>
      </c>
      <c r="K281" s="4">
        <v>628.12</v>
      </c>
      <c r="L281" s="4">
        <v>121.89</v>
      </c>
      <c r="M281" s="4">
        <v>0</v>
      </c>
      <c r="N281" s="4">
        <v>750.01</v>
      </c>
      <c r="O281" s="4">
        <f>Tab_07.Jul[[#This Row],[DÉBITO]]-Tab_07.Jul[[#This Row],[CRÉDITO]]</f>
        <v>121.89</v>
      </c>
    </row>
    <row r="282" spans="2:15" x14ac:dyDescent="0.3">
      <c r="B282" s="2" t="str">
        <f>_xlfn.XLOOKUP($I282,Tab_00.Trial[CONTA],Tab_00.Trial[TP],"",0,1)</f>
        <v>C</v>
      </c>
      <c r="C282" s="2">
        <f>_xlfn.XLOOKUP($I282,Tab_00.Trial[CONTA],Tab_00.Trial[NV],"",0,1)</f>
        <v>5</v>
      </c>
      <c r="D282" s="2" t="str">
        <f>_xlfn.XLOOKUP($I282,Tab_00.Trial[CONTA],Tab_00.Trial[S/A],"",0,1)</f>
        <v>A</v>
      </c>
      <c r="E282" s="2">
        <f>IF($I282="","",COUNTIFS(Tab_00.Trial[CONTA],$I282))</f>
        <v>1</v>
      </c>
      <c r="F282" s="4">
        <f>SUMIFS(Tab_06.Jun[SALDO
ATUAL],Tab_06.Jun[CONTA],$I282)</f>
        <v>258</v>
      </c>
      <c r="G282" s="4">
        <f t="shared" si="13"/>
        <v>0</v>
      </c>
      <c r="H282" s="191">
        <v>51275</v>
      </c>
      <c r="I282" s="3" t="s">
        <v>529</v>
      </c>
      <c r="J282" s="3" t="s">
        <v>530</v>
      </c>
      <c r="K282" s="4">
        <v>258</v>
      </c>
      <c r="L282" s="4">
        <v>0</v>
      </c>
      <c r="M282" s="4">
        <v>0</v>
      </c>
      <c r="N282" s="4">
        <v>258</v>
      </c>
      <c r="O282" s="4">
        <f>Tab_07.Jul[[#This Row],[DÉBITO]]-Tab_07.Jul[[#This Row],[CRÉDITO]]</f>
        <v>0</v>
      </c>
    </row>
    <row r="283" spans="2:15" x14ac:dyDescent="0.3">
      <c r="B283" s="2" t="str">
        <f>_xlfn.XLOOKUP($I283,Tab_00.Trial[CONTA],Tab_00.Trial[TP],"",0,1)</f>
        <v>C</v>
      </c>
      <c r="C283" s="2">
        <f>_xlfn.XLOOKUP($I283,Tab_00.Trial[CONTA],Tab_00.Trial[NV],"",0,1)</f>
        <v>5</v>
      </c>
      <c r="D283" s="2" t="str">
        <f>_xlfn.XLOOKUP($I283,Tab_00.Trial[CONTA],Tab_00.Trial[S/A],"",0,1)</f>
        <v>A</v>
      </c>
      <c r="E283" s="2">
        <f>IF($I283="","",COUNTIFS(Tab_00.Trial[CONTA],$I283))</f>
        <v>1</v>
      </c>
      <c r="F283" s="4">
        <f>SUMIFS(Tab_06.Jun[SALDO
ATUAL],Tab_06.Jun[CONTA],$I283)</f>
        <v>474.58</v>
      </c>
      <c r="G283" s="4">
        <f t="shared" si="13"/>
        <v>0</v>
      </c>
      <c r="H283" s="191">
        <v>51290</v>
      </c>
      <c r="I283" s="3" t="s">
        <v>531</v>
      </c>
      <c r="J283" s="3" t="s">
        <v>532</v>
      </c>
      <c r="K283" s="4">
        <v>474.58</v>
      </c>
      <c r="L283" s="4">
        <v>616.04999999999995</v>
      </c>
      <c r="M283" s="4">
        <v>0</v>
      </c>
      <c r="N283" s="4">
        <v>1090.6300000000001</v>
      </c>
      <c r="O283" s="4">
        <f>Tab_07.Jul[[#This Row],[DÉBITO]]-Tab_07.Jul[[#This Row],[CRÉDITO]]</f>
        <v>616.04999999999995</v>
      </c>
    </row>
    <row r="284" spans="2:15" x14ac:dyDescent="0.3">
      <c r="B284" s="2" t="str">
        <f>_xlfn.XLOOKUP($I284,Tab_00.Trial[CONTA],Tab_00.Trial[TP],"",0,1)</f>
        <v>C</v>
      </c>
      <c r="C284" s="2">
        <f>_xlfn.XLOOKUP($I284,Tab_00.Trial[CONTA],Tab_00.Trial[NV],"",0,1)</f>
        <v>5</v>
      </c>
      <c r="D284" s="2" t="str">
        <f>_xlfn.XLOOKUP($I284,Tab_00.Trial[CONTA],Tab_00.Trial[S/A],"",0,1)</f>
        <v>A</v>
      </c>
      <c r="E284" s="2">
        <f>IF($I284="","",COUNTIFS(Tab_00.Trial[CONTA],$I284))</f>
        <v>1</v>
      </c>
      <c r="F284" s="4">
        <f>SUMIFS(Tab_06.Jun[SALDO
ATUAL],Tab_06.Jun[CONTA],$I284)</f>
        <v>1750</v>
      </c>
      <c r="G284" s="4">
        <f t="shared" si="13"/>
        <v>0</v>
      </c>
      <c r="H284" s="191">
        <v>51305</v>
      </c>
      <c r="I284" s="3" t="s">
        <v>533</v>
      </c>
      <c r="J284" s="3" t="s">
        <v>534</v>
      </c>
      <c r="K284" s="4">
        <v>1750</v>
      </c>
      <c r="L284" s="4">
        <v>350</v>
      </c>
      <c r="M284" s="4">
        <v>0</v>
      </c>
      <c r="N284" s="4">
        <v>2100</v>
      </c>
      <c r="O284" s="4">
        <f>Tab_07.Jul[[#This Row],[DÉBITO]]-Tab_07.Jul[[#This Row],[CRÉDITO]]</f>
        <v>350</v>
      </c>
    </row>
    <row r="285" spans="2:15" x14ac:dyDescent="0.3">
      <c r="B285" s="2" t="str">
        <f>_xlfn.XLOOKUP($I285,Tab_00.Trial[CONTA],Tab_00.Trial[TP],"",0,1)</f>
        <v>C</v>
      </c>
      <c r="C285" s="2">
        <f>_xlfn.XLOOKUP($I285,Tab_00.Trial[CONTA],Tab_00.Trial[NV],"",0,1)</f>
        <v>5</v>
      </c>
      <c r="D285" s="2" t="str">
        <f>_xlfn.XLOOKUP($I285,Tab_00.Trial[CONTA],Tab_00.Trial[S/A],"",0,1)</f>
        <v>A</v>
      </c>
      <c r="E285" s="2">
        <f>IF($I285="","",COUNTIFS(Tab_00.Trial[CONTA],$I285))</f>
        <v>1</v>
      </c>
      <c r="F285" s="4">
        <f>SUMIFS(Tab_06.Jun[SALDO
ATUAL],Tab_06.Jun[CONTA],$I285)</f>
        <v>4744.79</v>
      </c>
      <c r="G285" s="4">
        <f t="shared" si="13"/>
        <v>0</v>
      </c>
      <c r="H285" s="191">
        <v>51335</v>
      </c>
      <c r="I285" s="3" t="s">
        <v>537</v>
      </c>
      <c r="J285" s="3" t="s">
        <v>538</v>
      </c>
      <c r="K285" s="4">
        <v>4744.79</v>
      </c>
      <c r="L285" s="4">
        <v>5.0999999999999996</v>
      </c>
      <c r="M285" s="4">
        <v>0</v>
      </c>
      <c r="N285" s="4">
        <v>4749.8900000000003</v>
      </c>
      <c r="O285" s="4">
        <f>Tab_07.Jul[[#This Row],[DÉBITO]]-Tab_07.Jul[[#This Row],[CRÉDITO]]</f>
        <v>5.0999999999999996</v>
      </c>
    </row>
    <row r="286" spans="2:15" x14ac:dyDescent="0.3">
      <c r="B286" s="2" t="str">
        <f>_xlfn.XLOOKUP($I286,Tab_00.Trial[CONTA],Tab_00.Trial[TP],"",0,1)</f>
        <v>C</v>
      </c>
      <c r="C286" s="2">
        <f>_xlfn.XLOOKUP($I286,Tab_00.Trial[CONTA],Tab_00.Trial[NV],"",0,1)</f>
        <v>5</v>
      </c>
      <c r="D286" s="2" t="str">
        <f>_xlfn.XLOOKUP($I286,Tab_00.Trial[CONTA],Tab_00.Trial[S/A],"",0,1)</f>
        <v>A</v>
      </c>
      <c r="E286" s="2">
        <f>IF($I286="","",COUNTIFS(Tab_00.Trial[CONTA],$I286))</f>
        <v>1</v>
      </c>
      <c r="F286" s="4">
        <f>SUMIFS(Tab_06.Jun[SALDO
ATUAL],Tab_06.Jun[CONTA],$I286)</f>
        <v>9750.25</v>
      </c>
      <c r="G286" s="4">
        <f t="shared" si="13"/>
        <v>0</v>
      </c>
      <c r="H286" s="191">
        <v>51338</v>
      </c>
      <c r="I286" s="3" t="s">
        <v>539</v>
      </c>
      <c r="J286" s="3" t="s">
        <v>540</v>
      </c>
      <c r="K286" s="4">
        <v>9750.25</v>
      </c>
      <c r="L286" s="4">
        <v>1214.8800000000001</v>
      </c>
      <c r="M286" s="4">
        <v>0</v>
      </c>
      <c r="N286" s="4">
        <v>10965.13</v>
      </c>
      <c r="O286" s="4">
        <f>Tab_07.Jul[[#This Row],[DÉBITO]]-Tab_07.Jul[[#This Row],[CRÉDITO]]</f>
        <v>1214.8800000000001</v>
      </c>
    </row>
    <row r="287" spans="2:15" x14ac:dyDescent="0.3">
      <c r="B287" s="2" t="str">
        <f>_xlfn.XLOOKUP($I287,Tab_00.Trial[CONTA],Tab_00.Trial[TP],"",0,1)</f>
        <v>C</v>
      </c>
      <c r="C287" s="2">
        <f>_xlfn.XLOOKUP($I287,Tab_00.Trial[CONTA],Tab_00.Trial[NV],"",0,1)</f>
        <v>5</v>
      </c>
      <c r="D287" s="2" t="str">
        <f>_xlfn.XLOOKUP($I287,Tab_00.Trial[CONTA],Tab_00.Trial[S/A],"",0,1)</f>
        <v>A</v>
      </c>
      <c r="E287" s="2">
        <f>IF($I287="","",COUNTIFS(Tab_00.Trial[CONTA],$I287))</f>
        <v>1</v>
      </c>
      <c r="F287" s="4">
        <f>SUMIFS(Tab_06.Jun[SALDO
ATUAL],Tab_06.Jun[CONTA],$I287)</f>
        <v>1428.87</v>
      </c>
      <c r="G287" s="4">
        <f t="shared" si="13"/>
        <v>0</v>
      </c>
      <c r="H287" s="191">
        <v>51337</v>
      </c>
      <c r="I287" s="3" t="s">
        <v>541</v>
      </c>
      <c r="J287" s="3" t="s">
        <v>542</v>
      </c>
      <c r="K287" s="4">
        <v>1428.87</v>
      </c>
      <c r="L287" s="4">
        <v>257.39999999999998</v>
      </c>
      <c r="M287" s="4">
        <v>0</v>
      </c>
      <c r="N287" s="4">
        <v>1686.27</v>
      </c>
      <c r="O287" s="4">
        <f>Tab_07.Jul[[#This Row],[DÉBITO]]-Tab_07.Jul[[#This Row],[CRÉDITO]]</f>
        <v>257.39999999999998</v>
      </c>
    </row>
    <row r="288" spans="2:15" x14ac:dyDescent="0.3">
      <c r="B288" s="2" t="str">
        <f>_xlfn.XLOOKUP($I288,Tab_00.Trial[CONTA],Tab_00.Trial[TP],"",0,1)</f>
        <v>C</v>
      </c>
      <c r="C288" s="2">
        <f>_xlfn.XLOOKUP($I288,Tab_00.Trial[CONTA],Tab_00.Trial[NV],"",0,1)</f>
        <v>2</v>
      </c>
      <c r="D288" s="2" t="str">
        <f>_xlfn.XLOOKUP($I288,Tab_00.Trial[CONTA],Tab_00.Trial[S/A],"",0,1)</f>
        <v>S</v>
      </c>
      <c r="E288" s="2">
        <f>IF($I288="","",COUNTIFS(Tab_00.Trial[CONTA],$I288))</f>
        <v>1</v>
      </c>
      <c r="F288" s="4">
        <f>SUMIFS(Tab_06.Jun[SALDO
ATUAL],Tab_06.Jun[CONTA],$I288)</f>
        <v>405</v>
      </c>
      <c r="G288" s="4">
        <f t="shared" si="13"/>
        <v>0</v>
      </c>
      <c r="H288" s="191">
        <v>51500</v>
      </c>
      <c r="I288" s="3" t="s">
        <v>630</v>
      </c>
      <c r="J288" s="3" t="s">
        <v>728</v>
      </c>
      <c r="K288" s="4">
        <v>405</v>
      </c>
      <c r="L288" s="4">
        <v>0</v>
      </c>
      <c r="M288" s="4">
        <v>0</v>
      </c>
      <c r="N288" s="4">
        <v>405</v>
      </c>
      <c r="O288" s="4">
        <f>Tab_07.Jul[[#This Row],[DÉBITO]]-Tab_07.Jul[[#This Row],[CRÉDITO]]</f>
        <v>0</v>
      </c>
    </row>
    <row r="289" spans="2:15" x14ac:dyDescent="0.3">
      <c r="B289" s="2" t="str">
        <f>_xlfn.XLOOKUP($I289,Tab_00.Trial[CONTA],Tab_00.Trial[TP],"",0,1)</f>
        <v>C</v>
      </c>
      <c r="C289" s="2">
        <f>_xlfn.XLOOKUP($I289,Tab_00.Trial[CONTA],Tab_00.Trial[NV],"",0,1)</f>
        <v>5</v>
      </c>
      <c r="D289" s="2" t="str">
        <f>_xlfn.XLOOKUP($I289,Tab_00.Trial[CONTA],Tab_00.Trial[S/A],"",0,1)</f>
        <v>S</v>
      </c>
      <c r="E289" s="2">
        <f>IF($I289="","",COUNTIFS(Tab_00.Trial[CONTA],$I289))</f>
        <v>1</v>
      </c>
      <c r="F289" s="4">
        <f>SUMIFS(Tab_06.Jun[SALDO
ATUAL],Tab_06.Jun[CONTA],$I289)</f>
        <v>405</v>
      </c>
      <c r="G289" s="4">
        <f t="shared" ref="G289:G295" si="14">$F289-$K289</f>
        <v>0</v>
      </c>
      <c r="H289" s="191">
        <v>51505</v>
      </c>
      <c r="I289" s="3" t="s">
        <v>631</v>
      </c>
      <c r="J289" s="3" t="s">
        <v>728</v>
      </c>
      <c r="K289" s="4">
        <v>405</v>
      </c>
      <c r="L289" s="4">
        <v>0</v>
      </c>
      <c r="M289" s="4">
        <v>0</v>
      </c>
      <c r="N289" s="4">
        <v>405</v>
      </c>
      <c r="O289" s="4">
        <f>Tab_07.Jul[[#This Row],[DÉBITO]]-Tab_07.Jul[[#This Row],[CRÉDITO]]</f>
        <v>0</v>
      </c>
    </row>
    <row r="290" spans="2:15" x14ac:dyDescent="0.3">
      <c r="B290" s="2" t="str">
        <f>_xlfn.XLOOKUP($I290,Tab_00.Trial[CONTA],Tab_00.Trial[TP],"",0,1)</f>
        <v>C</v>
      </c>
      <c r="C290" s="2">
        <f>_xlfn.XLOOKUP($I290,Tab_00.Trial[CONTA],Tab_00.Trial[NV],"",0,1)</f>
        <v>5</v>
      </c>
      <c r="D290" s="2" t="str">
        <f>_xlfn.XLOOKUP($I290,Tab_00.Trial[CONTA],Tab_00.Trial[S/A],"",0,1)</f>
        <v>S</v>
      </c>
      <c r="E290" s="2">
        <f>IF($I290="","",COUNTIFS(Tab_00.Trial[CONTA],$I290))</f>
        <v>1</v>
      </c>
      <c r="F290" s="4">
        <f>SUMIFS(Tab_06.Jun[SALDO
ATUAL],Tab_06.Jun[CONTA],$I290)</f>
        <v>405</v>
      </c>
      <c r="G290" s="4">
        <f t="shared" si="14"/>
        <v>0</v>
      </c>
      <c r="H290" s="191">
        <v>51565</v>
      </c>
      <c r="I290" s="3" t="s">
        <v>633</v>
      </c>
      <c r="J290" s="3" t="s">
        <v>548</v>
      </c>
      <c r="K290" s="4">
        <v>405</v>
      </c>
      <c r="L290" s="4">
        <v>0</v>
      </c>
      <c r="M290" s="4">
        <v>0</v>
      </c>
      <c r="N290" s="4">
        <v>405</v>
      </c>
      <c r="O290" s="4">
        <f>Tab_07.Jul[[#This Row],[DÉBITO]]-Tab_07.Jul[[#This Row],[CRÉDITO]]</f>
        <v>0</v>
      </c>
    </row>
    <row r="291" spans="2:15" x14ac:dyDescent="0.3">
      <c r="B291" s="2" t="str">
        <f>_xlfn.XLOOKUP($I291,Tab_00.Trial[CONTA],Tab_00.Trial[TP],"",0,1)</f>
        <v>C</v>
      </c>
      <c r="C291" s="2">
        <f>_xlfn.XLOOKUP($I291,Tab_00.Trial[CONTA],Tab_00.Trial[NV],"",0,1)</f>
        <v>5</v>
      </c>
      <c r="D291" s="2" t="str">
        <f>_xlfn.XLOOKUP($I291,Tab_00.Trial[CONTA],Tab_00.Trial[S/A],"",0,1)</f>
        <v>A</v>
      </c>
      <c r="E291" s="2">
        <f>IF($I291="","",COUNTIFS(Tab_00.Trial[CONTA],$I291))</f>
        <v>1</v>
      </c>
      <c r="F291" s="4">
        <f>SUMIFS(Tab_06.Jun[SALDO
ATUAL],Tab_06.Jun[CONTA],$I291)</f>
        <v>405</v>
      </c>
      <c r="G291" s="4">
        <f t="shared" si="14"/>
        <v>0</v>
      </c>
      <c r="H291" s="191">
        <v>51570</v>
      </c>
      <c r="I291" s="3" t="s">
        <v>547</v>
      </c>
      <c r="J291" s="3" t="s">
        <v>548</v>
      </c>
      <c r="K291" s="4">
        <v>405</v>
      </c>
      <c r="L291" s="4">
        <v>0</v>
      </c>
      <c r="M291" s="4">
        <v>0</v>
      </c>
      <c r="N291" s="4">
        <v>405</v>
      </c>
      <c r="O291" s="4">
        <f>Tab_07.Jul[[#This Row],[DÉBITO]]-Tab_07.Jul[[#This Row],[CRÉDITO]]</f>
        <v>0</v>
      </c>
    </row>
    <row r="292" spans="2:15" x14ac:dyDescent="0.3">
      <c r="B292" s="2" t="str">
        <f>_xlfn.XLOOKUP($I292,Tab_00.Trial[CONTA],Tab_00.Trial[TP],"",0,1)</f>
        <v>C</v>
      </c>
      <c r="C292" s="2">
        <f>_xlfn.XLOOKUP($I292,Tab_00.Trial[CONTA],Tab_00.Trial[NV],"",0,1)</f>
        <v>2</v>
      </c>
      <c r="D292" s="2" t="str">
        <f>_xlfn.XLOOKUP($I292,Tab_00.Trial[CONTA],Tab_00.Trial[S/A],"",0,1)</f>
        <v>S</v>
      </c>
      <c r="E292" s="2">
        <f>IF($I292="","",COUNTIFS(Tab_00.Trial[CONTA],$I292))</f>
        <v>1</v>
      </c>
      <c r="F292" s="4">
        <f>SUMIFS(Tab_06.Jun[SALDO
ATUAL],Tab_06.Jun[CONTA],$I292)</f>
        <v>-189</v>
      </c>
      <c r="G292" s="4">
        <f t="shared" si="14"/>
        <v>0</v>
      </c>
      <c r="H292" s="191">
        <v>51590</v>
      </c>
      <c r="I292" s="3" t="s">
        <v>634</v>
      </c>
      <c r="J292" s="3" t="s">
        <v>730</v>
      </c>
      <c r="K292" s="4">
        <v>-189</v>
      </c>
      <c r="L292" s="4">
        <v>0</v>
      </c>
      <c r="M292" s="4">
        <v>0</v>
      </c>
      <c r="N292" s="4">
        <v>-189</v>
      </c>
      <c r="O292" s="4">
        <f>Tab_07.Jul[[#This Row],[DÉBITO]]-Tab_07.Jul[[#This Row],[CRÉDITO]]</f>
        <v>0</v>
      </c>
    </row>
    <row r="293" spans="2:15" x14ac:dyDescent="0.3">
      <c r="B293" s="2" t="str">
        <f>_xlfn.XLOOKUP($I293,Tab_00.Trial[CONTA],Tab_00.Trial[TP],"",0,1)</f>
        <v>C</v>
      </c>
      <c r="C293" s="2">
        <f>_xlfn.XLOOKUP($I293,Tab_00.Trial[CONTA],Tab_00.Trial[NV],"",0,1)</f>
        <v>5</v>
      </c>
      <c r="D293" s="2" t="str">
        <f>_xlfn.XLOOKUP($I293,Tab_00.Trial[CONTA],Tab_00.Trial[S/A],"",0,1)</f>
        <v>S</v>
      </c>
      <c r="E293" s="2">
        <f>IF($I293="","",COUNTIFS(Tab_00.Trial[CONTA],$I293))</f>
        <v>1</v>
      </c>
      <c r="F293" s="4">
        <f>SUMIFS(Tab_06.Jun[SALDO
ATUAL],Tab_06.Jun[CONTA],$I293)</f>
        <v>-189</v>
      </c>
      <c r="G293" s="4">
        <f t="shared" si="14"/>
        <v>0</v>
      </c>
      <c r="H293" s="191">
        <v>10216</v>
      </c>
      <c r="I293" s="3" t="s">
        <v>825</v>
      </c>
      <c r="J293" s="3" t="s">
        <v>826</v>
      </c>
      <c r="K293" s="4">
        <v>-189</v>
      </c>
      <c r="L293" s="4">
        <v>0</v>
      </c>
      <c r="M293" s="4">
        <v>0</v>
      </c>
      <c r="N293" s="4">
        <v>-189</v>
      </c>
      <c r="O293" s="4">
        <f>Tab_07.Jul[[#This Row],[DÉBITO]]-Tab_07.Jul[[#This Row],[CRÉDITO]]</f>
        <v>0</v>
      </c>
    </row>
    <row r="294" spans="2:15" x14ac:dyDescent="0.3">
      <c r="B294" s="2" t="str">
        <f>_xlfn.XLOOKUP($I294,Tab_00.Trial[CONTA],Tab_00.Trial[TP],"",0,1)</f>
        <v>C</v>
      </c>
      <c r="C294" s="2">
        <f>_xlfn.XLOOKUP($I294,Tab_00.Trial[CONTA],Tab_00.Trial[NV],"",0,1)</f>
        <v>5</v>
      </c>
      <c r="D294" s="2" t="str">
        <f>_xlfn.XLOOKUP($I294,Tab_00.Trial[CONTA],Tab_00.Trial[S/A],"",0,1)</f>
        <v>S</v>
      </c>
      <c r="E294" s="2">
        <f>IF($I294="","",COUNTIFS(Tab_00.Trial[CONTA],$I294))</f>
        <v>1</v>
      </c>
      <c r="F294" s="4">
        <f>SUMIFS(Tab_06.Jun[SALDO
ATUAL],Tab_06.Jun[CONTA],$I294)</f>
        <v>-189</v>
      </c>
      <c r="G294" s="4">
        <f t="shared" si="14"/>
        <v>0</v>
      </c>
      <c r="H294" s="191">
        <v>10230</v>
      </c>
      <c r="I294" s="3" t="s">
        <v>827</v>
      </c>
      <c r="J294" s="3" t="s">
        <v>826</v>
      </c>
      <c r="K294" s="4">
        <v>-189</v>
      </c>
      <c r="L294" s="4">
        <v>0</v>
      </c>
      <c r="M294" s="4">
        <v>0</v>
      </c>
      <c r="N294" s="4">
        <v>-189</v>
      </c>
      <c r="O294" s="4">
        <f>Tab_07.Jul[[#This Row],[DÉBITO]]-Tab_07.Jul[[#This Row],[CRÉDITO]]</f>
        <v>0</v>
      </c>
    </row>
    <row r="295" spans="2:15" x14ac:dyDescent="0.3">
      <c r="B295" s="2" t="str">
        <f>_xlfn.XLOOKUP($I295,Tab_00.Trial[CONTA],Tab_00.Trial[TP],"",0,1)</f>
        <v>C</v>
      </c>
      <c r="C295" s="2">
        <f>_xlfn.XLOOKUP($I295,Tab_00.Trial[CONTA],Tab_00.Trial[NV],"",0,1)</f>
        <v>5</v>
      </c>
      <c r="D295" s="2" t="str">
        <f>_xlfn.XLOOKUP($I295,Tab_00.Trial[CONTA],Tab_00.Trial[S/A],"",0,1)</f>
        <v>A</v>
      </c>
      <c r="E295" s="2">
        <f>IF($I295="","",COUNTIFS(Tab_00.Trial[CONTA],$I295))</f>
        <v>1</v>
      </c>
      <c r="F295" s="4">
        <f>SUMIFS(Tab_06.Jun[SALDO
ATUAL],Tab_06.Jun[CONTA],$I295)</f>
        <v>-189</v>
      </c>
      <c r="G295" s="4">
        <f t="shared" si="14"/>
        <v>0</v>
      </c>
      <c r="H295" s="191">
        <v>10237</v>
      </c>
      <c r="I295" s="3" t="s">
        <v>828</v>
      </c>
      <c r="J295" s="3" t="s">
        <v>829</v>
      </c>
      <c r="K295" s="4">
        <v>-189</v>
      </c>
      <c r="L295" s="4">
        <v>0</v>
      </c>
      <c r="M295" s="4">
        <v>0</v>
      </c>
      <c r="N295" s="4">
        <v>-189</v>
      </c>
      <c r="O295" s="4">
        <f>Tab_07.Jul[[#This Row],[DÉBITO]]-Tab_07.Jul[[#This Row],[CRÉDITO]]</f>
        <v>0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3EAB6-947B-4565-B129-FD99356D1172}">
  <sheetPr codeName="Planilha18"/>
  <dimension ref="B1:O296"/>
  <sheetViews>
    <sheetView showGridLines="0" showRowColHeaders="0" zoomScale="85" zoomScaleNormal="85" workbookViewId="0">
      <pane xSplit="7" ySplit="14" topLeftCell="H278" activePane="bottomRight" state="frozen"/>
      <selection activeCell="H15" sqref="H15"/>
      <selection pane="topRight" activeCell="H15" sqref="H15"/>
      <selection pane="bottomLeft" activeCell="H15" sqref="H15"/>
      <selection pane="bottomRight" activeCell="O296" sqref="O296"/>
    </sheetView>
  </sheetViews>
  <sheetFormatPr defaultColWidth="8.88671875" defaultRowHeight="13.8" outlineLevelRow="1" x14ac:dyDescent="0.3"/>
  <cols>
    <col min="1" max="1" width="2.6640625" style="1" customWidth="1"/>
    <col min="2" max="2" width="4.6640625" customWidth="1"/>
    <col min="3" max="5" width="4.6640625" style="2" customWidth="1"/>
    <col min="6" max="7" width="20.6640625" style="4" customWidth="1"/>
    <col min="8" max="8" width="15.6640625" customWidth="1"/>
    <col min="9" max="9" width="17.6640625" customWidth="1"/>
    <col min="10" max="10" width="75.6640625" customWidth="1"/>
    <col min="11" max="11" width="20.6640625" style="2" customWidth="1"/>
    <col min="12" max="13" width="20.6640625" style="3" customWidth="1"/>
    <col min="14" max="15" width="20.6640625" style="4" customWidth="1"/>
    <col min="16" max="16384" width="8.88671875" style="1"/>
  </cols>
  <sheetData>
    <row r="1" spans="2:15" x14ac:dyDescent="0.3">
      <c r="B1" s="2"/>
      <c r="H1" s="3"/>
      <c r="I1" s="3"/>
      <c r="J1" s="3"/>
      <c r="K1" s="4"/>
      <c r="L1" s="4"/>
      <c r="M1" s="4"/>
    </row>
    <row r="2" spans="2:15" outlineLevel="1" x14ac:dyDescent="0.3">
      <c r="B2" s="2" t="s">
        <v>16</v>
      </c>
      <c r="F2" s="7">
        <f ca="1">SUMIFS(INDIRECT("Tab_08.Ago["&amp;F$14&amp;"]"),Tab_08.Ago[TP],$B2,Tab_08.Ago[NV],"A")</f>
        <v>0</v>
      </c>
      <c r="G2" s="7">
        <f ca="1">SUMIFS(INDIRECT("Tab_08.Ago["&amp;G$14&amp;"]"),Tab_08.Ago[TP],$B2,Tab_08.Ago[NV],"A")</f>
        <v>0</v>
      </c>
      <c r="H2" s="3"/>
      <c r="I2" s="3"/>
      <c r="J2" s="88" t="s">
        <v>15</v>
      </c>
      <c r="K2" s="7">
        <f ca="1">SUMIFS(INDIRECT("Tab_08.Ago["&amp;K$14&amp;"]"),Tab_08.Ago[TP],$B2,Tab_08.Ago[S/A],"A")</f>
        <v>84733754.090000004</v>
      </c>
      <c r="L2" s="7">
        <f ca="1">SUMIFS(INDIRECT("Tab_08.Ago["&amp;L$14&amp;"]"),Tab_08.Ago[TP],$B2,Tab_08.Ago[S/A],"A")</f>
        <v>1975183.84</v>
      </c>
      <c r="M2" s="7">
        <f ca="1">SUMIFS(INDIRECT("Tab_08.Ago["&amp;M$14&amp;"]"),Tab_08.Ago[TP],$B2,Tab_08.Ago[S/A],"A")</f>
        <v>1579441.7</v>
      </c>
      <c r="N2" s="7">
        <f ca="1">SUMIFS(INDIRECT("Tab_08.Ago["&amp;N$14&amp;"]"),Tab_08.Ago[TP],$B2,Tab_08.Ago[S/A],"A")</f>
        <v>85129496.230000004</v>
      </c>
      <c r="O2" s="7">
        <f ca="1">SUMIFS(INDIRECT("Tab_08.Ago["&amp;O$14&amp;"]"),Tab_08.Ago[TP],$B2,Tab_08.Ago[S/A],"A")</f>
        <v>395742.14</v>
      </c>
    </row>
    <row r="3" spans="2:15" outlineLevel="1" x14ac:dyDescent="0.3">
      <c r="B3" s="2" t="s">
        <v>116</v>
      </c>
      <c r="F3" s="7">
        <f ca="1">SUMIFS(INDIRECT("Tab_08.Ago["&amp;F$14&amp;"]"),Tab_08.Ago[TP],$B3,Tab_08.Ago[NV],"A")</f>
        <v>0</v>
      </c>
      <c r="G3" s="7">
        <f ca="1">SUMIFS(INDIRECT("Tab_08.Ago["&amp;G$14&amp;"]"),Tab_08.Ago[TP],$B3,Tab_08.Ago[NV],"A")</f>
        <v>0</v>
      </c>
      <c r="H3" s="3"/>
      <c r="I3" s="3"/>
      <c r="J3" s="88" t="s">
        <v>110</v>
      </c>
      <c r="K3" s="7">
        <f ca="1">SUMIFS(INDIRECT("Tab_08.Ago["&amp;K$14&amp;"]"),Tab_08.Ago[TP],$B3,Tab_08.Ago[S/A],"A")</f>
        <v>-83580674.829999998</v>
      </c>
      <c r="L3" s="7">
        <f ca="1">SUMIFS(INDIRECT("Tab_08.Ago["&amp;L$14&amp;"]"),Tab_08.Ago[TP],$B3,Tab_08.Ago[S/A],"A")</f>
        <v>541940.56999999995</v>
      </c>
      <c r="M3" s="7">
        <f ca="1">SUMIFS(INDIRECT("Tab_08.Ago["&amp;M$14&amp;"]"),Tab_08.Ago[TP],$B3,Tab_08.Ago[S/A],"A")</f>
        <v>601296.76</v>
      </c>
      <c r="N3" s="7">
        <f ca="1">SUMIFS(INDIRECT("Tab_08.Ago["&amp;N$14&amp;"]"),Tab_08.Ago[TP],$B3,Tab_08.Ago[S/A],"A")</f>
        <v>-83640031.019999996</v>
      </c>
      <c r="O3" s="7">
        <f ca="1">SUMIFS(INDIRECT("Tab_08.Ago["&amp;O$14&amp;"]"),Tab_08.Ago[TP],$B3,Tab_08.Ago[S/A],"A")</f>
        <v>-59356.19</v>
      </c>
    </row>
    <row r="4" spans="2:15" outlineLevel="1" x14ac:dyDescent="0.3">
      <c r="B4" s="2"/>
      <c r="F4" s="8">
        <f ca="1">SUM(F$2:F$3)</f>
        <v>0</v>
      </c>
      <c r="G4" s="8">
        <f ca="1">SUM(G$2:G$3)</f>
        <v>0</v>
      </c>
      <c r="H4" s="3"/>
      <c r="I4" s="3"/>
      <c r="J4" s="88"/>
      <c r="K4" s="8">
        <f t="shared" ref="K4:O4" ca="1" si="0">SUM(K$2:K$3)</f>
        <v>1153079.26</v>
      </c>
      <c r="L4" s="8">
        <f t="shared" ca="1" si="0"/>
        <v>2517124.41</v>
      </c>
      <c r="M4" s="8">
        <f t="shared" ca="1" si="0"/>
        <v>2180738.46</v>
      </c>
      <c r="N4" s="8">
        <f ca="1">SUM(N$2:N$3)</f>
        <v>1489465.21</v>
      </c>
      <c r="O4" s="8">
        <f t="shared" ca="1" si="0"/>
        <v>336385.95</v>
      </c>
    </row>
    <row r="5" spans="2:15" ht="5.0999999999999996" customHeight="1" outlineLevel="1" x14ac:dyDescent="0.3">
      <c r="B5" s="2"/>
      <c r="H5" s="3"/>
      <c r="I5" s="3"/>
      <c r="J5" s="89"/>
      <c r="K5" s="4"/>
      <c r="L5" s="4"/>
      <c r="M5" s="4"/>
    </row>
    <row r="6" spans="2:15" outlineLevel="1" x14ac:dyDescent="0.3">
      <c r="B6" s="2" t="s">
        <v>19</v>
      </c>
      <c r="F6" s="7">
        <f ca="1">SUMIFS(INDIRECT("Tab_08.Ago["&amp;F$14&amp;"]"),Tab_08.Ago[TP],$B6,Tab_08.Ago[NV],"A")</f>
        <v>0</v>
      </c>
      <c r="G6" s="7">
        <f ca="1">SUMIFS(INDIRECT("Tab_08.Ago["&amp;G$14&amp;"]"),Tab_08.Ago[TP],$B6,Tab_08.Ago[NV],"A")</f>
        <v>0</v>
      </c>
      <c r="H6" s="3"/>
      <c r="I6" s="3"/>
      <c r="J6" s="88" t="s">
        <v>18</v>
      </c>
      <c r="K6" s="7">
        <f ca="1">SUMIFS(INDIRECT("Tab_08.Ago["&amp;K$14&amp;"]"),Tab_08.Ago[TP],$B6,Tab_08.Ago[S/A],"A")</f>
        <v>-9046854.1099999994</v>
      </c>
      <c r="L6" s="7">
        <f ca="1">SUMIFS(INDIRECT("Tab_08.Ago["&amp;L$14&amp;"]"),Tab_08.Ago[TP],$B6,Tab_08.Ago[S/A],"A")</f>
        <v>37.729999999999997</v>
      </c>
      <c r="M6" s="7">
        <f ca="1">SUMIFS(INDIRECT("Tab_08.Ago["&amp;M$14&amp;"]"),Tab_08.Ago[TP],$B6,Tab_08.Ago[S/A],"A")</f>
        <v>1419858.17</v>
      </c>
      <c r="N6" s="7">
        <f ca="1">SUMIFS(INDIRECT("Tab_08.Ago["&amp;N$14&amp;"]"),Tab_08.Ago[TP],$B6,Tab_08.Ago[S/A],"A")</f>
        <v>-10466674.550000001</v>
      </c>
      <c r="O6" s="7">
        <f ca="1">SUMIFS(INDIRECT("Tab_08.Ago["&amp;O$14&amp;"]"),Tab_08.Ago[TP],$B6,Tab_08.Ago[S/A],"A")</f>
        <v>-1419820.44</v>
      </c>
    </row>
    <row r="7" spans="2:15" outlineLevel="1" x14ac:dyDescent="0.3">
      <c r="B7" s="2" t="s">
        <v>20</v>
      </c>
      <c r="F7" s="7">
        <f ca="1">SUMIFS(INDIRECT("Tab_08.Ago["&amp;F$14&amp;"]"),Tab_08.Ago[TP],$B7,Tab_08.Ago[NV],"A")</f>
        <v>0</v>
      </c>
      <c r="G7" s="7">
        <f ca="1">SUMIFS(INDIRECT("Tab_08.Ago["&amp;G$14&amp;"]"),Tab_08.Ago[TP],$B7,Tab_08.Ago[NV],"A")</f>
        <v>0</v>
      </c>
      <c r="H7" s="3"/>
      <c r="I7" s="3"/>
      <c r="J7" s="88" t="s">
        <v>111</v>
      </c>
      <c r="K7" s="7">
        <f ca="1">SUMIFS(INDIRECT("Tab_08.Ago["&amp;K$14&amp;"]"),Tab_08.Ago[TP],$B7,Tab_08.Ago[S/A],"A")</f>
        <v>7893774.8499999996</v>
      </c>
      <c r="L7" s="7">
        <f ca="1">SUMIFS(INDIRECT("Tab_08.Ago["&amp;L$14&amp;"]"),Tab_08.Ago[TP],$B7,Tab_08.Ago[S/A],"A")</f>
        <v>1108593.53</v>
      </c>
      <c r="M7" s="7">
        <f ca="1">SUMIFS(INDIRECT("Tab_08.Ago["&amp;M$14&amp;"]"),Tab_08.Ago[TP],$B7,Tab_08.Ago[S/A],"A")</f>
        <v>25159.040000000001</v>
      </c>
      <c r="N7" s="7">
        <f ca="1">SUMIFS(INDIRECT("Tab_08.Ago["&amp;N$14&amp;"]"),Tab_08.Ago[TP],$B7,Tab_08.Ago[S/A],"A")</f>
        <v>8977209.3399999999</v>
      </c>
      <c r="O7" s="7">
        <f ca="1">SUMIFS(INDIRECT("Tab_08.Ago["&amp;O$14&amp;"]"),Tab_08.Ago[TP],$B7,Tab_08.Ago[S/A],"A")</f>
        <v>1083434.49</v>
      </c>
    </row>
    <row r="8" spans="2:15" outlineLevel="1" x14ac:dyDescent="0.3">
      <c r="B8" s="2"/>
      <c r="F8" s="8">
        <f ca="1">SUM(F$6:F$7)</f>
        <v>0</v>
      </c>
      <c r="G8" s="8">
        <f ca="1">SUM(G$6:G$7)</f>
        <v>0</v>
      </c>
      <c r="H8" s="3"/>
      <c r="I8" s="3"/>
      <c r="J8" s="88"/>
      <c r="K8" s="8">
        <f ca="1">SUM(K$6:K$7)</f>
        <v>-1153079.26</v>
      </c>
      <c r="L8" s="8">
        <f ca="1">SUM(L$6:L$7)</f>
        <v>1108631.26</v>
      </c>
      <c r="M8" s="8">
        <f ca="1">SUM(M$6:M$7)</f>
        <v>1445017.21</v>
      </c>
      <c r="N8" s="8">
        <f ca="1">SUM(N$6:N$7)</f>
        <v>-1489465.21</v>
      </c>
      <c r="O8" s="8">
        <f ca="1">SUM(O$6:O$7)</f>
        <v>-336385.95</v>
      </c>
    </row>
    <row r="9" spans="2:15" ht="5.0999999999999996" customHeight="1" outlineLevel="1" x14ac:dyDescent="0.3">
      <c r="B9" s="2"/>
      <c r="H9" s="3"/>
      <c r="I9" s="3"/>
      <c r="J9" s="89"/>
      <c r="K9" s="4"/>
      <c r="L9" s="4"/>
      <c r="M9" s="4"/>
    </row>
    <row r="10" spans="2:15" x14ac:dyDescent="0.3">
      <c r="B10" s="2"/>
      <c r="F10" s="11">
        <f ca="1">SUM(F$4,F$8)</f>
        <v>0</v>
      </c>
      <c r="G10" s="11">
        <f ca="1">SUM(G$4,G$8)</f>
        <v>0</v>
      </c>
      <c r="H10" s="3"/>
      <c r="I10" s="3"/>
      <c r="J10" s="88" t="s">
        <v>22</v>
      </c>
      <c r="K10" s="11">
        <f t="shared" ref="K10:O10" ca="1" si="1">SUM(K$4,K$8)</f>
        <v>0</v>
      </c>
      <c r="L10" s="11">
        <f t="shared" ca="1" si="1"/>
        <v>3625755.67</v>
      </c>
      <c r="M10" s="11">
        <f t="shared" ca="1" si="1"/>
        <v>3625755.67</v>
      </c>
      <c r="N10" s="11">
        <f ca="1">SUM(N$4,N$8)</f>
        <v>0</v>
      </c>
      <c r="O10" s="11">
        <f t="shared" ca="1" si="1"/>
        <v>0</v>
      </c>
    </row>
    <row r="11" spans="2:15" ht="5.0999999999999996" customHeight="1" x14ac:dyDescent="0.3">
      <c r="B11" s="2"/>
      <c r="H11" s="3"/>
      <c r="I11" s="3"/>
      <c r="J11" s="3"/>
      <c r="K11" s="4"/>
      <c r="L11" s="4"/>
      <c r="M11" s="4"/>
    </row>
    <row r="12" spans="2:15" x14ac:dyDescent="0.3">
      <c r="B12" s="2"/>
      <c r="F12" s="7">
        <f>SUBTOTAL(9,Tab_08.Ago[SALDO FINAL
ANTERIOR])</f>
        <v>0</v>
      </c>
      <c r="G12" s="7">
        <f>SUBTOTAL(9,Tab_08.Ago[DIFERENÇA])</f>
        <v>0</v>
      </c>
      <c r="H12" s="3"/>
      <c r="I12" s="3"/>
      <c r="J12" s="3"/>
      <c r="K12" s="7">
        <f>SUBTOTAL(9,Tab_08.Ago[SALDO
ANTERIOR])</f>
        <v>0</v>
      </c>
      <c r="L12" s="7">
        <f>SUBTOTAL(9,Tab_08.Ago[DÉBITO])</f>
        <v>18128778.350000001</v>
      </c>
      <c r="M12" s="7">
        <f>SUBTOTAL(9,Tab_08.Ago[CRÉDITO])</f>
        <v>18128778.350000001</v>
      </c>
      <c r="N12" s="7">
        <f>SUBTOTAL(9,Tab_08.Ago[SALDO
ATUAL])</f>
        <v>0</v>
      </c>
      <c r="O12" s="7">
        <f>SUBTOTAL(9,Tab_08.Ago[MOVIMENTO])</f>
        <v>0</v>
      </c>
    </row>
    <row r="13" spans="2:15" ht="5.0999999999999996" customHeight="1" x14ac:dyDescent="0.3">
      <c r="B13" s="2"/>
      <c r="H13" s="3"/>
      <c r="I13" s="3"/>
      <c r="J13" s="3"/>
      <c r="K13" s="4"/>
      <c r="L13" s="4"/>
      <c r="M13" s="4"/>
    </row>
    <row r="14" spans="2:15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5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SUMIFS(Tab_07.Jul[SALDO
ATUAL],Tab_07.Jul[CONTA],$I15)</f>
        <v>84733754.090000004</v>
      </c>
      <c r="G15" s="4">
        <f>$F15-$K15</f>
        <v>0</v>
      </c>
      <c r="H15" s="2">
        <v>10000</v>
      </c>
      <c r="I15" s="3">
        <v>1</v>
      </c>
      <c r="J15" s="3" t="s">
        <v>637</v>
      </c>
      <c r="K15" s="4">
        <v>84733754.090000004</v>
      </c>
      <c r="L15" s="4">
        <v>1975183.84</v>
      </c>
      <c r="M15" s="4">
        <v>1579441.7</v>
      </c>
      <c r="N15" s="4">
        <v>85129496.230000004</v>
      </c>
      <c r="O15" s="4">
        <f>Tab_08.Ago[[#This Row],[DÉBITO]]-Tab_08.Ago[[#This Row],[CRÉDITO]]</f>
        <v>395742.14</v>
      </c>
    </row>
    <row r="16" spans="2:15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SUMIFS(Tab_07.Jul[SALDO
ATUAL],Tab_07.Jul[CONTA],$I16)</f>
        <v>11134981.59</v>
      </c>
      <c r="G16" s="4">
        <f>$F16-$K16</f>
        <v>0</v>
      </c>
      <c r="H16" s="2">
        <v>10015</v>
      </c>
      <c r="I16" s="3" t="s">
        <v>197</v>
      </c>
      <c r="J16" s="3" t="s">
        <v>247</v>
      </c>
      <c r="K16" s="4">
        <v>11134981.59</v>
      </c>
      <c r="L16" s="4">
        <v>1690285.84</v>
      </c>
      <c r="M16" s="4">
        <v>1573151.95</v>
      </c>
      <c r="N16" s="4">
        <v>11252115.48</v>
      </c>
      <c r="O16" s="4">
        <f>Tab_08.Ago[[#This Row],[DÉBITO]]-Tab_08.Ago[[#This Row],[CRÉDITO]]</f>
        <v>117133.89</v>
      </c>
    </row>
    <row r="17" spans="2:15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SUMIFS(Tab_07.Jul[SALDO
ATUAL],Tab_07.Jul[CONTA],$I17)</f>
        <v>10708727.35</v>
      </c>
      <c r="G17" s="4">
        <f>$F17-$K17</f>
        <v>0</v>
      </c>
      <c r="H17" s="2">
        <v>10030</v>
      </c>
      <c r="I17" s="3" t="s">
        <v>199</v>
      </c>
      <c r="J17" s="3" t="s">
        <v>638</v>
      </c>
      <c r="K17" s="4">
        <v>10708727.35</v>
      </c>
      <c r="L17" s="4">
        <v>1640556.04</v>
      </c>
      <c r="M17" s="4">
        <v>1549316.49</v>
      </c>
      <c r="N17" s="4">
        <v>10799966.9</v>
      </c>
      <c r="O17" s="4">
        <f>Tab_08.Ago[[#This Row],[DÉBITO]]-Tab_08.Ago[[#This Row],[CRÉDITO]]</f>
        <v>91239.55</v>
      </c>
    </row>
    <row r="18" spans="2:15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SUMIFS(Tab_07.Jul[SALDO
ATUAL],Tab_07.Jul[CONTA],$I18)</f>
        <v>1243.94</v>
      </c>
      <c r="G18" s="4">
        <f t="shared" ref="G18:G49" si="2">$F18-$K18</f>
        <v>0</v>
      </c>
      <c r="H18" s="192">
        <v>10045</v>
      </c>
      <c r="I18" s="3" t="s">
        <v>201</v>
      </c>
      <c r="J18" s="3" t="s">
        <v>639</v>
      </c>
      <c r="K18" s="4">
        <v>1243.94</v>
      </c>
      <c r="L18" s="4">
        <v>2000</v>
      </c>
      <c r="M18" s="4">
        <v>1314.97</v>
      </c>
      <c r="N18" s="4">
        <v>1928.97</v>
      </c>
      <c r="O18" s="4">
        <f>Tab_08.Ago[[#This Row],[DÉBITO]]-Tab_08.Ago[[#This Row],[CRÉDITO]]</f>
        <v>685.03</v>
      </c>
    </row>
    <row r="19" spans="2:15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SUMIFS(Tab_07.Jul[SALDO
ATUAL],Tab_07.Jul[CONTA],$I19)</f>
        <v>1243.94</v>
      </c>
      <c r="G19" s="4">
        <f t="shared" si="2"/>
        <v>0</v>
      </c>
      <c r="H19" s="192">
        <v>10075</v>
      </c>
      <c r="I19" s="3" t="s">
        <v>176</v>
      </c>
      <c r="J19" s="3" t="s">
        <v>274</v>
      </c>
      <c r="K19" s="4">
        <v>1243.94</v>
      </c>
      <c r="L19" s="4">
        <v>2000</v>
      </c>
      <c r="M19" s="4">
        <v>1314.97</v>
      </c>
      <c r="N19" s="4">
        <v>1928.97</v>
      </c>
      <c r="O19" s="4">
        <f>Tab_08.Ago[[#This Row],[DÉBITO]]-Tab_08.Ago[[#This Row],[CRÉDITO]]</f>
        <v>685.03</v>
      </c>
    </row>
    <row r="20" spans="2:15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SUMIFS(Tab_07.Jul[SALDO
ATUAL],Tab_07.Jul[CONTA],$I20)</f>
        <v>22507.02</v>
      </c>
      <c r="G20" s="4">
        <f t="shared" si="2"/>
        <v>0</v>
      </c>
      <c r="H20" s="192">
        <v>10090</v>
      </c>
      <c r="I20" s="3" t="s">
        <v>202</v>
      </c>
      <c r="J20" s="3" t="s">
        <v>640</v>
      </c>
      <c r="K20" s="4">
        <v>22507.02</v>
      </c>
      <c r="L20" s="4">
        <v>1073278.67</v>
      </c>
      <c r="M20" s="4">
        <v>1057337.08</v>
      </c>
      <c r="N20" s="4">
        <v>38448.61</v>
      </c>
      <c r="O20" s="4">
        <f>Tab_08.Ago[[#This Row],[DÉBITO]]-Tab_08.Ago[[#This Row],[CRÉDITO]]</f>
        <v>15941.59</v>
      </c>
    </row>
    <row r="21" spans="2:15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SUMIFS(Tab_07.Jul[SALDO
ATUAL],Tab_07.Jul[CONTA],$I21)</f>
        <v>1.01</v>
      </c>
      <c r="G21" s="4">
        <f t="shared" si="2"/>
        <v>0</v>
      </c>
      <c r="H21" s="192">
        <v>10110</v>
      </c>
      <c r="I21" s="3" t="s">
        <v>277</v>
      </c>
      <c r="J21" s="3" t="s">
        <v>278</v>
      </c>
      <c r="K21" s="4">
        <v>1.01</v>
      </c>
      <c r="L21" s="4">
        <v>1049611.74</v>
      </c>
      <c r="M21" s="4">
        <v>1049611.73</v>
      </c>
      <c r="N21" s="4">
        <v>1.02</v>
      </c>
      <c r="O21" s="4">
        <f>Tab_08.Ago[[#This Row],[DÉBITO]]-Tab_08.Ago[[#This Row],[CRÉDITO]]</f>
        <v>0.01</v>
      </c>
    </row>
    <row r="22" spans="2:15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SUMIFS(Tab_07.Jul[SALDO
ATUAL],Tab_07.Jul[CONTA],$I22)</f>
        <v>18084.73</v>
      </c>
      <c r="G22" s="4">
        <f t="shared" si="2"/>
        <v>0</v>
      </c>
      <c r="H22" s="192">
        <v>10131</v>
      </c>
      <c r="I22" s="3" t="s">
        <v>177</v>
      </c>
      <c r="J22" s="3" t="s">
        <v>279</v>
      </c>
      <c r="K22" s="4">
        <v>18084.73</v>
      </c>
      <c r="L22" s="4">
        <v>23666.93</v>
      </c>
      <c r="M22" s="4">
        <v>7603.93</v>
      </c>
      <c r="N22" s="4">
        <v>34147.730000000003</v>
      </c>
      <c r="O22" s="4">
        <f>Tab_08.Ago[[#This Row],[DÉBITO]]-Tab_08.Ago[[#This Row],[CRÉDITO]]</f>
        <v>16063</v>
      </c>
    </row>
    <row r="23" spans="2:15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SUMIFS(Tab_07.Jul[SALDO
ATUAL],Tab_07.Jul[CONTA],$I23)</f>
        <v>4421.28</v>
      </c>
      <c r="G23" s="4">
        <f t="shared" si="2"/>
        <v>0</v>
      </c>
      <c r="H23" s="192">
        <v>10132</v>
      </c>
      <c r="I23" s="3" t="s">
        <v>280</v>
      </c>
      <c r="J23" s="3" t="s">
        <v>281</v>
      </c>
      <c r="K23" s="4">
        <v>4421.28</v>
      </c>
      <c r="L23" s="4">
        <v>0</v>
      </c>
      <c r="M23" s="4">
        <v>121.42</v>
      </c>
      <c r="N23" s="4">
        <v>4299.8599999999997</v>
      </c>
      <c r="O23" s="4">
        <f>Tab_08.Ago[[#This Row],[DÉBITO]]-Tab_08.Ago[[#This Row],[CRÉDITO]]</f>
        <v>-121.42</v>
      </c>
    </row>
    <row r="24" spans="2:15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S</v>
      </c>
      <c r="E24" s="2">
        <f>IF($I24="","",COUNTIFS(Tab_00.Trial[CONTA],$I24))</f>
        <v>1</v>
      </c>
      <c r="F24" s="4">
        <f>SUMIFS(Tab_07.Jul[SALDO
ATUAL],Tab_07.Jul[CONTA],$I24)</f>
        <v>10684976.390000001</v>
      </c>
      <c r="G24" s="4">
        <f t="shared" si="2"/>
        <v>0</v>
      </c>
      <c r="H24" s="192">
        <v>10180</v>
      </c>
      <c r="I24" s="3" t="s">
        <v>203</v>
      </c>
      <c r="J24" s="3" t="s">
        <v>641</v>
      </c>
      <c r="K24" s="4">
        <v>10684976.390000001</v>
      </c>
      <c r="L24" s="4">
        <v>565277.37</v>
      </c>
      <c r="M24" s="4">
        <v>490664.44</v>
      </c>
      <c r="N24" s="4">
        <v>10759589.32</v>
      </c>
      <c r="O24" s="4">
        <f>Tab_08.Ago[[#This Row],[DÉBITO]]-Tab_08.Ago[[#This Row],[CRÉDITO]]</f>
        <v>74612.929999999993</v>
      </c>
    </row>
    <row r="25" spans="2:15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A</v>
      </c>
      <c r="E25" s="2">
        <f>IF($I25="","",COUNTIFS(Tab_00.Trial[CONTA],$I25))</f>
        <v>1</v>
      </c>
      <c r="F25" s="4">
        <f>SUMIFS(Tab_07.Jul[SALDO
ATUAL],Tab_07.Jul[CONTA],$I25)</f>
        <v>4933795.4400000004</v>
      </c>
      <c r="G25" s="4">
        <f t="shared" si="2"/>
        <v>0</v>
      </c>
      <c r="H25" s="192">
        <v>10200</v>
      </c>
      <c r="I25" s="3" t="s">
        <v>178</v>
      </c>
      <c r="J25" s="3" t="s">
        <v>284</v>
      </c>
      <c r="K25" s="4">
        <v>4933795.4400000004</v>
      </c>
      <c r="L25" s="4">
        <v>515838.73</v>
      </c>
      <c r="M25" s="4">
        <v>490664.44</v>
      </c>
      <c r="N25" s="4">
        <v>4958969.7300000004</v>
      </c>
      <c r="O25" s="4">
        <f>Tab_08.Ago[[#This Row],[DÉBITO]]-Tab_08.Ago[[#This Row],[CRÉDITO]]</f>
        <v>25174.29</v>
      </c>
    </row>
    <row r="26" spans="2:15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SUMIFS(Tab_07.Jul[SALDO
ATUAL],Tab_07.Jul[CONTA],$I26)</f>
        <v>5751180.9500000002</v>
      </c>
      <c r="G26" s="4">
        <f t="shared" si="2"/>
        <v>0</v>
      </c>
      <c r="H26" s="192">
        <v>10223</v>
      </c>
      <c r="I26" s="3" t="s">
        <v>287</v>
      </c>
      <c r="J26" s="3" t="s">
        <v>288</v>
      </c>
      <c r="K26" s="4">
        <v>5751180.9500000002</v>
      </c>
      <c r="L26" s="4">
        <v>49438.64</v>
      </c>
      <c r="M26" s="4">
        <v>0</v>
      </c>
      <c r="N26" s="4">
        <v>5800619.5899999999</v>
      </c>
      <c r="O26" s="4">
        <f>Tab_08.Ago[[#This Row],[DÉBITO]]-Tab_08.Ago[[#This Row],[CRÉDITO]]</f>
        <v>49438.64</v>
      </c>
    </row>
    <row r="27" spans="2:15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S</v>
      </c>
      <c r="E27" s="2">
        <f>IF($I27="","",COUNTIFS(Tab_00.Trial[CONTA],$I27))</f>
        <v>1</v>
      </c>
      <c r="F27" s="4">
        <f>SUMIFS(Tab_07.Jul[SALDO
ATUAL],Tab_07.Jul[CONTA],$I27)</f>
        <v>99274.97</v>
      </c>
      <c r="G27" s="4">
        <f t="shared" si="2"/>
        <v>0</v>
      </c>
      <c r="H27" s="192">
        <v>10270</v>
      </c>
      <c r="I27" s="3" t="s">
        <v>204</v>
      </c>
      <c r="J27" s="3" t="s">
        <v>642</v>
      </c>
      <c r="K27" s="4">
        <v>99274.97</v>
      </c>
      <c r="L27" s="4">
        <v>0</v>
      </c>
      <c r="M27" s="4">
        <v>0</v>
      </c>
      <c r="N27" s="4">
        <v>99274.97</v>
      </c>
      <c r="O27" s="4">
        <f>Tab_08.Ago[[#This Row],[DÉBITO]]-Tab_08.Ago[[#This Row],[CRÉDITO]]</f>
        <v>0</v>
      </c>
    </row>
    <row r="28" spans="2:15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SUMIFS(Tab_07.Jul[SALDO
ATUAL],Tab_07.Jul[CONTA],$I28)</f>
        <v>99274.97</v>
      </c>
      <c r="G28" s="4">
        <f t="shared" si="2"/>
        <v>0</v>
      </c>
      <c r="H28" s="192">
        <v>10345</v>
      </c>
      <c r="I28" s="3" t="s">
        <v>205</v>
      </c>
      <c r="J28" s="3" t="s">
        <v>643</v>
      </c>
      <c r="K28" s="4">
        <v>99274.97</v>
      </c>
      <c r="L28" s="4">
        <v>0</v>
      </c>
      <c r="M28" s="4">
        <v>0</v>
      </c>
      <c r="N28" s="4">
        <v>99274.97</v>
      </c>
      <c r="O28" s="4">
        <f>Tab_08.Ago[[#This Row],[DÉBITO]]-Tab_08.Ago[[#This Row],[CRÉDITO]]</f>
        <v>0</v>
      </c>
    </row>
    <row r="29" spans="2:15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A</v>
      </c>
      <c r="E29" s="2">
        <f>IF($I29="","",COUNTIFS(Tab_00.Trial[CONTA],$I29))</f>
        <v>1</v>
      </c>
      <c r="F29" s="4">
        <f>SUMIFS(Tab_07.Jul[SALDO
ATUAL],Tab_07.Jul[CONTA],$I29)</f>
        <v>99274.97</v>
      </c>
      <c r="G29" s="4">
        <f t="shared" si="2"/>
        <v>0</v>
      </c>
      <c r="H29" s="192">
        <v>10377</v>
      </c>
      <c r="I29" s="3" t="s">
        <v>291</v>
      </c>
      <c r="J29" s="3" t="s">
        <v>292</v>
      </c>
      <c r="K29" s="4">
        <v>99274.97</v>
      </c>
      <c r="L29" s="4">
        <v>0</v>
      </c>
      <c r="M29" s="4">
        <v>0</v>
      </c>
      <c r="N29" s="4">
        <v>99274.97</v>
      </c>
      <c r="O29" s="4">
        <f>Tab_08.Ago[[#This Row],[DÉBITO]]-Tab_08.Ago[[#This Row],[CRÉDITO]]</f>
        <v>0</v>
      </c>
    </row>
    <row r="30" spans="2:15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S</v>
      </c>
      <c r="E30" s="2">
        <f>IF($I30="","",COUNTIFS(Tab_00.Trial[CONTA],$I30))</f>
        <v>1</v>
      </c>
      <c r="F30" s="4">
        <f>SUMIFS(Tab_07.Jul[SALDO
ATUAL],Tab_07.Jul[CONTA],$I30)</f>
        <v>15213.77</v>
      </c>
      <c r="G30" s="4">
        <f t="shared" si="2"/>
        <v>0</v>
      </c>
      <c r="H30" s="192">
        <v>10630</v>
      </c>
      <c r="I30" s="3" t="s">
        <v>206</v>
      </c>
      <c r="J30" s="3" t="s">
        <v>644</v>
      </c>
      <c r="K30" s="4">
        <v>15213.77</v>
      </c>
      <c r="L30" s="4">
        <v>38202.82</v>
      </c>
      <c r="M30" s="4">
        <v>12094.73</v>
      </c>
      <c r="N30" s="4">
        <v>41321.86</v>
      </c>
      <c r="O30" s="4">
        <f>Tab_08.Ago[[#This Row],[DÉBITO]]-Tab_08.Ago[[#This Row],[CRÉDITO]]</f>
        <v>26108.09</v>
      </c>
    </row>
    <row r="31" spans="2:15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S</v>
      </c>
      <c r="E31" s="2">
        <f>IF($I31="","",COUNTIFS(Tab_00.Trial[CONTA],$I31))</f>
        <v>1</v>
      </c>
      <c r="F31" s="4">
        <f>SUMIFS(Tab_07.Jul[SALDO
ATUAL],Tab_07.Jul[CONTA],$I31)</f>
        <v>0</v>
      </c>
      <c r="G31" s="4">
        <f t="shared" si="2"/>
        <v>0</v>
      </c>
      <c r="H31" s="192">
        <v>10645</v>
      </c>
      <c r="I31" s="3" t="s">
        <v>208</v>
      </c>
      <c r="J31" s="3" t="s">
        <v>139</v>
      </c>
      <c r="K31" s="4">
        <v>0</v>
      </c>
      <c r="L31" s="4">
        <v>38184.32</v>
      </c>
      <c r="M31" s="4">
        <v>12057</v>
      </c>
      <c r="N31" s="4">
        <v>26127.32</v>
      </c>
      <c r="O31" s="4">
        <f>Tab_08.Ago[[#This Row],[DÉBITO]]-Tab_08.Ago[[#This Row],[CRÉDITO]]</f>
        <v>26127.32</v>
      </c>
    </row>
    <row r="32" spans="2:15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A</v>
      </c>
      <c r="E32" s="2">
        <f>IF($I32="","",COUNTIFS(Tab_00.Trial[CONTA],$I32))</f>
        <v>1</v>
      </c>
      <c r="F32" s="4">
        <f>SUMIFS(Tab_07.Jul[SALDO
ATUAL],Tab_07.Jul[CONTA],$I32)</f>
        <v>0</v>
      </c>
      <c r="G32" s="4">
        <f t="shared" si="2"/>
        <v>0</v>
      </c>
      <c r="H32" s="192">
        <v>10735</v>
      </c>
      <c r="I32" s="3" t="s">
        <v>294</v>
      </c>
      <c r="J32" s="3" t="s">
        <v>295</v>
      </c>
      <c r="K32" s="4">
        <v>0</v>
      </c>
      <c r="L32" s="4">
        <v>38184.32</v>
      </c>
      <c r="M32" s="4">
        <v>12057</v>
      </c>
      <c r="N32" s="4">
        <v>26127.32</v>
      </c>
      <c r="O32" s="4">
        <f>Tab_08.Ago[[#This Row],[DÉBITO]]-Tab_08.Ago[[#This Row],[CRÉDITO]]</f>
        <v>26127.32</v>
      </c>
    </row>
    <row r="33" spans="2:15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S</v>
      </c>
      <c r="E33" s="2">
        <f>IF($I33="","",COUNTIFS(Tab_00.Trial[CONTA],$I33))</f>
        <v>1</v>
      </c>
      <c r="F33" s="4">
        <f>SUMIFS(Tab_07.Jul[SALDO
ATUAL],Tab_07.Jul[CONTA],$I33)</f>
        <v>15213.77</v>
      </c>
      <c r="G33" s="4">
        <f t="shared" si="2"/>
        <v>0</v>
      </c>
      <c r="H33" s="192">
        <v>10765</v>
      </c>
      <c r="I33" s="3" t="s">
        <v>551</v>
      </c>
      <c r="J33" s="3" t="s">
        <v>645</v>
      </c>
      <c r="K33" s="4">
        <v>15213.77</v>
      </c>
      <c r="L33" s="4">
        <v>18.5</v>
      </c>
      <c r="M33" s="4">
        <v>37.729999999999997</v>
      </c>
      <c r="N33" s="4">
        <v>15194.54</v>
      </c>
      <c r="O33" s="4">
        <f>Tab_08.Ago[[#This Row],[DÉBITO]]-Tab_08.Ago[[#This Row],[CRÉDITO]]</f>
        <v>-19.23</v>
      </c>
    </row>
    <row r="34" spans="2:15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A</v>
      </c>
      <c r="E34" s="2">
        <f>IF($I34="","",COUNTIFS(Tab_00.Trial[CONTA],$I34))</f>
        <v>1</v>
      </c>
      <c r="F34" s="4">
        <f>SUMIFS(Tab_07.Jul[SALDO
ATUAL],Tab_07.Jul[CONTA],$I34)</f>
        <v>15213.77</v>
      </c>
      <c r="G34" s="4">
        <f t="shared" si="2"/>
        <v>0</v>
      </c>
      <c r="H34" s="192">
        <v>10867</v>
      </c>
      <c r="I34" s="3" t="s">
        <v>831</v>
      </c>
      <c r="J34" s="3" t="s">
        <v>832</v>
      </c>
      <c r="K34" s="4">
        <v>15213.77</v>
      </c>
      <c r="L34" s="4">
        <v>18.5</v>
      </c>
      <c r="M34" s="4">
        <v>37.729999999999997</v>
      </c>
      <c r="N34" s="4">
        <v>15194.54</v>
      </c>
      <c r="O34" s="4">
        <f>Tab_08.Ago[[#This Row],[DÉBITO]]-Tab_08.Ago[[#This Row],[CRÉDITO]]</f>
        <v>-19.23</v>
      </c>
    </row>
    <row r="35" spans="2:15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S</v>
      </c>
      <c r="E35" s="2">
        <f>IF($I35="","",COUNTIFS(Tab_00.Trial[CONTA],$I35))</f>
        <v>1</v>
      </c>
      <c r="F35" s="4">
        <f>SUMIFS(Tab_07.Jul[SALDO
ATUAL],Tab_07.Jul[CONTA],$I35)</f>
        <v>311202.61</v>
      </c>
      <c r="G35" s="4">
        <f t="shared" si="2"/>
        <v>0</v>
      </c>
      <c r="H35" s="192">
        <v>10840</v>
      </c>
      <c r="I35" s="3" t="s">
        <v>840</v>
      </c>
      <c r="J35" s="3" t="s">
        <v>841</v>
      </c>
      <c r="K35" s="4">
        <v>311202.61</v>
      </c>
      <c r="L35" s="4">
        <v>11526.98</v>
      </c>
      <c r="M35" s="4">
        <v>11452.99</v>
      </c>
      <c r="N35" s="4">
        <v>311276.59999999998</v>
      </c>
      <c r="O35" s="4">
        <f>Tab_08.Ago[[#This Row],[DÉBITO]]-Tab_08.Ago[[#This Row],[CRÉDITO]]</f>
        <v>73.989999999999995</v>
      </c>
    </row>
    <row r="36" spans="2:15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S</v>
      </c>
      <c r="E36" s="2">
        <f>IF($I36="","",COUNTIFS(Tab_00.Trial[CONTA],$I36))</f>
        <v>1</v>
      </c>
      <c r="F36" s="4">
        <f>SUMIFS(Tab_07.Jul[SALDO
ATUAL],Tab_07.Jul[CONTA],$I36)</f>
        <v>311202.61</v>
      </c>
      <c r="G36" s="4">
        <f t="shared" si="2"/>
        <v>0</v>
      </c>
      <c r="H36" s="192">
        <v>10965</v>
      </c>
      <c r="I36" s="3" t="s">
        <v>842</v>
      </c>
      <c r="J36" s="3" t="s">
        <v>843</v>
      </c>
      <c r="K36" s="4">
        <v>311202.61</v>
      </c>
      <c r="L36" s="4">
        <v>92.49</v>
      </c>
      <c r="M36" s="4">
        <v>18.5</v>
      </c>
      <c r="N36" s="4">
        <v>311276.59999999998</v>
      </c>
      <c r="O36" s="4">
        <f>Tab_08.Ago[[#This Row],[DÉBITO]]-Tab_08.Ago[[#This Row],[CRÉDITO]]</f>
        <v>73.989999999999995</v>
      </c>
    </row>
    <row r="37" spans="2:15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A</v>
      </c>
      <c r="E37" s="2">
        <f>IF($I37="","",COUNTIFS(Tab_00.Trial[CONTA],$I37))</f>
        <v>1</v>
      </c>
      <c r="F37" s="4">
        <f>SUMIFS(Tab_07.Jul[SALDO
ATUAL],Tab_07.Jul[CONTA],$I37)</f>
        <v>311202.61</v>
      </c>
      <c r="G37" s="4">
        <f t="shared" si="2"/>
        <v>0</v>
      </c>
      <c r="H37" s="192">
        <v>10874</v>
      </c>
      <c r="I37" s="3" t="s">
        <v>844</v>
      </c>
      <c r="J37" s="3" t="s">
        <v>843</v>
      </c>
      <c r="K37" s="4">
        <v>311202.61</v>
      </c>
      <c r="L37" s="4">
        <v>92.49</v>
      </c>
      <c r="M37" s="4">
        <v>18.5</v>
      </c>
      <c r="N37" s="4">
        <v>311276.59999999998</v>
      </c>
      <c r="O37" s="4">
        <f>Tab_08.Ago[[#This Row],[DÉBITO]]-Tab_08.Ago[[#This Row],[CRÉDITO]]</f>
        <v>73.989999999999995</v>
      </c>
    </row>
    <row r="38" spans="2:15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S</v>
      </c>
      <c r="E38" s="2">
        <f>IF($I38="","",COUNTIFS(Tab_00.Trial[CONTA],$I38))</f>
        <v>1</v>
      </c>
      <c r="F38" s="4">
        <f>SUMIFS(Tab_07.Jul[SALDO
ATUAL],Tab_07.Jul[CONTA],$I38)</f>
        <v>0</v>
      </c>
      <c r="G38" s="4">
        <f t="shared" si="2"/>
        <v>0</v>
      </c>
      <c r="H38" s="192">
        <v>10881</v>
      </c>
      <c r="I38" s="3" t="s">
        <v>864</v>
      </c>
      <c r="J38" s="3" t="s">
        <v>865</v>
      </c>
      <c r="K38" s="4">
        <v>0</v>
      </c>
      <c r="L38" s="4">
        <v>11434.49</v>
      </c>
      <c r="M38" s="4">
        <v>11434.49</v>
      </c>
      <c r="N38" s="4">
        <v>0</v>
      </c>
      <c r="O38" s="4">
        <f>Tab_08.Ago[[#This Row],[DÉBITO]]-Tab_08.Ago[[#This Row],[CRÉDITO]]</f>
        <v>0</v>
      </c>
    </row>
    <row r="39" spans="2:15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A</v>
      </c>
      <c r="E39" s="2">
        <f>IF($I39="","",COUNTIFS(Tab_00.Trial[CONTA],$I39))</f>
        <v>1</v>
      </c>
      <c r="F39" s="4">
        <f>SUMIFS(Tab_07.Jul[SALDO
ATUAL],Tab_07.Jul[CONTA],$I39)</f>
        <v>0</v>
      </c>
      <c r="G39" s="4">
        <f t="shared" si="2"/>
        <v>0</v>
      </c>
      <c r="H39" s="192">
        <v>10888</v>
      </c>
      <c r="I39" s="3" t="s">
        <v>867</v>
      </c>
      <c r="J39" s="3" t="s">
        <v>868</v>
      </c>
      <c r="K39" s="4">
        <v>0</v>
      </c>
      <c r="L39" s="4">
        <v>11434.49</v>
      </c>
      <c r="M39" s="4">
        <v>11434.49</v>
      </c>
      <c r="N39" s="4">
        <v>0</v>
      </c>
      <c r="O39" s="4">
        <f>Tab_08.Ago[[#This Row],[DÉBITO]]-Tab_08.Ago[[#This Row],[CRÉDITO]]</f>
        <v>0</v>
      </c>
    </row>
    <row r="40" spans="2:15" x14ac:dyDescent="0.3">
      <c r="B40" s="2" t="str">
        <f>_xlfn.XLOOKUP($I40,Tab_00.Trial[CONTA],Tab_00.Trial[TP],"",0,1)</f>
        <v>A</v>
      </c>
      <c r="C40" s="2">
        <f>_xlfn.XLOOKUP($I40,Tab_00.Trial[CONTA],Tab_00.Trial[NV],"",0,1)</f>
        <v>5</v>
      </c>
      <c r="D40" s="2" t="str">
        <f>_xlfn.XLOOKUP($I40,Tab_00.Trial[CONTA],Tab_00.Trial[S/A],"",0,1)</f>
        <v>S</v>
      </c>
      <c r="E40" s="2">
        <f>IF($I40="","",COUNTIFS(Tab_00.Trial[CONTA],$I40))</f>
        <v>1</v>
      </c>
      <c r="F40" s="4">
        <f>SUMIFS(Tab_07.Jul[SALDO
ATUAL],Tab_07.Jul[CONTA],$I40)</f>
        <v>562.89</v>
      </c>
      <c r="G40" s="4">
        <f t="shared" si="2"/>
        <v>0</v>
      </c>
      <c r="H40" s="192">
        <v>10975</v>
      </c>
      <c r="I40" s="3" t="s">
        <v>209</v>
      </c>
      <c r="J40" s="3" t="s">
        <v>646</v>
      </c>
      <c r="K40" s="4">
        <v>562.89</v>
      </c>
      <c r="L40" s="4">
        <v>0</v>
      </c>
      <c r="M40" s="4">
        <v>287.74</v>
      </c>
      <c r="N40" s="4">
        <v>275.14999999999998</v>
      </c>
      <c r="O40" s="4">
        <f>Tab_08.Ago[[#This Row],[DÉBITO]]-Tab_08.Ago[[#This Row],[CRÉDITO]]</f>
        <v>-287.74</v>
      </c>
    </row>
    <row r="41" spans="2:15" x14ac:dyDescent="0.3">
      <c r="B41" s="2" t="str">
        <f>_xlfn.XLOOKUP($I41,Tab_00.Trial[CONTA],Tab_00.Trial[TP],"",0,1)</f>
        <v>A</v>
      </c>
      <c r="C41" s="2">
        <f>_xlfn.XLOOKUP($I41,Tab_00.Trial[CONTA],Tab_00.Trial[NV],"",0,1)</f>
        <v>5</v>
      </c>
      <c r="D41" s="2" t="str">
        <f>_xlfn.XLOOKUP($I41,Tab_00.Trial[CONTA],Tab_00.Trial[S/A],"",0,1)</f>
        <v>S</v>
      </c>
      <c r="E41" s="2">
        <f>IF($I41="","",COUNTIFS(Tab_00.Trial[CONTA],$I41))</f>
        <v>1</v>
      </c>
      <c r="F41" s="4">
        <f>SUMIFS(Tab_07.Jul[SALDO
ATUAL],Tab_07.Jul[CONTA],$I41)</f>
        <v>562.89</v>
      </c>
      <c r="G41" s="4">
        <f t="shared" si="2"/>
        <v>0</v>
      </c>
      <c r="H41" s="192">
        <v>10990</v>
      </c>
      <c r="I41" s="3" t="s">
        <v>210</v>
      </c>
      <c r="J41" s="3" t="s">
        <v>646</v>
      </c>
      <c r="K41" s="4">
        <v>562.89</v>
      </c>
      <c r="L41" s="4">
        <v>0</v>
      </c>
      <c r="M41" s="4">
        <v>287.74</v>
      </c>
      <c r="N41" s="4">
        <v>275.14999999999998</v>
      </c>
      <c r="O41" s="4">
        <f>Tab_08.Ago[[#This Row],[DÉBITO]]-Tab_08.Ago[[#This Row],[CRÉDITO]]</f>
        <v>-287.74</v>
      </c>
    </row>
    <row r="42" spans="2:15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A</v>
      </c>
      <c r="E42" s="2">
        <f>IF($I42="","",COUNTIFS(Tab_00.Trial[CONTA],$I42))</f>
        <v>1</v>
      </c>
      <c r="F42" s="4">
        <f>SUMIFS(Tab_07.Jul[SALDO
ATUAL],Tab_07.Jul[CONTA],$I42)</f>
        <v>562.89</v>
      </c>
      <c r="G42" s="4">
        <f t="shared" si="2"/>
        <v>0</v>
      </c>
      <c r="H42" s="192">
        <v>11005</v>
      </c>
      <c r="I42" s="3" t="s">
        <v>298</v>
      </c>
      <c r="J42" s="3" t="s">
        <v>299</v>
      </c>
      <c r="K42" s="4">
        <v>562.89</v>
      </c>
      <c r="L42" s="4">
        <v>0</v>
      </c>
      <c r="M42" s="4">
        <v>287.74</v>
      </c>
      <c r="N42" s="4">
        <v>275.14999999999998</v>
      </c>
      <c r="O42" s="4">
        <f>Tab_08.Ago[[#This Row],[DÉBITO]]-Tab_08.Ago[[#This Row],[CRÉDITO]]</f>
        <v>-287.74</v>
      </c>
    </row>
    <row r="43" spans="2:15" x14ac:dyDescent="0.3">
      <c r="B43" s="2" t="str">
        <f>_xlfn.XLOOKUP($I43,Tab_00.Trial[CONTA],Tab_00.Trial[TP],"",0,1)</f>
        <v>A</v>
      </c>
      <c r="C43" s="2">
        <f>_xlfn.XLOOKUP($I43,Tab_00.Trial[CONTA],Tab_00.Trial[NV],"",0,1)</f>
        <v>2</v>
      </c>
      <c r="D43" s="2" t="str">
        <f>_xlfn.XLOOKUP($I43,Tab_00.Trial[CONTA],Tab_00.Trial[S/A],"",0,1)</f>
        <v>S</v>
      </c>
      <c r="E43" s="2">
        <f>IF($I43="","",COUNTIFS(Tab_00.Trial[CONTA],$I43))</f>
        <v>1</v>
      </c>
      <c r="F43" s="4">
        <f>SUMIFS(Tab_07.Jul[SALDO
ATUAL],Tab_07.Jul[CONTA],$I43)</f>
        <v>73598772.5</v>
      </c>
      <c r="G43" s="4">
        <f t="shared" si="2"/>
        <v>0</v>
      </c>
      <c r="H43" s="192">
        <v>11065</v>
      </c>
      <c r="I43" s="3" t="s">
        <v>211</v>
      </c>
      <c r="J43" s="3" t="s">
        <v>76</v>
      </c>
      <c r="K43" s="4">
        <v>73598772.5</v>
      </c>
      <c r="L43" s="4">
        <v>284898</v>
      </c>
      <c r="M43" s="4">
        <v>6289.75</v>
      </c>
      <c r="N43" s="4">
        <v>73877380.75</v>
      </c>
      <c r="O43" s="4">
        <f>Tab_08.Ago[[#This Row],[DÉBITO]]-Tab_08.Ago[[#This Row],[CRÉDITO]]</f>
        <v>278608.25</v>
      </c>
    </row>
    <row r="44" spans="2:15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S</v>
      </c>
      <c r="E44" s="2">
        <f>IF($I44="","",COUNTIFS(Tab_00.Trial[CONTA],$I44))</f>
        <v>1</v>
      </c>
      <c r="F44" s="4">
        <f>SUMIFS(Tab_07.Jul[SALDO
ATUAL],Tab_07.Jul[CONTA],$I44)</f>
        <v>255285.62</v>
      </c>
      <c r="G44" s="4">
        <f t="shared" si="2"/>
        <v>0</v>
      </c>
      <c r="H44" s="192">
        <v>11080</v>
      </c>
      <c r="I44" s="3" t="s">
        <v>552</v>
      </c>
      <c r="J44" s="3" t="s">
        <v>647</v>
      </c>
      <c r="K44" s="4">
        <v>255285.62</v>
      </c>
      <c r="L44" s="4">
        <v>283</v>
      </c>
      <c r="M44" s="4">
        <v>0</v>
      </c>
      <c r="N44" s="4">
        <v>255568.62</v>
      </c>
      <c r="O44" s="4">
        <f>Tab_08.Ago[[#This Row],[DÉBITO]]-Tab_08.Ago[[#This Row],[CRÉDITO]]</f>
        <v>283</v>
      </c>
    </row>
    <row r="45" spans="2:15" x14ac:dyDescent="0.3">
      <c r="B45" s="2" t="str">
        <f>_xlfn.XLOOKUP($I45,Tab_00.Trial[CONTA],Tab_00.Trial[TP],"",0,1)</f>
        <v>A</v>
      </c>
      <c r="C45" s="2">
        <f>_xlfn.XLOOKUP($I45,Tab_00.Trial[CONTA],Tab_00.Trial[NV],"",0,1)</f>
        <v>5</v>
      </c>
      <c r="D45" s="2" t="str">
        <f>_xlfn.XLOOKUP($I45,Tab_00.Trial[CONTA],Tab_00.Trial[S/A],"",0,1)</f>
        <v>S</v>
      </c>
      <c r="E45" s="2">
        <f>IF($I45="","",COUNTIFS(Tab_00.Trial[CONTA],$I45))</f>
        <v>1</v>
      </c>
      <c r="F45" s="4">
        <f>SUMIFS(Tab_07.Jul[SALDO
ATUAL],Tab_07.Jul[CONTA],$I45)</f>
        <v>255285.62</v>
      </c>
      <c r="G45" s="4">
        <f t="shared" si="2"/>
        <v>0</v>
      </c>
      <c r="H45" s="192">
        <v>11125</v>
      </c>
      <c r="I45" s="3" t="s">
        <v>553</v>
      </c>
      <c r="J45" s="3" t="s">
        <v>301</v>
      </c>
      <c r="K45" s="4">
        <v>255285.62</v>
      </c>
      <c r="L45" s="4">
        <v>283</v>
      </c>
      <c r="M45" s="4">
        <v>0</v>
      </c>
      <c r="N45" s="4">
        <v>255568.62</v>
      </c>
      <c r="O45" s="4">
        <f>Tab_08.Ago[[#This Row],[DÉBITO]]-Tab_08.Ago[[#This Row],[CRÉDITO]]</f>
        <v>283</v>
      </c>
    </row>
    <row r="46" spans="2:15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A</v>
      </c>
      <c r="E46" s="2">
        <f>IF($I46="","",COUNTIFS(Tab_00.Trial[CONTA],$I46))</f>
        <v>1</v>
      </c>
      <c r="F46" s="4">
        <f>SUMIFS(Tab_07.Jul[SALDO
ATUAL],Tab_07.Jul[CONTA],$I46)</f>
        <v>255285.62</v>
      </c>
      <c r="G46" s="4">
        <f t="shared" si="2"/>
        <v>0</v>
      </c>
      <c r="H46" s="192">
        <v>11140</v>
      </c>
      <c r="I46" s="3" t="s">
        <v>300</v>
      </c>
      <c r="J46" s="3" t="s">
        <v>301</v>
      </c>
      <c r="K46" s="4">
        <v>255285.62</v>
      </c>
      <c r="L46" s="4">
        <v>283</v>
      </c>
      <c r="M46" s="4">
        <v>0</v>
      </c>
      <c r="N46" s="4">
        <v>255568.62</v>
      </c>
      <c r="O46" s="4">
        <f>Tab_08.Ago[[#This Row],[DÉBITO]]-Tab_08.Ago[[#This Row],[CRÉDITO]]</f>
        <v>283</v>
      </c>
    </row>
    <row r="47" spans="2:15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S</v>
      </c>
      <c r="E47" s="2">
        <f>IF($I47="","",COUNTIFS(Tab_00.Trial[CONTA],$I47))</f>
        <v>1</v>
      </c>
      <c r="F47" s="4">
        <f>SUMIFS(Tab_07.Jul[SALDO
ATUAL],Tab_07.Jul[CONTA],$I47)</f>
        <v>70977841.069999993</v>
      </c>
      <c r="G47" s="4">
        <f t="shared" si="2"/>
        <v>0</v>
      </c>
      <c r="H47" s="192">
        <v>11170</v>
      </c>
      <c r="I47" s="3" t="s">
        <v>554</v>
      </c>
      <c r="J47" s="3" t="s">
        <v>648</v>
      </c>
      <c r="K47" s="4">
        <v>70977841.069999993</v>
      </c>
      <c r="L47" s="4">
        <v>282384</v>
      </c>
      <c r="M47" s="4">
        <v>2623</v>
      </c>
      <c r="N47" s="4">
        <v>71257602.069999993</v>
      </c>
      <c r="O47" s="4">
        <f>Tab_08.Ago[[#This Row],[DÉBITO]]-Tab_08.Ago[[#This Row],[CRÉDITO]]</f>
        <v>279761</v>
      </c>
    </row>
    <row r="48" spans="2:15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S</v>
      </c>
      <c r="E48" s="2">
        <f>IF($I48="","",COUNTIFS(Tab_00.Trial[CONTA],$I48))</f>
        <v>1</v>
      </c>
      <c r="F48" s="4">
        <f>SUMIFS(Tab_07.Jul[SALDO
ATUAL],Tab_07.Jul[CONTA],$I48)</f>
        <v>45344232.229999997</v>
      </c>
      <c r="G48" s="4">
        <f t="shared" si="2"/>
        <v>0</v>
      </c>
      <c r="H48" s="192">
        <v>11185</v>
      </c>
      <c r="I48" s="3" t="s">
        <v>555</v>
      </c>
      <c r="J48" s="3" t="s">
        <v>649</v>
      </c>
      <c r="K48" s="4">
        <v>45344232.229999997</v>
      </c>
      <c r="L48" s="4">
        <v>0</v>
      </c>
      <c r="M48" s="4">
        <v>0</v>
      </c>
      <c r="N48" s="4">
        <v>45344232.229999997</v>
      </c>
      <c r="O48" s="4">
        <f>Tab_08.Ago[[#This Row],[DÉBITO]]-Tab_08.Ago[[#This Row],[CRÉDITO]]</f>
        <v>0</v>
      </c>
    </row>
    <row r="49" spans="2:15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A</v>
      </c>
      <c r="E49" s="2">
        <f>IF($I49="","",COUNTIFS(Tab_00.Trial[CONTA],$I49))</f>
        <v>1</v>
      </c>
      <c r="F49" s="4">
        <f>SUMIFS(Tab_07.Jul[SALDO
ATUAL],Tab_07.Jul[CONTA],$I49)</f>
        <v>42477392.43</v>
      </c>
      <c r="G49" s="4">
        <f t="shared" si="2"/>
        <v>0</v>
      </c>
      <c r="H49" s="192">
        <v>11205</v>
      </c>
      <c r="I49" s="3" t="s">
        <v>302</v>
      </c>
      <c r="J49" s="3" t="s">
        <v>303</v>
      </c>
      <c r="K49" s="4">
        <v>42477392.43</v>
      </c>
      <c r="L49" s="4">
        <v>0</v>
      </c>
      <c r="M49" s="4">
        <v>0</v>
      </c>
      <c r="N49" s="4">
        <v>42477392.43</v>
      </c>
      <c r="O49" s="4">
        <f>Tab_08.Ago[[#This Row],[DÉBITO]]-Tab_08.Ago[[#This Row],[CRÉDITO]]</f>
        <v>0</v>
      </c>
    </row>
    <row r="50" spans="2:15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A</v>
      </c>
      <c r="E50" s="2">
        <f>IF($I50="","",COUNTIFS(Tab_00.Trial[CONTA],$I50))</f>
        <v>1</v>
      </c>
      <c r="F50" s="4">
        <f>SUMIFS(Tab_07.Jul[SALDO
ATUAL],Tab_07.Jul[CONTA],$I50)</f>
        <v>2866839.8</v>
      </c>
      <c r="G50" s="4">
        <f t="shared" ref="G50:G81" si="3">$F50-$K50</f>
        <v>0</v>
      </c>
      <c r="H50" s="192">
        <v>11210</v>
      </c>
      <c r="I50" s="3" t="s">
        <v>304</v>
      </c>
      <c r="J50" s="3" t="s">
        <v>305</v>
      </c>
      <c r="K50" s="4">
        <v>2866839.8</v>
      </c>
      <c r="L50" s="4">
        <v>0</v>
      </c>
      <c r="M50" s="4">
        <v>0</v>
      </c>
      <c r="N50" s="4">
        <v>2866839.8</v>
      </c>
      <c r="O50" s="4">
        <f>Tab_08.Ago[[#This Row],[DÉBITO]]-Tab_08.Ago[[#This Row],[CRÉDITO]]</f>
        <v>0</v>
      </c>
    </row>
    <row r="51" spans="2:15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S</v>
      </c>
      <c r="E51" s="2">
        <f>IF($I51="","",COUNTIFS(Tab_00.Trial[CONTA],$I51))</f>
        <v>1</v>
      </c>
      <c r="F51" s="4">
        <f>SUMIFS(Tab_07.Jul[SALDO
ATUAL],Tab_07.Jul[CONTA],$I51)</f>
        <v>4760.84</v>
      </c>
      <c r="G51" s="4">
        <f t="shared" si="3"/>
        <v>0</v>
      </c>
      <c r="H51" s="192">
        <v>11215</v>
      </c>
      <c r="I51" s="3" t="s">
        <v>556</v>
      </c>
      <c r="J51" s="3" t="s">
        <v>650</v>
      </c>
      <c r="K51" s="4">
        <v>4760.84</v>
      </c>
      <c r="L51" s="4">
        <v>0</v>
      </c>
      <c r="M51" s="4">
        <v>0</v>
      </c>
      <c r="N51" s="4">
        <v>4760.84</v>
      </c>
      <c r="O51" s="4">
        <f>Tab_08.Ago[[#This Row],[DÉBITO]]-Tab_08.Ago[[#This Row],[CRÉDITO]]</f>
        <v>0</v>
      </c>
    </row>
    <row r="52" spans="2:15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A</v>
      </c>
      <c r="E52" s="2">
        <f>IF($I52="","",COUNTIFS(Tab_00.Trial[CONTA],$I52))</f>
        <v>1</v>
      </c>
      <c r="F52" s="4">
        <f>SUMIFS(Tab_07.Jul[SALDO
ATUAL],Tab_07.Jul[CONTA],$I52)</f>
        <v>4760.84</v>
      </c>
      <c r="G52" s="4">
        <f t="shared" si="3"/>
        <v>0</v>
      </c>
      <c r="H52" s="192">
        <v>11230</v>
      </c>
      <c r="I52" s="3" t="s">
        <v>306</v>
      </c>
      <c r="J52" s="3" t="s">
        <v>307</v>
      </c>
      <c r="K52" s="4">
        <v>4760.84</v>
      </c>
      <c r="L52" s="4">
        <v>0</v>
      </c>
      <c r="M52" s="4">
        <v>0</v>
      </c>
      <c r="N52" s="4">
        <v>4760.84</v>
      </c>
      <c r="O52" s="4">
        <f>Tab_08.Ago[[#This Row],[DÉBITO]]-Tab_08.Ago[[#This Row],[CRÉDITO]]</f>
        <v>0</v>
      </c>
    </row>
    <row r="53" spans="2:15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S</v>
      </c>
      <c r="E53" s="2">
        <f>IF($I53="","",COUNTIFS(Tab_00.Trial[CONTA],$I53))</f>
        <v>1</v>
      </c>
      <c r="F53" s="4">
        <f>SUMIFS(Tab_07.Jul[SALDO
ATUAL],Tab_07.Jul[CONTA],$I53)</f>
        <v>25628848</v>
      </c>
      <c r="G53" s="4">
        <f t="shared" si="3"/>
        <v>0</v>
      </c>
      <c r="H53" s="192">
        <v>11235</v>
      </c>
      <c r="I53" s="3" t="s">
        <v>557</v>
      </c>
      <c r="J53" s="3" t="s">
        <v>309</v>
      </c>
      <c r="K53" s="4">
        <v>25628848</v>
      </c>
      <c r="L53" s="4">
        <v>282384</v>
      </c>
      <c r="M53" s="4">
        <v>2623</v>
      </c>
      <c r="N53" s="4">
        <v>25908609</v>
      </c>
      <c r="O53" s="4">
        <f>Tab_08.Ago[[#This Row],[DÉBITO]]-Tab_08.Ago[[#This Row],[CRÉDITO]]</f>
        <v>279761</v>
      </c>
    </row>
    <row r="54" spans="2:15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A</v>
      </c>
      <c r="E54" s="2">
        <f>IF($I54="","",COUNTIFS(Tab_00.Trial[CONTA],$I54))</f>
        <v>1</v>
      </c>
      <c r="F54" s="4">
        <f>SUMIFS(Tab_07.Jul[SALDO
ATUAL],Tab_07.Jul[CONTA],$I54)</f>
        <v>25628848</v>
      </c>
      <c r="G54" s="4">
        <f t="shared" si="3"/>
        <v>0</v>
      </c>
      <c r="H54" s="192">
        <v>11240</v>
      </c>
      <c r="I54" s="3" t="s">
        <v>308</v>
      </c>
      <c r="J54" s="3" t="s">
        <v>309</v>
      </c>
      <c r="K54" s="4">
        <v>25628848</v>
      </c>
      <c r="L54" s="4">
        <v>282384</v>
      </c>
      <c r="M54" s="4">
        <v>2623</v>
      </c>
      <c r="N54" s="4">
        <v>25908609</v>
      </c>
      <c r="O54" s="4">
        <f>Tab_08.Ago[[#This Row],[DÉBITO]]-Tab_08.Ago[[#This Row],[CRÉDITO]]</f>
        <v>279761</v>
      </c>
    </row>
    <row r="55" spans="2:15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S</v>
      </c>
      <c r="E55" s="2">
        <f>IF($I55="","",COUNTIFS(Tab_00.Trial[CONTA],$I55))</f>
        <v>1</v>
      </c>
      <c r="F55" s="4">
        <f>SUMIFS(Tab_07.Jul[SALDO
ATUAL],Tab_07.Jul[CONTA],$I55)</f>
        <v>2365645.81</v>
      </c>
      <c r="G55" s="4">
        <f t="shared" si="3"/>
        <v>0</v>
      </c>
      <c r="H55" s="192">
        <v>11245</v>
      </c>
      <c r="I55" s="3" t="s">
        <v>213</v>
      </c>
      <c r="J55" s="3" t="s">
        <v>35</v>
      </c>
      <c r="K55" s="4">
        <v>2365645.81</v>
      </c>
      <c r="L55" s="4">
        <v>2231</v>
      </c>
      <c r="M55" s="4">
        <v>3666.75</v>
      </c>
      <c r="N55" s="4">
        <v>2364210.06</v>
      </c>
      <c r="O55" s="4">
        <f>Tab_08.Ago[[#This Row],[DÉBITO]]-Tab_08.Ago[[#This Row],[CRÉDITO]]</f>
        <v>-1435.75</v>
      </c>
    </row>
    <row r="56" spans="2:15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S</v>
      </c>
      <c r="E56" s="2">
        <f>IF($I56="","",COUNTIFS(Tab_00.Trial[CONTA],$I56))</f>
        <v>1</v>
      </c>
      <c r="F56" s="4">
        <f>SUMIFS(Tab_07.Jul[SALDO
ATUAL],Tab_07.Jul[CONTA],$I56)</f>
        <v>3546368.31</v>
      </c>
      <c r="G56" s="4">
        <f t="shared" si="3"/>
        <v>0</v>
      </c>
      <c r="H56" s="192">
        <v>11260</v>
      </c>
      <c r="I56" s="3" t="s">
        <v>214</v>
      </c>
      <c r="J56" s="3" t="s">
        <v>651</v>
      </c>
      <c r="K56" s="4">
        <v>3546368.31</v>
      </c>
      <c r="L56" s="4">
        <v>2231</v>
      </c>
      <c r="M56" s="4">
        <v>0</v>
      </c>
      <c r="N56" s="4">
        <v>3548599.31</v>
      </c>
      <c r="O56" s="4">
        <f>Tab_08.Ago[[#This Row],[DÉBITO]]-Tab_08.Ago[[#This Row],[CRÉDITO]]</f>
        <v>2231</v>
      </c>
    </row>
    <row r="57" spans="2:15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A</v>
      </c>
      <c r="E57" s="2">
        <f>IF($I57="","",COUNTIFS(Tab_00.Trial[CONTA],$I57))</f>
        <v>1</v>
      </c>
      <c r="F57" s="4">
        <f>SUMIFS(Tab_07.Jul[SALDO
ATUAL],Tab_07.Jul[CONTA],$I57)</f>
        <v>1379260.84</v>
      </c>
      <c r="G57" s="4">
        <f t="shared" si="3"/>
        <v>0</v>
      </c>
      <c r="H57" s="192">
        <v>11275</v>
      </c>
      <c r="I57" s="3" t="s">
        <v>310</v>
      </c>
      <c r="J57" s="3" t="s">
        <v>311</v>
      </c>
      <c r="K57" s="4">
        <v>1379260.84</v>
      </c>
      <c r="L57" s="4">
        <v>0</v>
      </c>
      <c r="M57" s="4">
        <v>0</v>
      </c>
      <c r="N57" s="4">
        <v>1379260.84</v>
      </c>
      <c r="O57" s="4">
        <f>Tab_08.Ago[[#This Row],[DÉBITO]]-Tab_08.Ago[[#This Row],[CRÉDITO]]</f>
        <v>0</v>
      </c>
    </row>
    <row r="58" spans="2:15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A</v>
      </c>
      <c r="E58" s="2">
        <f>IF($I58="","",COUNTIFS(Tab_00.Trial[CONTA],$I58))</f>
        <v>1</v>
      </c>
      <c r="F58" s="4">
        <f>SUMIFS(Tab_07.Jul[SALDO
ATUAL],Tab_07.Jul[CONTA],$I58)</f>
        <v>1291140.25</v>
      </c>
      <c r="G58" s="4">
        <f t="shared" si="3"/>
        <v>0</v>
      </c>
      <c r="H58" s="192">
        <v>11290</v>
      </c>
      <c r="I58" s="3" t="s">
        <v>312</v>
      </c>
      <c r="J58" s="3" t="s">
        <v>313</v>
      </c>
      <c r="K58" s="4">
        <v>1291140.25</v>
      </c>
      <c r="L58" s="4">
        <v>2231</v>
      </c>
      <c r="M58" s="4">
        <v>0</v>
      </c>
      <c r="N58" s="4">
        <v>1293371.25</v>
      </c>
      <c r="O58" s="4">
        <f>Tab_08.Ago[[#This Row],[DÉBITO]]-Tab_08.Ago[[#This Row],[CRÉDITO]]</f>
        <v>2231</v>
      </c>
    </row>
    <row r="59" spans="2:15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A</v>
      </c>
      <c r="E59" s="2">
        <f>IF($I59="","",COUNTIFS(Tab_00.Trial[CONTA],$I59))</f>
        <v>1</v>
      </c>
      <c r="F59" s="4">
        <f>SUMIFS(Tab_07.Jul[SALDO
ATUAL],Tab_07.Jul[CONTA],$I59)</f>
        <v>23000</v>
      </c>
      <c r="G59" s="4">
        <f t="shared" si="3"/>
        <v>0</v>
      </c>
      <c r="H59" s="192">
        <v>11320</v>
      </c>
      <c r="I59" s="3" t="s">
        <v>181</v>
      </c>
      <c r="J59" s="3" t="s">
        <v>314</v>
      </c>
      <c r="K59" s="4">
        <v>23000</v>
      </c>
      <c r="L59" s="4">
        <v>0</v>
      </c>
      <c r="M59" s="4">
        <v>0</v>
      </c>
      <c r="N59" s="4">
        <v>23000</v>
      </c>
      <c r="O59" s="4">
        <f>Tab_08.Ago[[#This Row],[DÉBITO]]-Tab_08.Ago[[#This Row],[CRÉDITO]]</f>
        <v>0</v>
      </c>
    </row>
    <row r="60" spans="2:15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A</v>
      </c>
      <c r="E60" s="2">
        <f>IF($I60="","",COUNTIFS(Tab_00.Trial[CONTA],$I60))</f>
        <v>1</v>
      </c>
      <c r="F60" s="4">
        <f>SUMIFS(Tab_07.Jul[SALDO
ATUAL],Tab_07.Jul[CONTA],$I60)</f>
        <v>12594</v>
      </c>
      <c r="G60" s="4">
        <f t="shared" si="3"/>
        <v>0</v>
      </c>
      <c r="H60" s="192">
        <v>11335</v>
      </c>
      <c r="I60" s="3" t="s">
        <v>182</v>
      </c>
      <c r="J60" s="3" t="s">
        <v>315</v>
      </c>
      <c r="K60" s="4">
        <v>12594</v>
      </c>
      <c r="L60" s="4">
        <v>0</v>
      </c>
      <c r="M60" s="4">
        <v>0</v>
      </c>
      <c r="N60" s="4">
        <v>12594</v>
      </c>
      <c r="O60" s="4">
        <f>Tab_08.Ago[[#This Row],[DÉBITO]]-Tab_08.Ago[[#This Row],[CRÉDITO]]</f>
        <v>0</v>
      </c>
    </row>
    <row r="61" spans="2:15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SUMIFS(Tab_07.Jul[SALDO
ATUAL],Tab_07.Jul[CONTA],$I61)</f>
        <v>224642.85</v>
      </c>
      <c r="G61" s="4">
        <f t="shared" si="3"/>
        <v>0</v>
      </c>
      <c r="H61" s="192">
        <v>11350</v>
      </c>
      <c r="I61" s="3" t="s">
        <v>183</v>
      </c>
      <c r="J61" s="3" t="s">
        <v>316</v>
      </c>
      <c r="K61" s="4">
        <v>224642.85</v>
      </c>
      <c r="L61" s="4">
        <v>0</v>
      </c>
      <c r="M61" s="4">
        <v>0</v>
      </c>
      <c r="N61" s="4">
        <v>224642.85</v>
      </c>
      <c r="O61" s="4">
        <f>Tab_08.Ago[[#This Row],[DÉBITO]]-Tab_08.Ago[[#This Row],[CRÉDITO]]</f>
        <v>0</v>
      </c>
    </row>
    <row r="62" spans="2:15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SUMIFS(Tab_07.Jul[SALDO
ATUAL],Tab_07.Jul[CONTA],$I62)</f>
        <v>7349.9</v>
      </c>
      <c r="G62" s="4">
        <f t="shared" si="3"/>
        <v>0</v>
      </c>
      <c r="H62" s="192">
        <v>11365</v>
      </c>
      <c r="I62" s="3" t="s">
        <v>317</v>
      </c>
      <c r="J62" s="3" t="s">
        <v>318</v>
      </c>
      <c r="K62" s="4">
        <v>7349.9</v>
      </c>
      <c r="L62" s="4">
        <v>0</v>
      </c>
      <c r="M62" s="4">
        <v>0</v>
      </c>
      <c r="N62" s="4">
        <v>7349.9</v>
      </c>
      <c r="O62" s="4">
        <f>Tab_08.Ago[[#This Row],[DÉBITO]]-Tab_08.Ago[[#This Row],[CRÉDITO]]</f>
        <v>0</v>
      </c>
    </row>
    <row r="63" spans="2:15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A</v>
      </c>
      <c r="E63" s="2">
        <f>IF($I63="","",COUNTIFS(Tab_00.Trial[CONTA],$I63))</f>
        <v>1</v>
      </c>
      <c r="F63" s="4">
        <f>SUMIFS(Tab_07.Jul[SALDO
ATUAL],Tab_07.Jul[CONTA],$I63)</f>
        <v>128697.03</v>
      </c>
      <c r="G63" s="4">
        <f t="shared" si="3"/>
        <v>0</v>
      </c>
      <c r="H63" s="192">
        <v>11380</v>
      </c>
      <c r="I63" s="3" t="s">
        <v>184</v>
      </c>
      <c r="J63" s="3" t="s">
        <v>319</v>
      </c>
      <c r="K63" s="4">
        <v>128697.03</v>
      </c>
      <c r="L63" s="4">
        <v>0</v>
      </c>
      <c r="M63" s="4">
        <v>0</v>
      </c>
      <c r="N63" s="4">
        <v>128697.03</v>
      </c>
      <c r="O63" s="4">
        <f>Tab_08.Ago[[#This Row],[DÉBITO]]-Tab_08.Ago[[#This Row],[CRÉDITO]]</f>
        <v>0</v>
      </c>
    </row>
    <row r="64" spans="2:15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A</v>
      </c>
      <c r="E64" s="2">
        <f>IF($I64="","",COUNTIFS(Tab_00.Trial[CONTA],$I64))</f>
        <v>1</v>
      </c>
      <c r="F64" s="4">
        <f>SUMIFS(Tab_07.Jul[SALDO
ATUAL],Tab_07.Jul[CONTA],$I64)</f>
        <v>15029.74</v>
      </c>
      <c r="G64" s="4">
        <f t="shared" si="3"/>
        <v>0</v>
      </c>
      <c r="H64" s="192">
        <v>11410</v>
      </c>
      <c r="I64" s="3" t="s">
        <v>185</v>
      </c>
      <c r="J64" s="3" t="s">
        <v>320</v>
      </c>
      <c r="K64" s="4">
        <v>15029.74</v>
      </c>
      <c r="L64" s="4">
        <v>0</v>
      </c>
      <c r="M64" s="4">
        <v>0</v>
      </c>
      <c r="N64" s="4">
        <v>15029.74</v>
      </c>
      <c r="O64" s="4">
        <f>Tab_08.Ago[[#This Row],[DÉBITO]]-Tab_08.Ago[[#This Row],[CRÉDITO]]</f>
        <v>0</v>
      </c>
    </row>
    <row r="65" spans="2:15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SUMIFS(Tab_07.Jul[SALDO
ATUAL],Tab_07.Jul[CONTA],$I65)</f>
        <v>464653.7</v>
      </c>
      <c r="G65" s="4">
        <f t="shared" si="3"/>
        <v>0</v>
      </c>
      <c r="H65" s="192">
        <v>11415</v>
      </c>
      <c r="I65" s="3" t="s">
        <v>321</v>
      </c>
      <c r="J65" s="3" t="s">
        <v>322</v>
      </c>
      <c r="K65" s="4">
        <v>464653.7</v>
      </c>
      <c r="L65" s="4">
        <v>0</v>
      </c>
      <c r="M65" s="4">
        <v>0</v>
      </c>
      <c r="N65" s="4">
        <v>464653.7</v>
      </c>
      <c r="O65" s="4">
        <f>Tab_08.Ago[[#This Row],[DÉBITO]]-Tab_08.Ago[[#This Row],[CRÉDITO]]</f>
        <v>0</v>
      </c>
    </row>
    <row r="66" spans="2:15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S</v>
      </c>
      <c r="E66" s="2">
        <f>IF($I66="","",COUNTIFS(Tab_00.Trial[CONTA],$I66))</f>
        <v>1</v>
      </c>
      <c r="F66" s="4">
        <f>SUMIFS(Tab_07.Jul[SALDO
ATUAL],Tab_07.Jul[CONTA],$I66)</f>
        <v>-1180722.5</v>
      </c>
      <c r="G66" s="4">
        <f t="shared" si="3"/>
        <v>0</v>
      </c>
      <c r="H66" s="192">
        <v>11425</v>
      </c>
      <c r="I66" s="3" t="s">
        <v>215</v>
      </c>
      <c r="J66" s="3" t="s">
        <v>652</v>
      </c>
      <c r="K66" s="4">
        <v>-1180722.5</v>
      </c>
      <c r="L66" s="4">
        <v>0</v>
      </c>
      <c r="M66" s="4">
        <v>3666.75</v>
      </c>
      <c r="N66" s="4">
        <v>-1184389.25</v>
      </c>
      <c r="O66" s="4">
        <f>Tab_08.Ago[[#This Row],[DÉBITO]]-Tab_08.Ago[[#This Row],[CRÉDITO]]</f>
        <v>-3666.75</v>
      </c>
    </row>
    <row r="67" spans="2:15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SUMIFS(Tab_07.Jul[SALDO
ATUAL],Tab_07.Jul[CONTA],$I67)</f>
        <v>-667864.55000000005</v>
      </c>
      <c r="G67" s="4">
        <f t="shared" si="3"/>
        <v>0</v>
      </c>
      <c r="H67" s="192">
        <v>11440</v>
      </c>
      <c r="I67" s="3" t="s">
        <v>186</v>
      </c>
      <c r="J67" s="3" t="s">
        <v>313</v>
      </c>
      <c r="K67" s="4">
        <v>-667864.55000000005</v>
      </c>
      <c r="L67" s="4">
        <v>0</v>
      </c>
      <c r="M67" s="4">
        <v>0</v>
      </c>
      <c r="N67" s="4">
        <v>-667864.55000000005</v>
      </c>
      <c r="O67" s="4">
        <f>Tab_08.Ago[[#This Row],[DÉBITO]]-Tab_08.Ago[[#This Row],[CRÉDITO]]</f>
        <v>0</v>
      </c>
    </row>
    <row r="68" spans="2:15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A</v>
      </c>
      <c r="E68" s="2">
        <f>IF($I68="","",COUNTIFS(Tab_00.Trial[CONTA],$I68))</f>
        <v>1</v>
      </c>
      <c r="F68" s="4">
        <f>SUMIFS(Tab_07.Jul[SALDO
ATUAL],Tab_07.Jul[CONTA],$I68)</f>
        <v>-18208.62</v>
      </c>
      <c r="G68" s="4">
        <f t="shared" si="3"/>
        <v>0</v>
      </c>
      <c r="H68" s="192">
        <v>11470</v>
      </c>
      <c r="I68" s="3" t="s">
        <v>187</v>
      </c>
      <c r="J68" s="3" t="s">
        <v>314</v>
      </c>
      <c r="K68" s="4">
        <v>-18208.62</v>
      </c>
      <c r="L68" s="4">
        <v>0</v>
      </c>
      <c r="M68" s="4">
        <v>3189.6</v>
      </c>
      <c r="N68" s="4">
        <v>-21398.22</v>
      </c>
      <c r="O68" s="4">
        <f>Tab_08.Ago[[#This Row],[DÉBITO]]-Tab_08.Ago[[#This Row],[CRÉDITO]]</f>
        <v>-3189.6</v>
      </c>
    </row>
    <row r="69" spans="2:15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SUMIFS(Tab_07.Jul[SALDO
ATUAL],Tab_07.Jul[CONTA],$I69)</f>
        <v>-6788.76</v>
      </c>
      <c r="G69" s="4">
        <f t="shared" si="3"/>
        <v>0</v>
      </c>
      <c r="H69" s="192">
        <v>11485</v>
      </c>
      <c r="I69" s="3" t="s">
        <v>188</v>
      </c>
      <c r="J69" s="3" t="s">
        <v>315</v>
      </c>
      <c r="K69" s="4">
        <v>-6788.76</v>
      </c>
      <c r="L69" s="4">
        <v>0</v>
      </c>
      <c r="M69" s="4">
        <v>104.95</v>
      </c>
      <c r="N69" s="4">
        <v>-6893.71</v>
      </c>
      <c r="O69" s="4">
        <f>Tab_08.Ago[[#This Row],[DÉBITO]]-Tab_08.Ago[[#This Row],[CRÉDITO]]</f>
        <v>-104.95</v>
      </c>
    </row>
    <row r="70" spans="2:15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SUMIFS(Tab_07.Jul[SALDO
ATUAL],Tab_07.Jul[CONTA],$I70)</f>
        <v>-224642.85</v>
      </c>
      <c r="G70" s="4">
        <f t="shared" si="3"/>
        <v>0</v>
      </c>
      <c r="H70" s="192">
        <v>11500</v>
      </c>
      <c r="I70" s="3" t="s">
        <v>189</v>
      </c>
      <c r="J70" s="3" t="s">
        <v>316</v>
      </c>
      <c r="K70" s="4">
        <v>-224642.85</v>
      </c>
      <c r="L70" s="4">
        <v>0</v>
      </c>
      <c r="M70" s="4">
        <v>0</v>
      </c>
      <c r="N70" s="4">
        <v>-224642.85</v>
      </c>
      <c r="O70" s="4">
        <f>Tab_08.Ago[[#This Row],[DÉBITO]]-Tab_08.Ago[[#This Row],[CRÉDITO]]</f>
        <v>0</v>
      </c>
    </row>
    <row r="71" spans="2:15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SUMIFS(Tab_07.Jul[SALDO
ATUAL],Tab_07.Jul[CONTA],$I71)</f>
        <v>-4309.24</v>
      </c>
      <c r="G71" s="4">
        <f t="shared" si="3"/>
        <v>0</v>
      </c>
      <c r="H71" s="192">
        <v>11515</v>
      </c>
      <c r="I71" s="3" t="s">
        <v>190</v>
      </c>
      <c r="J71" s="3" t="s">
        <v>318</v>
      </c>
      <c r="K71" s="4">
        <v>-4309.24</v>
      </c>
      <c r="L71" s="4">
        <v>0</v>
      </c>
      <c r="M71" s="4">
        <v>122.2</v>
      </c>
      <c r="N71" s="4">
        <v>-4431.4399999999996</v>
      </c>
      <c r="O71" s="4">
        <f>Tab_08.Ago[[#This Row],[DÉBITO]]-Tab_08.Ago[[#This Row],[CRÉDITO]]</f>
        <v>-122.2</v>
      </c>
    </row>
    <row r="72" spans="2:15" x14ac:dyDescent="0.3">
      <c r="B72" s="2" t="str">
        <f>_xlfn.XLOOKUP($I72,Tab_00.Trial[CONTA],Tab_00.Trial[TP],"",0,1)</f>
        <v>A</v>
      </c>
      <c r="C72" s="2">
        <f>_xlfn.XLOOKUP($I72,Tab_00.Trial[CONTA],Tab_00.Trial[NV],"",0,1)</f>
        <v>5</v>
      </c>
      <c r="D72" s="2" t="str">
        <f>_xlfn.XLOOKUP($I72,Tab_00.Trial[CONTA],Tab_00.Trial[S/A],"",0,1)</f>
        <v>A</v>
      </c>
      <c r="E72" s="2">
        <f>IF($I72="","",COUNTIFS(Tab_00.Trial[CONTA],$I72))</f>
        <v>1</v>
      </c>
      <c r="F72" s="4">
        <f>SUMIFS(Tab_07.Jul[SALDO
ATUAL],Tab_07.Jul[CONTA],$I72)</f>
        <v>-128697.03</v>
      </c>
      <c r="G72" s="4">
        <f t="shared" si="3"/>
        <v>0</v>
      </c>
      <c r="H72" s="192">
        <v>11530</v>
      </c>
      <c r="I72" s="3" t="s">
        <v>323</v>
      </c>
      <c r="J72" s="3" t="s">
        <v>319</v>
      </c>
      <c r="K72" s="4">
        <v>-128697.03</v>
      </c>
      <c r="L72" s="4">
        <v>0</v>
      </c>
      <c r="M72" s="4">
        <v>0</v>
      </c>
      <c r="N72" s="4">
        <v>-128697.03</v>
      </c>
      <c r="O72" s="4">
        <f>Tab_08.Ago[[#This Row],[DÉBITO]]-Tab_08.Ago[[#This Row],[CRÉDITO]]</f>
        <v>0</v>
      </c>
    </row>
    <row r="73" spans="2:15" x14ac:dyDescent="0.3">
      <c r="B73" s="2" t="str">
        <f>_xlfn.XLOOKUP($I73,Tab_00.Trial[CONTA],Tab_00.Trial[TP],"",0,1)</f>
        <v>A</v>
      </c>
      <c r="C73" s="2">
        <f>_xlfn.XLOOKUP($I73,Tab_00.Trial[CONTA],Tab_00.Trial[NV],"",0,1)</f>
        <v>5</v>
      </c>
      <c r="D73" s="2" t="str">
        <f>_xlfn.XLOOKUP($I73,Tab_00.Trial[CONTA],Tab_00.Trial[S/A],"",0,1)</f>
        <v>A</v>
      </c>
      <c r="E73" s="2">
        <f>IF($I73="","",COUNTIFS(Tab_00.Trial[CONTA],$I73))</f>
        <v>1</v>
      </c>
      <c r="F73" s="4">
        <f>SUMIFS(Tab_07.Jul[SALDO
ATUAL],Tab_07.Jul[CONTA],$I73)</f>
        <v>-15029.74</v>
      </c>
      <c r="G73" s="4">
        <f t="shared" si="3"/>
        <v>0</v>
      </c>
      <c r="H73" s="192">
        <v>11560</v>
      </c>
      <c r="I73" s="3" t="s">
        <v>324</v>
      </c>
      <c r="J73" s="3" t="s">
        <v>320</v>
      </c>
      <c r="K73" s="4">
        <v>-15029.74</v>
      </c>
      <c r="L73" s="4">
        <v>0</v>
      </c>
      <c r="M73" s="4">
        <v>0</v>
      </c>
      <c r="N73" s="4">
        <v>-15029.74</v>
      </c>
      <c r="O73" s="4">
        <f>Tab_08.Ago[[#This Row],[DÉBITO]]-Tab_08.Ago[[#This Row],[CRÉDITO]]</f>
        <v>0</v>
      </c>
    </row>
    <row r="74" spans="2:15" x14ac:dyDescent="0.3">
      <c r="B74" s="2" t="str">
        <f>_xlfn.XLOOKUP($I74,Tab_00.Trial[CONTA],Tab_00.Trial[TP],"",0,1)</f>
        <v>A</v>
      </c>
      <c r="C74" s="2">
        <f>_xlfn.XLOOKUP($I74,Tab_00.Trial[CONTA],Tab_00.Trial[NV],"",0,1)</f>
        <v>5</v>
      </c>
      <c r="D74" s="2" t="str">
        <f>_xlfn.XLOOKUP($I74,Tab_00.Trial[CONTA],Tab_00.Trial[S/A],"",0,1)</f>
        <v>A</v>
      </c>
      <c r="E74" s="2">
        <f>IF($I74="","",COUNTIFS(Tab_00.Trial[CONTA],$I74))</f>
        <v>1</v>
      </c>
      <c r="F74" s="4">
        <f>SUMIFS(Tab_07.Jul[SALDO
ATUAL],Tab_07.Jul[CONTA],$I74)</f>
        <v>-115181.71</v>
      </c>
      <c r="G74" s="4">
        <f t="shared" si="3"/>
        <v>0</v>
      </c>
      <c r="H74" s="192">
        <v>11565</v>
      </c>
      <c r="I74" s="3" t="s">
        <v>325</v>
      </c>
      <c r="J74" s="3" t="s">
        <v>322</v>
      </c>
      <c r="K74" s="4">
        <v>-115181.71</v>
      </c>
      <c r="L74" s="4">
        <v>0</v>
      </c>
      <c r="M74" s="4">
        <v>250</v>
      </c>
      <c r="N74" s="4">
        <v>-115431.71</v>
      </c>
      <c r="O74" s="4">
        <f>Tab_08.Ago[[#This Row],[DÉBITO]]-Tab_08.Ago[[#This Row],[CRÉDITO]]</f>
        <v>-250</v>
      </c>
    </row>
    <row r="75" spans="2:15" x14ac:dyDescent="0.3">
      <c r="B75" s="2" t="str">
        <f>_xlfn.XLOOKUP($I75,Tab_00.Trial[CONTA],Tab_00.Trial[TP],"",0,1)</f>
        <v>P</v>
      </c>
      <c r="C75" s="2">
        <f>_xlfn.XLOOKUP($I75,Tab_00.Trial[CONTA],Tab_00.Trial[NV],"",0,1)</f>
        <v>1</v>
      </c>
      <c r="D75" s="2" t="str">
        <f>_xlfn.XLOOKUP($I75,Tab_00.Trial[CONTA],Tab_00.Trial[S/A],"",0,1)</f>
        <v>S</v>
      </c>
      <c r="E75" s="2">
        <f>IF($I75="","",COUNTIFS(Tab_00.Trial[CONTA],$I75))</f>
        <v>1</v>
      </c>
      <c r="F75" s="4">
        <f>SUMIFS(Tab_07.Jul[SALDO
ATUAL],Tab_07.Jul[CONTA],$I75)</f>
        <v>-83580674.829999998</v>
      </c>
      <c r="G75" s="4">
        <f t="shared" si="3"/>
        <v>0</v>
      </c>
      <c r="H75" s="192">
        <v>20000</v>
      </c>
      <c r="I75" s="3">
        <v>2</v>
      </c>
      <c r="J75" s="3" t="s">
        <v>653</v>
      </c>
      <c r="K75" s="4">
        <v>-83580674.829999998</v>
      </c>
      <c r="L75" s="4">
        <v>541940.56999999995</v>
      </c>
      <c r="M75" s="4">
        <v>601296.76</v>
      </c>
      <c r="N75" s="4">
        <v>-83640031.019999996</v>
      </c>
      <c r="O75" s="4">
        <f>Tab_08.Ago[[#This Row],[DÉBITO]]-Tab_08.Ago[[#This Row],[CRÉDITO]]</f>
        <v>-59356.19</v>
      </c>
    </row>
    <row r="76" spans="2:15" x14ac:dyDescent="0.3">
      <c r="B76" s="2" t="str">
        <f>_xlfn.XLOOKUP($I76,Tab_00.Trial[CONTA],Tab_00.Trial[TP],"",0,1)</f>
        <v>P</v>
      </c>
      <c r="C76" s="2">
        <f>_xlfn.XLOOKUP($I76,Tab_00.Trial[CONTA],Tab_00.Trial[NV],"",0,1)</f>
        <v>2</v>
      </c>
      <c r="D76" s="2" t="str">
        <f>_xlfn.XLOOKUP($I76,Tab_00.Trial[CONTA],Tab_00.Trial[S/A],"",0,1)</f>
        <v>S</v>
      </c>
      <c r="E76" s="2">
        <f>IF($I76="","",COUNTIFS(Tab_00.Trial[CONTA],$I76))</f>
        <v>1</v>
      </c>
      <c r="F76" s="4">
        <f>SUMIFS(Tab_07.Jul[SALDO
ATUAL],Tab_07.Jul[CONTA],$I76)</f>
        <v>-1445773.06</v>
      </c>
      <c r="G76" s="4">
        <f t="shared" si="3"/>
        <v>0</v>
      </c>
      <c r="H76" s="192">
        <v>20015</v>
      </c>
      <c r="I76" s="3" t="s">
        <v>216</v>
      </c>
      <c r="J76" s="3" t="s">
        <v>31</v>
      </c>
      <c r="K76" s="4">
        <v>-1445773.06</v>
      </c>
      <c r="L76" s="4">
        <v>541940.56999999995</v>
      </c>
      <c r="M76" s="4">
        <v>601296.76</v>
      </c>
      <c r="N76" s="4">
        <v>-1505129.25</v>
      </c>
      <c r="O76" s="4">
        <f>Tab_08.Ago[[#This Row],[DÉBITO]]-Tab_08.Ago[[#This Row],[CRÉDITO]]</f>
        <v>-59356.19</v>
      </c>
    </row>
    <row r="77" spans="2:15" x14ac:dyDescent="0.3">
      <c r="B77" s="2" t="str">
        <f>_xlfn.XLOOKUP($I77,Tab_00.Trial[CONTA],Tab_00.Trial[TP],"",0,1)</f>
        <v>P</v>
      </c>
      <c r="C77" s="2">
        <f>_xlfn.XLOOKUP($I77,Tab_00.Trial[CONTA],Tab_00.Trial[NV],"",0,1)</f>
        <v>5</v>
      </c>
      <c r="D77" s="2" t="str">
        <f>_xlfn.XLOOKUP($I77,Tab_00.Trial[CONTA],Tab_00.Trial[S/A],"",0,1)</f>
        <v>S</v>
      </c>
      <c r="E77" s="2">
        <f>IF($I77="","",COUNTIFS(Tab_00.Trial[CONTA],$I77))</f>
        <v>1</v>
      </c>
      <c r="F77" s="4">
        <f>SUMIFS(Tab_07.Jul[SALDO
ATUAL],Tab_07.Jul[CONTA],$I77)</f>
        <v>-349578.4</v>
      </c>
      <c r="G77" s="4">
        <f t="shared" si="3"/>
        <v>0</v>
      </c>
      <c r="H77" s="192">
        <v>20030</v>
      </c>
      <c r="I77" s="3" t="s">
        <v>558</v>
      </c>
      <c r="J77" s="3" t="s">
        <v>654</v>
      </c>
      <c r="K77" s="4">
        <v>-349578.4</v>
      </c>
      <c r="L77" s="4">
        <v>138643.54</v>
      </c>
      <c r="M77" s="4">
        <v>153044</v>
      </c>
      <c r="N77" s="4">
        <v>-363978.86</v>
      </c>
      <c r="O77" s="4">
        <f>Tab_08.Ago[[#This Row],[DÉBITO]]-Tab_08.Ago[[#This Row],[CRÉDITO]]</f>
        <v>-14400.46</v>
      </c>
    </row>
    <row r="78" spans="2:15" x14ac:dyDescent="0.3">
      <c r="B78" s="2" t="str">
        <f>_xlfn.XLOOKUP($I78,Tab_00.Trial[CONTA],Tab_00.Trial[TP],"",0,1)</f>
        <v>P</v>
      </c>
      <c r="C78" s="2">
        <f>_xlfn.XLOOKUP($I78,Tab_00.Trial[CONTA],Tab_00.Trial[NV],"",0,1)</f>
        <v>5</v>
      </c>
      <c r="D78" s="2" t="str">
        <f>_xlfn.XLOOKUP($I78,Tab_00.Trial[CONTA],Tab_00.Trial[S/A],"",0,1)</f>
        <v>S</v>
      </c>
      <c r="E78" s="2">
        <f>IF($I78="","",COUNTIFS(Tab_00.Trial[CONTA],$I78))</f>
        <v>1</v>
      </c>
      <c r="F78" s="4">
        <f>SUMIFS(Tab_07.Jul[SALDO
ATUAL],Tab_07.Jul[CONTA],$I78)</f>
        <v>0</v>
      </c>
      <c r="G78" s="4">
        <f t="shared" si="3"/>
        <v>0</v>
      </c>
      <c r="H78" s="192">
        <v>20045</v>
      </c>
      <c r="I78" s="3" t="s">
        <v>559</v>
      </c>
      <c r="J78" s="3" t="s">
        <v>655</v>
      </c>
      <c r="K78" s="4">
        <v>0</v>
      </c>
      <c r="L78" s="4">
        <v>75476.27</v>
      </c>
      <c r="M78" s="4">
        <v>75476.27</v>
      </c>
      <c r="N78" s="4">
        <v>0</v>
      </c>
      <c r="O78" s="4">
        <f>Tab_08.Ago[[#This Row],[DÉBITO]]-Tab_08.Ago[[#This Row],[CRÉDITO]]</f>
        <v>0</v>
      </c>
    </row>
    <row r="79" spans="2:15" x14ac:dyDescent="0.3">
      <c r="B79" s="2" t="str">
        <f>_xlfn.XLOOKUP($I79,Tab_00.Trial[CONTA],Tab_00.Trial[TP],"",0,1)</f>
        <v>P</v>
      </c>
      <c r="C79" s="2">
        <f>_xlfn.XLOOKUP($I79,Tab_00.Trial[CONTA],Tab_00.Trial[NV],"",0,1)</f>
        <v>5</v>
      </c>
      <c r="D79" s="2" t="str">
        <f>_xlfn.XLOOKUP($I79,Tab_00.Trial[CONTA],Tab_00.Trial[S/A],"",0,1)</f>
        <v>A</v>
      </c>
      <c r="E79" s="2">
        <f>IF($I79="","",COUNTIFS(Tab_00.Trial[CONTA],$I79))</f>
        <v>1</v>
      </c>
      <c r="F79" s="4">
        <f>SUMIFS(Tab_07.Jul[SALDO
ATUAL],Tab_07.Jul[CONTA],$I79)</f>
        <v>0</v>
      </c>
      <c r="G79" s="4">
        <f t="shared" si="3"/>
        <v>0</v>
      </c>
      <c r="H79" s="192">
        <v>20060</v>
      </c>
      <c r="I79" s="3" t="s">
        <v>326</v>
      </c>
      <c r="J79" s="3" t="s">
        <v>327</v>
      </c>
      <c r="K79" s="4">
        <v>0</v>
      </c>
      <c r="L79" s="4">
        <v>74287.14</v>
      </c>
      <c r="M79" s="4">
        <v>74287.14</v>
      </c>
      <c r="N79" s="4">
        <v>0</v>
      </c>
      <c r="O79" s="4">
        <f>Tab_08.Ago[[#This Row],[DÉBITO]]-Tab_08.Ago[[#This Row],[CRÉDITO]]</f>
        <v>0</v>
      </c>
    </row>
    <row r="80" spans="2:15" x14ac:dyDescent="0.3">
      <c r="B80" s="2" t="str">
        <f>_xlfn.XLOOKUP($I80,Tab_00.Trial[CONTA],Tab_00.Trial[TP],"",0,1)</f>
        <v>P</v>
      </c>
      <c r="C80" s="2">
        <f>_xlfn.XLOOKUP($I80,Tab_00.Trial[CONTA],Tab_00.Trial[NV],"",0,1)</f>
        <v>5</v>
      </c>
      <c r="D80" s="2" t="str">
        <f>_xlfn.XLOOKUP($I80,Tab_00.Trial[CONTA],Tab_00.Trial[S/A],"",0,1)</f>
        <v>A</v>
      </c>
      <c r="E80" s="2">
        <f>IF($I80="","",COUNTIFS(Tab_00.Trial[CONTA],$I80))</f>
        <v>1</v>
      </c>
      <c r="F80" s="4">
        <f>SUMIFS(Tab_07.Jul[SALDO
ATUAL],Tab_07.Jul[CONTA],$I80)</f>
        <v>0</v>
      </c>
      <c r="G80" s="4">
        <f t="shared" si="3"/>
        <v>0</v>
      </c>
      <c r="H80" s="192">
        <v>20105</v>
      </c>
      <c r="I80" s="3" t="s">
        <v>330</v>
      </c>
      <c r="J80" s="3" t="s">
        <v>331</v>
      </c>
      <c r="K80" s="4">
        <v>0</v>
      </c>
      <c r="L80" s="4">
        <v>1189.1300000000001</v>
      </c>
      <c r="M80" s="4">
        <v>1189.1300000000001</v>
      </c>
      <c r="N80" s="4">
        <v>0</v>
      </c>
      <c r="O80" s="4">
        <f>Tab_08.Ago[[#This Row],[DÉBITO]]-Tab_08.Ago[[#This Row],[CRÉDITO]]</f>
        <v>0</v>
      </c>
    </row>
    <row r="81" spans="2:15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S</v>
      </c>
      <c r="E81" s="2">
        <f>IF($I81="","",COUNTIFS(Tab_00.Trial[CONTA],$I81))</f>
        <v>1</v>
      </c>
      <c r="F81" s="4">
        <f>SUMIFS(Tab_07.Jul[SALDO
ATUAL],Tab_07.Jul[CONTA],$I81)</f>
        <v>-79827.03</v>
      </c>
      <c r="G81" s="4">
        <f t="shared" si="3"/>
        <v>0</v>
      </c>
      <c r="H81" s="192">
        <v>20120</v>
      </c>
      <c r="I81" s="3" t="s">
        <v>560</v>
      </c>
      <c r="J81" s="3" t="s">
        <v>656</v>
      </c>
      <c r="K81" s="4">
        <v>-79827.03</v>
      </c>
      <c r="L81" s="4">
        <v>2163.02</v>
      </c>
      <c r="M81" s="4">
        <v>12619.62</v>
      </c>
      <c r="N81" s="4">
        <v>-90283.63</v>
      </c>
      <c r="O81" s="4">
        <f>Tab_08.Ago[[#This Row],[DÉBITO]]-Tab_08.Ago[[#This Row],[CRÉDITO]]</f>
        <v>-10456.6</v>
      </c>
    </row>
    <row r="82" spans="2:15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A</v>
      </c>
      <c r="E82" s="2">
        <f>IF($I82="","",COUNTIFS(Tab_00.Trial[CONTA],$I82))</f>
        <v>1</v>
      </c>
      <c r="F82" s="4">
        <f>SUMIFS(Tab_07.Jul[SALDO
ATUAL],Tab_07.Jul[CONTA],$I82)</f>
        <v>-58783.59</v>
      </c>
      <c r="G82" s="4">
        <f t="shared" ref="G82:G113" si="4">$F82-$K82</f>
        <v>0</v>
      </c>
      <c r="H82" s="192">
        <v>20135</v>
      </c>
      <c r="I82" s="3" t="s">
        <v>332</v>
      </c>
      <c r="J82" s="3" t="s">
        <v>333</v>
      </c>
      <c r="K82" s="4">
        <v>-58783.59</v>
      </c>
      <c r="L82" s="4">
        <v>2002.8</v>
      </c>
      <c r="M82" s="4">
        <v>9292.73</v>
      </c>
      <c r="N82" s="4">
        <v>-66073.52</v>
      </c>
      <c r="O82" s="4">
        <f>Tab_08.Ago[[#This Row],[DÉBITO]]-Tab_08.Ago[[#This Row],[CRÉDITO]]</f>
        <v>-7289.93</v>
      </c>
    </row>
    <row r="83" spans="2:15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A</v>
      </c>
      <c r="E83" s="2">
        <f>IF($I83="","",COUNTIFS(Tab_00.Trial[CONTA],$I83))</f>
        <v>1</v>
      </c>
      <c r="F83" s="4">
        <f>SUMIFS(Tab_07.Jul[SALDO
ATUAL],Tab_07.Jul[CONTA],$I83)</f>
        <v>-4702.63</v>
      </c>
      <c r="G83" s="4">
        <f t="shared" si="4"/>
        <v>0</v>
      </c>
      <c r="H83" s="192">
        <v>20150</v>
      </c>
      <c r="I83" s="3" t="s">
        <v>778</v>
      </c>
      <c r="J83" s="3" t="s">
        <v>779</v>
      </c>
      <c r="K83" s="4">
        <v>-4702.63</v>
      </c>
      <c r="L83" s="4">
        <v>160.22</v>
      </c>
      <c r="M83" s="4">
        <v>743.4</v>
      </c>
      <c r="N83" s="4">
        <v>-5285.81</v>
      </c>
      <c r="O83" s="4">
        <f>Tab_08.Ago[[#This Row],[DÉBITO]]-Tab_08.Ago[[#This Row],[CRÉDITO]]</f>
        <v>-583.17999999999995</v>
      </c>
    </row>
    <row r="84" spans="2:15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A</v>
      </c>
      <c r="E84" s="2">
        <f>IF($I84="","",COUNTIFS(Tab_00.Trial[CONTA],$I84))</f>
        <v>1</v>
      </c>
      <c r="F84" s="4">
        <f>SUMIFS(Tab_07.Jul[SALDO
ATUAL],Tab_07.Jul[CONTA],$I84)</f>
        <v>-587.80999999999995</v>
      </c>
      <c r="G84" s="4">
        <f t="shared" si="4"/>
        <v>0</v>
      </c>
      <c r="H84" s="192">
        <v>20165</v>
      </c>
      <c r="I84" s="3" t="s">
        <v>780</v>
      </c>
      <c r="J84" s="3" t="s">
        <v>781</v>
      </c>
      <c r="K84" s="4">
        <v>-587.80999999999995</v>
      </c>
      <c r="L84" s="4">
        <v>0</v>
      </c>
      <c r="M84" s="4">
        <v>92.98</v>
      </c>
      <c r="N84" s="4">
        <v>-680.79</v>
      </c>
      <c r="O84" s="4">
        <f>Tab_08.Ago[[#This Row],[DÉBITO]]-Tab_08.Ago[[#This Row],[CRÉDITO]]</f>
        <v>-92.98</v>
      </c>
    </row>
    <row r="85" spans="2:15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A</v>
      </c>
      <c r="E85" s="2">
        <f>IF($I85="","",COUNTIFS(Tab_00.Trial[CONTA],$I85))</f>
        <v>1</v>
      </c>
      <c r="F85" s="4">
        <f>SUMIFS(Tab_07.Jul[SALDO
ATUAL],Tab_07.Jul[CONTA],$I85)</f>
        <v>-15753</v>
      </c>
      <c r="G85" s="4">
        <f t="shared" si="4"/>
        <v>0</v>
      </c>
      <c r="H85" s="192">
        <v>10097</v>
      </c>
      <c r="I85" s="3" t="s">
        <v>782</v>
      </c>
      <c r="J85" s="3" t="s">
        <v>783</v>
      </c>
      <c r="K85" s="4">
        <v>-15753</v>
      </c>
      <c r="L85" s="4">
        <v>0</v>
      </c>
      <c r="M85" s="4">
        <v>2490.5100000000002</v>
      </c>
      <c r="N85" s="4">
        <v>-18243.509999999998</v>
      </c>
      <c r="O85" s="4">
        <f>Tab_08.Ago[[#This Row],[DÉBITO]]-Tab_08.Ago[[#This Row],[CRÉDITO]]</f>
        <v>-2490.5100000000002</v>
      </c>
    </row>
    <row r="86" spans="2:15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S</v>
      </c>
      <c r="E86" s="2">
        <f>IF($I86="","",COUNTIFS(Tab_00.Trial[CONTA],$I86))</f>
        <v>1</v>
      </c>
      <c r="F86" s="4">
        <f>SUMIFS(Tab_07.Jul[SALDO
ATUAL],Tab_07.Jul[CONTA],$I86)</f>
        <v>-226256.29</v>
      </c>
      <c r="G86" s="4">
        <f t="shared" si="4"/>
        <v>0</v>
      </c>
      <c r="H86" s="192">
        <v>20180</v>
      </c>
      <c r="I86" s="3" t="s">
        <v>561</v>
      </c>
      <c r="J86" s="3" t="s">
        <v>657</v>
      </c>
      <c r="K86" s="4">
        <v>-226256.29</v>
      </c>
      <c r="L86" s="4">
        <v>17236.53</v>
      </c>
      <c r="M86" s="4">
        <v>16917.689999999999</v>
      </c>
      <c r="N86" s="4">
        <v>-225937.45</v>
      </c>
      <c r="O86" s="4">
        <f>Tab_08.Ago[[#This Row],[DÉBITO]]-Tab_08.Ago[[#This Row],[CRÉDITO]]</f>
        <v>318.83999999999997</v>
      </c>
    </row>
    <row r="87" spans="2:15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A</v>
      </c>
      <c r="E87" s="2">
        <f>IF($I87="","",COUNTIFS(Tab_00.Trial[CONTA],$I87))</f>
        <v>1</v>
      </c>
      <c r="F87" s="4">
        <f>SUMIFS(Tab_07.Jul[SALDO
ATUAL],Tab_07.Jul[CONTA],$I87)</f>
        <v>-166422.66</v>
      </c>
      <c r="G87" s="4">
        <f t="shared" si="4"/>
        <v>0</v>
      </c>
      <c r="H87" s="192">
        <v>20195</v>
      </c>
      <c r="I87" s="3" t="s">
        <v>334</v>
      </c>
      <c r="J87" s="3" t="s">
        <v>335</v>
      </c>
      <c r="K87" s="4">
        <v>-166422.66</v>
      </c>
      <c r="L87" s="4">
        <v>12650.58</v>
      </c>
      <c r="M87" s="4">
        <v>12481.98</v>
      </c>
      <c r="N87" s="4">
        <v>-166254.06</v>
      </c>
      <c r="O87" s="4">
        <f>Tab_08.Ago[[#This Row],[DÉBITO]]-Tab_08.Ago[[#This Row],[CRÉDITO]]</f>
        <v>168.6</v>
      </c>
    </row>
    <row r="88" spans="2:15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A</v>
      </c>
      <c r="E88" s="2">
        <f>IF($I88="","",COUNTIFS(Tab_00.Trial[CONTA],$I88))</f>
        <v>1</v>
      </c>
      <c r="F88" s="4">
        <f>SUMIFS(Tab_07.Jul[SALDO
ATUAL],Tab_07.Jul[CONTA],$I88)</f>
        <v>-13313.66</v>
      </c>
      <c r="G88" s="4">
        <f t="shared" si="4"/>
        <v>0</v>
      </c>
      <c r="H88" s="192">
        <v>20210</v>
      </c>
      <c r="I88" s="3" t="s">
        <v>784</v>
      </c>
      <c r="J88" s="3" t="s">
        <v>785</v>
      </c>
      <c r="K88" s="4">
        <v>-13313.66</v>
      </c>
      <c r="L88" s="4">
        <v>1012.04</v>
      </c>
      <c r="M88" s="4">
        <v>991.23</v>
      </c>
      <c r="N88" s="4">
        <v>-13292.85</v>
      </c>
      <c r="O88" s="4">
        <f>Tab_08.Ago[[#This Row],[DÉBITO]]-Tab_08.Ago[[#This Row],[CRÉDITO]]</f>
        <v>20.81</v>
      </c>
    </row>
    <row r="89" spans="2:15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A</v>
      </c>
      <c r="E89" s="2">
        <f>IF($I89="","",COUNTIFS(Tab_00.Trial[CONTA],$I89))</f>
        <v>1</v>
      </c>
      <c r="F89" s="4">
        <f>SUMIFS(Tab_07.Jul[SALDO
ATUAL],Tab_07.Jul[CONTA],$I89)</f>
        <v>-1918.65</v>
      </c>
      <c r="G89" s="4">
        <f t="shared" si="4"/>
        <v>0</v>
      </c>
      <c r="H89" s="192">
        <v>20225</v>
      </c>
      <c r="I89" s="3" t="s">
        <v>786</v>
      </c>
      <c r="J89" s="3" t="s">
        <v>787</v>
      </c>
      <c r="K89" s="4">
        <v>-1918.65</v>
      </c>
      <c r="L89" s="4">
        <v>183.53</v>
      </c>
      <c r="M89" s="4">
        <v>123.88</v>
      </c>
      <c r="N89" s="4">
        <v>-1859</v>
      </c>
      <c r="O89" s="4">
        <f>Tab_08.Ago[[#This Row],[DÉBITO]]-Tab_08.Ago[[#This Row],[CRÉDITO]]</f>
        <v>59.65</v>
      </c>
    </row>
    <row r="90" spans="2:15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A</v>
      </c>
      <c r="E90" s="2">
        <f>IF($I90="","",COUNTIFS(Tab_00.Trial[CONTA],$I90))</f>
        <v>1</v>
      </c>
      <c r="F90" s="4">
        <f>SUMIFS(Tab_07.Jul[SALDO
ATUAL],Tab_07.Jul[CONTA],$I90)</f>
        <v>-44601.32</v>
      </c>
      <c r="G90" s="4">
        <f t="shared" si="4"/>
        <v>0</v>
      </c>
      <c r="H90" s="192">
        <v>10104</v>
      </c>
      <c r="I90" s="3" t="s">
        <v>788</v>
      </c>
      <c r="J90" s="3" t="s">
        <v>789</v>
      </c>
      <c r="K90" s="4">
        <v>-44601.32</v>
      </c>
      <c r="L90" s="4">
        <v>3390.38</v>
      </c>
      <c r="M90" s="4">
        <v>3320.6</v>
      </c>
      <c r="N90" s="4">
        <v>-44531.54</v>
      </c>
      <c r="O90" s="4">
        <f>Tab_08.Ago[[#This Row],[DÉBITO]]-Tab_08.Ago[[#This Row],[CRÉDITO]]</f>
        <v>69.78</v>
      </c>
    </row>
    <row r="91" spans="2:15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S</v>
      </c>
      <c r="E91" s="2">
        <f>IF($I91="","",COUNTIFS(Tab_00.Trial[CONTA],$I91))</f>
        <v>1</v>
      </c>
      <c r="F91" s="4">
        <f>SUMIFS(Tab_07.Jul[SALDO
ATUAL],Tab_07.Jul[CONTA],$I91)</f>
        <v>-33202.51</v>
      </c>
      <c r="G91" s="4">
        <f t="shared" si="4"/>
        <v>0</v>
      </c>
      <c r="H91" s="192">
        <v>20240</v>
      </c>
      <c r="I91" s="3" t="s">
        <v>562</v>
      </c>
      <c r="J91" s="3" t="s">
        <v>658</v>
      </c>
      <c r="K91" s="4">
        <v>-33202.51</v>
      </c>
      <c r="L91" s="4">
        <v>33475.17</v>
      </c>
      <c r="M91" s="4">
        <v>37860.44</v>
      </c>
      <c r="N91" s="4">
        <v>-37587.78</v>
      </c>
      <c r="O91" s="4">
        <f>Tab_08.Ago[[#This Row],[DÉBITO]]-Tab_08.Ago[[#This Row],[CRÉDITO]]</f>
        <v>-4385.2700000000004</v>
      </c>
    </row>
    <row r="92" spans="2:15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A</v>
      </c>
      <c r="E92" s="2">
        <f>IF($I92="","",COUNTIFS(Tab_00.Trial[CONTA],$I92))</f>
        <v>1</v>
      </c>
      <c r="F92" s="4">
        <f>SUMIFS(Tab_07.Jul[SALDO
ATUAL],Tab_07.Jul[CONTA],$I92)</f>
        <v>-32618.43</v>
      </c>
      <c r="G92" s="4">
        <f t="shared" si="4"/>
        <v>0</v>
      </c>
      <c r="H92" s="192">
        <v>20255</v>
      </c>
      <c r="I92" s="3" t="s">
        <v>336</v>
      </c>
      <c r="J92" s="3" t="s">
        <v>337</v>
      </c>
      <c r="K92" s="4">
        <v>-32618.43</v>
      </c>
      <c r="L92" s="4">
        <v>32891.089999999997</v>
      </c>
      <c r="M92" s="4">
        <v>37276.36</v>
      </c>
      <c r="N92" s="4">
        <v>-37003.699999999997</v>
      </c>
      <c r="O92" s="4">
        <f>Tab_08.Ago[[#This Row],[DÉBITO]]-Tab_08.Ago[[#This Row],[CRÉDITO]]</f>
        <v>-4385.2700000000004</v>
      </c>
    </row>
    <row r="93" spans="2:15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A</v>
      </c>
      <c r="E93" s="2">
        <f>IF($I93="","",COUNTIFS(Tab_00.Trial[CONTA],$I93))</f>
        <v>1</v>
      </c>
      <c r="F93" s="4">
        <f>SUMIFS(Tab_07.Jul[SALDO
ATUAL],Tab_07.Jul[CONTA],$I93)</f>
        <v>-584.08000000000004</v>
      </c>
      <c r="G93" s="4">
        <f t="shared" si="4"/>
        <v>0</v>
      </c>
      <c r="H93" s="192">
        <v>20270</v>
      </c>
      <c r="I93" s="3" t="s">
        <v>338</v>
      </c>
      <c r="J93" s="3" t="s">
        <v>339</v>
      </c>
      <c r="K93" s="4">
        <v>-584.08000000000004</v>
      </c>
      <c r="L93" s="4">
        <v>584.08000000000004</v>
      </c>
      <c r="M93" s="4">
        <v>584.08000000000004</v>
      </c>
      <c r="N93" s="4">
        <v>-584.08000000000004</v>
      </c>
      <c r="O93" s="4">
        <f>Tab_08.Ago[[#This Row],[DÉBITO]]-Tab_08.Ago[[#This Row],[CRÉDITO]]</f>
        <v>0</v>
      </c>
    </row>
    <row r="94" spans="2:15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S</v>
      </c>
      <c r="E94" s="2">
        <f>IF($I94="","",COUNTIFS(Tab_00.Trial[CONTA],$I94))</f>
        <v>1</v>
      </c>
      <c r="F94" s="4">
        <f>SUMIFS(Tab_07.Jul[SALDO
ATUAL],Tab_07.Jul[CONTA],$I94)</f>
        <v>-10292.57</v>
      </c>
      <c r="G94" s="4">
        <f t="shared" si="4"/>
        <v>0</v>
      </c>
      <c r="H94" s="192">
        <v>20345</v>
      </c>
      <c r="I94" s="3" t="s">
        <v>563</v>
      </c>
      <c r="J94" s="3" t="s">
        <v>659</v>
      </c>
      <c r="K94" s="4">
        <v>-10292.57</v>
      </c>
      <c r="L94" s="4">
        <v>10292.549999999999</v>
      </c>
      <c r="M94" s="4">
        <v>10169.98</v>
      </c>
      <c r="N94" s="4">
        <v>-10170</v>
      </c>
      <c r="O94" s="4">
        <f>Tab_08.Ago[[#This Row],[DÉBITO]]-Tab_08.Ago[[#This Row],[CRÉDITO]]</f>
        <v>122.57</v>
      </c>
    </row>
    <row r="95" spans="2:15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A</v>
      </c>
      <c r="E95" s="2">
        <f>IF($I95="","",COUNTIFS(Tab_00.Trial[CONTA],$I95))</f>
        <v>1</v>
      </c>
      <c r="F95" s="4">
        <f>SUMIFS(Tab_07.Jul[SALDO
ATUAL],Tab_07.Jul[CONTA],$I95)</f>
        <v>-9187.0499999999993</v>
      </c>
      <c r="G95" s="4">
        <f t="shared" si="4"/>
        <v>0</v>
      </c>
      <c r="H95" s="192">
        <v>20360</v>
      </c>
      <c r="I95" s="3" t="s">
        <v>340</v>
      </c>
      <c r="J95" s="3" t="s">
        <v>341</v>
      </c>
      <c r="K95" s="4">
        <v>-9187.0499999999993</v>
      </c>
      <c r="L95" s="4">
        <v>9187.0499999999993</v>
      </c>
      <c r="M95" s="4">
        <v>8992.7800000000007</v>
      </c>
      <c r="N95" s="4">
        <v>-8992.7800000000007</v>
      </c>
      <c r="O95" s="4">
        <f>Tab_08.Ago[[#This Row],[DÉBITO]]-Tab_08.Ago[[#This Row],[CRÉDITO]]</f>
        <v>194.27</v>
      </c>
    </row>
    <row r="96" spans="2:15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A</v>
      </c>
      <c r="E96" s="2">
        <f>IF($I96="","",COUNTIFS(Tab_00.Trial[CONTA],$I96))</f>
        <v>1</v>
      </c>
      <c r="F96" s="4">
        <f>SUMIFS(Tab_07.Jul[SALDO
ATUAL],Tab_07.Jul[CONTA],$I96)</f>
        <v>-1105.52</v>
      </c>
      <c r="G96" s="4">
        <f t="shared" si="4"/>
        <v>0</v>
      </c>
      <c r="H96" s="192">
        <v>20375</v>
      </c>
      <c r="I96" s="3" t="s">
        <v>342</v>
      </c>
      <c r="J96" s="3" t="s">
        <v>343</v>
      </c>
      <c r="K96" s="4">
        <v>-1105.52</v>
      </c>
      <c r="L96" s="4">
        <v>1105.5</v>
      </c>
      <c r="M96" s="4">
        <v>1177.2</v>
      </c>
      <c r="N96" s="4">
        <v>-1177.22</v>
      </c>
      <c r="O96" s="4">
        <f>Tab_08.Ago[[#This Row],[DÉBITO]]-Tab_08.Ago[[#This Row],[CRÉDITO]]</f>
        <v>-71.7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S</v>
      </c>
      <c r="E97" s="2">
        <f>IF($I97="","",COUNTIFS(Tab_00.Trial[CONTA],$I97))</f>
        <v>1</v>
      </c>
      <c r="F97" s="4">
        <f>SUMIFS(Tab_07.Jul[SALDO
ATUAL],Tab_07.Jul[CONTA],$I97)</f>
        <v>-1054727.3500000001</v>
      </c>
      <c r="G97" s="4">
        <f t="shared" si="4"/>
        <v>0</v>
      </c>
      <c r="H97" s="192">
        <v>20390</v>
      </c>
      <c r="I97" s="3" t="s">
        <v>218</v>
      </c>
      <c r="J97" s="3" t="s">
        <v>660</v>
      </c>
      <c r="K97" s="4">
        <v>-1054727.3500000001</v>
      </c>
      <c r="L97" s="4">
        <v>386008.89</v>
      </c>
      <c r="M97" s="4">
        <v>426999.25</v>
      </c>
      <c r="N97" s="4">
        <v>-1095717.71</v>
      </c>
      <c r="O97" s="4">
        <f>Tab_08.Ago[[#This Row],[DÉBITO]]-Tab_08.Ago[[#This Row],[CRÉDITO]]</f>
        <v>-40990.36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S</v>
      </c>
      <c r="E98" s="2">
        <f>IF($I98="","",COUNTIFS(Tab_00.Trial[CONTA],$I98))</f>
        <v>1</v>
      </c>
      <c r="F98" s="4">
        <f>SUMIFS(Tab_07.Jul[SALDO
ATUAL],Tab_07.Jul[CONTA],$I98)</f>
        <v>-60413.4</v>
      </c>
      <c r="G98" s="4">
        <f t="shared" si="4"/>
        <v>0</v>
      </c>
      <c r="H98" s="192">
        <v>20405</v>
      </c>
      <c r="I98" s="3" t="s">
        <v>219</v>
      </c>
      <c r="J98" s="3" t="s">
        <v>56</v>
      </c>
      <c r="K98" s="4">
        <v>-60413.4</v>
      </c>
      <c r="L98" s="4">
        <v>141043.53</v>
      </c>
      <c r="M98" s="4">
        <v>139947.69</v>
      </c>
      <c r="N98" s="4">
        <v>-59317.56</v>
      </c>
      <c r="O98" s="4">
        <f>Tab_08.Ago[[#This Row],[DÉBITO]]-Tab_08.Ago[[#This Row],[CRÉDITO]]</f>
        <v>1095.8399999999999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A</v>
      </c>
      <c r="E99" s="2">
        <f>IF($I99="","",COUNTIFS(Tab_00.Trial[CONTA],$I99))</f>
        <v>1</v>
      </c>
      <c r="F99" s="4">
        <f>SUMIFS(Tab_07.Jul[SALDO
ATUAL],Tab_07.Jul[CONTA],$I99)</f>
        <v>-60413.4</v>
      </c>
      <c r="G99" s="4">
        <f t="shared" si="4"/>
        <v>0</v>
      </c>
      <c r="H99" s="192">
        <v>20420</v>
      </c>
      <c r="I99" s="3" t="s">
        <v>344</v>
      </c>
      <c r="J99" s="3" t="s">
        <v>56</v>
      </c>
      <c r="K99" s="4">
        <v>-60413.4</v>
      </c>
      <c r="L99" s="4">
        <v>141043.53</v>
      </c>
      <c r="M99" s="4">
        <v>139947.69</v>
      </c>
      <c r="N99" s="4">
        <v>-59317.56</v>
      </c>
      <c r="O99" s="4">
        <f>Tab_08.Ago[[#This Row],[DÉBITO]]-Tab_08.Ago[[#This Row],[CRÉDITO]]</f>
        <v>1095.8399999999999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S</v>
      </c>
      <c r="E100" s="2">
        <f>IF($I100="","",COUNTIFS(Tab_00.Trial[CONTA],$I100))</f>
        <v>1</v>
      </c>
      <c r="F100" s="4">
        <f>SUMIFS(Tab_07.Jul[SALDO
ATUAL],Tab_07.Jul[CONTA],$I100)</f>
        <v>-994313.95</v>
      </c>
      <c r="G100" s="4">
        <f t="shared" si="4"/>
        <v>0</v>
      </c>
      <c r="H100" s="192">
        <v>20455</v>
      </c>
      <c r="I100" s="3" t="s">
        <v>220</v>
      </c>
      <c r="J100" s="3" t="s">
        <v>346</v>
      </c>
      <c r="K100" s="4">
        <v>-994313.95</v>
      </c>
      <c r="L100" s="4">
        <v>244965.36</v>
      </c>
      <c r="M100" s="4">
        <v>287051.56</v>
      </c>
      <c r="N100" s="4">
        <v>-1036400.15</v>
      </c>
      <c r="O100" s="4">
        <f>Tab_08.Ago[[#This Row],[DÉBITO]]-Tab_08.Ago[[#This Row],[CRÉDITO]]</f>
        <v>-42086.2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A</v>
      </c>
      <c r="E101" s="2">
        <f>IF($I101="","",COUNTIFS(Tab_00.Trial[CONTA],$I101))</f>
        <v>1</v>
      </c>
      <c r="F101" s="4">
        <f>SUMIFS(Tab_07.Jul[SALDO
ATUAL],Tab_07.Jul[CONTA],$I101)</f>
        <v>-994313.95</v>
      </c>
      <c r="G101" s="4">
        <f t="shared" si="4"/>
        <v>0</v>
      </c>
      <c r="H101" s="192">
        <v>20460</v>
      </c>
      <c r="I101" s="3" t="s">
        <v>345</v>
      </c>
      <c r="J101" s="3" t="s">
        <v>346</v>
      </c>
      <c r="K101" s="4">
        <v>-994313.95</v>
      </c>
      <c r="L101" s="4">
        <v>244965.36</v>
      </c>
      <c r="M101" s="4">
        <v>287051.56</v>
      </c>
      <c r="N101" s="4">
        <v>-1036400.15</v>
      </c>
      <c r="O101" s="4">
        <f>Tab_08.Ago[[#This Row],[DÉBITO]]-Tab_08.Ago[[#This Row],[CRÉDITO]]</f>
        <v>-42086.2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S</v>
      </c>
      <c r="E102" s="2">
        <f>IF($I102="","",COUNTIFS(Tab_00.Trial[CONTA],$I102))</f>
        <v>1</v>
      </c>
      <c r="F102" s="4">
        <f>SUMIFS(Tab_07.Jul[SALDO
ATUAL],Tab_07.Jul[CONTA],$I102)</f>
        <v>-15262.55</v>
      </c>
      <c r="G102" s="4">
        <f t="shared" si="4"/>
        <v>0</v>
      </c>
      <c r="H102" s="192">
        <v>20465</v>
      </c>
      <c r="I102" s="3" t="s">
        <v>221</v>
      </c>
      <c r="J102" s="3" t="s">
        <v>661</v>
      </c>
      <c r="K102" s="4">
        <v>-15262.55</v>
      </c>
      <c r="L102" s="4">
        <v>16667.97</v>
      </c>
      <c r="M102" s="4">
        <v>20587.63</v>
      </c>
      <c r="N102" s="4">
        <v>-19182.21</v>
      </c>
      <c r="O102" s="4">
        <f>Tab_08.Ago[[#This Row],[DÉBITO]]-Tab_08.Ago[[#This Row],[CRÉDITO]]</f>
        <v>-3919.66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S</v>
      </c>
      <c r="E103" s="2">
        <f>IF($I103="","",COUNTIFS(Tab_00.Trial[CONTA],$I103))</f>
        <v>1</v>
      </c>
      <c r="F103" s="4">
        <f>SUMIFS(Tab_07.Jul[SALDO
ATUAL],Tab_07.Jul[CONTA],$I103)</f>
        <v>-15262.55</v>
      </c>
      <c r="G103" s="4">
        <f t="shared" si="4"/>
        <v>0</v>
      </c>
      <c r="H103" s="192">
        <v>20480</v>
      </c>
      <c r="I103" s="3" t="s">
        <v>222</v>
      </c>
      <c r="J103" s="3" t="s">
        <v>662</v>
      </c>
      <c r="K103" s="4">
        <v>-15262.55</v>
      </c>
      <c r="L103" s="4">
        <v>16630.240000000002</v>
      </c>
      <c r="M103" s="4">
        <v>20549.900000000001</v>
      </c>
      <c r="N103" s="4">
        <v>-19182.21</v>
      </c>
      <c r="O103" s="4">
        <f>Tab_08.Ago[[#This Row],[DÉBITO]]-Tab_08.Ago[[#This Row],[CRÉDITO]]</f>
        <v>-3919.66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A</v>
      </c>
      <c r="E104" s="2">
        <f>IF($I104="","",COUNTIFS(Tab_00.Trial[CONTA],$I104))</f>
        <v>1</v>
      </c>
      <c r="F104" s="4">
        <f>SUMIFS(Tab_07.Jul[SALDO
ATUAL],Tab_07.Jul[CONTA],$I104)</f>
        <v>-884.23</v>
      </c>
      <c r="G104" s="4">
        <f t="shared" si="4"/>
        <v>0</v>
      </c>
      <c r="H104" s="192">
        <v>20495</v>
      </c>
      <c r="I104" s="3" t="s">
        <v>191</v>
      </c>
      <c r="J104" s="3" t="s">
        <v>347</v>
      </c>
      <c r="K104" s="4">
        <v>-884.23</v>
      </c>
      <c r="L104" s="4">
        <v>1050.49</v>
      </c>
      <c r="M104" s="4">
        <v>1092</v>
      </c>
      <c r="N104" s="4">
        <v>-925.74</v>
      </c>
      <c r="O104" s="4">
        <f>Tab_08.Ago[[#This Row],[DÉBITO]]-Tab_08.Ago[[#This Row],[CRÉDITO]]</f>
        <v>-41.51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A</v>
      </c>
      <c r="E105" s="2">
        <f>IF($I105="","",COUNTIFS(Tab_00.Trial[CONTA],$I105))</f>
        <v>1</v>
      </c>
      <c r="F105" s="4">
        <f>SUMIFS(Tab_07.Jul[SALDO
ATUAL],Tab_07.Jul[CONTA],$I105)</f>
        <v>-10986.12</v>
      </c>
      <c r="G105" s="4">
        <f t="shared" si="4"/>
        <v>0</v>
      </c>
      <c r="H105" s="192">
        <v>20510</v>
      </c>
      <c r="I105" s="3" t="s">
        <v>192</v>
      </c>
      <c r="J105" s="3" t="s">
        <v>348</v>
      </c>
      <c r="K105" s="4">
        <v>-10986.12</v>
      </c>
      <c r="L105" s="4">
        <v>10986.12</v>
      </c>
      <c r="M105" s="4">
        <v>15739.83</v>
      </c>
      <c r="N105" s="4">
        <v>-15739.83</v>
      </c>
      <c r="O105" s="4">
        <f>Tab_08.Ago[[#This Row],[DÉBITO]]-Tab_08.Ago[[#This Row],[CRÉDITO]]</f>
        <v>-4753.71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A</v>
      </c>
      <c r="E106" s="2">
        <f>IF($I106="","",COUNTIFS(Tab_00.Trial[CONTA],$I106))</f>
        <v>1</v>
      </c>
      <c r="F106" s="4">
        <f>SUMIFS(Tab_07.Jul[SALDO
ATUAL],Tab_07.Jul[CONTA],$I106)</f>
        <v>-3369.75</v>
      </c>
      <c r="G106" s="4">
        <f t="shared" si="4"/>
        <v>0</v>
      </c>
      <c r="H106" s="192">
        <v>20525</v>
      </c>
      <c r="I106" s="3" t="s">
        <v>350</v>
      </c>
      <c r="J106" s="3" t="s">
        <v>351</v>
      </c>
      <c r="K106" s="4">
        <v>-3369.75</v>
      </c>
      <c r="L106" s="4">
        <v>4582.46</v>
      </c>
      <c r="M106" s="4">
        <v>3706.9</v>
      </c>
      <c r="N106" s="4">
        <v>-2494.19</v>
      </c>
      <c r="O106" s="4">
        <f>Tab_08.Ago[[#This Row],[DÉBITO]]-Tab_08.Ago[[#This Row],[CRÉDITO]]</f>
        <v>875.56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A</v>
      </c>
      <c r="E107" s="2">
        <f>IF($I107="","",COUNTIFS(Tab_00.Trial[CONTA],$I107))</f>
        <v>1</v>
      </c>
      <c r="F107" s="4">
        <f>SUMIFS(Tab_07.Jul[SALDO
ATUAL],Tab_07.Jul[CONTA],$I107)</f>
        <v>-22.45</v>
      </c>
      <c r="G107" s="4">
        <f t="shared" si="4"/>
        <v>0</v>
      </c>
      <c r="H107" s="192">
        <v>20540</v>
      </c>
      <c r="I107" s="3" t="s">
        <v>352</v>
      </c>
      <c r="J107" s="3" t="s">
        <v>353</v>
      </c>
      <c r="K107" s="4">
        <v>-22.45</v>
      </c>
      <c r="L107" s="4">
        <v>11.17</v>
      </c>
      <c r="M107" s="4">
        <v>11.17</v>
      </c>
      <c r="N107" s="4">
        <v>-22.45</v>
      </c>
      <c r="O107" s="4">
        <f>Tab_08.Ago[[#This Row],[DÉBITO]]-Tab_08.Ago[[#This Row],[CRÉDITO]]</f>
        <v>0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S</v>
      </c>
      <c r="E108" s="2">
        <f>IF($I108="","",COUNTIFS(Tab_00.Trial[CONTA],$I108))</f>
        <v>1</v>
      </c>
      <c r="F108" s="4">
        <f>SUMIFS(Tab_07.Jul[SALDO
ATUAL],Tab_07.Jul[CONTA],$I108)</f>
        <v>0</v>
      </c>
      <c r="G108" s="4">
        <f t="shared" si="4"/>
        <v>0</v>
      </c>
      <c r="H108" s="192">
        <v>20565</v>
      </c>
      <c r="I108" s="3" t="s">
        <v>223</v>
      </c>
      <c r="J108" s="3" t="s">
        <v>663</v>
      </c>
      <c r="K108" s="4">
        <v>0</v>
      </c>
      <c r="L108" s="4">
        <v>37.729999999999997</v>
      </c>
      <c r="M108" s="4">
        <v>37.729999999999997</v>
      </c>
      <c r="N108" s="4">
        <v>0</v>
      </c>
      <c r="O108" s="4">
        <f>Tab_08.Ago[[#This Row],[DÉBITO]]-Tab_08.Ago[[#This Row],[CRÉDITO]]</f>
        <v>0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A</v>
      </c>
      <c r="E109" s="2">
        <f>IF($I109="","",COUNTIFS(Tab_00.Trial[CONTA],$I109))</f>
        <v>1</v>
      </c>
      <c r="F109" s="4">
        <f>SUMIFS(Tab_07.Jul[SALDO
ATUAL],Tab_07.Jul[CONTA],$I109)</f>
        <v>0</v>
      </c>
      <c r="G109" s="4">
        <f t="shared" si="4"/>
        <v>0</v>
      </c>
      <c r="H109" s="192">
        <v>20576</v>
      </c>
      <c r="I109" s="3" t="s">
        <v>354</v>
      </c>
      <c r="J109" s="3" t="s">
        <v>355</v>
      </c>
      <c r="K109" s="4">
        <v>0</v>
      </c>
      <c r="L109" s="4">
        <v>37.729999999999997</v>
      </c>
      <c r="M109" s="4">
        <v>37.729999999999997</v>
      </c>
      <c r="N109" s="4">
        <v>0</v>
      </c>
      <c r="O109" s="4">
        <f>Tab_08.Ago[[#This Row],[DÉBITO]]-Tab_08.Ago[[#This Row],[CRÉDITO]]</f>
        <v>0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S</v>
      </c>
      <c r="E110" s="2">
        <f>IF($I110="","",COUNTIFS(Tab_00.Trial[CONTA],$I110))</f>
        <v>1</v>
      </c>
      <c r="F110" s="4">
        <f>SUMIFS(Tab_07.Jul[SALDO
ATUAL],Tab_07.Jul[CONTA],$I110)</f>
        <v>-22355.56</v>
      </c>
      <c r="G110" s="4">
        <f t="shared" si="4"/>
        <v>0</v>
      </c>
      <c r="H110" s="192">
        <v>20690</v>
      </c>
      <c r="I110" s="3" t="s">
        <v>224</v>
      </c>
      <c r="J110" s="3" t="s">
        <v>664</v>
      </c>
      <c r="K110" s="4">
        <v>-22355.56</v>
      </c>
      <c r="L110" s="4">
        <v>620.16999999999996</v>
      </c>
      <c r="M110" s="4">
        <v>665.88</v>
      </c>
      <c r="N110" s="4">
        <v>-22401.27</v>
      </c>
      <c r="O110" s="4">
        <f>Tab_08.Ago[[#This Row],[DÉBITO]]-Tab_08.Ago[[#This Row],[CRÉDITO]]</f>
        <v>-45.71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S</v>
      </c>
      <c r="E111" s="2">
        <f>IF($I111="","",COUNTIFS(Tab_00.Trial[CONTA],$I111))</f>
        <v>1</v>
      </c>
      <c r="F111" s="4">
        <f>SUMIFS(Tab_07.Jul[SALDO
ATUAL],Tab_07.Jul[CONTA],$I111)</f>
        <v>-22355.56</v>
      </c>
      <c r="G111" s="4">
        <f t="shared" si="4"/>
        <v>0</v>
      </c>
      <c r="H111" s="192">
        <v>20705</v>
      </c>
      <c r="I111" s="3" t="s">
        <v>225</v>
      </c>
      <c r="J111" s="3" t="s">
        <v>665</v>
      </c>
      <c r="K111" s="4">
        <v>-22355.56</v>
      </c>
      <c r="L111" s="4">
        <v>620.16999999999996</v>
      </c>
      <c r="M111" s="4">
        <v>665.88</v>
      </c>
      <c r="N111" s="4">
        <v>-22401.27</v>
      </c>
      <c r="O111" s="4">
        <f>Tab_08.Ago[[#This Row],[DÉBITO]]-Tab_08.Ago[[#This Row],[CRÉDITO]]</f>
        <v>-45.71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A</v>
      </c>
      <c r="E112" s="2">
        <f>IF($I112="","",COUNTIFS(Tab_00.Trial[CONTA],$I112))</f>
        <v>1</v>
      </c>
      <c r="F112" s="4">
        <f>SUMIFS(Tab_07.Jul[SALDO
ATUAL],Tab_07.Jul[CONTA],$I112)</f>
        <v>-22355.56</v>
      </c>
      <c r="G112" s="4">
        <f t="shared" si="4"/>
        <v>0</v>
      </c>
      <c r="H112" s="192">
        <v>20750</v>
      </c>
      <c r="I112" s="3" t="s">
        <v>356</v>
      </c>
      <c r="J112" s="3" t="s">
        <v>357</v>
      </c>
      <c r="K112" s="4">
        <v>-22355.56</v>
      </c>
      <c r="L112" s="4">
        <v>620.16999999999996</v>
      </c>
      <c r="M112" s="4">
        <v>665.88</v>
      </c>
      <c r="N112" s="4">
        <v>-22401.27</v>
      </c>
      <c r="O112" s="4">
        <f>Tab_08.Ago[[#This Row],[DÉBITO]]-Tab_08.Ago[[#This Row],[CRÉDITO]]</f>
        <v>-45.71</v>
      </c>
    </row>
    <row r="113" spans="2:15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S</v>
      </c>
      <c r="E113" s="2">
        <f>IF($I113="","",COUNTIFS(Tab_00.Trial[CONTA],$I113))</f>
        <v>1</v>
      </c>
      <c r="F113" s="4">
        <f>SUMIFS(Tab_07.Jul[SALDO
ATUAL],Tab_07.Jul[CONTA],$I113)</f>
        <v>-3849.2</v>
      </c>
      <c r="G113" s="4">
        <f t="shared" si="4"/>
        <v>0</v>
      </c>
      <c r="H113" s="192">
        <v>20765</v>
      </c>
      <c r="I113" s="3" t="s">
        <v>564</v>
      </c>
      <c r="J113" s="3" t="s">
        <v>666</v>
      </c>
      <c r="K113" s="4">
        <v>-3849.2</v>
      </c>
      <c r="L113" s="4">
        <v>0</v>
      </c>
      <c r="M113" s="4">
        <v>0</v>
      </c>
      <c r="N113" s="4">
        <v>-3849.2</v>
      </c>
      <c r="O113" s="4">
        <f>Tab_08.Ago[[#This Row],[DÉBITO]]-Tab_08.Ago[[#This Row],[CRÉDITO]]</f>
        <v>0</v>
      </c>
    </row>
    <row r="114" spans="2:15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5</v>
      </c>
      <c r="D114" s="2" t="str">
        <f>_xlfn.XLOOKUP($I114,Tab_00.Trial[CONTA],Tab_00.Trial[S/A],"",0,1)</f>
        <v>S</v>
      </c>
      <c r="E114" s="2">
        <f>IF($I114="","",COUNTIFS(Tab_00.Trial[CONTA],$I114))</f>
        <v>1</v>
      </c>
      <c r="F114" s="4">
        <f>SUMIFS(Tab_07.Jul[SALDO
ATUAL],Tab_07.Jul[CONTA],$I114)</f>
        <v>-3849.2</v>
      </c>
      <c r="G114" s="4">
        <f t="shared" ref="G114:G145" si="5">$F114-$K114</f>
        <v>0</v>
      </c>
      <c r="H114" s="192">
        <v>20780</v>
      </c>
      <c r="I114" s="3" t="s">
        <v>565</v>
      </c>
      <c r="J114" s="3" t="s">
        <v>667</v>
      </c>
      <c r="K114" s="4">
        <v>-3849.2</v>
      </c>
      <c r="L114" s="4">
        <v>0</v>
      </c>
      <c r="M114" s="4">
        <v>0</v>
      </c>
      <c r="N114" s="4">
        <v>-3849.2</v>
      </c>
      <c r="O114" s="4">
        <f>Tab_08.Ago[[#This Row],[DÉBITO]]-Tab_08.Ago[[#This Row],[CRÉDITO]]</f>
        <v>0</v>
      </c>
    </row>
    <row r="115" spans="2:15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5</v>
      </c>
      <c r="D115" s="2" t="str">
        <f>_xlfn.XLOOKUP($I115,Tab_00.Trial[CONTA],Tab_00.Trial[S/A],"",0,1)</f>
        <v>A</v>
      </c>
      <c r="E115" s="2">
        <f>IF($I115="","",COUNTIFS(Tab_00.Trial[CONTA],$I115))</f>
        <v>1</v>
      </c>
      <c r="F115" s="4">
        <f>SUMIFS(Tab_07.Jul[SALDO
ATUAL],Tab_07.Jul[CONTA],$I115)</f>
        <v>-3849.2</v>
      </c>
      <c r="G115" s="4">
        <f t="shared" si="5"/>
        <v>0</v>
      </c>
      <c r="H115" s="192">
        <v>20790</v>
      </c>
      <c r="I115" s="3" t="s">
        <v>358</v>
      </c>
      <c r="J115" s="3" t="s">
        <v>359</v>
      </c>
      <c r="K115" s="4">
        <v>-3849.2</v>
      </c>
      <c r="L115" s="4">
        <v>0</v>
      </c>
      <c r="M115" s="4">
        <v>0</v>
      </c>
      <c r="N115" s="4">
        <v>-3849.2</v>
      </c>
      <c r="O115" s="4">
        <f>Tab_08.Ago[[#This Row],[DÉBITO]]-Tab_08.Ago[[#This Row],[CRÉDITO]]</f>
        <v>0</v>
      </c>
    </row>
    <row r="116" spans="2:15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2</v>
      </c>
      <c r="D116" s="2" t="str">
        <f>_xlfn.XLOOKUP($I116,Tab_00.Trial[CONTA],Tab_00.Trial[S/A],"",0,1)</f>
        <v>S</v>
      </c>
      <c r="E116" s="2">
        <f>IF($I116="","",COUNTIFS(Tab_00.Trial[CONTA],$I116))</f>
        <v>1</v>
      </c>
      <c r="F116" s="4">
        <f>SUMIFS(Tab_07.Jul[SALDO
ATUAL],Tab_07.Jul[CONTA],$I116)</f>
        <v>-46934.04</v>
      </c>
      <c r="G116" s="4">
        <f t="shared" si="5"/>
        <v>0</v>
      </c>
      <c r="H116" s="192">
        <v>20885</v>
      </c>
      <c r="I116" s="3" t="s">
        <v>226</v>
      </c>
      <c r="J116" s="3" t="s">
        <v>76</v>
      </c>
      <c r="K116" s="4">
        <v>-46934.04</v>
      </c>
      <c r="L116" s="4">
        <v>0</v>
      </c>
      <c r="M116" s="4">
        <v>0</v>
      </c>
      <c r="N116" s="4">
        <v>-46934.04</v>
      </c>
      <c r="O116" s="4">
        <f>Tab_08.Ago[[#This Row],[DÉBITO]]-Tab_08.Ago[[#This Row],[CRÉDITO]]</f>
        <v>0</v>
      </c>
    </row>
    <row r="117" spans="2:15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5</v>
      </c>
      <c r="D117" s="2" t="str">
        <f>_xlfn.XLOOKUP($I117,Tab_00.Trial[CONTA],Tab_00.Trial[S/A],"",0,1)</f>
        <v>S</v>
      </c>
      <c r="E117" s="2">
        <f>IF($I117="","",COUNTIFS(Tab_00.Trial[CONTA],$I117))</f>
        <v>1</v>
      </c>
      <c r="F117" s="4">
        <f>SUMIFS(Tab_07.Jul[SALDO
ATUAL],Tab_07.Jul[CONTA],$I117)</f>
        <v>-46934.04</v>
      </c>
      <c r="G117" s="4">
        <f t="shared" si="5"/>
        <v>0</v>
      </c>
      <c r="H117" s="192">
        <v>21110</v>
      </c>
      <c r="I117" s="3" t="s">
        <v>566</v>
      </c>
      <c r="J117" s="3" t="s">
        <v>668</v>
      </c>
      <c r="K117" s="4">
        <v>-46934.04</v>
      </c>
      <c r="L117" s="4">
        <v>0</v>
      </c>
      <c r="M117" s="4">
        <v>0</v>
      </c>
      <c r="N117" s="4">
        <v>-46934.04</v>
      </c>
      <c r="O117" s="4">
        <f>Tab_08.Ago[[#This Row],[DÉBITO]]-Tab_08.Ago[[#This Row],[CRÉDITO]]</f>
        <v>0</v>
      </c>
    </row>
    <row r="118" spans="2:15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5</v>
      </c>
      <c r="D118" s="2" t="str">
        <f>_xlfn.XLOOKUP($I118,Tab_00.Trial[CONTA],Tab_00.Trial[S/A],"",0,1)</f>
        <v>S</v>
      </c>
      <c r="E118" s="2">
        <f>IF($I118="","",COUNTIFS(Tab_00.Trial[CONTA],$I118))</f>
        <v>1</v>
      </c>
      <c r="F118" s="4">
        <f>SUMIFS(Tab_07.Jul[SALDO
ATUAL],Tab_07.Jul[CONTA],$I118)</f>
        <v>-46934.04</v>
      </c>
      <c r="G118" s="4">
        <f t="shared" si="5"/>
        <v>0</v>
      </c>
      <c r="H118" s="192">
        <v>21125</v>
      </c>
      <c r="I118" s="3" t="s">
        <v>567</v>
      </c>
      <c r="J118" s="3" t="s">
        <v>669</v>
      </c>
      <c r="K118" s="4">
        <v>-46934.04</v>
      </c>
      <c r="L118" s="4">
        <v>0</v>
      </c>
      <c r="M118" s="4">
        <v>0</v>
      </c>
      <c r="N118" s="4">
        <v>-46934.04</v>
      </c>
      <c r="O118" s="4">
        <f>Tab_08.Ago[[#This Row],[DÉBITO]]-Tab_08.Ago[[#This Row],[CRÉDITO]]</f>
        <v>0</v>
      </c>
    </row>
    <row r="119" spans="2:15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5</v>
      </c>
      <c r="D119" s="2" t="str">
        <f>_xlfn.XLOOKUP($I119,Tab_00.Trial[CONTA],Tab_00.Trial[S/A],"",0,1)</f>
        <v>A</v>
      </c>
      <c r="E119" s="2">
        <f>IF($I119="","",COUNTIFS(Tab_00.Trial[CONTA],$I119))</f>
        <v>1</v>
      </c>
      <c r="F119" s="4">
        <f>SUMIFS(Tab_07.Jul[SALDO
ATUAL],Tab_07.Jul[CONTA],$I119)</f>
        <v>-31934.04</v>
      </c>
      <c r="G119" s="4">
        <f t="shared" si="5"/>
        <v>0</v>
      </c>
      <c r="H119" s="192">
        <v>21170</v>
      </c>
      <c r="I119" s="3" t="s">
        <v>360</v>
      </c>
      <c r="J119" s="3" t="s">
        <v>361</v>
      </c>
      <c r="K119" s="4">
        <v>-31934.04</v>
      </c>
      <c r="L119" s="4">
        <v>0</v>
      </c>
      <c r="M119" s="4">
        <v>0</v>
      </c>
      <c r="N119" s="4">
        <v>-31934.04</v>
      </c>
      <c r="O119" s="4">
        <f>Tab_08.Ago[[#This Row],[DÉBITO]]-Tab_08.Ago[[#This Row],[CRÉDITO]]</f>
        <v>0</v>
      </c>
    </row>
    <row r="120" spans="2:15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5</v>
      </c>
      <c r="D120" s="2" t="str">
        <f>_xlfn.XLOOKUP($I120,Tab_00.Trial[CONTA],Tab_00.Trial[S/A],"",0,1)</f>
        <v>A</v>
      </c>
      <c r="E120" s="2">
        <f>IF($I120="","",COUNTIFS(Tab_00.Trial[CONTA],$I120))</f>
        <v>1</v>
      </c>
      <c r="F120" s="4">
        <f>SUMIFS(Tab_07.Jul[SALDO
ATUAL],Tab_07.Jul[CONTA],$I120)</f>
        <v>-15000</v>
      </c>
      <c r="G120" s="4">
        <f t="shared" si="5"/>
        <v>0</v>
      </c>
      <c r="H120" s="192">
        <v>21185</v>
      </c>
      <c r="I120" s="3" t="s">
        <v>362</v>
      </c>
      <c r="J120" s="3" t="s">
        <v>363</v>
      </c>
      <c r="K120" s="4">
        <v>-15000</v>
      </c>
      <c r="L120" s="4">
        <v>0</v>
      </c>
      <c r="M120" s="4">
        <v>0</v>
      </c>
      <c r="N120" s="4">
        <v>-15000</v>
      </c>
      <c r="O120" s="4">
        <f>Tab_08.Ago[[#This Row],[DÉBITO]]-Tab_08.Ago[[#This Row],[CRÉDITO]]</f>
        <v>0</v>
      </c>
    </row>
    <row r="121" spans="2:15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2</v>
      </c>
      <c r="D121" s="2" t="str">
        <f>_xlfn.XLOOKUP($I121,Tab_00.Trial[CONTA],Tab_00.Trial[S/A],"",0,1)</f>
        <v>S</v>
      </c>
      <c r="E121" s="2">
        <f>IF($I121="","",COUNTIFS(Tab_00.Trial[CONTA],$I121))</f>
        <v>1</v>
      </c>
      <c r="F121" s="4">
        <f>SUMIFS(Tab_07.Jul[SALDO
ATUAL],Tab_07.Jul[CONTA],$I121)</f>
        <v>-82087967.730000004</v>
      </c>
      <c r="G121" s="4">
        <f t="shared" si="5"/>
        <v>0</v>
      </c>
      <c r="H121" s="192">
        <v>21200</v>
      </c>
      <c r="I121" s="3" t="s">
        <v>228</v>
      </c>
      <c r="J121" s="3" t="s">
        <v>670</v>
      </c>
      <c r="K121" s="4">
        <v>-82087967.730000004</v>
      </c>
      <c r="L121" s="4">
        <v>0</v>
      </c>
      <c r="M121" s="4">
        <v>0</v>
      </c>
      <c r="N121" s="4">
        <v>-82087967.730000004</v>
      </c>
      <c r="O121" s="4">
        <f>Tab_08.Ago[[#This Row],[DÉBITO]]-Tab_08.Ago[[#This Row],[CRÉDITO]]</f>
        <v>0</v>
      </c>
    </row>
    <row r="122" spans="2:15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5</v>
      </c>
      <c r="D122" s="2" t="str">
        <f>_xlfn.XLOOKUP($I122,Tab_00.Trial[CONTA],Tab_00.Trial[S/A],"",0,1)</f>
        <v>S</v>
      </c>
      <c r="E122" s="2">
        <f>IF($I122="","",COUNTIFS(Tab_00.Trial[CONTA],$I122))</f>
        <v>1</v>
      </c>
      <c r="F122" s="4">
        <f>SUMIFS(Tab_07.Jul[SALDO
ATUAL],Tab_07.Jul[CONTA],$I122)</f>
        <v>-82087967.730000004</v>
      </c>
      <c r="G122" s="4">
        <f t="shared" si="5"/>
        <v>0</v>
      </c>
      <c r="H122" s="192">
        <v>21215</v>
      </c>
      <c r="I122" s="3" t="s">
        <v>229</v>
      </c>
      <c r="J122" s="3" t="s">
        <v>670</v>
      </c>
      <c r="K122" s="4">
        <v>-82087967.730000004</v>
      </c>
      <c r="L122" s="4">
        <v>0</v>
      </c>
      <c r="M122" s="4">
        <v>0</v>
      </c>
      <c r="N122" s="4">
        <v>-82087967.730000004</v>
      </c>
      <c r="O122" s="4">
        <f>Tab_08.Ago[[#This Row],[DÉBITO]]-Tab_08.Ago[[#This Row],[CRÉDITO]]</f>
        <v>0</v>
      </c>
    </row>
    <row r="123" spans="2:15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S</v>
      </c>
      <c r="E123" s="2">
        <f>IF($I123="","",COUNTIFS(Tab_00.Trial[CONTA],$I123))</f>
        <v>1</v>
      </c>
      <c r="F123" s="4">
        <f>SUMIFS(Tab_07.Jul[SALDO
ATUAL],Tab_07.Jul[CONTA],$I123)</f>
        <v>-104784619.59999999</v>
      </c>
      <c r="G123" s="4">
        <f t="shared" si="5"/>
        <v>0</v>
      </c>
      <c r="H123" s="192">
        <v>21230</v>
      </c>
      <c r="I123" s="3" t="s">
        <v>230</v>
      </c>
      <c r="J123" s="3" t="s">
        <v>364</v>
      </c>
      <c r="K123" s="4">
        <v>-104784619.59999999</v>
      </c>
      <c r="L123" s="4">
        <v>0</v>
      </c>
      <c r="M123" s="4">
        <v>0</v>
      </c>
      <c r="N123" s="4">
        <v>-104784619.59999999</v>
      </c>
      <c r="O123" s="4">
        <f>Tab_08.Ago[[#This Row],[DÉBITO]]-Tab_08.Ago[[#This Row],[CRÉDITO]]</f>
        <v>0</v>
      </c>
    </row>
    <row r="124" spans="2:15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5</v>
      </c>
      <c r="D124" s="2" t="str">
        <f>_xlfn.XLOOKUP($I124,Tab_00.Trial[CONTA],Tab_00.Trial[S/A],"",0,1)</f>
        <v>A</v>
      </c>
      <c r="E124" s="2">
        <f>IF($I124="","",COUNTIFS(Tab_00.Trial[CONTA],$I124))</f>
        <v>1</v>
      </c>
      <c r="F124" s="4">
        <f>SUMIFS(Tab_07.Jul[SALDO
ATUAL],Tab_07.Jul[CONTA],$I124)</f>
        <v>-104784619.59999999</v>
      </c>
      <c r="G124" s="4">
        <f t="shared" si="5"/>
        <v>0</v>
      </c>
      <c r="H124" s="192">
        <v>21245</v>
      </c>
      <c r="I124" s="3" t="s">
        <v>193</v>
      </c>
      <c r="J124" s="3" t="s">
        <v>364</v>
      </c>
      <c r="K124" s="4">
        <v>-104784619.59999999</v>
      </c>
      <c r="L124" s="4">
        <v>0</v>
      </c>
      <c r="M124" s="4">
        <v>0</v>
      </c>
      <c r="N124" s="4">
        <v>-104784619.59999999</v>
      </c>
      <c r="O124" s="4">
        <f>Tab_08.Ago[[#This Row],[DÉBITO]]-Tab_08.Ago[[#This Row],[CRÉDITO]]</f>
        <v>0</v>
      </c>
    </row>
    <row r="125" spans="2:15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5</v>
      </c>
      <c r="D125" s="2" t="str">
        <f>_xlfn.XLOOKUP($I125,Tab_00.Trial[CONTA],Tab_00.Trial[S/A],"",0,1)</f>
        <v>S</v>
      </c>
      <c r="E125" s="2">
        <f>IF($I125="","",COUNTIFS(Tab_00.Trial[CONTA],$I125))</f>
        <v>1</v>
      </c>
      <c r="F125" s="4">
        <f>SUMIFS(Tab_07.Jul[SALDO
ATUAL],Tab_07.Jul[CONTA],$I125)</f>
        <v>32587250.850000001</v>
      </c>
      <c r="G125" s="4">
        <f t="shared" si="5"/>
        <v>0</v>
      </c>
      <c r="H125" s="192">
        <v>21305</v>
      </c>
      <c r="I125" s="3" t="s">
        <v>568</v>
      </c>
      <c r="J125" s="3" t="s">
        <v>671</v>
      </c>
      <c r="K125" s="4">
        <v>32587250.850000001</v>
      </c>
      <c r="L125" s="4">
        <v>0</v>
      </c>
      <c r="M125" s="4">
        <v>0</v>
      </c>
      <c r="N125" s="4">
        <v>32587250.850000001</v>
      </c>
      <c r="O125" s="4">
        <f>Tab_08.Ago[[#This Row],[DÉBITO]]-Tab_08.Ago[[#This Row],[CRÉDITO]]</f>
        <v>0</v>
      </c>
    </row>
    <row r="126" spans="2:15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A</v>
      </c>
      <c r="E126" s="2">
        <f>IF($I126="","",COUNTIFS(Tab_00.Trial[CONTA],$I126))</f>
        <v>1</v>
      </c>
      <c r="F126" s="4">
        <f>SUMIFS(Tab_07.Jul[SALDO
ATUAL],Tab_07.Jul[CONTA],$I126)</f>
        <v>-827719.82</v>
      </c>
      <c r="G126" s="4">
        <f t="shared" si="5"/>
        <v>0</v>
      </c>
      <c r="H126" s="192">
        <v>21320</v>
      </c>
      <c r="I126" s="3" t="s">
        <v>743</v>
      </c>
      <c r="J126" s="3" t="s">
        <v>744</v>
      </c>
      <c r="K126" s="4">
        <v>-827719.82</v>
      </c>
      <c r="L126" s="4">
        <v>0</v>
      </c>
      <c r="M126" s="4">
        <v>0</v>
      </c>
      <c r="N126" s="4">
        <v>-827719.82</v>
      </c>
      <c r="O126" s="4">
        <f>Tab_08.Ago[[#This Row],[DÉBITO]]-Tab_08.Ago[[#This Row],[CRÉDITO]]</f>
        <v>0</v>
      </c>
    </row>
    <row r="127" spans="2:15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A</v>
      </c>
      <c r="E127" s="2">
        <f>IF($I127="","",COUNTIFS(Tab_00.Trial[CONTA],$I127))</f>
        <v>1</v>
      </c>
      <c r="F127" s="4">
        <f>SUMIFS(Tab_07.Jul[SALDO
ATUAL],Tab_07.Jul[CONTA],$I127)</f>
        <v>33414970.670000002</v>
      </c>
      <c r="G127" s="4">
        <f t="shared" si="5"/>
        <v>0</v>
      </c>
      <c r="H127" s="192">
        <v>21335</v>
      </c>
      <c r="I127" s="3" t="s">
        <v>365</v>
      </c>
      <c r="J127" s="3" t="s">
        <v>366</v>
      </c>
      <c r="K127" s="4">
        <v>33414970.670000002</v>
      </c>
      <c r="L127" s="4">
        <v>0</v>
      </c>
      <c r="M127" s="4">
        <v>0</v>
      </c>
      <c r="N127" s="4">
        <v>33414970.670000002</v>
      </c>
      <c r="O127" s="4">
        <f>Tab_08.Ago[[#This Row],[DÉBITO]]-Tab_08.Ago[[#This Row],[CRÉDITO]]</f>
        <v>0</v>
      </c>
    </row>
    <row r="128" spans="2:15" x14ac:dyDescent="0.3">
      <c r="B128" s="2" t="str">
        <f>_xlfn.XLOOKUP($I128,Tab_00.Trial[CONTA],Tab_00.Trial[TP],"",0,1)</f>
        <v>P</v>
      </c>
      <c r="C128" s="2">
        <f>_xlfn.XLOOKUP($I128,Tab_00.Trial[CONTA],Tab_00.Trial[NV],"",0,1)</f>
        <v>5</v>
      </c>
      <c r="D128" s="2" t="str">
        <f>_xlfn.XLOOKUP($I128,Tab_00.Trial[CONTA],Tab_00.Trial[S/A],"",0,1)</f>
        <v>S</v>
      </c>
      <c r="E128" s="2">
        <f>IF($I128="","",COUNTIFS(Tab_00.Trial[CONTA],$I128))</f>
        <v>1</v>
      </c>
      <c r="F128" s="4">
        <f>SUMIFS(Tab_07.Jul[SALDO
ATUAL],Tab_07.Jul[CONTA],$I128)</f>
        <v>-9890598.9800000004</v>
      </c>
      <c r="G128" s="4">
        <f t="shared" si="5"/>
        <v>0</v>
      </c>
      <c r="H128" s="192">
        <v>21350</v>
      </c>
      <c r="I128" s="3" t="s">
        <v>745</v>
      </c>
      <c r="J128" s="3" t="s">
        <v>746</v>
      </c>
      <c r="K128" s="4">
        <v>-9890598.9800000004</v>
      </c>
      <c r="L128" s="4">
        <v>0</v>
      </c>
      <c r="M128" s="4">
        <v>0</v>
      </c>
      <c r="N128" s="4">
        <v>-9890598.9800000004</v>
      </c>
      <c r="O128" s="4">
        <f>Tab_08.Ago[[#This Row],[DÉBITO]]-Tab_08.Ago[[#This Row],[CRÉDITO]]</f>
        <v>0</v>
      </c>
    </row>
    <row r="129" spans="2:15" x14ac:dyDescent="0.3">
      <c r="B129" s="2" t="str">
        <f>_xlfn.XLOOKUP($I129,Tab_00.Trial[CONTA],Tab_00.Trial[TP],"",0,1)</f>
        <v>P</v>
      </c>
      <c r="C129" s="2">
        <f>_xlfn.XLOOKUP($I129,Tab_00.Trial[CONTA],Tab_00.Trial[NV],"",0,1)</f>
        <v>5</v>
      </c>
      <c r="D129" s="2" t="str">
        <f>_xlfn.XLOOKUP($I129,Tab_00.Trial[CONTA],Tab_00.Trial[S/A],"",0,1)</f>
        <v>A</v>
      </c>
      <c r="E129" s="2">
        <f>IF($I129="","",COUNTIFS(Tab_00.Trial[CONTA],$I129))</f>
        <v>1</v>
      </c>
      <c r="F129" s="4">
        <f>SUMIFS(Tab_07.Jul[SALDO
ATUAL],Tab_07.Jul[CONTA],$I129)</f>
        <v>-9890598.9800000004</v>
      </c>
      <c r="G129" s="4">
        <f t="shared" si="5"/>
        <v>0</v>
      </c>
      <c r="H129" s="192">
        <v>21365</v>
      </c>
      <c r="I129" s="3" t="s">
        <v>747</v>
      </c>
      <c r="J129" s="3" t="s">
        <v>746</v>
      </c>
      <c r="K129" s="4">
        <v>-9890598.9800000004</v>
      </c>
      <c r="L129" s="4">
        <v>0</v>
      </c>
      <c r="M129" s="4">
        <v>0</v>
      </c>
      <c r="N129" s="4">
        <v>-9890598.9800000004</v>
      </c>
      <c r="O129" s="4">
        <f>Tab_08.Ago[[#This Row],[DÉBITO]]-Tab_08.Ago[[#This Row],[CRÉDITO]]</f>
        <v>0</v>
      </c>
    </row>
    <row r="130" spans="2:15" x14ac:dyDescent="0.3">
      <c r="B130" s="2" t="str">
        <f>_xlfn.XLOOKUP($I130,Tab_00.Trial[CONTA],Tab_00.Trial[TP],"",0,1)</f>
        <v>R</v>
      </c>
      <c r="C130" s="2">
        <f>_xlfn.XLOOKUP($I130,Tab_00.Trial[CONTA],Tab_00.Trial[NV],"",0,1)</f>
        <v>1</v>
      </c>
      <c r="D130" s="2" t="str">
        <f>_xlfn.XLOOKUP($I130,Tab_00.Trial[CONTA],Tab_00.Trial[S/A],"",0,1)</f>
        <v>S</v>
      </c>
      <c r="E130" s="2">
        <f>IF($I130="","",COUNTIFS(Tab_00.Trial[CONTA],$I130))</f>
        <v>1</v>
      </c>
      <c r="F130" s="4">
        <f>SUMIFS(Tab_07.Jul[SALDO
ATUAL],Tab_07.Jul[CONTA],$I130)</f>
        <v>-9046854.1099999994</v>
      </c>
      <c r="G130" s="4">
        <f t="shared" si="5"/>
        <v>0</v>
      </c>
      <c r="H130" s="192">
        <v>30000</v>
      </c>
      <c r="I130" s="3">
        <v>3</v>
      </c>
      <c r="J130" s="3" t="s">
        <v>672</v>
      </c>
      <c r="K130" s="4">
        <v>-9046854.1099999994</v>
      </c>
      <c r="L130" s="4">
        <v>37.729999999999997</v>
      </c>
      <c r="M130" s="4">
        <v>1419858.17</v>
      </c>
      <c r="N130" s="4">
        <v>-10466674.550000001</v>
      </c>
      <c r="O130" s="4">
        <f>Tab_08.Ago[[#This Row],[DÉBITO]]-Tab_08.Ago[[#This Row],[CRÉDITO]]</f>
        <v>-1419820.44</v>
      </c>
    </row>
    <row r="131" spans="2:15" x14ac:dyDescent="0.3">
      <c r="B131" s="2" t="str">
        <f>_xlfn.XLOOKUP($I131,Tab_00.Trial[CONTA],Tab_00.Trial[TP],"",0,1)</f>
        <v>R</v>
      </c>
      <c r="C131" s="2">
        <f>_xlfn.XLOOKUP($I131,Tab_00.Trial[CONTA],Tab_00.Trial[NV],"",0,1)</f>
        <v>2</v>
      </c>
      <c r="D131" s="2" t="str">
        <f>_xlfn.XLOOKUP($I131,Tab_00.Trial[CONTA],Tab_00.Trial[S/A],"",0,1)</f>
        <v>S</v>
      </c>
      <c r="E131" s="2">
        <f>IF($I131="","",COUNTIFS(Tab_00.Trial[CONTA],$I131))</f>
        <v>1</v>
      </c>
      <c r="F131" s="4">
        <f>SUMIFS(Tab_07.Jul[SALDO
ATUAL],Tab_07.Jul[CONTA],$I131)</f>
        <v>-4292456.7699999996</v>
      </c>
      <c r="G131" s="4">
        <f t="shared" si="5"/>
        <v>0</v>
      </c>
      <c r="H131" s="192">
        <v>30030</v>
      </c>
      <c r="I131" s="3" t="s">
        <v>231</v>
      </c>
      <c r="J131" s="3" t="s">
        <v>673</v>
      </c>
      <c r="K131" s="4">
        <v>-4292456.7699999996</v>
      </c>
      <c r="L131" s="4">
        <v>0</v>
      </c>
      <c r="M131" s="4">
        <v>594960.9</v>
      </c>
      <c r="N131" s="4">
        <v>-4887417.67</v>
      </c>
      <c r="O131" s="4">
        <f>Tab_08.Ago[[#This Row],[DÉBITO]]-Tab_08.Ago[[#This Row],[CRÉDITO]]</f>
        <v>-594960.9</v>
      </c>
    </row>
    <row r="132" spans="2:15" x14ac:dyDescent="0.3">
      <c r="B132" s="2" t="str">
        <f>_xlfn.XLOOKUP($I132,Tab_00.Trial[CONTA],Tab_00.Trial[TP],"",0,1)</f>
        <v>R</v>
      </c>
      <c r="C132" s="2">
        <f>_xlfn.XLOOKUP($I132,Tab_00.Trial[CONTA],Tab_00.Trial[NV],"",0,1)</f>
        <v>5</v>
      </c>
      <c r="D132" s="2" t="str">
        <f>_xlfn.XLOOKUP($I132,Tab_00.Trial[CONTA],Tab_00.Trial[S/A],"",0,1)</f>
        <v>S</v>
      </c>
      <c r="E132" s="2">
        <f>IF($I132="","",COUNTIFS(Tab_00.Trial[CONTA],$I132))</f>
        <v>1</v>
      </c>
      <c r="F132" s="4">
        <f>SUMIFS(Tab_07.Jul[SALDO
ATUAL],Tab_07.Jul[CONTA],$I132)</f>
        <v>-2618544.58</v>
      </c>
      <c r="G132" s="4">
        <f t="shared" si="5"/>
        <v>0</v>
      </c>
      <c r="H132" s="192">
        <v>30045</v>
      </c>
      <c r="I132" s="3" t="s">
        <v>232</v>
      </c>
      <c r="J132" s="3" t="s">
        <v>674</v>
      </c>
      <c r="K132" s="4">
        <v>-2618544.58</v>
      </c>
      <c r="L132" s="4">
        <v>0</v>
      </c>
      <c r="M132" s="4">
        <v>364789.51</v>
      </c>
      <c r="N132" s="4">
        <v>-2983334.09</v>
      </c>
      <c r="O132" s="4">
        <f>Tab_08.Ago[[#This Row],[DÉBITO]]-Tab_08.Ago[[#This Row],[CRÉDITO]]</f>
        <v>-364789.51</v>
      </c>
    </row>
    <row r="133" spans="2:15" x14ac:dyDescent="0.3">
      <c r="B133" s="2" t="str">
        <f>_xlfn.XLOOKUP($I133,Tab_00.Trial[CONTA],Tab_00.Trial[TP],"",0,1)</f>
        <v>R</v>
      </c>
      <c r="C133" s="2">
        <f>_xlfn.XLOOKUP($I133,Tab_00.Trial[CONTA],Tab_00.Trial[NV],"",0,1)</f>
        <v>5</v>
      </c>
      <c r="D133" s="2" t="str">
        <f>_xlfn.XLOOKUP($I133,Tab_00.Trial[CONTA],Tab_00.Trial[S/A],"",0,1)</f>
        <v>S</v>
      </c>
      <c r="E133" s="2">
        <f>IF($I133="","",COUNTIFS(Tab_00.Trial[CONTA],$I133))</f>
        <v>1</v>
      </c>
      <c r="F133" s="4">
        <f>SUMIFS(Tab_07.Jul[SALDO
ATUAL],Tab_07.Jul[CONTA],$I133)</f>
        <v>-916108.28</v>
      </c>
      <c r="G133" s="4">
        <f t="shared" si="5"/>
        <v>0</v>
      </c>
      <c r="H133" s="192">
        <v>30470</v>
      </c>
      <c r="I133" s="3" t="s">
        <v>233</v>
      </c>
      <c r="J133" s="3" t="s">
        <v>675</v>
      </c>
      <c r="K133" s="4">
        <v>-916108.28</v>
      </c>
      <c r="L133" s="4">
        <v>0</v>
      </c>
      <c r="M133" s="4">
        <v>140098.56</v>
      </c>
      <c r="N133" s="4">
        <v>-1056206.8400000001</v>
      </c>
      <c r="O133" s="4">
        <f>Tab_08.Ago[[#This Row],[DÉBITO]]-Tab_08.Ago[[#This Row],[CRÉDITO]]</f>
        <v>-140098.56</v>
      </c>
    </row>
    <row r="134" spans="2:15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5</v>
      </c>
      <c r="D134" s="2" t="str">
        <f>_xlfn.XLOOKUP($I134,Tab_00.Trial[CONTA],Tab_00.Trial[S/A],"",0,1)</f>
        <v>A</v>
      </c>
      <c r="E134" s="2">
        <f>IF($I134="","",COUNTIFS(Tab_00.Trial[CONTA],$I134))</f>
        <v>1</v>
      </c>
      <c r="F134" s="4">
        <f>SUMIFS(Tab_07.Jul[SALDO
ATUAL],Tab_07.Jul[CONTA],$I134)</f>
        <v>-916108.28</v>
      </c>
      <c r="G134" s="4">
        <f t="shared" si="5"/>
        <v>0</v>
      </c>
      <c r="H134" s="192">
        <v>30471</v>
      </c>
      <c r="I134" s="3" t="s">
        <v>194</v>
      </c>
      <c r="J134" s="3" t="s">
        <v>367</v>
      </c>
      <c r="K134" s="4">
        <v>-916108.28</v>
      </c>
      <c r="L134" s="4">
        <v>0</v>
      </c>
      <c r="M134" s="4">
        <v>140098.56</v>
      </c>
      <c r="N134" s="4">
        <v>-1056206.8400000001</v>
      </c>
      <c r="O134" s="4">
        <f>Tab_08.Ago[[#This Row],[DÉBITO]]-Tab_08.Ago[[#This Row],[CRÉDITO]]</f>
        <v>-140098.56</v>
      </c>
    </row>
    <row r="135" spans="2:15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5</v>
      </c>
      <c r="D135" s="2" t="str">
        <f>_xlfn.XLOOKUP($I135,Tab_00.Trial[CONTA],Tab_00.Trial[S/A],"",0,1)</f>
        <v>S</v>
      </c>
      <c r="E135" s="2">
        <f>IF($I135="","",COUNTIFS(Tab_00.Trial[CONTA],$I135))</f>
        <v>1</v>
      </c>
      <c r="F135" s="4">
        <f>SUMIFS(Tab_07.Jul[SALDO
ATUAL],Tab_07.Jul[CONTA],$I135)</f>
        <v>-1702436.3</v>
      </c>
      <c r="G135" s="4">
        <f t="shared" si="5"/>
        <v>0</v>
      </c>
      <c r="H135" s="192">
        <v>30475</v>
      </c>
      <c r="I135" s="3" t="s">
        <v>735</v>
      </c>
      <c r="J135" s="3" t="s">
        <v>736</v>
      </c>
      <c r="K135" s="4">
        <v>-1702436.3</v>
      </c>
      <c r="L135" s="4">
        <v>0</v>
      </c>
      <c r="M135" s="4">
        <v>224690.95</v>
      </c>
      <c r="N135" s="4">
        <v>-1927127.25</v>
      </c>
      <c r="O135" s="4">
        <f>Tab_08.Ago[[#This Row],[DÉBITO]]-Tab_08.Ago[[#This Row],[CRÉDITO]]</f>
        <v>-224690.95</v>
      </c>
    </row>
    <row r="136" spans="2:15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A</v>
      </c>
      <c r="E136" s="2">
        <f>IF($I136="","",COUNTIFS(Tab_00.Trial[CONTA],$I136))</f>
        <v>1</v>
      </c>
      <c r="F136" s="4">
        <f>SUMIFS(Tab_07.Jul[SALDO
ATUAL],Tab_07.Jul[CONTA],$I136)</f>
        <v>-1702436.3</v>
      </c>
      <c r="G136" s="4">
        <f t="shared" si="5"/>
        <v>0</v>
      </c>
      <c r="H136" s="192">
        <v>30476</v>
      </c>
      <c r="I136" s="3" t="s">
        <v>737</v>
      </c>
      <c r="J136" s="3" t="s">
        <v>814</v>
      </c>
      <c r="K136" s="4">
        <v>-1702436.3</v>
      </c>
      <c r="L136" s="4">
        <v>0</v>
      </c>
      <c r="M136" s="4">
        <v>224690.95</v>
      </c>
      <c r="N136" s="4">
        <v>-1927127.25</v>
      </c>
      <c r="O136" s="4">
        <f>Tab_08.Ago[[#This Row],[DÉBITO]]-Tab_08.Ago[[#This Row],[CRÉDITO]]</f>
        <v>-224690.95</v>
      </c>
    </row>
    <row r="137" spans="2:15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S</v>
      </c>
      <c r="E137" s="2">
        <f>IF($I137="","",COUNTIFS(Tab_00.Trial[CONTA],$I137))</f>
        <v>1</v>
      </c>
      <c r="F137" s="4">
        <f>SUMIFS(Tab_07.Jul[SALDO
ATUAL],Tab_07.Jul[CONTA],$I137)</f>
        <v>-1673912.19</v>
      </c>
      <c r="G137" s="4">
        <f t="shared" si="5"/>
        <v>0</v>
      </c>
      <c r="H137" s="192">
        <v>30645</v>
      </c>
      <c r="I137" s="3" t="s">
        <v>569</v>
      </c>
      <c r="J137" s="3" t="s">
        <v>676</v>
      </c>
      <c r="K137" s="4">
        <v>-1673912.19</v>
      </c>
      <c r="L137" s="4">
        <v>0</v>
      </c>
      <c r="M137" s="4">
        <v>230171.39</v>
      </c>
      <c r="N137" s="4">
        <v>-1904083.58</v>
      </c>
      <c r="O137" s="4">
        <f>Tab_08.Ago[[#This Row],[DÉBITO]]-Tab_08.Ago[[#This Row],[CRÉDITO]]</f>
        <v>-230171.39</v>
      </c>
    </row>
    <row r="138" spans="2:15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S</v>
      </c>
      <c r="E138" s="2">
        <f>IF($I138="","",COUNTIFS(Tab_00.Trial[CONTA],$I138))</f>
        <v>1</v>
      </c>
      <c r="F138" s="4">
        <f>SUMIFS(Tab_07.Jul[SALDO
ATUAL],Tab_07.Jul[CONTA],$I138)</f>
        <v>-1093149.6299999999</v>
      </c>
      <c r="G138" s="4">
        <f t="shared" si="5"/>
        <v>0</v>
      </c>
      <c r="H138" s="192">
        <v>30660</v>
      </c>
      <c r="I138" s="3" t="s">
        <v>570</v>
      </c>
      <c r="J138" s="3" t="s">
        <v>677</v>
      </c>
      <c r="K138" s="4">
        <v>-1093149.6299999999</v>
      </c>
      <c r="L138" s="4">
        <v>0</v>
      </c>
      <c r="M138" s="4">
        <v>147205.31</v>
      </c>
      <c r="N138" s="4">
        <v>-1240354.94</v>
      </c>
      <c r="O138" s="4">
        <f>Tab_08.Ago[[#This Row],[DÉBITO]]-Tab_08.Ago[[#This Row],[CRÉDITO]]</f>
        <v>-147205.31</v>
      </c>
    </row>
    <row r="139" spans="2:15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A</v>
      </c>
      <c r="E139" s="2">
        <f>IF($I139="","",COUNTIFS(Tab_00.Trial[CONTA],$I139))</f>
        <v>1</v>
      </c>
      <c r="F139" s="4">
        <f>SUMIFS(Tab_07.Jul[SALDO
ATUAL],Tab_07.Jul[CONTA],$I139)</f>
        <v>-488798.45</v>
      </c>
      <c r="G139" s="4">
        <f t="shared" si="5"/>
        <v>0</v>
      </c>
      <c r="H139" s="192">
        <v>30675</v>
      </c>
      <c r="I139" s="3" t="s">
        <v>368</v>
      </c>
      <c r="J139" s="3" t="s">
        <v>369</v>
      </c>
      <c r="K139" s="4">
        <v>-488798.45</v>
      </c>
      <c r="L139" s="4">
        <v>0</v>
      </c>
      <c r="M139" s="4">
        <v>3900</v>
      </c>
      <c r="N139" s="4">
        <v>-492698.45</v>
      </c>
      <c r="O139" s="4">
        <f>Tab_08.Ago[[#This Row],[DÉBITO]]-Tab_08.Ago[[#This Row],[CRÉDITO]]</f>
        <v>-3900</v>
      </c>
    </row>
    <row r="140" spans="2:15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A</v>
      </c>
      <c r="E140" s="2">
        <f>IF($I140="","",COUNTIFS(Tab_00.Trial[CONTA],$I140))</f>
        <v>1</v>
      </c>
      <c r="F140" s="4">
        <f>SUMIFS(Tab_07.Jul[SALDO
ATUAL],Tab_07.Jul[CONTA],$I140)</f>
        <v>-406878.7</v>
      </c>
      <c r="G140" s="4">
        <f t="shared" si="5"/>
        <v>0</v>
      </c>
      <c r="H140" s="192">
        <v>30690</v>
      </c>
      <c r="I140" s="3" t="s">
        <v>370</v>
      </c>
      <c r="J140" s="3" t="s">
        <v>371</v>
      </c>
      <c r="K140" s="4">
        <v>-406878.7</v>
      </c>
      <c r="L140" s="4">
        <v>0</v>
      </c>
      <c r="M140" s="4">
        <v>131778.32999999999</v>
      </c>
      <c r="N140" s="4">
        <v>-538657.03</v>
      </c>
      <c r="O140" s="4">
        <f>Tab_08.Ago[[#This Row],[DÉBITO]]-Tab_08.Ago[[#This Row],[CRÉDITO]]</f>
        <v>-131778.32999999999</v>
      </c>
    </row>
    <row r="141" spans="2:15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5</v>
      </c>
      <c r="D141" s="2" t="str">
        <f>_xlfn.XLOOKUP($I141,Tab_00.Trial[CONTA],Tab_00.Trial[S/A],"",0,1)</f>
        <v>A</v>
      </c>
      <c r="E141" s="2">
        <f>IF($I141="","",COUNTIFS(Tab_00.Trial[CONTA],$I141))</f>
        <v>1</v>
      </c>
      <c r="F141" s="4">
        <f>SUMIFS(Tab_07.Jul[SALDO
ATUAL],Tab_07.Jul[CONTA],$I141)</f>
        <v>-6547.36</v>
      </c>
      <c r="G141" s="4">
        <f t="shared" si="5"/>
        <v>0</v>
      </c>
      <c r="H141" s="192">
        <v>30705</v>
      </c>
      <c r="I141" s="3" t="s">
        <v>372</v>
      </c>
      <c r="J141" s="3" t="s">
        <v>373</v>
      </c>
      <c r="K141" s="4">
        <v>-6547.36</v>
      </c>
      <c r="L141" s="4">
        <v>0</v>
      </c>
      <c r="M141" s="4">
        <v>0</v>
      </c>
      <c r="N141" s="4">
        <v>-6547.36</v>
      </c>
      <c r="O141" s="4">
        <f>Tab_08.Ago[[#This Row],[DÉBITO]]-Tab_08.Ago[[#This Row],[CRÉDITO]]</f>
        <v>0</v>
      </c>
    </row>
    <row r="142" spans="2:15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A</v>
      </c>
      <c r="E142" s="2">
        <f>IF($I142="","",COUNTIFS(Tab_00.Trial[CONTA],$I142))</f>
        <v>1</v>
      </c>
      <c r="F142" s="4">
        <f>SUMIFS(Tab_07.Jul[SALDO
ATUAL],Tab_07.Jul[CONTA],$I142)</f>
        <v>-89524.57</v>
      </c>
      <c r="G142" s="4">
        <f t="shared" si="5"/>
        <v>0</v>
      </c>
      <c r="H142" s="192">
        <v>30710</v>
      </c>
      <c r="I142" s="3" t="s">
        <v>845</v>
      </c>
      <c r="J142" s="3" t="s">
        <v>846</v>
      </c>
      <c r="K142" s="4">
        <v>-89524.57</v>
      </c>
      <c r="L142" s="4">
        <v>0</v>
      </c>
      <c r="M142" s="4">
        <v>92.49</v>
      </c>
      <c r="N142" s="4">
        <v>-89617.06</v>
      </c>
      <c r="O142" s="4">
        <f>Tab_08.Ago[[#This Row],[DÉBITO]]-Tab_08.Ago[[#This Row],[CRÉDITO]]</f>
        <v>-92.49</v>
      </c>
    </row>
    <row r="143" spans="2:15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A</v>
      </c>
      <c r="E143" s="2">
        <f>IF($I143="","",COUNTIFS(Tab_00.Trial[CONTA],$I143))</f>
        <v>1</v>
      </c>
      <c r="F143" s="4">
        <f>SUMIFS(Tab_07.Jul[SALDO
ATUAL],Tab_07.Jul[CONTA],$I143)</f>
        <v>-101400.55</v>
      </c>
      <c r="G143" s="4">
        <f t="shared" si="5"/>
        <v>0</v>
      </c>
      <c r="H143" s="192">
        <v>10895</v>
      </c>
      <c r="I143" s="3" t="s">
        <v>927</v>
      </c>
      <c r="J143" s="3" t="s">
        <v>928</v>
      </c>
      <c r="K143" s="4">
        <v>-101400.55</v>
      </c>
      <c r="L143" s="4">
        <v>0</v>
      </c>
      <c r="M143" s="4">
        <v>11434.49</v>
      </c>
      <c r="N143" s="4">
        <v>-112835.04</v>
      </c>
      <c r="O143" s="4">
        <f>Tab_08.Ago[[#This Row],[DÉBITO]]-Tab_08.Ago[[#This Row],[CRÉDITO]]</f>
        <v>-11434.49</v>
      </c>
    </row>
    <row r="144" spans="2:15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5</v>
      </c>
      <c r="D144" s="2" t="str">
        <f>_xlfn.XLOOKUP($I144,Tab_00.Trial[CONTA],Tab_00.Trial[S/A],"",0,1)</f>
        <v>S</v>
      </c>
      <c r="E144" s="2">
        <f>IF($I144="","",COUNTIFS(Tab_00.Trial[CONTA],$I144))</f>
        <v>1</v>
      </c>
      <c r="F144" s="4">
        <f>SUMIFS(Tab_07.Jul[SALDO
ATUAL],Tab_07.Jul[CONTA],$I144)</f>
        <v>-580762.56000000006</v>
      </c>
      <c r="G144" s="4">
        <f t="shared" si="5"/>
        <v>0</v>
      </c>
      <c r="H144" s="192">
        <v>30720</v>
      </c>
      <c r="I144" s="3" t="s">
        <v>571</v>
      </c>
      <c r="J144" s="3" t="s">
        <v>377</v>
      </c>
      <c r="K144" s="4">
        <v>-580762.56000000006</v>
      </c>
      <c r="L144" s="4">
        <v>0</v>
      </c>
      <c r="M144" s="4">
        <v>82966.080000000002</v>
      </c>
      <c r="N144" s="4">
        <v>-663728.64000000001</v>
      </c>
      <c r="O144" s="4">
        <f>Tab_08.Ago[[#This Row],[DÉBITO]]-Tab_08.Ago[[#This Row],[CRÉDITO]]</f>
        <v>-82966.080000000002</v>
      </c>
    </row>
    <row r="145" spans="2:15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5</v>
      </c>
      <c r="D145" s="2" t="str">
        <f>_xlfn.XLOOKUP($I145,Tab_00.Trial[CONTA],Tab_00.Trial[S/A],"",0,1)</f>
        <v>A</v>
      </c>
      <c r="E145" s="2">
        <f>IF($I145="","",COUNTIFS(Tab_00.Trial[CONTA],$I145))</f>
        <v>1</v>
      </c>
      <c r="F145" s="4">
        <f>SUMIFS(Tab_07.Jul[SALDO
ATUAL],Tab_07.Jul[CONTA],$I145)</f>
        <v>-580762.56000000006</v>
      </c>
      <c r="G145" s="4">
        <f t="shared" si="5"/>
        <v>0</v>
      </c>
      <c r="H145" s="192">
        <v>30735</v>
      </c>
      <c r="I145" s="3" t="s">
        <v>376</v>
      </c>
      <c r="J145" s="3" t="s">
        <v>377</v>
      </c>
      <c r="K145" s="4">
        <v>-580762.56000000006</v>
      </c>
      <c r="L145" s="4">
        <v>0</v>
      </c>
      <c r="M145" s="4">
        <v>82966.080000000002</v>
      </c>
      <c r="N145" s="4">
        <v>-663728.64000000001</v>
      </c>
      <c r="O145" s="4">
        <f>Tab_08.Ago[[#This Row],[DÉBITO]]-Tab_08.Ago[[#This Row],[CRÉDITO]]</f>
        <v>-82966.080000000002</v>
      </c>
    </row>
    <row r="146" spans="2:15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2</v>
      </c>
      <c r="D146" s="2" t="str">
        <f>_xlfn.XLOOKUP($I146,Tab_00.Trial[CONTA],Tab_00.Trial[S/A],"",0,1)</f>
        <v>S</v>
      </c>
      <c r="E146" s="2">
        <f>IF($I146="","",COUNTIFS(Tab_00.Trial[CONTA],$I146))</f>
        <v>1</v>
      </c>
      <c r="F146" s="4">
        <f>SUMIFS(Tab_07.Jul[SALDO
ATUAL],Tab_07.Jul[CONTA],$I146)</f>
        <v>-3078453.5</v>
      </c>
      <c r="G146" s="4">
        <f t="shared" ref="G146:G177" si="6">$F146-$K146</f>
        <v>0</v>
      </c>
      <c r="H146" s="192">
        <v>31065</v>
      </c>
      <c r="I146" s="3" t="s">
        <v>574</v>
      </c>
      <c r="J146" s="3" t="s">
        <v>680</v>
      </c>
      <c r="K146" s="4">
        <v>-3078453.5</v>
      </c>
      <c r="L146" s="4">
        <v>37.729999999999997</v>
      </c>
      <c r="M146" s="4">
        <v>446935.84</v>
      </c>
      <c r="N146" s="4">
        <v>-3525351.61</v>
      </c>
      <c r="O146" s="4">
        <f>Tab_08.Ago[[#This Row],[DÉBITO]]-Tab_08.Ago[[#This Row],[CRÉDITO]]</f>
        <v>-446898.11</v>
      </c>
    </row>
    <row r="147" spans="2:15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5</v>
      </c>
      <c r="D147" s="2" t="str">
        <f>_xlfn.XLOOKUP($I147,Tab_00.Trial[CONTA],Tab_00.Trial[S/A],"",0,1)</f>
        <v>S</v>
      </c>
      <c r="E147" s="2">
        <f>IF($I147="","",COUNTIFS(Tab_00.Trial[CONTA],$I147))</f>
        <v>1</v>
      </c>
      <c r="F147" s="4">
        <f>SUMIFS(Tab_07.Jul[SALDO
ATUAL],Tab_07.Jul[CONTA],$I147)</f>
        <v>-50</v>
      </c>
      <c r="G147" s="4">
        <f t="shared" si="6"/>
        <v>0</v>
      </c>
      <c r="H147" s="192">
        <v>31080</v>
      </c>
      <c r="I147" s="3" t="s">
        <v>575</v>
      </c>
      <c r="J147" s="3" t="s">
        <v>681</v>
      </c>
      <c r="K147" s="4">
        <v>-50</v>
      </c>
      <c r="L147" s="4">
        <v>0</v>
      </c>
      <c r="M147" s="4">
        <v>0</v>
      </c>
      <c r="N147" s="4">
        <v>-50</v>
      </c>
      <c r="O147" s="4">
        <f>Tab_08.Ago[[#This Row],[DÉBITO]]-Tab_08.Ago[[#This Row],[CRÉDITO]]</f>
        <v>0</v>
      </c>
    </row>
    <row r="148" spans="2:15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S</v>
      </c>
      <c r="E148" s="2">
        <f>IF($I148="","",COUNTIFS(Tab_00.Trial[CONTA],$I148))</f>
        <v>1</v>
      </c>
      <c r="F148" s="4">
        <f>SUMIFS(Tab_07.Jul[SALDO
ATUAL],Tab_07.Jul[CONTA],$I148)</f>
        <v>-50</v>
      </c>
      <c r="G148" s="4">
        <f t="shared" si="6"/>
        <v>0</v>
      </c>
      <c r="H148" s="192">
        <v>31095</v>
      </c>
      <c r="I148" s="3" t="s">
        <v>576</v>
      </c>
      <c r="J148" s="3" t="s">
        <v>815</v>
      </c>
      <c r="K148" s="4">
        <v>-50</v>
      </c>
      <c r="L148" s="4">
        <v>0</v>
      </c>
      <c r="M148" s="4">
        <v>0</v>
      </c>
      <c r="N148" s="4">
        <v>-50</v>
      </c>
      <c r="O148" s="4">
        <f>Tab_08.Ago[[#This Row],[DÉBITO]]-Tab_08.Ago[[#This Row],[CRÉDITO]]</f>
        <v>0</v>
      </c>
    </row>
    <row r="149" spans="2:15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5</v>
      </c>
      <c r="D149" s="2" t="str">
        <f>_xlfn.XLOOKUP($I149,Tab_00.Trial[CONTA],Tab_00.Trial[S/A],"",0,1)</f>
        <v>A</v>
      </c>
      <c r="E149" s="2">
        <f>IF($I149="","",COUNTIFS(Tab_00.Trial[CONTA],$I149))</f>
        <v>1</v>
      </c>
      <c r="F149" s="4">
        <f>SUMIFS(Tab_07.Jul[SALDO
ATUAL],Tab_07.Jul[CONTA],$I149)</f>
        <v>-50</v>
      </c>
      <c r="G149" s="4">
        <f t="shared" si="6"/>
        <v>0</v>
      </c>
      <c r="H149" s="192">
        <v>31096</v>
      </c>
      <c r="I149" s="3" t="s">
        <v>382</v>
      </c>
      <c r="J149" s="3" t="s">
        <v>292</v>
      </c>
      <c r="K149" s="4">
        <v>-50</v>
      </c>
      <c r="L149" s="4">
        <v>0</v>
      </c>
      <c r="M149" s="4">
        <v>0</v>
      </c>
      <c r="N149" s="4">
        <v>-50</v>
      </c>
      <c r="O149" s="4">
        <f>Tab_08.Ago[[#This Row],[DÉBITO]]-Tab_08.Ago[[#This Row],[CRÉDITO]]</f>
        <v>0</v>
      </c>
    </row>
    <row r="150" spans="2:15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5</v>
      </c>
      <c r="D150" s="2" t="str">
        <f>_xlfn.XLOOKUP($I150,Tab_00.Trial[CONTA],Tab_00.Trial[S/A],"",0,1)</f>
        <v>S</v>
      </c>
      <c r="E150" s="2">
        <f>IF($I150="","",COUNTIFS(Tab_00.Trial[CONTA],$I150))</f>
        <v>1</v>
      </c>
      <c r="F150" s="4">
        <f>SUMIFS(Tab_07.Jul[SALDO
ATUAL],Tab_07.Jul[CONTA],$I150)</f>
        <v>11</v>
      </c>
      <c r="G150" s="4">
        <f t="shared" si="6"/>
        <v>0</v>
      </c>
      <c r="H150" s="192">
        <v>31140</v>
      </c>
      <c r="I150" s="3" t="s">
        <v>577</v>
      </c>
      <c r="J150" s="3" t="s">
        <v>683</v>
      </c>
      <c r="K150" s="4">
        <v>11</v>
      </c>
      <c r="L150" s="4">
        <v>37.729999999999997</v>
      </c>
      <c r="M150" s="4">
        <v>0</v>
      </c>
      <c r="N150" s="4">
        <v>48.73</v>
      </c>
      <c r="O150" s="4">
        <f>Tab_08.Ago[[#This Row],[DÉBITO]]-Tab_08.Ago[[#This Row],[CRÉDITO]]</f>
        <v>37.729999999999997</v>
      </c>
    </row>
    <row r="151" spans="2:15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5</v>
      </c>
      <c r="D151" s="2" t="str">
        <f>_xlfn.XLOOKUP($I151,Tab_00.Trial[CONTA],Tab_00.Trial[S/A],"",0,1)</f>
        <v>S</v>
      </c>
      <c r="E151" s="2">
        <f>IF($I151="","",COUNTIFS(Tab_00.Trial[CONTA],$I151))</f>
        <v>1</v>
      </c>
      <c r="F151" s="4">
        <f>SUMIFS(Tab_07.Jul[SALDO
ATUAL],Tab_07.Jul[CONTA],$I151)</f>
        <v>11</v>
      </c>
      <c r="G151" s="4">
        <f t="shared" si="6"/>
        <v>0</v>
      </c>
      <c r="H151" s="192">
        <v>31215</v>
      </c>
      <c r="I151" s="3" t="s">
        <v>847</v>
      </c>
      <c r="J151" s="3" t="s">
        <v>848</v>
      </c>
      <c r="K151" s="4">
        <v>11</v>
      </c>
      <c r="L151" s="4">
        <v>37.729999999999997</v>
      </c>
      <c r="M151" s="4">
        <v>0</v>
      </c>
      <c r="N151" s="4">
        <v>48.73</v>
      </c>
      <c r="O151" s="4">
        <f>Tab_08.Ago[[#This Row],[DÉBITO]]-Tab_08.Ago[[#This Row],[CRÉDITO]]</f>
        <v>37.729999999999997</v>
      </c>
    </row>
    <row r="152" spans="2:15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5</v>
      </c>
      <c r="D152" s="2" t="str">
        <f>_xlfn.XLOOKUP($I152,Tab_00.Trial[CONTA],Tab_00.Trial[S/A],"",0,1)</f>
        <v>A</v>
      </c>
      <c r="E152" s="2">
        <f>IF($I152="","",COUNTIFS(Tab_00.Trial[CONTA],$I152))</f>
        <v>1</v>
      </c>
      <c r="F152" s="4">
        <f>SUMIFS(Tab_07.Jul[SALDO
ATUAL],Tab_07.Jul[CONTA],$I152)</f>
        <v>11</v>
      </c>
      <c r="G152" s="4">
        <f t="shared" si="6"/>
        <v>0</v>
      </c>
      <c r="H152" s="192">
        <v>31246</v>
      </c>
      <c r="I152" s="3" t="s">
        <v>849</v>
      </c>
      <c r="J152" s="3" t="s">
        <v>850</v>
      </c>
      <c r="K152" s="4">
        <v>11</v>
      </c>
      <c r="L152" s="4">
        <v>37.729999999999997</v>
      </c>
      <c r="M152" s="4">
        <v>0</v>
      </c>
      <c r="N152" s="4">
        <v>48.73</v>
      </c>
      <c r="O152" s="4">
        <f>Tab_08.Ago[[#This Row],[DÉBITO]]-Tab_08.Ago[[#This Row],[CRÉDITO]]</f>
        <v>37.729999999999997</v>
      </c>
    </row>
    <row r="153" spans="2:15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5</v>
      </c>
      <c r="D153" s="2" t="str">
        <f>_xlfn.XLOOKUP($I153,Tab_00.Trial[CONTA],Tab_00.Trial[S/A],"",0,1)</f>
        <v>S</v>
      </c>
      <c r="E153" s="2">
        <f>IF($I153="","",COUNTIFS(Tab_00.Trial[CONTA],$I153))</f>
        <v>1</v>
      </c>
      <c r="F153" s="4">
        <f>SUMIFS(Tab_07.Jul[SALDO
ATUAL],Tab_07.Jul[CONTA],$I153)</f>
        <v>-3078414.5</v>
      </c>
      <c r="G153" s="4">
        <f t="shared" si="6"/>
        <v>0</v>
      </c>
      <c r="H153" s="192">
        <v>31260</v>
      </c>
      <c r="I153" s="3" t="s">
        <v>580</v>
      </c>
      <c r="J153" s="3" t="s">
        <v>816</v>
      </c>
      <c r="K153" s="4">
        <v>-3078414.5</v>
      </c>
      <c r="L153" s="4">
        <v>0</v>
      </c>
      <c r="M153" s="4">
        <v>446935.84</v>
      </c>
      <c r="N153" s="4">
        <v>-3525350.34</v>
      </c>
      <c r="O153" s="4">
        <f>Tab_08.Ago[[#This Row],[DÉBITO]]-Tab_08.Ago[[#This Row],[CRÉDITO]]</f>
        <v>-446935.84</v>
      </c>
    </row>
    <row r="154" spans="2:15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5</v>
      </c>
      <c r="D154" s="2" t="str">
        <f>_xlfn.XLOOKUP($I154,Tab_00.Trial[CONTA],Tab_00.Trial[S/A],"",0,1)</f>
        <v>S</v>
      </c>
      <c r="E154" s="2">
        <f>IF($I154="","",COUNTIFS(Tab_00.Trial[CONTA],$I154))</f>
        <v>1</v>
      </c>
      <c r="F154" s="4">
        <f>SUMIFS(Tab_07.Jul[SALDO
ATUAL],Tab_07.Jul[CONTA],$I154)</f>
        <v>-3078414.5</v>
      </c>
      <c r="G154" s="4">
        <f t="shared" si="6"/>
        <v>0</v>
      </c>
      <c r="H154" s="192">
        <v>31275</v>
      </c>
      <c r="I154" s="3" t="s">
        <v>581</v>
      </c>
      <c r="J154" s="3" t="s">
        <v>687</v>
      </c>
      <c r="K154" s="4">
        <v>-3078414.5</v>
      </c>
      <c r="L154" s="4">
        <v>0</v>
      </c>
      <c r="M154" s="4">
        <v>446935.84</v>
      </c>
      <c r="N154" s="4">
        <v>-3525350.34</v>
      </c>
      <c r="O154" s="4">
        <f>Tab_08.Ago[[#This Row],[DÉBITO]]-Tab_08.Ago[[#This Row],[CRÉDITO]]</f>
        <v>-446935.84</v>
      </c>
    </row>
    <row r="155" spans="2:15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5</v>
      </c>
      <c r="D155" s="2" t="str">
        <f>_xlfn.XLOOKUP($I155,Tab_00.Trial[CONTA],Tab_00.Trial[S/A],"",0,1)</f>
        <v>A</v>
      </c>
      <c r="E155" s="2">
        <f>IF($I155="","",COUNTIFS(Tab_00.Trial[CONTA],$I155))</f>
        <v>1</v>
      </c>
      <c r="F155" s="4">
        <f>SUMIFS(Tab_07.Jul[SALDO
ATUAL],Tab_07.Jul[CONTA],$I155)</f>
        <v>-3026099.26</v>
      </c>
      <c r="G155" s="4">
        <f t="shared" si="6"/>
        <v>0</v>
      </c>
      <c r="H155" s="192">
        <v>31291</v>
      </c>
      <c r="I155" s="3" t="s">
        <v>387</v>
      </c>
      <c r="J155" s="3" t="s">
        <v>388</v>
      </c>
      <c r="K155" s="4">
        <v>-3026099.26</v>
      </c>
      <c r="L155" s="4">
        <v>0</v>
      </c>
      <c r="M155" s="4">
        <v>440421.58</v>
      </c>
      <c r="N155" s="4">
        <v>-3466520.84</v>
      </c>
      <c r="O155" s="4">
        <f>Tab_08.Ago[[#This Row],[DÉBITO]]-Tab_08.Ago[[#This Row],[CRÉDITO]]</f>
        <v>-440421.58</v>
      </c>
    </row>
    <row r="156" spans="2:15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5</v>
      </c>
      <c r="D156" s="2" t="str">
        <f>_xlfn.XLOOKUP($I156,Tab_00.Trial[CONTA],Tab_00.Trial[S/A],"",0,1)</f>
        <v>A</v>
      </c>
      <c r="E156" s="2">
        <f>IF($I156="","",COUNTIFS(Tab_00.Trial[CONTA],$I156))</f>
        <v>1</v>
      </c>
      <c r="F156" s="4">
        <f>SUMIFS(Tab_07.Jul[SALDO
ATUAL],Tab_07.Jul[CONTA],$I156)</f>
        <v>-52315.24</v>
      </c>
      <c r="G156" s="4">
        <f t="shared" si="6"/>
        <v>0</v>
      </c>
      <c r="H156" s="192">
        <v>31292</v>
      </c>
      <c r="I156" s="3" t="s">
        <v>389</v>
      </c>
      <c r="J156" s="3" t="s">
        <v>390</v>
      </c>
      <c r="K156" s="4">
        <v>-52315.24</v>
      </c>
      <c r="L156" s="4">
        <v>0</v>
      </c>
      <c r="M156" s="4">
        <v>6514.26</v>
      </c>
      <c r="N156" s="4">
        <v>-58829.5</v>
      </c>
      <c r="O156" s="4">
        <f>Tab_08.Ago[[#This Row],[DÉBITO]]-Tab_08.Ago[[#This Row],[CRÉDITO]]</f>
        <v>-6514.26</v>
      </c>
    </row>
    <row r="157" spans="2:15" x14ac:dyDescent="0.3">
      <c r="B157" s="2" t="str">
        <f>_xlfn.XLOOKUP($I157,Tab_00.Trial[CONTA],Tab_00.Trial[TP],"",0,1)</f>
        <v>R</v>
      </c>
      <c r="C157" s="2">
        <f>_xlfn.XLOOKUP($I157,Tab_00.Trial[CONTA],Tab_00.Trial[NV],"",0,1)</f>
        <v>2</v>
      </c>
      <c r="D157" s="2" t="str">
        <f>_xlfn.XLOOKUP($I157,Tab_00.Trial[CONTA],Tab_00.Trial[S/A],"",0,1)</f>
        <v>S</v>
      </c>
      <c r="E157" s="2">
        <f>IF($I157="","",COUNTIFS(Tab_00.Trial[CONTA],$I157))</f>
        <v>1</v>
      </c>
      <c r="F157" s="4">
        <f>SUMIFS(Tab_07.Jul[SALDO
ATUAL],Tab_07.Jul[CONTA],$I157)</f>
        <v>-1668493.84</v>
      </c>
      <c r="G157" s="4">
        <f t="shared" si="6"/>
        <v>0</v>
      </c>
      <c r="H157" s="192">
        <v>31470</v>
      </c>
      <c r="I157" s="3" t="s">
        <v>582</v>
      </c>
      <c r="J157" s="3" t="s">
        <v>688</v>
      </c>
      <c r="K157" s="4">
        <v>-1668493.84</v>
      </c>
      <c r="L157" s="4">
        <v>0</v>
      </c>
      <c r="M157" s="4">
        <v>377961.43</v>
      </c>
      <c r="N157" s="4">
        <v>-2046455.27</v>
      </c>
      <c r="O157" s="4">
        <f>Tab_08.Ago[[#This Row],[DÉBITO]]-Tab_08.Ago[[#This Row],[CRÉDITO]]</f>
        <v>-377961.43</v>
      </c>
    </row>
    <row r="158" spans="2:15" x14ac:dyDescent="0.3">
      <c r="B158" s="2" t="str">
        <f>_xlfn.XLOOKUP($I158,Tab_00.Trial[CONTA],Tab_00.Trial[TP],"",0,1)</f>
        <v>R</v>
      </c>
      <c r="C158" s="2">
        <f>_xlfn.XLOOKUP($I158,Tab_00.Trial[CONTA],Tab_00.Trial[NV],"",0,1)</f>
        <v>5</v>
      </c>
      <c r="D158" s="2" t="str">
        <f>_xlfn.XLOOKUP($I158,Tab_00.Trial[CONTA],Tab_00.Trial[S/A],"",0,1)</f>
        <v>S</v>
      </c>
      <c r="E158" s="2">
        <f>IF($I158="","",COUNTIFS(Tab_00.Trial[CONTA],$I158))</f>
        <v>1</v>
      </c>
      <c r="F158" s="4">
        <f>SUMIFS(Tab_07.Jul[SALDO
ATUAL],Tab_07.Jul[CONTA],$I158)</f>
        <v>-73.459999999999994</v>
      </c>
      <c r="G158" s="4">
        <f t="shared" si="6"/>
        <v>0</v>
      </c>
      <c r="H158" s="192">
        <v>31590</v>
      </c>
      <c r="I158" s="3" t="s">
        <v>583</v>
      </c>
      <c r="J158" s="3" t="s">
        <v>689</v>
      </c>
      <c r="K158" s="4">
        <v>-73.459999999999994</v>
      </c>
      <c r="L158" s="4">
        <v>0</v>
      </c>
      <c r="M158" s="4">
        <v>300.06</v>
      </c>
      <c r="N158" s="4">
        <v>-373.52</v>
      </c>
      <c r="O158" s="4">
        <f>Tab_08.Ago[[#This Row],[DÉBITO]]-Tab_08.Ago[[#This Row],[CRÉDITO]]</f>
        <v>-300.06</v>
      </c>
    </row>
    <row r="159" spans="2:15" x14ac:dyDescent="0.3">
      <c r="B159" s="2" t="str">
        <f>_xlfn.XLOOKUP($I159,Tab_00.Trial[CONTA],Tab_00.Trial[TP],"",0,1)</f>
        <v>R</v>
      </c>
      <c r="C159" s="2">
        <f>_xlfn.XLOOKUP($I159,Tab_00.Trial[CONTA],Tab_00.Trial[NV],"",0,1)</f>
        <v>5</v>
      </c>
      <c r="D159" s="2" t="str">
        <f>_xlfn.XLOOKUP($I159,Tab_00.Trial[CONTA],Tab_00.Trial[S/A],"",0,1)</f>
        <v>S</v>
      </c>
      <c r="E159" s="2">
        <f>IF($I159="","",COUNTIFS(Tab_00.Trial[CONTA],$I159))</f>
        <v>1</v>
      </c>
      <c r="F159" s="4">
        <f>SUMIFS(Tab_07.Jul[SALDO
ATUAL],Tab_07.Jul[CONTA],$I159)</f>
        <v>-73.459999999999994</v>
      </c>
      <c r="G159" s="4">
        <f t="shared" si="6"/>
        <v>0</v>
      </c>
      <c r="H159" s="192">
        <v>31605</v>
      </c>
      <c r="I159" s="3" t="s">
        <v>584</v>
      </c>
      <c r="J159" s="3" t="s">
        <v>689</v>
      </c>
      <c r="K159" s="4">
        <v>-73.459999999999994</v>
      </c>
      <c r="L159" s="4">
        <v>0</v>
      </c>
      <c r="M159" s="4">
        <v>300.06</v>
      </c>
      <c r="N159" s="4">
        <v>-373.52</v>
      </c>
      <c r="O159" s="4">
        <f>Tab_08.Ago[[#This Row],[DÉBITO]]-Tab_08.Ago[[#This Row],[CRÉDITO]]</f>
        <v>-300.06</v>
      </c>
    </row>
    <row r="160" spans="2:15" x14ac:dyDescent="0.3">
      <c r="B160" s="2" t="str">
        <f>_xlfn.XLOOKUP($I160,Tab_00.Trial[CONTA],Tab_00.Trial[TP],"",0,1)</f>
        <v>R</v>
      </c>
      <c r="C160" s="2">
        <f>_xlfn.XLOOKUP($I160,Tab_00.Trial[CONTA],Tab_00.Trial[NV],"",0,1)</f>
        <v>5</v>
      </c>
      <c r="D160" s="2" t="str">
        <f>_xlfn.XLOOKUP($I160,Tab_00.Trial[CONTA],Tab_00.Trial[S/A],"",0,1)</f>
        <v>A</v>
      </c>
      <c r="E160" s="2">
        <f>IF($I160="","",COUNTIFS(Tab_00.Trial[CONTA],$I160))</f>
        <v>1</v>
      </c>
      <c r="F160" s="4">
        <f>SUMIFS(Tab_07.Jul[SALDO
ATUAL],Tab_07.Jul[CONTA],$I160)</f>
        <v>-73.459999999999994</v>
      </c>
      <c r="G160" s="4">
        <f t="shared" si="6"/>
        <v>0</v>
      </c>
      <c r="H160" s="192">
        <v>31645</v>
      </c>
      <c r="I160" s="3" t="s">
        <v>391</v>
      </c>
      <c r="J160" s="3" t="s">
        <v>392</v>
      </c>
      <c r="K160" s="4">
        <v>-73.459999999999994</v>
      </c>
      <c r="L160" s="4">
        <v>0</v>
      </c>
      <c r="M160" s="4">
        <v>300.06</v>
      </c>
      <c r="N160" s="4">
        <v>-373.52</v>
      </c>
      <c r="O160" s="4">
        <f>Tab_08.Ago[[#This Row],[DÉBITO]]-Tab_08.Ago[[#This Row],[CRÉDITO]]</f>
        <v>-300.06</v>
      </c>
    </row>
    <row r="161" spans="2:15" x14ac:dyDescent="0.3">
      <c r="B161" s="2" t="str">
        <f>_xlfn.XLOOKUP($I161,Tab_00.Trial[CONTA],Tab_00.Trial[TP],"",0,1)</f>
        <v>R</v>
      </c>
      <c r="C161" s="2">
        <f>_xlfn.XLOOKUP($I161,Tab_00.Trial[CONTA],Tab_00.Trial[NV],"",0,1)</f>
        <v>5</v>
      </c>
      <c r="D161" s="2" t="str">
        <f>_xlfn.XLOOKUP($I161,Tab_00.Trial[CONTA],Tab_00.Trial[S/A],"",0,1)</f>
        <v>S</v>
      </c>
      <c r="E161" s="2">
        <f>IF($I161="","",COUNTIFS(Tab_00.Trial[CONTA],$I161))</f>
        <v>1</v>
      </c>
      <c r="F161" s="4">
        <f>SUMIFS(Tab_07.Jul[SALDO
ATUAL],Tab_07.Jul[CONTA],$I161)</f>
        <v>-1668420.38</v>
      </c>
      <c r="G161" s="4">
        <f t="shared" si="6"/>
        <v>0</v>
      </c>
      <c r="H161" s="192">
        <v>31650</v>
      </c>
      <c r="I161" s="3" t="s">
        <v>585</v>
      </c>
      <c r="J161" s="3" t="s">
        <v>690</v>
      </c>
      <c r="K161" s="4">
        <v>-1668420.38</v>
      </c>
      <c r="L161" s="4">
        <v>0</v>
      </c>
      <c r="M161" s="4">
        <v>377661.37</v>
      </c>
      <c r="N161" s="4">
        <v>-2046081.75</v>
      </c>
      <c r="O161" s="4">
        <f>Tab_08.Ago[[#This Row],[DÉBITO]]-Tab_08.Ago[[#This Row],[CRÉDITO]]</f>
        <v>-377661.37</v>
      </c>
    </row>
    <row r="162" spans="2:15" x14ac:dyDescent="0.3">
      <c r="B162" s="2" t="str">
        <f>_xlfn.XLOOKUP($I162,Tab_00.Trial[CONTA],Tab_00.Trial[TP],"",0,1)</f>
        <v>R</v>
      </c>
      <c r="C162" s="2">
        <f>_xlfn.XLOOKUP($I162,Tab_00.Trial[CONTA],Tab_00.Trial[NV],"",0,1)</f>
        <v>5</v>
      </c>
      <c r="D162" s="2" t="str">
        <f>_xlfn.XLOOKUP($I162,Tab_00.Trial[CONTA],Tab_00.Trial[S/A],"",0,1)</f>
        <v>S</v>
      </c>
      <c r="E162" s="2">
        <f>IF($I162="","",COUNTIFS(Tab_00.Trial[CONTA],$I162))</f>
        <v>1</v>
      </c>
      <c r="F162" s="4">
        <f>SUMIFS(Tab_07.Jul[SALDO
ATUAL],Tab_07.Jul[CONTA],$I162)</f>
        <v>-1668420.38</v>
      </c>
      <c r="G162" s="4">
        <f t="shared" si="6"/>
        <v>0</v>
      </c>
      <c r="H162" s="192">
        <v>31665</v>
      </c>
      <c r="I162" s="3" t="s">
        <v>586</v>
      </c>
      <c r="J162" s="3" t="s">
        <v>394</v>
      </c>
      <c r="K162" s="4">
        <v>-1668420.38</v>
      </c>
      <c r="L162" s="4">
        <v>0</v>
      </c>
      <c r="M162" s="4">
        <v>377661.37</v>
      </c>
      <c r="N162" s="4">
        <v>-2046081.75</v>
      </c>
      <c r="O162" s="4">
        <f>Tab_08.Ago[[#This Row],[DÉBITO]]-Tab_08.Ago[[#This Row],[CRÉDITO]]</f>
        <v>-377661.37</v>
      </c>
    </row>
    <row r="163" spans="2:15" x14ac:dyDescent="0.3">
      <c r="B163" s="2" t="str">
        <f>_xlfn.XLOOKUP($I163,Tab_00.Trial[CONTA],Tab_00.Trial[TP],"",0,1)</f>
        <v>R</v>
      </c>
      <c r="C163" s="2">
        <f>_xlfn.XLOOKUP($I163,Tab_00.Trial[CONTA],Tab_00.Trial[NV],"",0,1)</f>
        <v>5</v>
      </c>
      <c r="D163" s="2" t="str">
        <f>_xlfn.XLOOKUP($I163,Tab_00.Trial[CONTA],Tab_00.Trial[S/A],"",0,1)</f>
        <v>A</v>
      </c>
      <c r="E163" s="2">
        <f>IF($I163="","",COUNTIFS(Tab_00.Trial[CONTA],$I163))</f>
        <v>1</v>
      </c>
      <c r="F163" s="4">
        <f>SUMIFS(Tab_07.Jul[SALDO
ATUAL],Tab_07.Jul[CONTA],$I163)</f>
        <v>-1668420.38</v>
      </c>
      <c r="G163" s="4">
        <f t="shared" si="6"/>
        <v>0</v>
      </c>
      <c r="H163" s="192">
        <v>31680</v>
      </c>
      <c r="I163" s="3" t="s">
        <v>393</v>
      </c>
      <c r="J163" s="3" t="s">
        <v>394</v>
      </c>
      <c r="K163" s="4">
        <v>-1668420.38</v>
      </c>
      <c r="L163" s="4">
        <v>0</v>
      </c>
      <c r="M163" s="4">
        <v>377661.37</v>
      </c>
      <c r="N163" s="4">
        <v>-2046081.75</v>
      </c>
      <c r="O163" s="4">
        <f>Tab_08.Ago[[#This Row],[DÉBITO]]-Tab_08.Ago[[#This Row],[CRÉDITO]]</f>
        <v>-377661.37</v>
      </c>
    </row>
    <row r="164" spans="2:15" x14ac:dyDescent="0.3">
      <c r="B164" s="2" t="str">
        <f>_xlfn.XLOOKUP($I164,Tab_00.Trial[CONTA],Tab_00.Trial[TP],"",0,1)</f>
        <v>R</v>
      </c>
      <c r="C164" s="2">
        <f>_xlfn.XLOOKUP($I164,Tab_00.Trial[CONTA],Tab_00.Trial[NV],"",0,1)</f>
        <v>2</v>
      </c>
      <c r="D164" s="2" t="str">
        <f>_xlfn.XLOOKUP($I164,Tab_00.Trial[CONTA],Tab_00.Trial[S/A],"",0,1)</f>
        <v>S</v>
      </c>
      <c r="E164" s="2">
        <f>IF($I164="","",COUNTIFS(Tab_00.Trial[CONTA],$I164))</f>
        <v>1</v>
      </c>
      <c r="F164" s="4">
        <f>SUMIFS(Tab_07.Jul[SALDO
ATUAL],Tab_07.Jul[CONTA],$I164)</f>
        <v>-7450</v>
      </c>
      <c r="G164" s="4">
        <f t="shared" si="6"/>
        <v>0</v>
      </c>
      <c r="H164" s="192">
        <v>31725</v>
      </c>
      <c r="I164" s="3" t="s">
        <v>587</v>
      </c>
      <c r="J164" s="3" t="s">
        <v>691</v>
      </c>
      <c r="K164" s="4">
        <v>-7450</v>
      </c>
      <c r="L164" s="4">
        <v>0</v>
      </c>
      <c r="M164" s="4">
        <v>0</v>
      </c>
      <c r="N164" s="4">
        <v>-7450</v>
      </c>
      <c r="O164" s="4">
        <f>Tab_08.Ago[[#This Row],[DÉBITO]]-Tab_08.Ago[[#This Row],[CRÉDITO]]</f>
        <v>0</v>
      </c>
    </row>
    <row r="165" spans="2:15" x14ac:dyDescent="0.3">
      <c r="B165" s="2" t="str">
        <f>_xlfn.XLOOKUP($I165,Tab_00.Trial[CONTA],Tab_00.Trial[TP],"",0,1)</f>
        <v>R</v>
      </c>
      <c r="C165" s="2">
        <f>_xlfn.XLOOKUP($I165,Tab_00.Trial[CONTA],Tab_00.Trial[NV],"",0,1)</f>
        <v>5</v>
      </c>
      <c r="D165" s="2" t="str">
        <f>_xlfn.XLOOKUP($I165,Tab_00.Trial[CONTA],Tab_00.Trial[S/A],"",0,1)</f>
        <v>S</v>
      </c>
      <c r="E165" s="2">
        <f>IF($I165="","",COUNTIFS(Tab_00.Trial[CONTA],$I165))</f>
        <v>1</v>
      </c>
      <c r="F165" s="4">
        <f>SUMIFS(Tab_07.Jul[SALDO
ATUAL],Tab_07.Jul[CONTA],$I165)</f>
        <v>-7450</v>
      </c>
      <c r="G165" s="4">
        <f t="shared" si="6"/>
        <v>0</v>
      </c>
      <c r="H165" s="192">
        <v>30722</v>
      </c>
      <c r="I165" s="3" t="s">
        <v>588</v>
      </c>
      <c r="J165" s="3" t="s">
        <v>692</v>
      </c>
      <c r="K165" s="4">
        <v>-7450</v>
      </c>
      <c r="L165" s="4">
        <v>0</v>
      </c>
      <c r="M165" s="4">
        <v>0</v>
      </c>
      <c r="N165" s="4">
        <v>-7450</v>
      </c>
      <c r="O165" s="4">
        <f>Tab_08.Ago[[#This Row],[DÉBITO]]-Tab_08.Ago[[#This Row],[CRÉDITO]]</f>
        <v>0</v>
      </c>
    </row>
    <row r="166" spans="2:15" x14ac:dyDescent="0.3">
      <c r="B166" s="2" t="str">
        <f>_xlfn.XLOOKUP($I166,Tab_00.Trial[CONTA],Tab_00.Trial[TP],"",0,1)</f>
        <v>R</v>
      </c>
      <c r="C166" s="2">
        <f>_xlfn.XLOOKUP($I166,Tab_00.Trial[CONTA],Tab_00.Trial[NV],"",0,1)</f>
        <v>5</v>
      </c>
      <c r="D166" s="2" t="str">
        <f>_xlfn.XLOOKUP($I166,Tab_00.Trial[CONTA],Tab_00.Trial[S/A],"",0,1)</f>
        <v>S</v>
      </c>
      <c r="E166" s="2">
        <f>IF($I166="","",COUNTIFS(Tab_00.Trial[CONTA],$I166))</f>
        <v>1</v>
      </c>
      <c r="F166" s="4">
        <f>SUMIFS(Tab_07.Jul[SALDO
ATUAL],Tab_07.Jul[CONTA],$I166)</f>
        <v>-7450</v>
      </c>
      <c r="G166" s="4">
        <f t="shared" si="6"/>
        <v>0</v>
      </c>
      <c r="H166" s="192">
        <v>30729</v>
      </c>
      <c r="I166" s="3" t="s">
        <v>589</v>
      </c>
      <c r="J166" s="3" t="s">
        <v>692</v>
      </c>
      <c r="K166" s="4">
        <v>-7450</v>
      </c>
      <c r="L166" s="4">
        <v>0</v>
      </c>
      <c r="M166" s="4">
        <v>0</v>
      </c>
      <c r="N166" s="4">
        <v>-7450</v>
      </c>
      <c r="O166" s="4">
        <f>Tab_08.Ago[[#This Row],[DÉBITO]]-Tab_08.Ago[[#This Row],[CRÉDITO]]</f>
        <v>0</v>
      </c>
    </row>
    <row r="167" spans="2:15" x14ac:dyDescent="0.3">
      <c r="B167" s="2" t="str">
        <f>_xlfn.XLOOKUP($I167,Tab_00.Trial[CONTA],Tab_00.Trial[TP],"",0,1)</f>
        <v>R</v>
      </c>
      <c r="C167" s="2">
        <f>_xlfn.XLOOKUP($I167,Tab_00.Trial[CONTA],Tab_00.Trial[NV],"",0,1)</f>
        <v>5</v>
      </c>
      <c r="D167" s="2" t="str">
        <f>_xlfn.XLOOKUP($I167,Tab_00.Trial[CONTA],Tab_00.Trial[S/A],"",0,1)</f>
        <v>A</v>
      </c>
      <c r="E167" s="2">
        <f>IF($I167="","",COUNTIFS(Tab_00.Trial[CONTA],$I167))</f>
        <v>1</v>
      </c>
      <c r="F167" s="4">
        <f>SUMIFS(Tab_07.Jul[SALDO
ATUAL],Tab_07.Jul[CONTA],$I167)</f>
        <v>-7450</v>
      </c>
      <c r="G167" s="4">
        <f t="shared" si="6"/>
        <v>0</v>
      </c>
      <c r="H167" s="192">
        <v>30736</v>
      </c>
      <c r="I167" s="3" t="s">
        <v>395</v>
      </c>
      <c r="J167" s="3" t="s">
        <v>396</v>
      </c>
      <c r="K167" s="4">
        <v>-7450</v>
      </c>
      <c r="L167" s="4">
        <v>0</v>
      </c>
      <c r="M167" s="4">
        <v>0</v>
      </c>
      <c r="N167" s="4">
        <v>-7450</v>
      </c>
      <c r="O167" s="4">
        <f>Tab_08.Ago[[#This Row],[DÉBITO]]-Tab_08.Ago[[#This Row],[CRÉDITO]]</f>
        <v>0</v>
      </c>
    </row>
    <row r="168" spans="2:15" x14ac:dyDescent="0.3">
      <c r="B168" s="2" t="str">
        <f>_xlfn.XLOOKUP($I168,Tab_00.Trial[CONTA],Tab_00.Trial[TP],"",0,1)</f>
        <v>C</v>
      </c>
      <c r="C168" s="2">
        <f>_xlfn.XLOOKUP($I168,Tab_00.Trial[CONTA],Tab_00.Trial[NV],"",0,1)</f>
        <v>1</v>
      </c>
      <c r="D168" s="2" t="str">
        <f>_xlfn.XLOOKUP($I168,Tab_00.Trial[CONTA],Tab_00.Trial[S/A],"",0,1)</f>
        <v>S</v>
      </c>
      <c r="E168" s="2">
        <f>IF($I168="","",COUNTIFS(Tab_00.Trial[CONTA],$I168))</f>
        <v>1</v>
      </c>
      <c r="F168" s="4">
        <f>SUMIFS(Tab_07.Jul[SALDO
ATUAL],Tab_07.Jul[CONTA],$I168)</f>
        <v>5856061.6699999999</v>
      </c>
      <c r="G168" s="4">
        <f t="shared" si="6"/>
        <v>0</v>
      </c>
      <c r="H168" s="192">
        <v>40000</v>
      </c>
      <c r="I168" s="3">
        <v>4</v>
      </c>
      <c r="J168" s="3" t="s">
        <v>693</v>
      </c>
      <c r="K168" s="4">
        <v>5856061.6699999999</v>
      </c>
      <c r="L168" s="4">
        <v>830688.81</v>
      </c>
      <c r="M168" s="4">
        <v>13843.41</v>
      </c>
      <c r="N168" s="4">
        <v>6672907.0700000003</v>
      </c>
      <c r="O168" s="4">
        <f>Tab_08.Ago[[#This Row],[DÉBITO]]-Tab_08.Ago[[#This Row],[CRÉDITO]]</f>
        <v>816845.4</v>
      </c>
    </row>
    <row r="169" spans="2:15" x14ac:dyDescent="0.3">
      <c r="B169" s="2" t="str">
        <f>_xlfn.XLOOKUP($I169,Tab_00.Trial[CONTA],Tab_00.Trial[TP],"",0,1)</f>
        <v>C</v>
      </c>
      <c r="C169" s="2">
        <f>_xlfn.XLOOKUP($I169,Tab_00.Trial[CONTA],Tab_00.Trial[NV],"",0,1)</f>
        <v>2</v>
      </c>
      <c r="D169" s="2" t="str">
        <f>_xlfn.XLOOKUP($I169,Tab_00.Trial[CONTA],Tab_00.Trial[S/A],"",0,1)</f>
        <v>S</v>
      </c>
      <c r="E169" s="2">
        <f>IF($I169="","",COUNTIFS(Tab_00.Trial[CONTA],$I169))</f>
        <v>1</v>
      </c>
      <c r="F169" s="4">
        <f>SUMIFS(Tab_07.Jul[SALDO
ATUAL],Tab_07.Jul[CONTA],$I169)</f>
        <v>5856045.5</v>
      </c>
      <c r="G169" s="4">
        <f t="shared" si="6"/>
        <v>0</v>
      </c>
      <c r="H169" s="192">
        <v>40015</v>
      </c>
      <c r="I169" s="3" t="s">
        <v>234</v>
      </c>
      <c r="J169" s="3" t="s">
        <v>817</v>
      </c>
      <c r="K169" s="4">
        <v>5856045.5</v>
      </c>
      <c r="L169" s="4">
        <v>830688.81</v>
      </c>
      <c r="M169" s="4">
        <v>13843.41</v>
      </c>
      <c r="N169" s="4">
        <v>6672890.9000000004</v>
      </c>
      <c r="O169" s="4">
        <f>Tab_08.Ago[[#This Row],[DÉBITO]]-Tab_08.Ago[[#This Row],[CRÉDITO]]</f>
        <v>816845.4</v>
      </c>
    </row>
    <row r="170" spans="2:15" x14ac:dyDescent="0.3">
      <c r="B170" s="2" t="str">
        <f>_xlfn.XLOOKUP($I170,Tab_00.Trial[CONTA],Tab_00.Trial[TP],"",0,1)</f>
        <v>C</v>
      </c>
      <c r="C170" s="2">
        <f>_xlfn.XLOOKUP($I170,Tab_00.Trial[CONTA],Tab_00.Trial[NV],"",0,1)</f>
        <v>5</v>
      </c>
      <c r="D170" s="2" t="str">
        <f>_xlfn.XLOOKUP($I170,Tab_00.Trial[CONTA],Tab_00.Trial[S/A],"",0,1)</f>
        <v>S</v>
      </c>
      <c r="E170" s="2">
        <f>IF($I170="","",COUNTIFS(Tab_00.Trial[CONTA],$I170))</f>
        <v>1</v>
      </c>
      <c r="F170" s="4">
        <f>SUMIFS(Tab_07.Jul[SALDO
ATUAL],Tab_07.Jul[CONTA],$I170)</f>
        <v>1166612.3</v>
      </c>
      <c r="G170" s="4">
        <f t="shared" si="6"/>
        <v>0</v>
      </c>
      <c r="H170" s="192">
        <v>40030</v>
      </c>
      <c r="I170" s="3" t="s">
        <v>235</v>
      </c>
      <c r="J170" s="3" t="s">
        <v>818</v>
      </c>
      <c r="K170" s="4">
        <v>1166612.3</v>
      </c>
      <c r="L170" s="4">
        <v>178847.74</v>
      </c>
      <c r="M170" s="4">
        <v>13843.41</v>
      </c>
      <c r="N170" s="4">
        <v>1331616.6299999999</v>
      </c>
      <c r="O170" s="4">
        <f>Tab_08.Ago[[#This Row],[DÉBITO]]-Tab_08.Ago[[#This Row],[CRÉDITO]]</f>
        <v>165004.32999999999</v>
      </c>
    </row>
    <row r="171" spans="2:15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5</v>
      </c>
      <c r="D171" s="2" t="str">
        <f>_xlfn.XLOOKUP($I171,Tab_00.Trial[CONTA],Tab_00.Trial[S/A],"",0,1)</f>
        <v>S</v>
      </c>
      <c r="E171" s="2">
        <f>IF($I171="","",COUNTIFS(Tab_00.Trial[CONTA],$I171))</f>
        <v>1</v>
      </c>
      <c r="F171" s="4">
        <f>SUMIFS(Tab_07.Jul[SALDO
ATUAL],Tab_07.Jul[CONTA],$I171)</f>
        <v>477244.49</v>
      </c>
      <c r="G171" s="4">
        <f t="shared" si="6"/>
        <v>0</v>
      </c>
      <c r="H171" s="192">
        <v>40045</v>
      </c>
      <c r="I171" s="3" t="s">
        <v>236</v>
      </c>
      <c r="J171" s="3" t="s">
        <v>696</v>
      </c>
      <c r="K171" s="4">
        <v>477244.49</v>
      </c>
      <c r="L171" s="4">
        <v>80200.61</v>
      </c>
      <c r="M171" s="4">
        <v>9309.7099999999991</v>
      </c>
      <c r="N171" s="4">
        <v>548135.39</v>
      </c>
      <c r="O171" s="4">
        <f>Tab_08.Ago[[#This Row],[DÉBITO]]-Tab_08.Ago[[#This Row],[CRÉDITO]]</f>
        <v>70890.899999999994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5</v>
      </c>
      <c r="D172" s="2" t="str">
        <f>_xlfn.XLOOKUP($I172,Tab_00.Trial[CONTA],Tab_00.Trial[S/A],"",0,1)</f>
        <v>A</v>
      </c>
      <c r="E172" s="2">
        <f>IF($I172="","",COUNTIFS(Tab_00.Trial[CONTA],$I172))</f>
        <v>1</v>
      </c>
      <c r="F172" s="4">
        <f>SUMIFS(Tab_07.Jul[SALDO
ATUAL],Tab_07.Jul[CONTA],$I172)</f>
        <v>326968.65999999997</v>
      </c>
      <c r="G172" s="4">
        <f t="shared" si="6"/>
        <v>0</v>
      </c>
      <c r="H172" s="192">
        <v>40060</v>
      </c>
      <c r="I172" s="3" t="s">
        <v>195</v>
      </c>
      <c r="J172" s="3" t="s">
        <v>427</v>
      </c>
      <c r="K172" s="4">
        <v>326968.65999999997</v>
      </c>
      <c r="L172" s="4">
        <v>64214.55</v>
      </c>
      <c r="M172" s="4">
        <v>9309.68</v>
      </c>
      <c r="N172" s="4">
        <v>381873.53</v>
      </c>
      <c r="O172" s="4">
        <f>Tab_08.Ago[[#This Row],[DÉBITO]]-Tab_08.Ago[[#This Row],[CRÉDITO]]</f>
        <v>54904.87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A</v>
      </c>
      <c r="E173" s="2">
        <f>IF($I173="","",COUNTIFS(Tab_00.Trial[CONTA],$I173))</f>
        <v>1</v>
      </c>
      <c r="F173" s="4">
        <f>SUMIFS(Tab_07.Jul[SALDO
ATUAL],Tab_07.Jul[CONTA],$I173)</f>
        <v>53472.45</v>
      </c>
      <c r="G173" s="4">
        <f t="shared" si="6"/>
        <v>0</v>
      </c>
      <c r="H173" s="192">
        <v>40075</v>
      </c>
      <c r="I173" s="3" t="s">
        <v>430</v>
      </c>
      <c r="J173" s="3" t="s">
        <v>431</v>
      </c>
      <c r="K173" s="4">
        <v>53472.45</v>
      </c>
      <c r="L173" s="4">
        <v>6726.72</v>
      </c>
      <c r="M173" s="4">
        <v>0.01</v>
      </c>
      <c r="N173" s="4">
        <v>60199.16</v>
      </c>
      <c r="O173" s="4">
        <f>Tab_08.Ago[[#This Row],[DÉBITO]]-Tab_08.Ago[[#This Row],[CRÉDITO]]</f>
        <v>6726.71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A</v>
      </c>
      <c r="E174" s="2">
        <f>IF($I174="","",COUNTIFS(Tab_00.Trial[CONTA],$I174))</f>
        <v>1</v>
      </c>
      <c r="F174" s="4">
        <f>SUMIFS(Tab_07.Jul[SALDO
ATUAL],Tab_07.Jul[CONTA],$I174)</f>
        <v>36600.269999999997</v>
      </c>
      <c r="G174" s="4">
        <f t="shared" si="6"/>
        <v>0</v>
      </c>
      <c r="H174" s="192">
        <v>40085</v>
      </c>
      <c r="I174" s="3" t="s">
        <v>432</v>
      </c>
      <c r="J174" s="3" t="s">
        <v>433</v>
      </c>
      <c r="K174" s="4">
        <v>36600.269999999997</v>
      </c>
      <c r="L174" s="4">
        <v>5045.03</v>
      </c>
      <c r="M174" s="4">
        <v>0</v>
      </c>
      <c r="N174" s="4">
        <v>41645.300000000003</v>
      </c>
      <c r="O174" s="4">
        <f>Tab_08.Ago[[#This Row],[DÉBITO]]-Tab_08.Ago[[#This Row],[CRÉDITO]]</f>
        <v>5045.03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A</v>
      </c>
      <c r="E175" s="2">
        <f>IF($I175="","",COUNTIFS(Tab_00.Trial[CONTA],$I175))</f>
        <v>1</v>
      </c>
      <c r="F175" s="4">
        <f>SUMIFS(Tab_07.Jul[SALDO
ATUAL],Tab_07.Jul[CONTA],$I175)</f>
        <v>43660.94</v>
      </c>
      <c r="G175" s="4">
        <f t="shared" si="6"/>
        <v>0</v>
      </c>
      <c r="H175" s="192">
        <v>10111</v>
      </c>
      <c r="I175" s="3" t="s">
        <v>790</v>
      </c>
      <c r="J175" s="3" t="s">
        <v>791</v>
      </c>
      <c r="K175" s="4">
        <v>43660.94</v>
      </c>
      <c r="L175" s="4">
        <v>1802.77</v>
      </c>
      <c r="M175" s="4">
        <v>0.02</v>
      </c>
      <c r="N175" s="4">
        <v>45463.69</v>
      </c>
      <c r="O175" s="4">
        <f>Tab_08.Ago[[#This Row],[DÉBITO]]-Tab_08.Ago[[#This Row],[CRÉDITO]]</f>
        <v>1802.75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A</v>
      </c>
      <c r="E176" s="2">
        <f>IF($I176="","",COUNTIFS(Tab_00.Trial[CONTA],$I176))</f>
        <v>1</v>
      </c>
      <c r="F176" s="4">
        <f>SUMIFS(Tab_07.Jul[SALDO
ATUAL],Tab_07.Jul[CONTA],$I176)</f>
        <v>3055.4</v>
      </c>
      <c r="G176" s="4">
        <f t="shared" si="6"/>
        <v>0</v>
      </c>
      <c r="H176" s="192">
        <v>10118</v>
      </c>
      <c r="I176" s="3" t="s">
        <v>792</v>
      </c>
      <c r="J176" s="3" t="s">
        <v>793</v>
      </c>
      <c r="K176" s="4">
        <v>3055.4</v>
      </c>
      <c r="L176" s="4">
        <v>538.14</v>
      </c>
      <c r="M176" s="4">
        <v>0</v>
      </c>
      <c r="N176" s="4">
        <v>3593.54</v>
      </c>
      <c r="O176" s="4">
        <f>Tab_08.Ago[[#This Row],[DÉBITO]]-Tab_08.Ago[[#This Row],[CRÉDITO]]</f>
        <v>538.14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A</v>
      </c>
      <c r="E177" s="2">
        <f>IF($I177="","",COUNTIFS(Tab_00.Trial[CONTA],$I177))</f>
        <v>1</v>
      </c>
      <c r="F177" s="4">
        <f>SUMIFS(Tab_07.Jul[SALDO
ATUAL],Tab_07.Jul[CONTA],$I177)</f>
        <v>397.77</v>
      </c>
      <c r="G177" s="4">
        <f t="shared" si="6"/>
        <v>0</v>
      </c>
      <c r="H177" s="192">
        <v>10139</v>
      </c>
      <c r="I177" s="3" t="s">
        <v>794</v>
      </c>
      <c r="J177" s="3" t="s">
        <v>795</v>
      </c>
      <c r="K177" s="4">
        <v>397.77</v>
      </c>
      <c r="L177" s="4">
        <v>67.260000000000005</v>
      </c>
      <c r="M177" s="4">
        <v>0</v>
      </c>
      <c r="N177" s="4">
        <v>465.03</v>
      </c>
      <c r="O177" s="4">
        <f>Tab_08.Ago[[#This Row],[DÉBITO]]-Tab_08.Ago[[#This Row],[CRÉDITO]]</f>
        <v>67.260000000000005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A</v>
      </c>
      <c r="E178" s="2">
        <f>IF($I178="","",COUNTIFS(Tab_00.Trial[CONTA],$I178))</f>
        <v>1</v>
      </c>
      <c r="F178" s="4">
        <f>SUMIFS(Tab_07.Jul[SALDO
ATUAL],Tab_07.Jul[CONTA],$I178)</f>
        <v>9807.86</v>
      </c>
      <c r="G178" s="4">
        <f t="shared" ref="G178:G200" si="7">$F178-$K178</f>
        <v>0</v>
      </c>
      <c r="H178" s="192">
        <v>10146</v>
      </c>
      <c r="I178" s="3" t="s">
        <v>796</v>
      </c>
      <c r="J178" s="3" t="s">
        <v>797</v>
      </c>
      <c r="K178" s="4">
        <v>9807.86</v>
      </c>
      <c r="L178" s="4">
        <v>1352.07</v>
      </c>
      <c r="M178" s="4">
        <v>0</v>
      </c>
      <c r="N178" s="4">
        <v>11159.93</v>
      </c>
      <c r="O178" s="4">
        <f>Tab_08.Ago[[#This Row],[DÉBITO]]-Tab_08.Ago[[#This Row],[CRÉDITO]]</f>
        <v>1352.07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A</v>
      </c>
      <c r="E179" s="2">
        <f>IF($I179="","",COUNTIFS(Tab_00.Trial[CONTA],$I179))</f>
        <v>1</v>
      </c>
      <c r="F179" s="4">
        <f>SUMIFS(Tab_07.Jul[SALDO
ATUAL],Tab_07.Jul[CONTA],$I179)</f>
        <v>2928</v>
      </c>
      <c r="G179" s="4">
        <f t="shared" si="7"/>
        <v>0</v>
      </c>
      <c r="H179" s="192">
        <v>10153</v>
      </c>
      <c r="I179" s="3" t="s">
        <v>798</v>
      </c>
      <c r="J179" s="3" t="s">
        <v>799</v>
      </c>
      <c r="K179" s="4">
        <v>2928</v>
      </c>
      <c r="L179" s="4">
        <v>403.59</v>
      </c>
      <c r="M179" s="4">
        <v>0</v>
      </c>
      <c r="N179" s="4">
        <v>3331.59</v>
      </c>
      <c r="O179" s="4">
        <f>Tab_08.Ago[[#This Row],[DÉBITO]]-Tab_08.Ago[[#This Row],[CRÉDITO]]</f>
        <v>403.59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A</v>
      </c>
      <c r="E180" s="2">
        <f>IF($I180="","",COUNTIFS(Tab_00.Trial[CONTA],$I180))</f>
        <v>1</v>
      </c>
      <c r="F180" s="4">
        <f>SUMIFS(Tab_07.Jul[SALDO
ATUAL],Tab_07.Jul[CONTA],$I180)</f>
        <v>353.14</v>
      </c>
      <c r="G180" s="4">
        <f t="shared" si="7"/>
        <v>0</v>
      </c>
      <c r="H180" s="192">
        <v>10160</v>
      </c>
      <c r="I180" s="3" t="s">
        <v>800</v>
      </c>
      <c r="J180" s="3" t="s">
        <v>801</v>
      </c>
      <c r="K180" s="4">
        <v>353.14</v>
      </c>
      <c r="L180" s="4">
        <v>50.48</v>
      </c>
      <c r="M180" s="4">
        <v>0</v>
      </c>
      <c r="N180" s="4">
        <v>403.62</v>
      </c>
      <c r="O180" s="4">
        <f>Tab_08.Ago[[#This Row],[DÉBITO]]-Tab_08.Ago[[#This Row],[CRÉDITO]]</f>
        <v>50.48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S</v>
      </c>
      <c r="E181" s="2">
        <f>IF($I181="","",COUNTIFS(Tab_00.Trial[CONTA],$I181))</f>
        <v>1</v>
      </c>
      <c r="F181" s="4">
        <f>SUMIFS(Tab_07.Jul[SALDO
ATUAL],Tab_07.Jul[CONTA],$I181)</f>
        <v>178894.39</v>
      </c>
      <c r="G181" s="4">
        <f t="shared" si="7"/>
        <v>0</v>
      </c>
      <c r="H181" s="192">
        <v>40150</v>
      </c>
      <c r="I181" s="3" t="s">
        <v>590</v>
      </c>
      <c r="J181" s="3" t="s">
        <v>697</v>
      </c>
      <c r="K181" s="4">
        <v>178894.39</v>
      </c>
      <c r="L181" s="4">
        <v>29583.32</v>
      </c>
      <c r="M181" s="4">
        <v>4533.7</v>
      </c>
      <c r="N181" s="4">
        <v>203944.01</v>
      </c>
      <c r="O181" s="4">
        <f>Tab_08.Ago[[#This Row],[DÉBITO]]-Tab_08.Ago[[#This Row],[CRÉDITO]]</f>
        <v>25049.62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A</v>
      </c>
      <c r="E182" s="2">
        <f>IF($I182="","",COUNTIFS(Tab_00.Trial[CONTA],$I182))</f>
        <v>1</v>
      </c>
      <c r="F182" s="4">
        <f>SUMIFS(Tab_07.Jul[SALDO
ATUAL],Tab_07.Jul[CONTA],$I182)</f>
        <v>174412.34</v>
      </c>
      <c r="G182" s="4">
        <f t="shared" si="7"/>
        <v>0</v>
      </c>
      <c r="H182" s="192">
        <v>40165</v>
      </c>
      <c r="I182" s="3" t="s">
        <v>434</v>
      </c>
      <c r="J182" s="3" t="s">
        <v>435</v>
      </c>
      <c r="K182" s="4">
        <v>174412.34</v>
      </c>
      <c r="L182" s="4">
        <v>26955.919999999998</v>
      </c>
      <c r="M182" s="4">
        <v>3163.54</v>
      </c>
      <c r="N182" s="4">
        <v>198204.72</v>
      </c>
      <c r="O182" s="4">
        <f>Tab_08.Ago[[#This Row],[DÉBITO]]-Tab_08.Ago[[#This Row],[CRÉDITO]]</f>
        <v>23792.38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A</v>
      </c>
      <c r="E183" s="2">
        <f>IF($I183="","",COUNTIFS(Tab_00.Trial[CONTA],$I183))</f>
        <v>1</v>
      </c>
      <c r="F183" s="4">
        <f>SUMIFS(Tab_07.Jul[SALDO
ATUAL],Tab_07.Jul[CONTA],$I183)</f>
        <v>4482.05</v>
      </c>
      <c r="G183" s="4">
        <f t="shared" si="7"/>
        <v>0</v>
      </c>
      <c r="H183" s="192">
        <v>40195</v>
      </c>
      <c r="I183" s="3" t="s">
        <v>750</v>
      </c>
      <c r="J183" s="3" t="s">
        <v>751</v>
      </c>
      <c r="K183" s="4">
        <v>4482.05</v>
      </c>
      <c r="L183" s="4">
        <v>2627.4</v>
      </c>
      <c r="M183" s="4">
        <v>1370.16</v>
      </c>
      <c r="N183" s="4">
        <v>5739.29</v>
      </c>
      <c r="O183" s="4">
        <f>Tab_08.Ago[[#This Row],[DÉBITO]]-Tab_08.Ago[[#This Row],[CRÉDITO]]</f>
        <v>1257.24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S</v>
      </c>
      <c r="E184" s="2">
        <f>IF($I184="","",COUNTIFS(Tab_00.Trial[CONTA],$I184))</f>
        <v>1</v>
      </c>
      <c r="F184" s="4">
        <f>SUMIFS(Tab_07.Jul[SALDO
ATUAL],Tab_07.Jul[CONTA],$I184)</f>
        <v>143762.09</v>
      </c>
      <c r="G184" s="4">
        <f t="shared" si="7"/>
        <v>0</v>
      </c>
      <c r="H184" s="192">
        <v>40210</v>
      </c>
      <c r="I184" s="3" t="s">
        <v>591</v>
      </c>
      <c r="J184" s="3" t="s">
        <v>698</v>
      </c>
      <c r="K184" s="4">
        <v>143762.09</v>
      </c>
      <c r="L184" s="4">
        <v>17806.22</v>
      </c>
      <c r="M184" s="4">
        <v>0</v>
      </c>
      <c r="N184" s="4">
        <v>161568.31</v>
      </c>
      <c r="O184" s="4">
        <f>Tab_08.Ago[[#This Row],[DÉBITO]]-Tab_08.Ago[[#This Row],[CRÉDITO]]</f>
        <v>17806.22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A</v>
      </c>
      <c r="E185" s="2">
        <f>IF($I185="","",COUNTIFS(Tab_00.Trial[CONTA],$I185))</f>
        <v>1</v>
      </c>
      <c r="F185" s="4">
        <f>SUMIFS(Tab_07.Jul[SALDO
ATUAL],Tab_07.Jul[CONTA],$I185)</f>
        <v>114927.93</v>
      </c>
      <c r="G185" s="4">
        <f t="shared" si="7"/>
        <v>0</v>
      </c>
      <c r="H185" s="192">
        <v>40225</v>
      </c>
      <c r="I185" s="3" t="s">
        <v>436</v>
      </c>
      <c r="J185" s="3" t="s">
        <v>437</v>
      </c>
      <c r="K185" s="4">
        <v>114927.93</v>
      </c>
      <c r="L185" s="4">
        <v>12957.11</v>
      </c>
      <c r="M185" s="4">
        <v>0</v>
      </c>
      <c r="N185" s="4">
        <v>127885.04</v>
      </c>
      <c r="O185" s="4">
        <f>Tab_08.Ago[[#This Row],[DÉBITO]]-Tab_08.Ago[[#This Row],[CRÉDITO]]</f>
        <v>12957.11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A</v>
      </c>
      <c r="E186" s="2">
        <f>IF($I186="","",COUNTIFS(Tab_00.Trial[CONTA],$I186))</f>
        <v>1</v>
      </c>
      <c r="F186" s="4">
        <f>SUMIFS(Tab_07.Jul[SALDO
ATUAL],Tab_07.Jul[CONTA],$I186)</f>
        <v>24854.71</v>
      </c>
      <c r="G186" s="4">
        <f t="shared" si="7"/>
        <v>0</v>
      </c>
      <c r="H186" s="192">
        <v>40240</v>
      </c>
      <c r="I186" s="3" t="s">
        <v>438</v>
      </c>
      <c r="J186" s="3" t="s">
        <v>196</v>
      </c>
      <c r="K186" s="4">
        <v>24854.71</v>
      </c>
      <c r="L186" s="4">
        <v>4245.33</v>
      </c>
      <c r="M186" s="4">
        <v>0</v>
      </c>
      <c r="N186" s="4">
        <v>29100.04</v>
      </c>
      <c r="O186" s="4">
        <f>Tab_08.Ago[[#This Row],[DÉBITO]]-Tab_08.Ago[[#This Row],[CRÉDITO]]</f>
        <v>4245.33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A</v>
      </c>
      <c r="E187" s="2">
        <f>IF($I187="","",COUNTIFS(Tab_00.Trial[CONTA],$I187))</f>
        <v>1</v>
      </c>
      <c r="F187" s="4">
        <f>SUMIFS(Tab_07.Jul[SALDO
ATUAL],Tab_07.Jul[CONTA],$I187)</f>
        <v>3979.45</v>
      </c>
      <c r="G187" s="4">
        <f t="shared" si="7"/>
        <v>0</v>
      </c>
      <c r="H187" s="192">
        <v>40255</v>
      </c>
      <c r="I187" s="3" t="s">
        <v>439</v>
      </c>
      <c r="J187" s="3" t="s">
        <v>440</v>
      </c>
      <c r="K187" s="4">
        <v>3979.45</v>
      </c>
      <c r="L187" s="4">
        <v>603.78</v>
      </c>
      <c r="M187" s="4">
        <v>0</v>
      </c>
      <c r="N187" s="4">
        <v>4583.2299999999996</v>
      </c>
      <c r="O187" s="4">
        <f>Tab_08.Ago[[#This Row],[DÉBITO]]-Tab_08.Ago[[#This Row],[CRÉDITO]]</f>
        <v>603.78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S</v>
      </c>
      <c r="E188" s="2">
        <f>IF($I188="","",COUNTIFS(Tab_00.Trial[CONTA],$I188))</f>
        <v>1</v>
      </c>
      <c r="F188" s="4">
        <f>SUMIFS(Tab_07.Jul[SALDO
ATUAL],Tab_07.Jul[CONTA],$I188)</f>
        <v>9743.5</v>
      </c>
      <c r="G188" s="4">
        <f t="shared" si="7"/>
        <v>0</v>
      </c>
      <c r="H188" s="192">
        <v>40285</v>
      </c>
      <c r="I188" s="3" t="s">
        <v>592</v>
      </c>
      <c r="J188" s="3" t="s">
        <v>699</v>
      </c>
      <c r="K188" s="4">
        <v>9743.5</v>
      </c>
      <c r="L188" s="4">
        <v>0</v>
      </c>
      <c r="M188" s="4">
        <v>0</v>
      </c>
      <c r="N188" s="4">
        <v>9743.5</v>
      </c>
      <c r="O188" s="4">
        <f>Tab_08.Ago[[#This Row],[DÉBITO]]-Tab_08.Ago[[#This Row],[CRÉDITO]]</f>
        <v>0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A</v>
      </c>
      <c r="E189" s="2">
        <f>IF($I189="","",COUNTIFS(Tab_00.Trial[CONTA],$I189))</f>
        <v>1</v>
      </c>
      <c r="F189" s="4">
        <f>SUMIFS(Tab_07.Jul[SALDO
ATUAL],Tab_07.Jul[CONTA],$I189)</f>
        <v>9743.5</v>
      </c>
      <c r="G189" s="4">
        <f t="shared" si="7"/>
        <v>0</v>
      </c>
      <c r="H189" s="192">
        <v>40300</v>
      </c>
      <c r="I189" s="3" t="s">
        <v>397</v>
      </c>
      <c r="J189" s="3" t="s">
        <v>398</v>
      </c>
      <c r="K189" s="4">
        <v>9743.5</v>
      </c>
      <c r="L189" s="4">
        <v>0</v>
      </c>
      <c r="M189" s="4">
        <v>0</v>
      </c>
      <c r="N189" s="4">
        <v>9743.5</v>
      </c>
      <c r="O189" s="4">
        <f>Tab_08.Ago[[#This Row],[DÉBITO]]-Tab_08.Ago[[#This Row],[CRÉDITO]]</f>
        <v>0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S</v>
      </c>
      <c r="E190" s="2">
        <f>IF($I190="","",COUNTIFS(Tab_00.Trial[CONTA],$I190))</f>
        <v>1</v>
      </c>
      <c r="F190" s="4">
        <f>SUMIFS(Tab_07.Jul[SALDO
ATUAL],Tab_07.Jul[CONTA],$I190)</f>
        <v>245698.97</v>
      </c>
      <c r="G190" s="4">
        <f t="shared" si="7"/>
        <v>0</v>
      </c>
      <c r="H190" s="192">
        <v>40295</v>
      </c>
      <c r="I190" s="3" t="s">
        <v>593</v>
      </c>
      <c r="J190" s="3" t="s">
        <v>711</v>
      </c>
      <c r="K190" s="4">
        <v>245698.97</v>
      </c>
      <c r="L190" s="4">
        <v>38060.959999999999</v>
      </c>
      <c r="M190" s="4">
        <v>0</v>
      </c>
      <c r="N190" s="4">
        <v>283759.93</v>
      </c>
      <c r="O190" s="4">
        <f>Tab_08.Ago[[#This Row],[DÉBITO]]-Tab_08.Ago[[#This Row],[CRÉDITO]]</f>
        <v>38060.959999999999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A</v>
      </c>
      <c r="E191" s="2">
        <f>IF($I191="","",COUNTIFS(Tab_00.Trial[CONTA],$I191))</f>
        <v>1</v>
      </c>
      <c r="F191" s="4">
        <f>SUMIFS(Tab_07.Jul[SALDO
ATUAL],Tab_07.Jul[CONTA],$I191)</f>
        <v>28951.72</v>
      </c>
      <c r="G191" s="4">
        <f t="shared" si="7"/>
        <v>0</v>
      </c>
      <c r="H191" s="192">
        <v>40339</v>
      </c>
      <c r="I191" s="3" t="s">
        <v>403</v>
      </c>
      <c r="J191" s="3" t="s">
        <v>404</v>
      </c>
      <c r="K191" s="4">
        <v>28951.72</v>
      </c>
      <c r="L191" s="4">
        <v>4940.96</v>
      </c>
      <c r="M191" s="4">
        <v>0</v>
      </c>
      <c r="N191" s="4">
        <v>33892.68</v>
      </c>
      <c r="O191" s="4">
        <f>Tab_08.Ago[[#This Row],[DÉBITO]]-Tab_08.Ago[[#This Row],[CRÉDITO]]</f>
        <v>4940.96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A</v>
      </c>
      <c r="E192" s="2">
        <f>IF($I192="","",COUNTIFS(Tab_00.Trial[CONTA],$I192))</f>
        <v>1</v>
      </c>
      <c r="F192" s="4">
        <f>SUMIFS(Tab_07.Jul[SALDO
ATUAL],Tab_07.Jul[CONTA],$I192)</f>
        <v>196382</v>
      </c>
      <c r="G192" s="4">
        <f t="shared" si="7"/>
        <v>0</v>
      </c>
      <c r="H192" s="192">
        <v>40341</v>
      </c>
      <c r="I192" s="3" t="s">
        <v>405</v>
      </c>
      <c r="J192" s="3" t="s">
        <v>406</v>
      </c>
      <c r="K192" s="4">
        <v>196382</v>
      </c>
      <c r="L192" s="4">
        <v>33120</v>
      </c>
      <c r="M192" s="4">
        <v>0</v>
      </c>
      <c r="N192" s="4">
        <v>229502</v>
      </c>
      <c r="O192" s="4">
        <f>Tab_08.Ago[[#This Row],[DÉBITO]]-Tab_08.Ago[[#This Row],[CRÉDITO]]</f>
        <v>33120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5</v>
      </c>
      <c r="D193" s="2" t="str">
        <f>_xlfn.XLOOKUP($I193,Tab_00.Trial[CONTA],Tab_00.Trial[S/A],"",0,1)</f>
        <v>A</v>
      </c>
      <c r="E193" s="2">
        <f>IF($I193="","",COUNTIFS(Tab_00.Trial[CONTA],$I193))</f>
        <v>1</v>
      </c>
      <c r="F193" s="4">
        <f>SUMIFS(Tab_07.Jul[SALDO
ATUAL],Tab_07.Jul[CONTA],$I193)</f>
        <v>20365.25</v>
      </c>
      <c r="G193" s="4">
        <f t="shared" si="7"/>
        <v>0</v>
      </c>
      <c r="H193" s="192">
        <v>40350</v>
      </c>
      <c r="I193" s="3" t="s">
        <v>407</v>
      </c>
      <c r="J193" s="3" t="s">
        <v>408</v>
      </c>
      <c r="K193" s="4">
        <v>20365.25</v>
      </c>
      <c r="L193" s="4">
        <v>0</v>
      </c>
      <c r="M193" s="4">
        <v>0</v>
      </c>
      <c r="N193" s="4">
        <v>20365.25</v>
      </c>
      <c r="O193" s="4">
        <f>Tab_08.Ago[[#This Row],[DÉBITO]]-Tab_08.Ago[[#This Row],[CRÉDITO]]</f>
        <v>0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5</v>
      </c>
      <c r="D194" s="2" t="str">
        <f>_xlfn.XLOOKUP($I194,Tab_00.Trial[CONTA],Tab_00.Trial[S/A],"",0,1)</f>
        <v>S</v>
      </c>
      <c r="E194" s="2">
        <f>IF($I194="","",COUNTIFS(Tab_00.Trial[CONTA],$I194))</f>
        <v>1</v>
      </c>
      <c r="F194" s="4">
        <f>SUMIFS(Tab_07.Jul[SALDO
ATUAL],Tab_07.Jul[CONTA],$I194)</f>
        <v>107138.72</v>
      </c>
      <c r="G194" s="4">
        <f t="shared" si="7"/>
        <v>0</v>
      </c>
      <c r="H194" s="192">
        <v>40353</v>
      </c>
      <c r="I194" s="3" t="s">
        <v>594</v>
      </c>
      <c r="J194" s="3" t="s">
        <v>819</v>
      </c>
      <c r="K194" s="4">
        <v>107138.72</v>
      </c>
      <c r="L194" s="4">
        <v>12769.37</v>
      </c>
      <c r="M194" s="4">
        <v>0</v>
      </c>
      <c r="N194" s="4">
        <v>119908.09</v>
      </c>
      <c r="O194" s="4">
        <f>Tab_08.Ago[[#This Row],[DÉBITO]]-Tab_08.Ago[[#This Row],[CRÉDITO]]</f>
        <v>12769.37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A</v>
      </c>
      <c r="E195" s="2">
        <f>IF($I195="","",COUNTIFS(Tab_00.Trial[CONTA],$I195))</f>
        <v>1</v>
      </c>
      <c r="F195" s="4">
        <f>SUMIFS(Tab_07.Jul[SALDO
ATUAL],Tab_07.Jul[CONTA],$I195)</f>
        <v>300</v>
      </c>
      <c r="G195" s="4">
        <f t="shared" si="7"/>
        <v>0</v>
      </c>
      <c r="H195" s="192">
        <v>40354</v>
      </c>
      <c r="I195" s="3" t="s">
        <v>411</v>
      </c>
      <c r="J195" s="3" t="s">
        <v>412</v>
      </c>
      <c r="K195" s="4">
        <v>300</v>
      </c>
      <c r="L195" s="4">
        <v>0</v>
      </c>
      <c r="M195" s="4">
        <v>0</v>
      </c>
      <c r="N195" s="4">
        <v>300</v>
      </c>
      <c r="O195" s="4">
        <f>Tab_08.Ago[[#This Row],[DÉBITO]]-Tab_08.Ago[[#This Row],[CRÉDITO]]</f>
        <v>0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A</v>
      </c>
      <c r="E196" s="2">
        <f>IF($I196="","",COUNTIFS(Tab_00.Trial[CONTA],$I196))</f>
        <v>1</v>
      </c>
      <c r="F196" s="4">
        <f>SUMIFS(Tab_07.Jul[SALDO
ATUAL],Tab_07.Jul[CONTA],$I196)</f>
        <v>106838.72</v>
      </c>
      <c r="G196" s="4">
        <f t="shared" si="7"/>
        <v>0</v>
      </c>
      <c r="H196" s="192">
        <v>40355</v>
      </c>
      <c r="I196" s="3" t="s">
        <v>413</v>
      </c>
      <c r="J196" s="3" t="s">
        <v>414</v>
      </c>
      <c r="K196" s="4">
        <v>106838.72</v>
      </c>
      <c r="L196" s="4">
        <v>12769.37</v>
      </c>
      <c r="M196" s="4">
        <v>0</v>
      </c>
      <c r="N196" s="4">
        <v>119608.09</v>
      </c>
      <c r="O196" s="4">
        <f>Tab_08.Ago[[#This Row],[DÉBITO]]-Tab_08.Ago[[#This Row],[CRÉDITO]]</f>
        <v>12769.37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5</v>
      </c>
      <c r="D197" s="2" t="str">
        <f>_xlfn.XLOOKUP($I197,Tab_00.Trial[CONTA],Tab_00.Trial[S/A],"",0,1)</f>
        <v>S</v>
      </c>
      <c r="E197" s="2">
        <f>IF($I197="","",COUNTIFS(Tab_00.Trial[CONTA],$I197))</f>
        <v>1</v>
      </c>
      <c r="F197" s="4">
        <f>SUMIFS(Tab_07.Jul[SALDO
ATUAL],Tab_07.Jul[CONTA],$I197)</f>
        <v>4130.1400000000003</v>
      </c>
      <c r="G197" s="4">
        <f t="shared" si="7"/>
        <v>0</v>
      </c>
      <c r="H197" s="192">
        <v>40365</v>
      </c>
      <c r="I197" s="3" t="s">
        <v>595</v>
      </c>
      <c r="J197" s="3" t="s">
        <v>420</v>
      </c>
      <c r="K197" s="4">
        <v>4130.1400000000003</v>
      </c>
      <c r="L197" s="4">
        <v>427.26</v>
      </c>
      <c r="M197" s="4">
        <v>0</v>
      </c>
      <c r="N197" s="4">
        <v>4557.3999999999996</v>
      </c>
      <c r="O197" s="4">
        <f>Tab_08.Ago[[#This Row],[DÉBITO]]-Tab_08.Ago[[#This Row],[CRÉDITO]]</f>
        <v>427.26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5</v>
      </c>
      <c r="D198" s="2" t="str">
        <f>_xlfn.XLOOKUP($I198,Tab_00.Trial[CONTA],Tab_00.Trial[S/A],"",0,1)</f>
        <v>A</v>
      </c>
      <c r="E198" s="2">
        <f>IF($I198="","",COUNTIFS(Tab_00.Trial[CONTA],$I198))</f>
        <v>1</v>
      </c>
      <c r="F198" s="4">
        <f>SUMIFS(Tab_07.Jul[SALDO
ATUAL],Tab_07.Jul[CONTA],$I198)</f>
        <v>4130.1400000000003</v>
      </c>
      <c r="G198" s="4">
        <f t="shared" si="7"/>
        <v>0</v>
      </c>
      <c r="H198" s="192">
        <v>40366</v>
      </c>
      <c r="I198" s="3" t="s">
        <v>419</v>
      </c>
      <c r="J198" s="3" t="s">
        <v>420</v>
      </c>
      <c r="K198" s="4">
        <v>4130.1400000000003</v>
      </c>
      <c r="L198" s="4">
        <v>427.26</v>
      </c>
      <c r="M198" s="4">
        <v>0</v>
      </c>
      <c r="N198" s="4">
        <v>4557.3999999999996</v>
      </c>
      <c r="O198" s="4">
        <f>Tab_08.Ago[[#This Row],[DÉBITO]]-Tab_08.Ago[[#This Row],[CRÉDITO]]</f>
        <v>427.26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5</v>
      </c>
      <c r="D199" s="2" t="str">
        <f>_xlfn.XLOOKUP($I199,Tab_00.Trial[CONTA],Tab_00.Trial[S/A],"",0,1)</f>
        <v>S</v>
      </c>
      <c r="E199" s="2">
        <f>IF($I199="","",COUNTIFS(Tab_00.Trial[CONTA],$I199))</f>
        <v>1</v>
      </c>
      <c r="F199" s="4">
        <f>SUMIFS(Tab_07.Jul[SALDO
ATUAL],Tab_07.Jul[CONTA],$I199)</f>
        <v>4689433.2</v>
      </c>
      <c r="G199" s="4">
        <f t="shared" si="7"/>
        <v>0</v>
      </c>
      <c r="H199" s="192">
        <v>40345</v>
      </c>
      <c r="I199" s="3" t="s">
        <v>237</v>
      </c>
      <c r="J199" s="3" t="s">
        <v>702</v>
      </c>
      <c r="K199" s="4">
        <v>4689433.2</v>
      </c>
      <c r="L199" s="4">
        <v>651841.06999999995</v>
      </c>
      <c r="M199" s="4">
        <v>0</v>
      </c>
      <c r="N199" s="4">
        <v>5341274.2699999996</v>
      </c>
      <c r="O199" s="4">
        <f>Tab_08.Ago[[#This Row],[DÉBITO]]-Tab_08.Ago[[#This Row],[CRÉDITO]]</f>
        <v>651841.06999999995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5</v>
      </c>
      <c r="D200" s="2" t="str">
        <f>_xlfn.XLOOKUP($I200,Tab_00.Trial[CONTA],Tab_00.Trial[S/A],"",0,1)</f>
        <v>S</v>
      </c>
      <c r="E200" s="2">
        <f>IF($I200="","",COUNTIFS(Tab_00.Trial[CONTA],$I200))</f>
        <v>1</v>
      </c>
      <c r="F200" s="4">
        <f>SUMIFS(Tab_07.Jul[SALDO
ATUAL],Tab_07.Jul[CONTA],$I200)</f>
        <v>4689433.2</v>
      </c>
      <c r="G200" s="4">
        <f t="shared" si="7"/>
        <v>0</v>
      </c>
      <c r="H200" s="192">
        <v>40360</v>
      </c>
      <c r="I200" s="3" t="s">
        <v>238</v>
      </c>
      <c r="J200" s="3" t="s">
        <v>820</v>
      </c>
      <c r="K200" s="4">
        <v>4689433.2</v>
      </c>
      <c r="L200" s="4">
        <v>651841.06999999995</v>
      </c>
      <c r="M200" s="4">
        <v>0</v>
      </c>
      <c r="N200" s="4">
        <v>5341274.2699999996</v>
      </c>
      <c r="O200" s="4">
        <f>Tab_08.Ago[[#This Row],[DÉBITO]]-Tab_08.Ago[[#This Row],[CRÉDITO]]</f>
        <v>651841.06999999995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5</v>
      </c>
      <c r="D201" s="2" t="str">
        <f>_xlfn.XLOOKUP($I201,Tab_00.Trial[CONTA],Tab_00.Trial[S/A],"",0,1)</f>
        <v>A</v>
      </c>
      <c r="E201" s="2">
        <f>IF($I201="","",COUNTIFS(Tab_00.Trial[CONTA],$I201))</f>
        <v>1</v>
      </c>
      <c r="F201" s="4">
        <f>SUMIFS(Tab_07.Jul[SALDO
ATUAL],Tab_07.Jul[CONTA],$I201)</f>
        <v>1702436.3</v>
      </c>
      <c r="G201" s="4">
        <f t="shared" ref="G201:G232" si="8">$F201-$K201</f>
        <v>0</v>
      </c>
      <c r="H201" s="192">
        <v>40425</v>
      </c>
      <c r="I201" s="3" t="s">
        <v>421</v>
      </c>
      <c r="J201" s="3" t="s">
        <v>422</v>
      </c>
      <c r="K201" s="4">
        <v>1702436.3</v>
      </c>
      <c r="L201" s="4">
        <v>224690.95</v>
      </c>
      <c r="M201" s="4">
        <v>0</v>
      </c>
      <c r="N201" s="4">
        <v>1927127.25</v>
      </c>
      <c r="O201" s="4">
        <f>Tab_08.Ago[[#This Row],[DÉBITO]]-Tab_08.Ago[[#This Row],[CRÉDITO]]</f>
        <v>224690.95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5</v>
      </c>
      <c r="D202" s="2" t="str">
        <f>_xlfn.XLOOKUP($I202,Tab_00.Trial[CONTA],Tab_00.Trial[S/A],"",0,1)</f>
        <v>A</v>
      </c>
      <c r="E202" s="2">
        <f>IF($I202="","",COUNTIFS(Tab_00.Trial[CONTA],$I202))</f>
        <v>1</v>
      </c>
      <c r="F202" s="4">
        <f>SUMIFS(Tab_07.Jul[SALDO
ATUAL],Tab_07.Jul[CONTA],$I202)</f>
        <v>916108.28</v>
      </c>
      <c r="G202" s="4">
        <f t="shared" si="8"/>
        <v>0</v>
      </c>
      <c r="H202" s="192">
        <v>40468</v>
      </c>
      <c r="I202" s="3" t="s">
        <v>738</v>
      </c>
      <c r="J202" s="3" t="s">
        <v>367</v>
      </c>
      <c r="K202" s="4">
        <v>916108.28</v>
      </c>
      <c r="L202" s="4">
        <v>140098.56</v>
      </c>
      <c r="M202" s="4">
        <v>0</v>
      </c>
      <c r="N202" s="4">
        <v>1056206.8400000001</v>
      </c>
      <c r="O202" s="4">
        <f>Tab_08.Ago[[#This Row],[DÉBITO]]-Tab_08.Ago[[#This Row],[CRÉDITO]]</f>
        <v>140098.56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5</v>
      </c>
      <c r="D203" s="2" t="str">
        <f>_xlfn.XLOOKUP($I203,Tab_00.Trial[CONTA],Tab_00.Trial[S/A],"",0,1)</f>
        <v>A</v>
      </c>
      <c r="E203" s="2">
        <f>IF($I203="","",COUNTIFS(Tab_00.Trial[CONTA],$I203))</f>
        <v>1</v>
      </c>
      <c r="F203" s="4">
        <f>SUMIFS(Tab_07.Jul[SALDO
ATUAL],Tab_07.Jul[CONTA],$I203)</f>
        <v>2070888.62</v>
      </c>
      <c r="G203" s="4">
        <f t="shared" si="8"/>
        <v>0</v>
      </c>
      <c r="H203" s="192">
        <v>40469</v>
      </c>
      <c r="I203" s="3" t="s">
        <v>423</v>
      </c>
      <c r="J203" s="3" t="s">
        <v>424</v>
      </c>
      <c r="K203" s="4">
        <v>2070888.62</v>
      </c>
      <c r="L203" s="4">
        <v>287051.56</v>
      </c>
      <c r="M203" s="4">
        <v>0</v>
      </c>
      <c r="N203" s="4">
        <v>2357940.1800000002</v>
      </c>
      <c r="O203" s="4">
        <f>Tab_08.Ago[[#This Row],[DÉBITO]]-Tab_08.Ago[[#This Row],[CRÉDITO]]</f>
        <v>287051.56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2</v>
      </c>
      <c r="D204" s="2" t="str">
        <f>_xlfn.XLOOKUP($I204,Tab_00.Trial[CONTA],Tab_00.Trial[S/A],"",0,1)</f>
        <v>S</v>
      </c>
      <c r="E204" s="2">
        <f>IF($I204="","",COUNTIFS(Tab_00.Trial[CONTA],$I204))</f>
        <v>1</v>
      </c>
      <c r="F204" s="4">
        <f>SUMIFS(Tab_07.Jul[SALDO
ATUAL],Tab_07.Jul[CONTA],$I204)</f>
        <v>16.170000000000002</v>
      </c>
      <c r="G204" s="4">
        <f t="shared" si="8"/>
        <v>0</v>
      </c>
      <c r="H204" s="192">
        <v>40590</v>
      </c>
      <c r="I204" s="182" t="s">
        <v>596</v>
      </c>
      <c r="J204" s="182" t="s">
        <v>680</v>
      </c>
      <c r="K204" s="4">
        <v>16.170000000000002</v>
      </c>
      <c r="L204" s="4">
        <v>0</v>
      </c>
      <c r="M204" s="4">
        <v>0</v>
      </c>
      <c r="N204" s="4">
        <v>16.170000000000002</v>
      </c>
      <c r="O204" s="4">
        <f>Tab_08.Ago[[#This Row],[DÉBITO]]-Tab_08.Ago[[#This Row],[CRÉDITO]]</f>
        <v>0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5</v>
      </c>
      <c r="D205" s="2" t="str">
        <f>_xlfn.XLOOKUP($I205,Tab_00.Trial[CONTA],Tab_00.Trial[S/A],"",0,1)</f>
        <v>S</v>
      </c>
      <c r="E205" s="2">
        <f>IF($I205="","",COUNTIFS(Tab_00.Trial[CONTA],$I205))</f>
        <v>1</v>
      </c>
      <c r="F205" s="4">
        <f>SUMIFS(Tab_07.Jul[SALDO
ATUAL],Tab_07.Jul[CONTA],$I205)</f>
        <v>16.170000000000002</v>
      </c>
      <c r="G205" s="4">
        <f t="shared" si="8"/>
        <v>0</v>
      </c>
      <c r="H205" s="192">
        <v>40600</v>
      </c>
      <c r="I205" s="182" t="s">
        <v>597</v>
      </c>
      <c r="J205" s="182" t="s">
        <v>703</v>
      </c>
      <c r="K205" s="4">
        <v>16.170000000000002</v>
      </c>
      <c r="L205" s="4">
        <v>0</v>
      </c>
      <c r="M205" s="4">
        <v>0</v>
      </c>
      <c r="N205" s="4">
        <v>16.170000000000002</v>
      </c>
      <c r="O205" s="4">
        <f>Tab_08.Ago[[#This Row],[DÉBITO]]-Tab_08.Ago[[#This Row],[CRÉDITO]]</f>
        <v>0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5</v>
      </c>
      <c r="D206" s="2" t="str">
        <f>_xlfn.XLOOKUP($I206,Tab_00.Trial[CONTA],Tab_00.Trial[S/A],"",0,1)</f>
        <v>S</v>
      </c>
      <c r="E206" s="2">
        <f>IF($I206="","",COUNTIFS(Tab_00.Trial[CONTA],$I206))</f>
        <v>1</v>
      </c>
      <c r="F206" s="4">
        <f>SUMIFS(Tab_07.Jul[SALDO
ATUAL],Tab_07.Jul[CONTA],$I206)</f>
        <v>16.170000000000002</v>
      </c>
      <c r="G206" s="4">
        <f t="shared" si="8"/>
        <v>0</v>
      </c>
      <c r="H206" s="192">
        <v>40615</v>
      </c>
      <c r="I206" s="3" t="s">
        <v>598</v>
      </c>
      <c r="J206" s="3" t="s">
        <v>704</v>
      </c>
      <c r="K206" s="4">
        <v>16.170000000000002</v>
      </c>
      <c r="L206" s="4">
        <v>0</v>
      </c>
      <c r="M206" s="4">
        <v>0</v>
      </c>
      <c r="N206" s="4">
        <v>16.170000000000002</v>
      </c>
      <c r="O206" s="4">
        <f>Tab_08.Ago[[#This Row],[DÉBITO]]-Tab_08.Ago[[#This Row],[CRÉDITO]]</f>
        <v>0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5</v>
      </c>
      <c r="D207" s="2" t="str">
        <f>_xlfn.XLOOKUP($I207,Tab_00.Trial[CONTA],Tab_00.Trial[S/A],"",0,1)</f>
        <v>A</v>
      </c>
      <c r="E207" s="2">
        <f>IF($I207="","",COUNTIFS(Tab_00.Trial[CONTA],$I207))</f>
        <v>1</v>
      </c>
      <c r="F207" s="4">
        <f>SUMIFS(Tab_07.Jul[SALDO
ATUAL],Tab_07.Jul[CONTA],$I207)</f>
        <v>16.170000000000002</v>
      </c>
      <c r="G207" s="4">
        <f t="shared" si="8"/>
        <v>0</v>
      </c>
      <c r="H207" s="192">
        <v>40620</v>
      </c>
      <c r="I207" s="3" t="s">
        <v>425</v>
      </c>
      <c r="J207" s="3" t="s">
        <v>426</v>
      </c>
      <c r="K207" s="4">
        <v>16.170000000000002</v>
      </c>
      <c r="L207" s="4">
        <v>0</v>
      </c>
      <c r="M207" s="4">
        <v>0</v>
      </c>
      <c r="N207" s="4">
        <v>16.170000000000002</v>
      </c>
      <c r="O207" s="4">
        <f>Tab_08.Ago[[#This Row],[DÉBITO]]-Tab_08.Ago[[#This Row],[CRÉDITO]]</f>
        <v>0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1</v>
      </c>
      <c r="D208" s="2" t="str">
        <f>_xlfn.XLOOKUP($I208,Tab_00.Trial[CONTA],Tab_00.Trial[S/A],"",0,1)</f>
        <v>S</v>
      </c>
      <c r="E208" s="2">
        <f>IF($I208="","",COUNTIFS(Tab_00.Trial[CONTA],$I208))</f>
        <v>1</v>
      </c>
      <c r="F208" s="4">
        <f>SUMIFS(Tab_07.Jul[SALDO
ATUAL],Tab_07.Jul[CONTA],$I208)</f>
        <v>2037713.18</v>
      </c>
      <c r="G208" s="4">
        <f t="shared" si="8"/>
        <v>0</v>
      </c>
      <c r="H208" s="192">
        <v>50000</v>
      </c>
      <c r="I208" s="3">
        <v>5</v>
      </c>
      <c r="J208" s="3" t="s">
        <v>705</v>
      </c>
      <c r="K208" s="4">
        <v>2037713.18</v>
      </c>
      <c r="L208" s="4">
        <v>277904.71999999997</v>
      </c>
      <c r="M208" s="4">
        <v>11315.63</v>
      </c>
      <c r="N208" s="4">
        <v>2304302.27</v>
      </c>
      <c r="O208" s="4">
        <f>Tab_08.Ago[[#This Row],[DÉBITO]]-Tab_08.Ago[[#This Row],[CRÉDITO]]</f>
        <v>266589.09000000003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2</v>
      </c>
      <c r="D209" s="2" t="str">
        <f>_xlfn.XLOOKUP($I209,Tab_00.Trial[CONTA],Tab_00.Trial[S/A],"",0,1)</f>
        <v>S</v>
      </c>
      <c r="E209" s="2">
        <f>IF($I209="","",COUNTIFS(Tab_00.Trial[CONTA],$I209))</f>
        <v>1</v>
      </c>
      <c r="F209" s="4">
        <f>SUMIFS(Tab_07.Jul[SALDO
ATUAL],Tab_07.Jul[CONTA],$I209)</f>
        <v>2037497.18</v>
      </c>
      <c r="G209" s="4">
        <f t="shared" si="8"/>
        <v>0</v>
      </c>
      <c r="H209" s="192">
        <v>50015</v>
      </c>
      <c r="I209" s="3" t="s">
        <v>599</v>
      </c>
      <c r="J209" s="3" t="s">
        <v>821</v>
      </c>
      <c r="K209" s="4">
        <v>2037497.18</v>
      </c>
      <c r="L209" s="4">
        <v>277904.71999999997</v>
      </c>
      <c r="M209" s="4">
        <v>11315.63</v>
      </c>
      <c r="N209" s="4">
        <v>2304086.27</v>
      </c>
      <c r="O209" s="4">
        <f>Tab_08.Ago[[#This Row],[DÉBITO]]-Tab_08.Ago[[#This Row],[CRÉDITO]]</f>
        <v>266589.09000000003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5</v>
      </c>
      <c r="D210" s="2" t="str">
        <f>_xlfn.XLOOKUP($I210,Tab_00.Trial[CONTA],Tab_00.Trial[S/A],"",0,1)</f>
        <v>S</v>
      </c>
      <c r="E210" s="2">
        <f>IF($I210="","",COUNTIFS(Tab_00.Trial[CONTA],$I210))</f>
        <v>1</v>
      </c>
      <c r="F210" s="4">
        <f>SUMIFS(Tab_07.Jul[SALDO
ATUAL],Tab_07.Jul[CONTA],$I210)</f>
        <v>804141.97</v>
      </c>
      <c r="G210" s="4">
        <f t="shared" si="8"/>
        <v>0</v>
      </c>
      <c r="H210" s="192">
        <v>50030</v>
      </c>
      <c r="I210" s="3" t="s">
        <v>600</v>
      </c>
      <c r="J210" s="3" t="s">
        <v>706</v>
      </c>
      <c r="K210" s="4">
        <v>804141.97</v>
      </c>
      <c r="L210" s="4">
        <v>89261.95</v>
      </c>
      <c r="M210" s="4">
        <v>11315.63</v>
      </c>
      <c r="N210" s="4">
        <v>882088.29</v>
      </c>
      <c r="O210" s="4">
        <f>Tab_08.Ago[[#This Row],[DÉBITO]]-Tab_08.Ago[[#This Row],[CRÉDITO]]</f>
        <v>77946.320000000007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5</v>
      </c>
      <c r="D211" s="2" t="str">
        <f>_xlfn.XLOOKUP($I211,Tab_00.Trial[CONTA],Tab_00.Trial[S/A],"",0,1)</f>
        <v>S</v>
      </c>
      <c r="E211" s="2">
        <f>IF($I211="","",COUNTIFS(Tab_00.Trial[CONTA],$I211))</f>
        <v>1</v>
      </c>
      <c r="F211" s="4">
        <f>SUMIFS(Tab_07.Jul[SALDO
ATUAL],Tab_07.Jul[CONTA],$I211)</f>
        <v>504393.81</v>
      </c>
      <c r="G211" s="4">
        <f t="shared" si="8"/>
        <v>0</v>
      </c>
      <c r="H211" s="192">
        <v>50045</v>
      </c>
      <c r="I211" s="3" t="s">
        <v>601</v>
      </c>
      <c r="J211" s="3" t="s">
        <v>707</v>
      </c>
      <c r="K211" s="4">
        <v>504393.81</v>
      </c>
      <c r="L211" s="4">
        <v>71595.8</v>
      </c>
      <c r="M211" s="4">
        <v>10209.1</v>
      </c>
      <c r="N211" s="4">
        <v>565780.51</v>
      </c>
      <c r="O211" s="4">
        <f>Tab_08.Ago[[#This Row],[DÉBITO]]-Tab_08.Ago[[#This Row],[CRÉDITO]]</f>
        <v>61386.7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A</v>
      </c>
      <c r="E212" s="2">
        <f>IF($I212="","",COUNTIFS(Tab_00.Trial[CONTA],$I212))</f>
        <v>1</v>
      </c>
      <c r="F212" s="4">
        <f>SUMIFS(Tab_07.Jul[SALDO
ATUAL],Tab_07.Jul[CONTA],$I212)</f>
        <v>313429.03000000003</v>
      </c>
      <c r="G212" s="4">
        <f t="shared" si="8"/>
        <v>0</v>
      </c>
      <c r="H212" s="192">
        <v>50060</v>
      </c>
      <c r="I212" s="3" t="s">
        <v>441</v>
      </c>
      <c r="J212" s="3" t="s">
        <v>427</v>
      </c>
      <c r="K212" s="4">
        <v>313429.03000000003</v>
      </c>
      <c r="L212" s="4">
        <v>56709.35</v>
      </c>
      <c r="M212" s="4">
        <v>10152.08</v>
      </c>
      <c r="N212" s="4">
        <v>359986.3</v>
      </c>
      <c r="O212" s="4">
        <f>Tab_08.Ago[[#This Row],[DÉBITO]]-Tab_08.Ago[[#This Row],[CRÉDITO]]</f>
        <v>46557.27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A</v>
      </c>
      <c r="E213" s="2">
        <f>IF($I213="","",COUNTIFS(Tab_00.Trial[CONTA],$I213))</f>
        <v>1</v>
      </c>
      <c r="F213" s="4">
        <f>SUMIFS(Tab_07.Jul[SALDO
ATUAL],Tab_07.Jul[CONTA],$I213)</f>
        <v>43165.37</v>
      </c>
      <c r="G213" s="4">
        <f t="shared" si="8"/>
        <v>0</v>
      </c>
      <c r="H213" s="192">
        <v>50090</v>
      </c>
      <c r="I213" s="3" t="s">
        <v>443</v>
      </c>
      <c r="J213" s="3" t="s">
        <v>431</v>
      </c>
      <c r="K213" s="4">
        <v>43165.37</v>
      </c>
      <c r="L213" s="4">
        <v>7090.46</v>
      </c>
      <c r="M213" s="4">
        <v>0</v>
      </c>
      <c r="N213" s="4">
        <v>50255.83</v>
      </c>
      <c r="O213" s="4">
        <f>Tab_08.Ago[[#This Row],[DÉBITO]]-Tab_08.Ago[[#This Row],[CRÉDITO]]</f>
        <v>7090.46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5</v>
      </c>
      <c r="D214" s="2" t="str">
        <f>_xlfn.XLOOKUP($I214,Tab_00.Trial[CONTA],Tab_00.Trial[S/A],"",0,1)</f>
        <v>A</v>
      </c>
      <c r="E214" s="2">
        <f>IF($I214="","",COUNTIFS(Tab_00.Trial[CONTA],$I214))</f>
        <v>1</v>
      </c>
      <c r="F214" s="4">
        <f>SUMIFS(Tab_07.Jul[SALDO
ATUAL],Tab_07.Jul[CONTA],$I214)</f>
        <v>34122.18</v>
      </c>
      <c r="G214" s="4">
        <f t="shared" si="8"/>
        <v>0</v>
      </c>
      <c r="H214" s="192">
        <v>50105</v>
      </c>
      <c r="I214" s="3" t="s">
        <v>444</v>
      </c>
      <c r="J214" s="3" t="s">
        <v>433</v>
      </c>
      <c r="K214" s="4">
        <v>34122.18</v>
      </c>
      <c r="L214" s="4">
        <v>4247.7</v>
      </c>
      <c r="M214" s="4">
        <v>0</v>
      </c>
      <c r="N214" s="4">
        <v>38369.879999999997</v>
      </c>
      <c r="O214" s="4">
        <f>Tab_08.Ago[[#This Row],[DÉBITO]]-Tab_08.Ago[[#This Row],[CRÉDITO]]</f>
        <v>4247.7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A</v>
      </c>
      <c r="E215" s="2">
        <f>IF($I215="","",COUNTIFS(Tab_00.Trial[CONTA],$I215))</f>
        <v>1</v>
      </c>
      <c r="F215" s="4">
        <f>SUMIFS(Tab_07.Jul[SALDO
ATUAL],Tab_07.Jul[CONTA],$I215)</f>
        <v>85959.77</v>
      </c>
      <c r="G215" s="4">
        <f t="shared" si="8"/>
        <v>0</v>
      </c>
      <c r="H215" s="192">
        <v>50120</v>
      </c>
      <c r="I215" s="3" t="s">
        <v>775</v>
      </c>
      <c r="J215" s="3" t="s">
        <v>749</v>
      </c>
      <c r="K215" s="4">
        <v>85959.77</v>
      </c>
      <c r="L215" s="4">
        <v>0</v>
      </c>
      <c r="M215" s="4">
        <v>0</v>
      </c>
      <c r="N215" s="4">
        <v>85959.77</v>
      </c>
      <c r="O215" s="4">
        <f>Tab_08.Ago[[#This Row],[DÉBITO]]-Tab_08.Ago[[#This Row],[CRÉDITO]]</f>
        <v>0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A</v>
      </c>
      <c r="E216" s="2">
        <f>IF($I216="","",COUNTIFS(Tab_00.Trial[CONTA],$I216))</f>
        <v>1</v>
      </c>
      <c r="F216" s="4">
        <f>SUMIFS(Tab_07.Jul[SALDO
ATUAL],Tab_07.Jul[CONTA],$I216)</f>
        <v>476.67</v>
      </c>
      <c r="G216" s="4">
        <f t="shared" si="8"/>
        <v>0</v>
      </c>
      <c r="H216" s="192">
        <v>50205</v>
      </c>
      <c r="I216" s="3" t="s">
        <v>447</v>
      </c>
      <c r="J216" s="3" t="s">
        <v>448</v>
      </c>
      <c r="K216" s="4">
        <v>476.67</v>
      </c>
      <c r="L216" s="4">
        <v>0</v>
      </c>
      <c r="M216" s="4">
        <v>0</v>
      </c>
      <c r="N216" s="4">
        <v>476.67</v>
      </c>
      <c r="O216" s="4">
        <f>Tab_08.Ago[[#This Row],[DÉBITO]]-Tab_08.Ago[[#This Row],[CRÉDITO]]</f>
        <v>0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A</v>
      </c>
      <c r="E217" s="2">
        <f>IF($I217="","",COUNTIFS(Tab_00.Trial[CONTA],$I217))</f>
        <v>1</v>
      </c>
      <c r="F217" s="4">
        <f>SUMIFS(Tab_07.Jul[SALDO
ATUAL],Tab_07.Jul[CONTA],$I217)</f>
        <v>5777.27</v>
      </c>
      <c r="G217" s="4">
        <f t="shared" si="8"/>
        <v>0</v>
      </c>
      <c r="H217" s="192">
        <v>10167</v>
      </c>
      <c r="I217" s="3" t="s">
        <v>802</v>
      </c>
      <c r="J217" s="3" t="s">
        <v>791</v>
      </c>
      <c r="K217" s="4">
        <v>5777.27</v>
      </c>
      <c r="L217" s="4">
        <v>1517.83</v>
      </c>
      <c r="M217" s="4">
        <v>0</v>
      </c>
      <c r="N217" s="4">
        <v>7295.1</v>
      </c>
      <c r="O217" s="4">
        <f>Tab_08.Ago[[#This Row],[DÉBITO]]-Tab_08.Ago[[#This Row],[CRÉDITO]]</f>
        <v>1517.83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A</v>
      </c>
      <c r="E218" s="2">
        <f>IF($I218="","",COUNTIFS(Tab_00.Trial[CONTA],$I218))</f>
        <v>1</v>
      </c>
      <c r="F218" s="4">
        <f>SUMIFS(Tab_07.Jul[SALDO
ATUAL],Tab_07.Jul[CONTA],$I218)</f>
        <v>11147.53</v>
      </c>
      <c r="G218" s="4">
        <f t="shared" si="8"/>
        <v>0</v>
      </c>
      <c r="H218" s="192">
        <v>10174</v>
      </c>
      <c r="I218" s="3" t="s">
        <v>803</v>
      </c>
      <c r="J218" s="3" t="s">
        <v>793</v>
      </c>
      <c r="K218" s="4">
        <v>11147.53</v>
      </c>
      <c r="L218" s="4">
        <v>453.09</v>
      </c>
      <c r="M218" s="4">
        <v>0</v>
      </c>
      <c r="N218" s="4">
        <v>11600.62</v>
      </c>
      <c r="O218" s="4">
        <f>Tab_08.Ago[[#This Row],[DÉBITO]]-Tab_08.Ago[[#This Row],[CRÉDITO]]</f>
        <v>453.09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A</v>
      </c>
      <c r="E219" s="2">
        <f>IF($I219="","",COUNTIFS(Tab_00.Trial[CONTA],$I219))</f>
        <v>1</v>
      </c>
      <c r="F219" s="4">
        <f>SUMIFS(Tab_07.Jul[SALDO
ATUAL],Tab_07.Jul[CONTA],$I219)</f>
        <v>224.51</v>
      </c>
      <c r="G219" s="4">
        <f t="shared" si="8"/>
        <v>0</v>
      </c>
      <c r="H219" s="192">
        <v>10181</v>
      </c>
      <c r="I219" s="3" t="s">
        <v>804</v>
      </c>
      <c r="J219" s="3" t="s">
        <v>795</v>
      </c>
      <c r="K219" s="4">
        <v>224.51</v>
      </c>
      <c r="L219" s="4">
        <v>56.62</v>
      </c>
      <c r="M219" s="4">
        <v>57.02</v>
      </c>
      <c r="N219" s="4">
        <v>224.11</v>
      </c>
      <c r="O219" s="4">
        <f>Tab_08.Ago[[#This Row],[DÉBITO]]-Tab_08.Ago[[#This Row],[CRÉDITO]]</f>
        <v>-0.4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A</v>
      </c>
      <c r="E220" s="2">
        <f>IF($I220="","",COUNTIFS(Tab_00.Trial[CONTA],$I220))</f>
        <v>1</v>
      </c>
      <c r="F220" s="4">
        <f>SUMIFS(Tab_07.Jul[SALDO
ATUAL],Tab_07.Jul[CONTA],$I220)</f>
        <v>7544.94</v>
      </c>
      <c r="G220" s="4">
        <f t="shared" si="8"/>
        <v>0</v>
      </c>
      <c r="H220" s="192">
        <v>10188</v>
      </c>
      <c r="I220" s="3" t="s">
        <v>805</v>
      </c>
      <c r="J220" s="3" t="s">
        <v>797</v>
      </c>
      <c r="K220" s="4">
        <v>7544.94</v>
      </c>
      <c r="L220" s="4">
        <v>1138.44</v>
      </c>
      <c r="M220" s="4">
        <v>0</v>
      </c>
      <c r="N220" s="4">
        <v>8683.3799999999992</v>
      </c>
      <c r="O220" s="4">
        <f>Tab_08.Ago[[#This Row],[DÉBITO]]-Tab_08.Ago[[#This Row],[CRÉDITO]]</f>
        <v>1138.44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A</v>
      </c>
      <c r="E221" s="2">
        <f>IF($I221="","",COUNTIFS(Tab_00.Trial[CONTA],$I221))</f>
        <v>1</v>
      </c>
      <c r="F221" s="4">
        <f>SUMIFS(Tab_07.Jul[SALDO
ATUAL],Tab_07.Jul[CONTA],$I221)</f>
        <v>2252.1799999999998</v>
      </c>
      <c r="G221" s="4">
        <f t="shared" si="8"/>
        <v>0</v>
      </c>
      <c r="H221" s="192">
        <v>10202</v>
      </c>
      <c r="I221" s="3" t="s">
        <v>806</v>
      </c>
      <c r="J221" s="3" t="s">
        <v>799</v>
      </c>
      <c r="K221" s="4">
        <v>2252.1799999999998</v>
      </c>
      <c r="L221" s="4">
        <v>339.81</v>
      </c>
      <c r="M221" s="4">
        <v>0</v>
      </c>
      <c r="N221" s="4">
        <v>2591.9899999999998</v>
      </c>
      <c r="O221" s="4">
        <f>Tab_08.Ago[[#This Row],[DÉBITO]]-Tab_08.Ago[[#This Row],[CRÉDITO]]</f>
        <v>339.81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A</v>
      </c>
      <c r="E222" s="2">
        <f>IF($I222="","",COUNTIFS(Tab_00.Trial[CONTA],$I222))</f>
        <v>1</v>
      </c>
      <c r="F222" s="4">
        <f>SUMIFS(Tab_07.Jul[SALDO
ATUAL],Tab_07.Jul[CONTA],$I222)</f>
        <v>294.36</v>
      </c>
      <c r="G222" s="4">
        <f t="shared" si="8"/>
        <v>0</v>
      </c>
      <c r="H222" s="192">
        <v>10209</v>
      </c>
      <c r="I222" s="3" t="s">
        <v>807</v>
      </c>
      <c r="J222" s="3" t="s">
        <v>801</v>
      </c>
      <c r="K222" s="4">
        <v>294.36</v>
      </c>
      <c r="L222" s="4">
        <v>42.5</v>
      </c>
      <c r="M222" s="4">
        <v>0</v>
      </c>
      <c r="N222" s="4">
        <v>336.86</v>
      </c>
      <c r="O222" s="4">
        <f>Tab_08.Ago[[#This Row],[DÉBITO]]-Tab_08.Ago[[#This Row],[CRÉDITO]]</f>
        <v>42.5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S</v>
      </c>
      <c r="E223" s="2">
        <f>IF($I223="","",COUNTIFS(Tab_00.Trial[CONTA],$I223))</f>
        <v>1</v>
      </c>
      <c r="F223" s="4">
        <f>SUMIFS(Tab_07.Jul[SALDO
ATUAL],Tab_07.Jul[CONTA],$I223)</f>
        <v>1014</v>
      </c>
      <c r="G223" s="4">
        <f t="shared" si="8"/>
        <v>0</v>
      </c>
      <c r="H223" s="192">
        <v>50150</v>
      </c>
      <c r="I223" s="3" t="s">
        <v>602</v>
      </c>
      <c r="J223" s="3" t="s">
        <v>708</v>
      </c>
      <c r="K223" s="4">
        <v>1014</v>
      </c>
      <c r="L223" s="4">
        <v>1492.69</v>
      </c>
      <c r="M223" s="4">
        <v>1106.53</v>
      </c>
      <c r="N223" s="4">
        <v>1400.16</v>
      </c>
      <c r="O223" s="4">
        <f>Tab_08.Ago[[#This Row],[DÉBITO]]-Tab_08.Ago[[#This Row],[CRÉDITO]]</f>
        <v>386.16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A</v>
      </c>
      <c r="E224" s="2">
        <f>IF($I224="","",COUNTIFS(Tab_00.Trial[CONTA],$I224))</f>
        <v>1</v>
      </c>
      <c r="F224" s="4">
        <f>SUMIFS(Tab_07.Jul[SALDO
ATUAL],Tab_07.Jul[CONTA],$I224)</f>
        <v>0</v>
      </c>
      <c r="G224" s="4">
        <f t="shared" si="8"/>
        <v>0</v>
      </c>
      <c r="H224" s="192">
        <v>50165</v>
      </c>
      <c r="I224" s="3" t="s">
        <v>772</v>
      </c>
      <c r="J224" s="3" t="s">
        <v>435</v>
      </c>
      <c r="K224" s="4">
        <v>0</v>
      </c>
      <c r="L224" s="4">
        <v>734.28</v>
      </c>
      <c r="M224" s="4">
        <v>734.28</v>
      </c>
      <c r="N224" s="4">
        <v>0</v>
      </c>
      <c r="O224" s="4">
        <f>Tab_08.Ago[[#This Row],[DÉBITO]]-Tab_08.Ago[[#This Row],[CRÉDITO]]</f>
        <v>0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A</v>
      </c>
      <c r="E225" s="2">
        <f>IF($I225="","",COUNTIFS(Tab_00.Trial[CONTA],$I225))</f>
        <v>1</v>
      </c>
      <c r="F225" s="4">
        <f>SUMIFS(Tab_07.Jul[SALDO
ATUAL],Tab_07.Jul[CONTA],$I225)</f>
        <v>0</v>
      </c>
      <c r="G225" s="4">
        <f t="shared" si="8"/>
        <v>0</v>
      </c>
      <c r="H225" s="192">
        <v>50195</v>
      </c>
      <c r="I225" s="3" t="s">
        <v>773</v>
      </c>
      <c r="J225" s="3" t="s">
        <v>751</v>
      </c>
      <c r="K225" s="4">
        <v>0</v>
      </c>
      <c r="L225" s="4">
        <v>758.41</v>
      </c>
      <c r="M225" s="4">
        <v>372.25</v>
      </c>
      <c r="N225" s="4">
        <v>386.16</v>
      </c>
      <c r="O225" s="4">
        <f>Tab_08.Ago[[#This Row],[DÉBITO]]-Tab_08.Ago[[#This Row],[CRÉDITO]]</f>
        <v>386.16</v>
      </c>
    </row>
    <row r="226" spans="2:15" x14ac:dyDescent="0.3">
      <c r="B226" s="2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A</v>
      </c>
      <c r="E226" s="2">
        <f>IF($I226="","",COUNTIFS(Tab_00.Trial[CONTA],$I226))</f>
        <v>1</v>
      </c>
      <c r="F226" s="4">
        <f>SUMIFS(Tab_07.Jul[SALDO
ATUAL],Tab_07.Jul[CONTA],$I226)</f>
        <v>1014</v>
      </c>
      <c r="G226" s="4">
        <f t="shared" si="8"/>
        <v>0</v>
      </c>
      <c r="H226" s="192">
        <v>50211</v>
      </c>
      <c r="I226" s="3" t="s">
        <v>455</v>
      </c>
      <c r="J226" s="3" t="s">
        <v>456</v>
      </c>
      <c r="K226" s="4">
        <v>1014</v>
      </c>
      <c r="L226" s="4">
        <v>0</v>
      </c>
      <c r="M226" s="4">
        <v>0</v>
      </c>
      <c r="N226" s="4">
        <v>1014</v>
      </c>
      <c r="O226" s="4">
        <f>Tab_08.Ago[[#This Row],[DÉBITO]]-Tab_08.Ago[[#This Row],[CRÉDITO]]</f>
        <v>0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S</v>
      </c>
      <c r="E227" s="2">
        <f>IF($I227="","",COUNTIFS(Tab_00.Trial[CONTA],$I227))</f>
        <v>1</v>
      </c>
      <c r="F227" s="4">
        <f>SUMIFS(Tab_07.Jul[SALDO
ATUAL],Tab_07.Jul[CONTA],$I227)</f>
        <v>297189.15999999997</v>
      </c>
      <c r="G227" s="4">
        <f t="shared" si="8"/>
        <v>0</v>
      </c>
      <c r="H227" s="192">
        <v>50215</v>
      </c>
      <c r="I227" s="3" t="s">
        <v>603</v>
      </c>
      <c r="J227" s="3" t="s">
        <v>709</v>
      </c>
      <c r="K227" s="4">
        <v>297189.15999999997</v>
      </c>
      <c r="L227" s="4">
        <v>15983.46</v>
      </c>
      <c r="M227" s="4">
        <v>0</v>
      </c>
      <c r="N227" s="4">
        <v>313172.62</v>
      </c>
      <c r="O227" s="4">
        <f>Tab_08.Ago[[#This Row],[DÉBITO]]-Tab_08.Ago[[#This Row],[CRÉDITO]]</f>
        <v>15983.46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A</v>
      </c>
      <c r="E228" s="2">
        <f>IF($I228="","",COUNTIFS(Tab_00.Trial[CONTA],$I228))</f>
        <v>1</v>
      </c>
      <c r="F228" s="4">
        <f>SUMIFS(Tab_07.Jul[SALDO
ATUAL],Tab_07.Jul[CONTA],$I228)</f>
        <v>84624.5</v>
      </c>
      <c r="G228" s="4">
        <f t="shared" si="8"/>
        <v>0</v>
      </c>
      <c r="H228" s="192">
        <v>50225</v>
      </c>
      <c r="I228" s="3" t="s">
        <v>451</v>
      </c>
      <c r="J228" s="3" t="s">
        <v>437</v>
      </c>
      <c r="K228" s="4">
        <v>84624.5</v>
      </c>
      <c r="L228" s="4">
        <v>11961.36</v>
      </c>
      <c r="M228" s="4">
        <v>0</v>
      </c>
      <c r="N228" s="4">
        <v>96585.86</v>
      </c>
      <c r="O228" s="4">
        <f>Tab_08.Ago[[#This Row],[DÉBITO]]-Tab_08.Ago[[#This Row],[CRÉDITO]]</f>
        <v>11961.36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A</v>
      </c>
      <c r="E229" s="2">
        <f>IF($I229="","",COUNTIFS(Tab_00.Trial[CONTA],$I229))</f>
        <v>1</v>
      </c>
      <c r="F229" s="4">
        <f>SUMIFS(Tab_07.Jul[SALDO
ATUAL],Tab_07.Jul[CONTA],$I229)</f>
        <v>209407.02</v>
      </c>
      <c r="G229" s="4">
        <f t="shared" si="8"/>
        <v>0</v>
      </c>
      <c r="H229" s="192">
        <v>50240</v>
      </c>
      <c r="I229" s="3" t="s">
        <v>452</v>
      </c>
      <c r="J229" s="3" t="s">
        <v>196</v>
      </c>
      <c r="K229" s="4">
        <v>209407.02</v>
      </c>
      <c r="L229" s="4">
        <v>3575.19</v>
      </c>
      <c r="M229" s="4">
        <v>0</v>
      </c>
      <c r="N229" s="4">
        <v>212982.21</v>
      </c>
      <c r="O229" s="4">
        <f>Tab_08.Ago[[#This Row],[DÉBITO]]-Tab_08.Ago[[#This Row],[CRÉDITO]]</f>
        <v>3575.19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A</v>
      </c>
      <c r="E230" s="2">
        <f>IF($I230="","",COUNTIFS(Tab_00.Trial[CONTA],$I230))</f>
        <v>1</v>
      </c>
      <c r="F230" s="4">
        <f>SUMIFS(Tab_07.Jul[SALDO
ATUAL],Tab_07.Jul[CONTA],$I230)</f>
        <v>3157.64</v>
      </c>
      <c r="G230" s="4">
        <f t="shared" si="8"/>
        <v>0</v>
      </c>
      <c r="H230" s="192">
        <v>50255</v>
      </c>
      <c r="I230" s="3" t="s">
        <v>453</v>
      </c>
      <c r="J230" s="3" t="s">
        <v>454</v>
      </c>
      <c r="K230" s="4">
        <v>3157.64</v>
      </c>
      <c r="L230" s="4">
        <v>446.91</v>
      </c>
      <c r="M230" s="4">
        <v>0</v>
      </c>
      <c r="N230" s="4">
        <v>3604.55</v>
      </c>
      <c r="O230" s="4">
        <f>Tab_08.Ago[[#This Row],[DÉBITO]]-Tab_08.Ago[[#This Row],[CRÉDITO]]</f>
        <v>446.91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S</v>
      </c>
      <c r="E231" s="2">
        <f>IF($I231="","",COUNTIFS(Tab_00.Trial[CONTA],$I231))</f>
        <v>1</v>
      </c>
      <c r="F231" s="4">
        <f>SUMIFS(Tab_07.Jul[SALDO
ATUAL],Tab_07.Jul[CONTA],$I231)</f>
        <v>1545</v>
      </c>
      <c r="G231" s="4">
        <f t="shared" si="8"/>
        <v>0</v>
      </c>
      <c r="H231" s="192">
        <v>50290</v>
      </c>
      <c r="I231" s="3" t="s">
        <v>604</v>
      </c>
      <c r="J231" s="3" t="s">
        <v>710</v>
      </c>
      <c r="K231" s="4">
        <v>1545</v>
      </c>
      <c r="L231" s="4">
        <v>190</v>
      </c>
      <c r="M231" s="4">
        <v>0</v>
      </c>
      <c r="N231" s="4">
        <v>1735</v>
      </c>
      <c r="O231" s="4">
        <f>Tab_08.Ago[[#This Row],[DÉBITO]]-Tab_08.Ago[[#This Row],[CRÉDITO]]</f>
        <v>190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A</v>
      </c>
      <c r="E232" s="2">
        <f>IF($I232="","",COUNTIFS(Tab_00.Trial[CONTA],$I232))</f>
        <v>1</v>
      </c>
      <c r="F232" s="4">
        <f>SUMIFS(Tab_07.Jul[SALDO
ATUAL],Tab_07.Jul[CONTA],$I232)</f>
        <v>1545</v>
      </c>
      <c r="G232" s="4">
        <f t="shared" si="8"/>
        <v>0</v>
      </c>
      <c r="H232" s="192">
        <v>50295</v>
      </c>
      <c r="I232" s="3" t="s">
        <v>457</v>
      </c>
      <c r="J232" s="3" t="s">
        <v>458</v>
      </c>
      <c r="K232" s="4">
        <v>1545</v>
      </c>
      <c r="L232" s="4">
        <v>190</v>
      </c>
      <c r="M232" s="4">
        <v>0</v>
      </c>
      <c r="N232" s="4">
        <v>1735</v>
      </c>
      <c r="O232" s="4">
        <f>Tab_08.Ago[[#This Row],[DÉBITO]]-Tab_08.Ago[[#This Row],[CRÉDITO]]</f>
        <v>190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S</v>
      </c>
      <c r="E233" s="2">
        <f>IF($I233="","",COUNTIFS(Tab_00.Trial[CONTA],$I233))</f>
        <v>1</v>
      </c>
      <c r="F233" s="4">
        <f>SUMIFS(Tab_07.Jul[SALDO
ATUAL],Tab_07.Jul[CONTA],$I233)</f>
        <v>1031244.39</v>
      </c>
      <c r="G233" s="4">
        <f t="shared" ref="G233:G264" si="9">$F233-$K233</f>
        <v>0</v>
      </c>
      <c r="H233" s="192">
        <v>50285</v>
      </c>
      <c r="I233" s="3" t="s">
        <v>605</v>
      </c>
      <c r="J233" s="3" t="s">
        <v>711</v>
      </c>
      <c r="K233" s="4">
        <v>1031244.39</v>
      </c>
      <c r="L233" s="4">
        <v>164660.78</v>
      </c>
      <c r="M233" s="4">
        <v>0</v>
      </c>
      <c r="N233" s="4">
        <v>1195905.17</v>
      </c>
      <c r="O233" s="4">
        <f>Tab_08.Ago[[#This Row],[DÉBITO]]-Tab_08.Ago[[#This Row],[CRÉDITO]]</f>
        <v>164660.78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S</v>
      </c>
      <c r="E234" s="2">
        <f>IF($I234="","",COUNTIFS(Tab_00.Trial[CONTA],$I234))</f>
        <v>1</v>
      </c>
      <c r="F234" s="4">
        <f>SUMIFS(Tab_07.Jul[SALDO
ATUAL],Tab_07.Jul[CONTA],$I234)</f>
        <v>450481.83</v>
      </c>
      <c r="G234" s="4">
        <f t="shared" si="9"/>
        <v>0</v>
      </c>
      <c r="H234" s="192">
        <v>50300</v>
      </c>
      <c r="I234" s="3" t="s">
        <v>606</v>
      </c>
      <c r="J234" s="3" t="s">
        <v>712</v>
      </c>
      <c r="K234" s="4">
        <v>450481.83</v>
      </c>
      <c r="L234" s="4">
        <v>81694.7</v>
      </c>
      <c r="M234" s="4">
        <v>0</v>
      </c>
      <c r="N234" s="4">
        <v>532176.53</v>
      </c>
      <c r="O234" s="4">
        <f>Tab_08.Ago[[#This Row],[DÉBITO]]-Tab_08.Ago[[#This Row],[CRÉDITO]]</f>
        <v>81694.7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A</v>
      </c>
      <c r="E235" s="2">
        <f>IF($I235="","",COUNTIFS(Tab_00.Trial[CONTA],$I235))</f>
        <v>1</v>
      </c>
      <c r="F235" s="4">
        <f>SUMIFS(Tab_07.Jul[SALDO
ATUAL],Tab_07.Jul[CONTA],$I235)</f>
        <v>53486.44</v>
      </c>
      <c r="G235" s="4">
        <f t="shared" si="9"/>
        <v>0</v>
      </c>
      <c r="H235" s="192">
        <v>50315</v>
      </c>
      <c r="I235" s="3" t="s">
        <v>459</v>
      </c>
      <c r="J235" s="3" t="s">
        <v>460</v>
      </c>
      <c r="K235" s="4">
        <v>53486.44</v>
      </c>
      <c r="L235" s="4">
        <v>7957.56</v>
      </c>
      <c r="M235" s="4">
        <v>0</v>
      </c>
      <c r="N235" s="4">
        <v>61444</v>
      </c>
      <c r="O235" s="4">
        <f>Tab_08.Ago[[#This Row],[DÉBITO]]-Tab_08.Ago[[#This Row],[CRÉDITO]]</f>
        <v>7957.56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A</v>
      </c>
      <c r="E236" s="2">
        <f>IF($I236="","",COUNTIFS(Tab_00.Trial[CONTA],$I236))</f>
        <v>1</v>
      </c>
      <c r="F236" s="4">
        <f>SUMIFS(Tab_07.Jul[SALDO
ATUAL],Tab_07.Jul[CONTA],$I236)</f>
        <v>105046.48</v>
      </c>
      <c r="G236" s="4">
        <f t="shared" si="9"/>
        <v>0</v>
      </c>
      <c r="H236" s="192">
        <v>50330</v>
      </c>
      <c r="I236" s="3" t="s">
        <v>461</v>
      </c>
      <c r="J236" s="3" t="s">
        <v>462</v>
      </c>
      <c r="K236" s="4">
        <v>105046.48</v>
      </c>
      <c r="L236" s="4">
        <v>14225.62</v>
      </c>
      <c r="M236" s="4">
        <v>0</v>
      </c>
      <c r="N236" s="4">
        <v>119272.1</v>
      </c>
      <c r="O236" s="4">
        <f>Tab_08.Ago[[#This Row],[DÉBITO]]-Tab_08.Ago[[#This Row],[CRÉDITO]]</f>
        <v>14225.62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A</v>
      </c>
      <c r="E237" s="2">
        <f>IF($I237="","",COUNTIFS(Tab_00.Trial[CONTA],$I237))</f>
        <v>1</v>
      </c>
      <c r="F237" s="4">
        <f>SUMIFS(Tab_07.Jul[SALDO
ATUAL],Tab_07.Jul[CONTA],$I237)</f>
        <v>21500.01</v>
      </c>
      <c r="G237" s="4">
        <f t="shared" si="9"/>
        <v>0</v>
      </c>
      <c r="H237" s="192">
        <v>50345</v>
      </c>
      <c r="I237" s="3" t="s">
        <v>463</v>
      </c>
      <c r="J237" s="3" t="s">
        <v>464</v>
      </c>
      <c r="K237" s="4">
        <v>21500.01</v>
      </c>
      <c r="L237" s="4">
        <v>0</v>
      </c>
      <c r="M237" s="4">
        <v>0</v>
      </c>
      <c r="N237" s="4">
        <v>21500.01</v>
      </c>
      <c r="O237" s="4">
        <f>Tab_08.Ago[[#This Row],[DÉBITO]]-Tab_08.Ago[[#This Row],[CRÉDITO]]</f>
        <v>0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A</v>
      </c>
      <c r="E238" s="2">
        <f>IF($I238="","",COUNTIFS(Tab_00.Trial[CONTA],$I238))</f>
        <v>1</v>
      </c>
      <c r="F238" s="4">
        <f>SUMIFS(Tab_07.Jul[SALDO
ATUAL],Tab_07.Jul[CONTA],$I238)</f>
        <v>157895.04000000001</v>
      </c>
      <c r="G238" s="4">
        <f t="shared" si="9"/>
        <v>0</v>
      </c>
      <c r="H238" s="192">
        <v>50360</v>
      </c>
      <c r="I238" s="3" t="s">
        <v>465</v>
      </c>
      <c r="J238" s="3" t="s">
        <v>466</v>
      </c>
      <c r="K238" s="4">
        <v>157895.04000000001</v>
      </c>
      <c r="L238" s="4">
        <v>44528.22</v>
      </c>
      <c r="M238" s="4">
        <v>0</v>
      </c>
      <c r="N238" s="4">
        <v>202423.26</v>
      </c>
      <c r="O238" s="4">
        <f>Tab_08.Ago[[#This Row],[DÉBITO]]-Tab_08.Ago[[#This Row],[CRÉDITO]]</f>
        <v>44528.22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A</v>
      </c>
      <c r="E239" s="2">
        <f>IF($I239="","",COUNTIFS(Tab_00.Trial[CONTA],$I239))</f>
        <v>1</v>
      </c>
      <c r="F239" s="4">
        <f>SUMIFS(Tab_07.Jul[SALDO
ATUAL],Tab_07.Jul[CONTA],$I239)</f>
        <v>31500</v>
      </c>
      <c r="G239" s="4">
        <f t="shared" si="9"/>
        <v>0</v>
      </c>
      <c r="H239" s="192">
        <v>50375</v>
      </c>
      <c r="I239" s="3" t="s">
        <v>473</v>
      </c>
      <c r="J239" s="3" t="s">
        <v>474</v>
      </c>
      <c r="K239" s="4">
        <v>31500</v>
      </c>
      <c r="L239" s="4">
        <v>4500</v>
      </c>
      <c r="M239" s="4">
        <v>0</v>
      </c>
      <c r="N239" s="4">
        <v>36000</v>
      </c>
      <c r="O239" s="4">
        <f>Tab_08.Ago[[#This Row],[DÉBITO]]-Tab_08.Ago[[#This Row],[CRÉDITO]]</f>
        <v>4500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A</v>
      </c>
      <c r="E240" s="2">
        <f>IF($I240="","",COUNTIFS(Tab_00.Trial[CONTA],$I240))</f>
        <v>1</v>
      </c>
      <c r="F240" s="4">
        <f>SUMIFS(Tab_07.Jul[SALDO
ATUAL],Tab_07.Jul[CONTA],$I240)</f>
        <v>1564.92</v>
      </c>
      <c r="G240" s="4">
        <f t="shared" si="9"/>
        <v>0</v>
      </c>
      <c r="H240" s="192">
        <v>50405</v>
      </c>
      <c r="I240" s="3" t="s">
        <v>467</v>
      </c>
      <c r="J240" s="3" t="s">
        <v>468</v>
      </c>
      <c r="K240" s="4">
        <v>1564.92</v>
      </c>
      <c r="L240" s="4">
        <v>223.56</v>
      </c>
      <c r="M240" s="4">
        <v>0</v>
      </c>
      <c r="N240" s="4">
        <v>1788.48</v>
      </c>
      <c r="O240" s="4">
        <f>Tab_08.Ago[[#This Row],[DÉBITO]]-Tab_08.Ago[[#This Row],[CRÉDITO]]</f>
        <v>223.56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A</v>
      </c>
      <c r="E241" s="2">
        <f>IF($I241="","",COUNTIFS(Tab_00.Trial[CONTA],$I241))</f>
        <v>1</v>
      </c>
      <c r="F241" s="4">
        <f>SUMIFS(Tab_07.Jul[SALDO
ATUAL],Tab_07.Jul[CONTA],$I241)</f>
        <v>46198.74</v>
      </c>
      <c r="G241" s="4">
        <f t="shared" si="9"/>
        <v>0</v>
      </c>
      <c r="H241" s="192">
        <v>50430</v>
      </c>
      <c r="I241" s="3" t="s">
        <v>469</v>
      </c>
      <c r="J241" s="3" t="s">
        <v>470</v>
      </c>
      <c r="K241" s="4">
        <v>46198.74</v>
      </c>
      <c r="L241" s="4">
        <v>4950</v>
      </c>
      <c r="M241" s="4">
        <v>0</v>
      </c>
      <c r="N241" s="4">
        <v>51148.74</v>
      </c>
      <c r="O241" s="4">
        <f>Tab_08.Ago[[#This Row],[DÉBITO]]-Tab_08.Ago[[#This Row],[CRÉDITO]]</f>
        <v>4950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A</v>
      </c>
      <c r="E242" s="2">
        <f>IF($I242="","",COUNTIFS(Tab_00.Trial[CONTA],$I242))</f>
        <v>1</v>
      </c>
      <c r="F242" s="4">
        <f>SUMIFS(Tab_07.Jul[SALDO
ATUAL],Tab_07.Jul[CONTA],$I242)</f>
        <v>33290.199999999997</v>
      </c>
      <c r="G242" s="4">
        <f t="shared" si="9"/>
        <v>0</v>
      </c>
      <c r="H242" s="192">
        <v>50432</v>
      </c>
      <c r="I242" s="3" t="s">
        <v>471</v>
      </c>
      <c r="J242" s="3" t="s">
        <v>472</v>
      </c>
      <c r="K242" s="4">
        <v>33290.199999999997</v>
      </c>
      <c r="L242" s="4">
        <v>5309.74</v>
      </c>
      <c r="M242" s="4">
        <v>0</v>
      </c>
      <c r="N242" s="4">
        <v>38599.94</v>
      </c>
      <c r="O242" s="4">
        <f>Tab_08.Ago[[#This Row],[DÉBITO]]-Tab_08.Ago[[#This Row],[CRÉDITO]]</f>
        <v>5309.74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S</v>
      </c>
      <c r="E243" s="2">
        <f>IF($I243="","",COUNTIFS(Tab_00.Trial[CONTA],$I243))</f>
        <v>1</v>
      </c>
      <c r="F243" s="4">
        <f>SUMIFS(Tab_07.Jul[SALDO
ATUAL],Tab_07.Jul[CONTA],$I243)</f>
        <v>580762.56000000006</v>
      </c>
      <c r="G243" s="4">
        <f t="shared" si="9"/>
        <v>0</v>
      </c>
      <c r="H243" s="192">
        <v>50465</v>
      </c>
      <c r="I243" s="3" t="s">
        <v>608</v>
      </c>
      <c r="J243" s="3" t="s">
        <v>713</v>
      </c>
      <c r="K243" s="4">
        <v>580762.56000000006</v>
      </c>
      <c r="L243" s="4">
        <v>82966.080000000002</v>
      </c>
      <c r="M243" s="4">
        <v>0</v>
      </c>
      <c r="N243" s="4">
        <v>663728.64000000001</v>
      </c>
      <c r="O243" s="4">
        <f>Tab_08.Ago[[#This Row],[DÉBITO]]-Tab_08.Ago[[#This Row],[CRÉDITO]]</f>
        <v>82966.080000000002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A</v>
      </c>
      <c r="E244" s="2">
        <f>IF($I244="","",COUNTIFS(Tab_00.Trial[CONTA],$I244))</f>
        <v>1</v>
      </c>
      <c r="F244" s="4">
        <f>SUMIFS(Tab_07.Jul[SALDO
ATUAL],Tab_07.Jul[CONTA],$I244)</f>
        <v>125860.56</v>
      </c>
      <c r="G244" s="4">
        <f t="shared" si="9"/>
        <v>0</v>
      </c>
      <c r="H244" s="192">
        <v>50480</v>
      </c>
      <c r="I244" s="3" t="s">
        <v>741</v>
      </c>
      <c r="J244" s="3" t="s">
        <v>742</v>
      </c>
      <c r="K244" s="4">
        <v>125860.56</v>
      </c>
      <c r="L244" s="4">
        <v>17980.080000000002</v>
      </c>
      <c r="M244" s="4">
        <v>0</v>
      </c>
      <c r="N244" s="4">
        <v>143840.64000000001</v>
      </c>
      <c r="O244" s="4">
        <f>Tab_08.Ago[[#This Row],[DÉBITO]]-Tab_08.Ago[[#This Row],[CRÉDITO]]</f>
        <v>17980.080000000002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A</v>
      </c>
      <c r="E245" s="2">
        <f>IF($I245="","",COUNTIFS(Tab_00.Trial[CONTA],$I245))</f>
        <v>1</v>
      </c>
      <c r="F245" s="4">
        <f>SUMIFS(Tab_07.Jul[SALDO
ATUAL],Tab_07.Jul[CONTA],$I245)</f>
        <v>52500</v>
      </c>
      <c r="G245" s="4">
        <f t="shared" si="9"/>
        <v>0</v>
      </c>
      <c r="H245" s="192">
        <v>50495</v>
      </c>
      <c r="I245" s="3" t="s">
        <v>833</v>
      </c>
      <c r="J245" s="3" t="s">
        <v>834</v>
      </c>
      <c r="K245" s="4">
        <v>52500</v>
      </c>
      <c r="L245" s="4">
        <v>7500</v>
      </c>
      <c r="M245" s="4">
        <v>0</v>
      </c>
      <c r="N245" s="4">
        <v>60000</v>
      </c>
      <c r="O245" s="4">
        <f>Tab_08.Ago[[#This Row],[DÉBITO]]-Tab_08.Ago[[#This Row],[CRÉDITO]]</f>
        <v>7500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A</v>
      </c>
      <c r="E246" s="2">
        <f>IF($I246="","",COUNTIFS(Tab_00.Trial[CONTA],$I246))</f>
        <v>1</v>
      </c>
      <c r="F246" s="4">
        <f>SUMIFS(Tab_07.Jul[SALDO
ATUAL],Tab_07.Jul[CONTA],$I246)</f>
        <v>402402</v>
      </c>
      <c r="G246" s="4">
        <f t="shared" si="9"/>
        <v>0</v>
      </c>
      <c r="H246" s="192">
        <v>50500</v>
      </c>
      <c r="I246" s="3" t="s">
        <v>480</v>
      </c>
      <c r="J246" s="3" t="s">
        <v>481</v>
      </c>
      <c r="K246" s="4">
        <v>402402</v>
      </c>
      <c r="L246" s="4">
        <v>57486</v>
      </c>
      <c r="M246" s="4">
        <v>0</v>
      </c>
      <c r="N246" s="4">
        <v>459888</v>
      </c>
      <c r="O246" s="4">
        <f>Tab_08.Ago[[#This Row],[DÉBITO]]-Tab_08.Ago[[#This Row],[CRÉDITO]]</f>
        <v>57486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S</v>
      </c>
      <c r="E247" s="2">
        <f>IF($I247="","",COUNTIFS(Tab_00.Trial[CONTA],$I247))</f>
        <v>1</v>
      </c>
      <c r="F247" s="4">
        <f>SUMIFS(Tab_07.Jul[SALDO
ATUAL],Tab_07.Jul[CONTA],$I247)</f>
        <v>15305.65</v>
      </c>
      <c r="G247" s="4">
        <f t="shared" si="9"/>
        <v>0</v>
      </c>
      <c r="H247" s="192">
        <v>50510</v>
      </c>
      <c r="I247" s="3" t="s">
        <v>609</v>
      </c>
      <c r="J247" s="3" t="s">
        <v>714</v>
      </c>
      <c r="K247" s="4">
        <v>15305.65</v>
      </c>
      <c r="L247" s="4">
        <v>1403.43</v>
      </c>
      <c r="M247" s="4">
        <v>0</v>
      </c>
      <c r="N247" s="4">
        <v>16709.080000000002</v>
      </c>
      <c r="O247" s="4">
        <f>Tab_08.Ago[[#This Row],[DÉBITO]]-Tab_08.Ago[[#This Row],[CRÉDITO]]</f>
        <v>1403.43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S</v>
      </c>
      <c r="E248" s="2">
        <f>IF($I248="","",COUNTIFS(Tab_00.Trial[CONTA],$I248))</f>
        <v>1</v>
      </c>
      <c r="F248" s="4">
        <f>SUMIFS(Tab_07.Jul[SALDO
ATUAL],Tab_07.Jul[CONTA],$I248)</f>
        <v>15305.65</v>
      </c>
      <c r="G248" s="4">
        <f t="shared" si="9"/>
        <v>0</v>
      </c>
      <c r="H248" s="192">
        <v>50525</v>
      </c>
      <c r="I248" s="3" t="s">
        <v>610</v>
      </c>
      <c r="J248" s="3" t="s">
        <v>714</v>
      </c>
      <c r="K248" s="4">
        <v>15305.65</v>
      </c>
      <c r="L248" s="4">
        <v>1403.43</v>
      </c>
      <c r="M248" s="4">
        <v>0</v>
      </c>
      <c r="N248" s="4">
        <v>16709.080000000002</v>
      </c>
      <c r="O248" s="4">
        <f>Tab_08.Ago[[#This Row],[DÉBITO]]-Tab_08.Ago[[#This Row],[CRÉDITO]]</f>
        <v>1403.43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A</v>
      </c>
      <c r="E249" s="2">
        <f>IF($I249="","",COUNTIFS(Tab_00.Trial[CONTA],$I249))</f>
        <v>1</v>
      </c>
      <c r="F249" s="4">
        <f>SUMIFS(Tab_07.Jul[SALDO
ATUAL],Tab_07.Jul[CONTA],$I249)</f>
        <v>5005.3100000000004</v>
      </c>
      <c r="G249" s="4">
        <f t="shared" si="9"/>
        <v>0</v>
      </c>
      <c r="H249" s="192">
        <v>50540</v>
      </c>
      <c r="I249" s="3" t="s">
        <v>482</v>
      </c>
      <c r="J249" s="3" t="s">
        <v>483</v>
      </c>
      <c r="K249" s="4">
        <v>5005.3100000000004</v>
      </c>
      <c r="L249" s="4">
        <v>115.2</v>
      </c>
      <c r="M249" s="4">
        <v>0</v>
      </c>
      <c r="N249" s="4">
        <v>5120.51</v>
      </c>
      <c r="O249" s="4">
        <f>Tab_08.Ago[[#This Row],[DÉBITO]]-Tab_08.Ago[[#This Row],[CRÉDITO]]</f>
        <v>115.2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A</v>
      </c>
      <c r="E250" s="2">
        <f>IF($I250="","",COUNTIFS(Tab_00.Trial[CONTA],$I250))</f>
        <v>1</v>
      </c>
      <c r="F250" s="4">
        <f>SUMIFS(Tab_07.Jul[SALDO
ATUAL],Tab_07.Jul[CONTA],$I250)</f>
        <v>5000</v>
      </c>
      <c r="G250" s="4">
        <f t="shared" si="9"/>
        <v>0</v>
      </c>
      <c r="H250" s="192">
        <v>50555</v>
      </c>
      <c r="I250" s="3" t="s">
        <v>752</v>
      </c>
      <c r="J250" s="3" t="s">
        <v>753</v>
      </c>
      <c r="K250" s="4">
        <v>5000</v>
      </c>
      <c r="L250" s="4">
        <v>0</v>
      </c>
      <c r="M250" s="4">
        <v>0</v>
      </c>
      <c r="N250" s="4">
        <v>5000</v>
      </c>
      <c r="O250" s="4">
        <f>Tab_08.Ago[[#This Row],[DÉBITO]]-Tab_08.Ago[[#This Row],[CRÉDITO]]</f>
        <v>0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A</v>
      </c>
      <c r="E251" s="2">
        <f>IF($I251="","",COUNTIFS(Tab_00.Trial[CONTA],$I251))</f>
        <v>1</v>
      </c>
      <c r="F251" s="4">
        <f>SUMIFS(Tab_07.Jul[SALDO
ATUAL],Tab_07.Jul[CONTA],$I251)</f>
        <v>5300.34</v>
      </c>
      <c r="G251" s="4">
        <f t="shared" si="9"/>
        <v>0</v>
      </c>
      <c r="H251" s="192">
        <v>50570</v>
      </c>
      <c r="I251" s="3" t="s">
        <v>484</v>
      </c>
      <c r="J251" s="3" t="s">
        <v>485</v>
      </c>
      <c r="K251" s="4">
        <v>5300.34</v>
      </c>
      <c r="L251" s="4">
        <v>1288.23</v>
      </c>
      <c r="M251" s="4">
        <v>0</v>
      </c>
      <c r="N251" s="4">
        <v>6588.57</v>
      </c>
      <c r="O251" s="4">
        <f>Tab_08.Ago[[#This Row],[DÉBITO]]-Tab_08.Ago[[#This Row],[CRÉDITO]]</f>
        <v>1288.23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S</v>
      </c>
      <c r="E252" s="2">
        <f>IF($I252="","",COUNTIFS(Tab_00.Trial[CONTA],$I252))</f>
        <v>1</v>
      </c>
      <c r="F252" s="4">
        <f>SUMIFS(Tab_07.Jul[SALDO
ATUAL],Tab_07.Jul[CONTA],$I252)</f>
        <v>65659.31</v>
      </c>
      <c r="G252" s="4">
        <f t="shared" si="9"/>
        <v>0</v>
      </c>
      <c r="H252" s="192">
        <v>50660</v>
      </c>
      <c r="I252" s="3" t="s">
        <v>612</v>
      </c>
      <c r="J252" s="3" t="s">
        <v>716</v>
      </c>
      <c r="K252" s="4">
        <v>65659.31</v>
      </c>
      <c r="L252" s="4">
        <v>9493.27</v>
      </c>
      <c r="M252" s="4">
        <v>0</v>
      </c>
      <c r="N252" s="4">
        <v>75152.58</v>
      </c>
      <c r="O252" s="4">
        <f>Tab_08.Ago[[#This Row],[DÉBITO]]-Tab_08.Ago[[#This Row],[CRÉDITO]]</f>
        <v>9493.27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S</v>
      </c>
      <c r="E253" s="2">
        <f>IF($I253="","",COUNTIFS(Tab_00.Trial[CONTA],$I253))</f>
        <v>1</v>
      </c>
      <c r="F253" s="4">
        <f>SUMIFS(Tab_07.Jul[SALDO
ATUAL],Tab_07.Jul[CONTA],$I253)</f>
        <v>42421.55</v>
      </c>
      <c r="G253" s="4">
        <f t="shared" si="9"/>
        <v>0</v>
      </c>
      <c r="H253" s="192">
        <v>50675</v>
      </c>
      <c r="I253" s="3" t="s">
        <v>613</v>
      </c>
      <c r="J253" s="3" t="s">
        <v>717</v>
      </c>
      <c r="K253" s="4">
        <v>42421.55</v>
      </c>
      <c r="L253" s="4">
        <v>4631.12</v>
      </c>
      <c r="M253" s="4">
        <v>0</v>
      </c>
      <c r="N253" s="4">
        <v>47052.67</v>
      </c>
      <c r="O253" s="4">
        <f>Tab_08.Ago[[#This Row],[DÉBITO]]-Tab_08.Ago[[#This Row],[CRÉDITO]]</f>
        <v>4631.12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A</v>
      </c>
      <c r="E254" s="2">
        <f>IF($I254="","",COUNTIFS(Tab_00.Trial[CONTA],$I254))</f>
        <v>1</v>
      </c>
      <c r="F254" s="4">
        <f>SUMIFS(Tab_07.Jul[SALDO
ATUAL],Tab_07.Jul[CONTA],$I254)</f>
        <v>20558.62</v>
      </c>
      <c r="G254" s="4">
        <f t="shared" si="9"/>
        <v>0</v>
      </c>
      <c r="H254" s="192">
        <v>50690</v>
      </c>
      <c r="I254" s="3" t="s">
        <v>491</v>
      </c>
      <c r="J254" s="3" t="s">
        <v>492</v>
      </c>
      <c r="K254" s="4">
        <v>20558.62</v>
      </c>
      <c r="L254" s="4">
        <v>1817.16</v>
      </c>
      <c r="M254" s="4">
        <v>0</v>
      </c>
      <c r="N254" s="4">
        <v>22375.78</v>
      </c>
      <c r="O254" s="4">
        <f>Tab_08.Ago[[#This Row],[DÉBITO]]-Tab_08.Ago[[#This Row],[CRÉDITO]]</f>
        <v>1817.16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A</v>
      </c>
      <c r="E255" s="2">
        <f>IF($I255="","",COUNTIFS(Tab_00.Trial[CONTA],$I255))</f>
        <v>1</v>
      </c>
      <c r="F255" s="4">
        <f>SUMIFS(Tab_07.Jul[SALDO
ATUAL],Tab_07.Jul[CONTA],$I255)</f>
        <v>11886.68</v>
      </c>
      <c r="G255" s="4">
        <f t="shared" si="9"/>
        <v>0</v>
      </c>
      <c r="H255" s="192">
        <v>50705</v>
      </c>
      <c r="I255" s="3" t="s">
        <v>493</v>
      </c>
      <c r="J255" s="3" t="s">
        <v>494</v>
      </c>
      <c r="K255" s="4">
        <v>11886.68</v>
      </c>
      <c r="L255" s="4">
        <v>1374.07</v>
      </c>
      <c r="M255" s="4">
        <v>0</v>
      </c>
      <c r="N255" s="4">
        <v>13260.75</v>
      </c>
      <c r="O255" s="4">
        <f>Tab_08.Ago[[#This Row],[DÉBITO]]-Tab_08.Ago[[#This Row],[CRÉDITO]]</f>
        <v>1374.07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A</v>
      </c>
      <c r="E256" s="2">
        <f>IF($I256="","",COUNTIFS(Tab_00.Trial[CONTA],$I256))</f>
        <v>1</v>
      </c>
      <c r="F256" s="4">
        <f>SUMIFS(Tab_07.Jul[SALDO
ATUAL],Tab_07.Jul[CONTA],$I256)</f>
        <v>9976.25</v>
      </c>
      <c r="G256" s="4">
        <f t="shared" si="9"/>
        <v>0</v>
      </c>
      <c r="H256" s="192">
        <v>50720</v>
      </c>
      <c r="I256" s="3" t="s">
        <v>495</v>
      </c>
      <c r="J256" s="3" t="s">
        <v>496</v>
      </c>
      <c r="K256" s="4">
        <v>9976.25</v>
      </c>
      <c r="L256" s="4">
        <v>1439.89</v>
      </c>
      <c r="M256" s="4">
        <v>0</v>
      </c>
      <c r="N256" s="4">
        <v>11416.14</v>
      </c>
      <c r="O256" s="4">
        <f>Tab_08.Ago[[#This Row],[DÉBITO]]-Tab_08.Ago[[#This Row],[CRÉDITO]]</f>
        <v>1439.89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S</v>
      </c>
      <c r="E257" s="2">
        <f>IF($I257="","",COUNTIFS(Tab_00.Trial[CONTA],$I257))</f>
        <v>1</v>
      </c>
      <c r="F257" s="4">
        <f>SUMIFS(Tab_07.Jul[SALDO
ATUAL],Tab_07.Jul[CONTA],$I257)</f>
        <v>23237.759999999998</v>
      </c>
      <c r="G257" s="4">
        <f t="shared" si="9"/>
        <v>0</v>
      </c>
      <c r="H257" s="192">
        <v>50750</v>
      </c>
      <c r="I257" s="3" t="s">
        <v>614</v>
      </c>
      <c r="J257" s="3" t="s">
        <v>718</v>
      </c>
      <c r="K257" s="4">
        <v>23237.759999999998</v>
      </c>
      <c r="L257" s="4">
        <v>4862.1499999999996</v>
      </c>
      <c r="M257" s="4">
        <v>0</v>
      </c>
      <c r="N257" s="4">
        <v>28099.91</v>
      </c>
      <c r="O257" s="4">
        <f>Tab_08.Ago[[#This Row],[DÉBITO]]-Tab_08.Ago[[#This Row],[CRÉDITO]]</f>
        <v>4862.1499999999996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A</v>
      </c>
      <c r="E258" s="2">
        <f>IF($I258="","",COUNTIFS(Tab_00.Trial[CONTA],$I258))</f>
        <v>1</v>
      </c>
      <c r="F258" s="4">
        <f>SUMIFS(Tab_07.Jul[SALDO
ATUAL],Tab_07.Jul[CONTA],$I258)</f>
        <v>95</v>
      </c>
      <c r="G258" s="4">
        <f t="shared" si="9"/>
        <v>0</v>
      </c>
      <c r="H258" s="192">
        <v>50765</v>
      </c>
      <c r="I258" s="3" t="s">
        <v>497</v>
      </c>
      <c r="J258" s="3" t="s">
        <v>498</v>
      </c>
      <c r="K258" s="4">
        <v>95</v>
      </c>
      <c r="L258" s="4">
        <v>0</v>
      </c>
      <c r="M258" s="4">
        <v>0</v>
      </c>
      <c r="N258" s="4">
        <v>95</v>
      </c>
      <c r="O258" s="4">
        <f>Tab_08.Ago[[#This Row],[DÉBITO]]-Tab_08.Ago[[#This Row],[CRÉDITO]]</f>
        <v>0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A</v>
      </c>
      <c r="E259" s="2">
        <f>IF($I259="","",COUNTIFS(Tab_00.Trial[CONTA],$I259))</f>
        <v>1</v>
      </c>
      <c r="F259" s="4">
        <f>SUMIFS(Tab_07.Jul[SALDO
ATUAL],Tab_07.Jul[CONTA],$I259)</f>
        <v>9794.14</v>
      </c>
      <c r="G259" s="4">
        <f t="shared" si="9"/>
        <v>0</v>
      </c>
      <c r="H259" s="192">
        <v>50780</v>
      </c>
      <c r="I259" s="3" t="s">
        <v>499</v>
      </c>
      <c r="J259" s="3" t="s">
        <v>500</v>
      </c>
      <c r="K259" s="4">
        <v>9794.14</v>
      </c>
      <c r="L259" s="4">
        <v>1127.4000000000001</v>
      </c>
      <c r="M259" s="4">
        <v>0</v>
      </c>
      <c r="N259" s="4">
        <v>10921.54</v>
      </c>
      <c r="O259" s="4">
        <f>Tab_08.Ago[[#This Row],[DÉBITO]]-Tab_08.Ago[[#This Row],[CRÉDITO]]</f>
        <v>1127.4000000000001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A</v>
      </c>
      <c r="E260" s="2">
        <f>IF($I260="","",COUNTIFS(Tab_00.Trial[CONTA],$I260))</f>
        <v>1</v>
      </c>
      <c r="F260" s="4">
        <f>SUMIFS(Tab_07.Jul[SALDO
ATUAL],Tab_07.Jul[CONTA],$I260)</f>
        <v>9664.69</v>
      </c>
      <c r="G260" s="4">
        <f t="shared" si="9"/>
        <v>0</v>
      </c>
      <c r="H260" s="192">
        <v>50795</v>
      </c>
      <c r="I260" s="3" t="s">
        <v>501</v>
      </c>
      <c r="J260" s="3" t="s">
        <v>502</v>
      </c>
      <c r="K260" s="4">
        <v>9664.69</v>
      </c>
      <c r="L260" s="4">
        <v>755.33</v>
      </c>
      <c r="M260" s="4">
        <v>0</v>
      </c>
      <c r="N260" s="4">
        <v>10420.02</v>
      </c>
      <c r="O260" s="4">
        <f>Tab_08.Ago[[#This Row],[DÉBITO]]-Tab_08.Ago[[#This Row],[CRÉDITO]]</f>
        <v>755.33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A</v>
      </c>
      <c r="E261" s="2">
        <f>IF($I261="","",COUNTIFS(Tab_00.Trial[CONTA],$I261))</f>
        <v>1</v>
      </c>
      <c r="F261" s="4">
        <f>SUMIFS(Tab_07.Jul[SALDO
ATUAL],Tab_07.Jul[CONTA],$I261)</f>
        <v>3683.93</v>
      </c>
      <c r="G261" s="4">
        <f t="shared" si="9"/>
        <v>0</v>
      </c>
      <c r="H261" s="192">
        <v>50810</v>
      </c>
      <c r="I261" s="3" t="s">
        <v>503</v>
      </c>
      <c r="J261" s="3" t="s">
        <v>504</v>
      </c>
      <c r="K261" s="4">
        <v>3683.93</v>
      </c>
      <c r="L261" s="4">
        <v>2959.26</v>
      </c>
      <c r="M261" s="4">
        <v>0</v>
      </c>
      <c r="N261" s="4">
        <v>6643.19</v>
      </c>
      <c r="O261" s="4">
        <f>Tab_08.Ago[[#This Row],[DÉBITO]]-Tab_08.Ago[[#This Row],[CRÉDITO]]</f>
        <v>2959.26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A</v>
      </c>
      <c r="E262" s="2">
        <f>IF($I262="","",COUNTIFS(Tab_00.Trial[CONTA],$I262))</f>
        <v>1</v>
      </c>
      <c r="F262" s="4">
        <f>SUMIFS(Tab_07.Jul[SALDO
ATUAL],Tab_07.Jul[CONTA],$I262)</f>
        <v>0</v>
      </c>
      <c r="G262" s="4">
        <f t="shared" si="9"/>
        <v>0</v>
      </c>
      <c r="H262" s="192">
        <v>50815</v>
      </c>
      <c r="I262" s="3" t="s">
        <v>505</v>
      </c>
      <c r="J262" s="3" t="s">
        <v>506</v>
      </c>
      <c r="K262" s="4">
        <v>0</v>
      </c>
      <c r="L262" s="4">
        <v>20.16</v>
      </c>
      <c r="M262" s="4">
        <v>0</v>
      </c>
      <c r="N262" s="4">
        <v>20.16</v>
      </c>
      <c r="O262" s="4">
        <f>Tab_08.Ago[[#This Row],[DÉBITO]]-Tab_08.Ago[[#This Row],[CRÉDITO]]</f>
        <v>20.16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S</v>
      </c>
      <c r="E263" s="2">
        <f>IF($I263="","",COUNTIFS(Tab_00.Trial[CONTA],$I263))</f>
        <v>1</v>
      </c>
      <c r="F263" s="4">
        <f>SUMIFS(Tab_07.Jul[SALDO
ATUAL],Tab_07.Jul[CONTA],$I263)</f>
        <v>42759.32</v>
      </c>
      <c r="G263" s="4">
        <f t="shared" si="9"/>
        <v>0</v>
      </c>
      <c r="H263" s="192">
        <v>50870</v>
      </c>
      <c r="I263" s="3" t="s">
        <v>615</v>
      </c>
      <c r="J263" s="3" t="s">
        <v>719</v>
      </c>
      <c r="K263" s="4">
        <v>42759.32</v>
      </c>
      <c r="L263" s="4">
        <v>4827.3999999999996</v>
      </c>
      <c r="M263" s="4">
        <v>0</v>
      </c>
      <c r="N263" s="4">
        <v>47586.720000000001</v>
      </c>
      <c r="O263" s="4">
        <f>Tab_08.Ago[[#This Row],[DÉBITO]]-Tab_08.Ago[[#This Row],[CRÉDITO]]</f>
        <v>4827.3999999999996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S</v>
      </c>
      <c r="E264" s="2">
        <f>IF($I264="","",COUNTIFS(Tab_00.Trial[CONTA],$I264))</f>
        <v>1</v>
      </c>
      <c r="F264" s="4">
        <f>SUMIFS(Tab_07.Jul[SALDO
ATUAL],Tab_07.Jul[CONTA],$I264)</f>
        <v>2014.18</v>
      </c>
      <c r="G264" s="4">
        <f t="shared" si="9"/>
        <v>0</v>
      </c>
      <c r="H264" s="192">
        <v>50915</v>
      </c>
      <c r="I264" s="3" t="s">
        <v>617</v>
      </c>
      <c r="J264" s="3" t="s">
        <v>721</v>
      </c>
      <c r="K264" s="4">
        <v>2014.18</v>
      </c>
      <c r="L264" s="4">
        <v>287.74</v>
      </c>
      <c r="M264" s="4">
        <v>0</v>
      </c>
      <c r="N264" s="4">
        <v>2301.92</v>
      </c>
      <c r="O264" s="4">
        <f>Tab_08.Ago[[#This Row],[DÉBITO]]-Tab_08.Ago[[#This Row],[CRÉDITO]]</f>
        <v>287.74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A</v>
      </c>
      <c r="E265" s="2">
        <f>IF($I265="","",COUNTIFS(Tab_00.Trial[CONTA],$I265))</f>
        <v>1</v>
      </c>
      <c r="F265" s="4">
        <f>SUMIFS(Tab_07.Jul[SALDO
ATUAL],Tab_07.Jul[CONTA],$I265)</f>
        <v>2014.18</v>
      </c>
      <c r="G265" s="4">
        <f t="shared" ref="G265:G289" si="10">$F265-$K265</f>
        <v>0</v>
      </c>
      <c r="H265" s="192">
        <v>50945</v>
      </c>
      <c r="I265" s="3" t="s">
        <v>739</v>
      </c>
      <c r="J265" s="3" t="s">
        <v>740</v>
      </c>
      <c r="K265" s="4">
        <v>2014.18</v>
      </c>
      <c r="L265" s="4">
        <v>287.74</v>
      </c>
      <c r="M265" s="4">
        <v>0</v>
      </c>
      <c r="N265" s="4">
        <v>2301.92</v>
      </c>
      <c r="O265" s="4">
        <f>Tab_08.Ago[[#This Row],[DÉBITO]]-Tab_08.Ago[[#This Row],[CRÉDITO]]</f>
        <v>287.74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S</v>
      </c>
      <c r="E266" s="2">
        <f>IF($I266="","",COUNTIFS(Tab_00.Trial[CONTA],$I266))</f>
        <v>1</v>
      </c>
      <c r="F266" s="4">
        <f>SUMIFS(Tab_07.Jul[SALDO
ATUAL],Tab_07.Jul[CONTA],$I266)</f>
        <v>18055.939999999999</v>
      </c>
      <c r="G266" s="4">
        <f t="shared" si="10"/>
        <v>0</v>
      </c>
      <c r="H266" s="192">
        <v>50960</v>
      </c>
      <c r="I266" s="3" t="s">
        <v>618</v>
      </c>
      <c r="J266" s="3" t="s">
        <v>722</v>
      </c>
      <c r="K266" s="4">
        <v>18055.939999999999</v>
      </c>
      <c r="L266" s="4">
        <v>2906.29</v>
      </c>
      <c r="M266" s="4">
        <v>0</v>
      </c>
      <c r="N266" s="4">
        <v>20962.23</v>
      </c>
      <c r="O266" s="4">
        <f>Tab_08.Ago[[#This Row],[DÉBITO]]-Tab_08.Ago[[#This Row],[CRÉDITO]]</f>
        <v>2906.29</v>
      </c>
    </row>
    <row r="267" spans="2:15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5</v>
      </c>
      <c r="D267" s="2" t="str">
        <f>_xlfn.XLOOKUP($I267,Tab_00.Trial[CONTA],Tab_00.Trial[S/A],"",0,1)</f>
        <v>A</v>
      </c>
      <c r="E267" s="2">
        <f>IF($I267="","",COUNTIFS(Tab_00.Trial[CONTA],$I267))</f>
        <v>1</v>
      </c>
      <c r="F267" s="4">
        <f>SUMIFS(Tab_07.Jul[SALDO
ATUAL],Tab_07.Jul[CONTA],$I267)</f>
        <v>18055.939999999999</v>
      </c>
      <c r="G267" s="4">
        <f t="shared" si="10"/>
        <v>0</v>
      </c>
      <c r="H267" s="192">
        <v>50965</v>
      </c>
      <c r="I267" s="3" t="s">
        <v>511</v>
      </c>
      <c r="J267" s="3" t="s">
        <v>512</v>
      </c>
      <c r="K267" s="4">
        <v>18055.939999999999</v>
      </c>
      <c r="L267" s="4">
        <v>2906.29</v>
      </c>
      <c r="M267" s="4">
        <v>0</v>
      </c>
      <c r="N267" s="4">
        <v>20962.23</v>
      </c>
      <c r="O267" s="4">
        <f>Tab_08.Ago[[#This Row],[DÉBITO]]-Tab_08.Ago[[#This Row],[CRÉDITO]]</f>
        <v>2906.29</v>
      </c>
    </row>
    <row r="268" spans="2:15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5</v>
      </c>
      <c r="D268" s="2" t="str">
        <f>_xlfn.XLOOKUP($I268,Tab_00.Trial[CONTA],Tab_00.Trial[S/A],"",0,1)</f>
        <v>S</v>
      </c>
      <c r="E268" s="2">
        <f>IF($I268="","",COUNTIFS(Tab_00.Trial[CONTA],$I268))</f>
        <v>1</v>
      </c>
      <c r="F268" s="4">
        <f>SUMIFS(Tab_07.Jul[SALDO
ATUAL],Tab_07.Jul[CONTA],$I268)</f>
        <v>22689.200000000001</v>
      </c>
      <c r="G268" s="4">
        <f t="shared" si="10"/>
        <v>0</v>
      </c>
      <c r="H268" s="192">
        <v>50970</v>
      </c>
      <c r="I268" s="3" t="s">
        <v>619</v>
      </c>
      <c r="J268" s="3" t="s">
        <v>420</v>
      </c>
      <c r="K268" s="4">
        <v>22689.200000000001</v>
      </c>
      <c r="L268" s="4">
        <v>1633.37</v>
      </c>
      <c r="M268" s="4">
        <v>0</v>
      </c>
      <c r="N268" s="4">
        <v>24322.57</v>
      </c>
      <c r="O268" s="4">
        <f>Tab_08.Ago[[#This Row],[DÉBITO]]-Tab_08.Ago[[#This Row],[CRÉDITO]]</f>
        <v>1633.37</v>
      </c>
    </row>
    <row r="269" spans="2:15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5</v>
      </c>
      <c r="D269" s="2" t="str">
        <f>_xlfn.XLOOKUP($I269,Tab_00.Trial[CONTA],Tab_00.Trial[S/A],"",0,1)</f>
        <v>A</v>
      </c>
      <c r="E269" s="2">
        <f>IF($I269="","",COUNTIFS(Tab_00.Trial[CONTA],$I269))</f>
        <v>1</v>
      </c>
      <c r="F269" s="4">
        <f>SUMIFS(Tab_07.Jul[SALDO
ATUAL],Tab_07.Jul[CONTA],$I269)</f>
        <v>22689.200000000001</v>
      </c>
      <c r="G269" s="4">
        <f t="shared" si="10"/>
        <v>0</v>
      </c>
      <c r="H269" s="192">
        <v>50975</v>
      </c>
      <c r="I269" s="3" t="s">
        <v>515</v>
      </c>
      <c r="J269" s="3" t="s">
        <v>420</v>
      </c>
      <c r="K269" s="4">
        <v>22689.200000000001</v>
      </c>
      <c r="L269" s="4">
        <v>1633.37</v>
      </c>
      <c r="M269" s="4">
        <v>0</v>
      </c>
      <c r="N269" s="4">
        <v>24322.57</v>
      </c>
      <c r="O269" s="4">
        <f>Tab_08.Ago[[#This Row],[DÉBITO]]-Tab_08.Ago[[#This Row],[CRÉDITO]]</f>
        <v>1633.37</v>
      </c>
    </row>
    <row r="270" spans="2:15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S</v>
      </c>
      <c r="E270" s="2">
        <f>IF($I270="","",COUNTIFS(Tab_00.Trial[CONTA],$I270))</f>
        <v>1</v>
      </c>
      <c r="F270" s="4">
        <f>SUMIFS(Tab_07.Jul[SALDO
ATUAL],Tab_07.Jul[CONTA],$I270)</f>
        <v>11741.31</v>
      </c>
      <c r="G270" s="4">
        <f t="shared" si="10"/>
        <v>0</v>
      </c>
      <c r="H270" s="192">
        <v>50990</v>
      </c>
      <c r="I270" s="3" t="s">
        <v>621</v>
      </c>
      <c r="J270" s="3" t="s">
        <v>723</v>
      </c>
      <c r="K270" s="4">
        <v>11741.31</v>
      </c>
      <c r="L270" s="4">
        <v>1309.06</v>
      </c>
      <c r="M270" s="4">
        <v>0</v>
      </c>
      <c r="N270" s="4">
        <v>13050.37</v>
      </c>
      <c r="O270" s="4">
        <f>Tab_08.Ago[[#This Row],[DÉBITO]]-Tab_08.Ago[[#This Row],[CRÉDITO]]</f>
        <v>1309.06</v>
      </c>
    </row>
    <row r="271" spans="2:15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5</v>
      </c>
      <c r="D271" s="2" t="str">
        <f>_xlfn.XLOOKUP($I271,Tab_00.Trial[CONTA],Tab_00.Trial[S/A],"",0,1)</f>
        <v>S</v>
      </c>
      <c r="E271" s="2">
        <f>IF($I271="","",COUNTIFS(Tab_00.Trial[CONTA],$I271))</f>
        <v>1</v>
      </c>
      <c r="F271" s="4">
        <f>SUMIFS(Tab_07.Jul[SALDO
ATUAL],Tab_07.Jul[CONTA],$I271)</f>
        <v>11741.31</v>
      </c>
      <c r="G271" s="4">
        <f t="shared" si="10"/>
        <v>0</v>
      </c>
      <c r="H271" s="192">
        <v>51005</v>
      </c>
      <c r="I271" s="3" t="s">
        <v>622</v>
      </c>
      <c r="J271" s="3" t="s">
        <v>723</v>
      </c>
      <c r="K271" s="4">
        <v>11741.31</v>
      </c>
      <c r="L271" s="4">
        <v>1309.06</v>
      </c>
      <c r="M271" s="4">
        <v>0</v>
      </c>
      <c r="N271" s="4">
        <v>13050.37</v>
      </c>
      <c r="O271" s="4">
        <f>Tab_08.Ago[[#This Row],[DÉBITO]]-Tab_08.Ago[[#This Row],[CRÉDITO]]</f>
        <v>1309.06</v>
      </c>
    </row>
    <row r="272" spans="2:15" x14ac:dyDescent="0.3">
      <c r="B272" s="2" t="str">
        <f>_xlfn.XLOOKUP($I272,Tab_00.Trial[CONTA],Tab_00.Trial[TP],"",0,1)</f>
        <v>C</v>
      </c>
      <c r="C272" s="2">
        <f>_xlfn.XLOOKUP($I272,Tab_00.Trial[CONTA],Tab_00.Trial[NV],"",0,1)</f>
        <v>5</v>
      </c>
      <c r="D272" s="2" t="str">
        <f>_xlfn.XLOOKUP($I272,Tab_00.Trial[CONTA],Tab_00.Trial[S/A],"",0,1)</f>
        <v>A</v>
      </c>
      <c r="E272" s="2">
        <f>IF($I272="","",COUNTIFS(Tab_00.Trial[CONTA],$I272))</f>
        <v>1</v>
      </c>
      <c r="F272" s="4">
        <f>SUMIFS(Tab_07.Jul[SALDO
ATUAL],Tab_07.Jul[CONTA],$I272)</f>
        <v>11741.31</v>
      </c>
      <c r="G272" s="4">
        <f t="shared" si="10"/>
        <v>0</v>
      </c>
      <c r="H272" s="192">
        <v>51019</v>
      </c>
      <c r="I272" s="3" t="s">
        <v>518</v>
      </c>
      <c r="J272" s="3" t="s">
        <v>519</v>
      </c>
      <c r="K272" s="4">
        <v>11741.31</v>
      </c>
      <c r="L272" s="4">
        <v>1309.06</v>
      </c>
      <c r="M272" s="4">
        <v>0</v>
      </c>
      <c r="N272" s="4">
        <v>13050.37</v>
      </c>
      <c r="O272" s="4">
        <f>Tab_08.Ago[[#This Row],[DÉBITO]]-Tab_08.Ago[[#This Row],[CRÉDITO]]</f>
        <v>1309.06</v>
      </c>
    </row>
    <row r="273" spans="2:15" x14ac:dyDescent="0.3">
      <c r="B273" s="2" t="str">
        <f>_xlfn.XLOOKUP($I273,Tab_00.Trial[CONTA],Tab_00.Trial[TP],"",0,1)</f>
        <v>C</v>
      </c>
      <c r="C273" s="2">
        <f>_xlfn.XLOOKUP($I273,Tab_00.Trial[CONTA],Tab_00.Trial[NV],"",0,1)</f>
        <v>5</v>
      </c>
      <c r="D273" s="2" t="str">
        <f>_xlfn.XLOOKUP($I273,Tab_00.Trial[CONTA],Tab_00.Trial[S/A],"",0,1)</f>
        <v>S</v>
      </c>
      <c r="E273" s="2">
        <f>IF($I273="","",COUNTIFS(Tab_00.Trial[CONTA],$I273))</f>
        <v>1</v>
      </c>
      <c r="F273" s="4">
        <f>SUMIFS(Tab_07.Jul[SALDO
ATUAL],Tab_07.Jul[CONTA],$I273)</f>
        <v>28948.49</v>
      </c>
      <c r="G273" s="4">
        <f t="shared" si="10"/>
        <v>0</v>
      </c>
      <c r="H273" s="192">
        <v>51050</v>
      </c>
      <c r="I273" s="3" t="s">
        <v>623</v>
      </c>
      <c r="J273" s="3" t="s">
        <v>724</v>
      </c>
      <c r="K273" s="4">
        <v>28948.49</v>
      </c>
      <c r="L273" s="4">
        <v>3666.75</v>
      </c>
      <c r="M273" s="4">
        <v>0</v>
      </c>
      <c r="N273" s="4">
        <v>32615.24</v>
      </c>
      <c r="O273" s="4">
        <f>Tab_08.Ago[[#This Row],[DÉBITO]]-Tab_08.Ago[[#This Row],[CRÉDITO]]</f>
        <v>3666.75</v>
      </c>
    </row>
    <row r="274" spans="2:15" x14ac:dyDescent="0.3">
      <c r="B274" s="2" t="str">
        <f>_xlfn.XLOOKUP($I274,Tab_00.Trial[CONTA],Tab_00.Trial[TP],"",0,1)</f>
        <v>C</v>
      </c>
      <c r="C274" s="2">
        <f>_xlfn.XLOOKUP($I274,Tab_00.Trial[CONTA],Tab_00.Trial[NV],"",0,1)</f>
        <v>5</v>
      </c>
      <c r="D274" s="2" t="str">
        <f>_xlfn.XLOOKUP($I274,Tab_00.Trial[CONTA],Tab_00.Trial[S/A],"",0,1)</f>
        <v>S</v>
      </c>
      <c r="E274" s="2">
        <f>IF($I274="","",COUNTIFS(Tab_00.Trial[CONTA],$I274))</f>
        <v>1</v>
      </c>
      <c r="F274" s="4">
        <f>SUMIFS(Tab_07.Jul[SALDO
ATUAL],Tab_07.Jul[CONTA],$I274)</f>
        <v>28948.49</v>
      </c>
      <c r="G274" s="4">
        <f t="shared" si="10"/>
        <v>0</v>
      </c>
      <c r="H274" s="192">
        <v>51065</v>
      </c>
      <c r="I274" s="3" t="s">
        <v>624</v>
      </c>
      <c r="J274" s="3" t="s">
        <v>724</v>
      </c>
      <c r="K274" s="4">
        <v>28948.49</v>
      </c>
      <c r="L274" s="4">
        <v>3666.75</v>
      </c>
      <c r="M274" s="4">
        <v>0</v>
      </c>
      <c r="N274" s="4">
        <v>32615.24</v>
      </c>
      <c r="O274" s="4">
        <f>Tab_08.Ago[[#This Row],[DÉBITO]]-Tab_08.Ago[[#This Row],[CRÉDITO]]</f>
        <v>3666.75</v>
      </c>
    </row>
    <row r="275" spans="2:15" x14ac:dyDescent="0.3">
      <c r="B275" s="2" t="str">
        <f>_xlfn.XLOOKUP($I275,Tab_00.Trial[CONTA],Tab_00.Trial[TP],"",0,1)</f>
        <v>C</v>
      </c>
      <c r="C275" s="2">
        <f>_xlfn.XLOOKUP($I275,Tab_00.Trial[CONTA],Tab_00.Trial[NV],"",0,1)</f>
        <v>5</v>
      </c>
      <c r="D275" s="2" t="str">
        <f>_xlfn.XLOOKUP($I275,Tab_00.Trial[CONTA],Tab_00.Trial[S/A],"",0,1)</f>
        <v>A</v>
      </c>
      <c r="E275" s="2">
        <f>IF($I275="","",COUNTIFS(Tab_00.Trial[CONTA],$I275))</f>
        <v>1</v>
      </c>
      <c r="F275" s="4">
        <f>SUMIFS(Tab_07.Jul[SALDO
ATUAL],Tab_07.Jul[CONTA],$I275)</f>
        <v>28948.49</v>
      </c>
      <c r="G275" s="4">
        <f t="shared" si="10"/>
        <v>0</v>
      </c>
      <c r="H275" s="192">
        <v>51080</v>
      </c>
      <c r="I275" s="3" t="s">
        <v>520</v>
      </c>
      <c r="J275" s="3" t="s">
        <v>521</v>
      </c>
      <c r="K275" s="4">
        <v>28948.49</v>
      </c>
      <c r="L275" s="4">
        <v>3666.75</v>
      </c>
      <c r="M275" s="4">
        <v>0</v>
      </c>
      <c r="N275" s="4">
        <v>32615.24</v>
      </c>
      <c r="O275" s="4">
        <f>Tab_08.Ago[[#This Row],[DÉBITO]]-Tab_08.Ago[[#This Row],[CRÉDITO]]</f>
        <v>3666.75</v>
      </c>
    </row>
    <row r="276" spans="2:15" x14ac:dyDescent="0.3">
      <c r="B276" s="2" t="str">
        <f>_xlfn.XLOOKUP($I276,Tab_00.Trial[CONTA],Tab_00.Trial[TP],"",0,1)</f>
        <v>C</v>
      </c>
      <c r="C276" s="2">
        <f>_xlfn.XLOOKUP($I276,Tab_00.Trial[CONTA],Tab_00.Trial[NV],"",0,1)</f>
        <v>5</v>
      </c>
      <c r="D276" s="2" t="str">
        <f>_xlfn.XLOOKUP($I276,Tab_00.Trial[CONTA],Tab_00.Trial[S/A],"",0,1)</f>
        <v>S</v>
      </c>
      <c r="E276" s="2">
        <f>IF($I276="","",COUNTIFS(Tab_00.Trial[CONTA],$I276))</f>
        <v>1</v>
      </c>
      <c r="F276" s="4">
        <f>SUMIFS(Tab_07.Jul[SALDO
ATUAL],Tab_07.Jul[CONTA],$I276)</f>
        <v>37696.74</v>
      </c>
      <c r="G276" s="4">
        <f t="shared" si="10"/>
        <v>0</v>
      </c>
      <c r="H276" s="192">
        <v>51110</v>
      </c>
      <c r="I276" s="3" t="s">
        <v>625</v>
      </c>
      <c r="J276" s="3" t="s">
        <v>542</v>
      </c>
      <c r="K276" s="4">
        <v>37696.74</v>
      </c>
      <c r="L276" s="4">
        <v>3282.08</v>
      </c>
      <c r="M276" s="4">
        <v>0</v>
      </c>
      <c r="N276" s="4">
        <v>40978.82</v>
      </c>
      <c r="O276" s="4">
        <f>Tab_08.Ago[[#This Row],[DÉBITO]]-Tab_08.Ago[[#This Row],[CRÉDITO]]</f>
        <v>3282.08</v>
      </c>
    </row>
    <row r="277" spans="2:15" x14ac:dyDescent="0.3">
      <c r="B277" s="2" t="str">
        <f>_xlfn.XLOOKUP($I277,Tab_00.Trial[CONTA],Tab_00.Trial[TP],"",0,1)</f>
        <v>C</v>
      </c>
      <c r="C277" s="2">
        <f>_xlfn.XLOOKUP($I277,Tab_00.Trial[CONTA],Tab_00.Trial[NV],"",0,1)</f>
        <v>5</v>
      </c>
      <c r="D277" s="2" t="str">
        <f>_xlfn.XLOOKUP($I277,Tab_00.Trial[CONTA],Tab_00.Trial[S/A],"",0,1)</f>
        <v>S</v>
      </c>
      <c r="E277" s="2">
        <f>IF($I277="","",COUNTIFS(Tab_00.Trial[CONTA],$I277))</f>
        <v>1</v>
      </c>
      <c r="F277" s="4">
        <f>SUMIFS(Tab_07.Jul[SALDO
ATUAL],Tab_07.Jul[CONTA],$I277)</f>
        <v>16096.81</v>
      </c>
      <c r="G277" s="4">
        <f t="shared" si="10"/>
        <v>0</v>
      </c>
      <c r="H277" s="192">
        <v>51125</v>
      </c>
      <c r="I277" s="3" t="s">
        <v>626</v>
      </c>
      <c r="J277" s="3" t="s">
        <v>725</v>
      </c>
      <c r="K277" s="4">
        <v>16096.81</v>
      </c>
      <c r="L277" s="4">
        <v>87.96</v>
      </c>
      <c r="M277" s="4">
        <v>0</v>
      </c>
      <c r="N277" s="4">
        <v>16184.77</v>
      </c>
      <c r="O277" s="4">
        <f>Tab_08.Ago[[#This Row],[DÉBITO]]-Tab_08.Ago[[#This Row],[CRÉDITO]]</f>
        <v>87.96</v>
      </c>
    </row>
    <row r="278" spans="2:15" x14ac:dyDescent="0.3">
      <c r="B278" s="2" t="str">
        <f>_xlfn.XLOOKUP($I278,Tab_00.Trial[CONTA],Tab_00.Trial[TP],"",0,1)</f>
        <v>C</v>
      </c>
      <c r="C278" s="2">
        <f>_xlfn.XLOOKUP($I278,Tab_00.Trial[CONTA],Tab_00.Trial[NV],"",0,1)</f>
        <v>5</v>
      </c>
      <c r="D278" s="2" t="str">
        <f>_xlfn.XLOOKUP($I278,Tab_00.Trial[CONTA],Tab_00.Trial[S/A],"",0,1)</f>
        <v>A</v>
      </c>
      <c r="E278" s="2">
        <f>IF($I278="","",COUNTIFS(Tab_00.Trial[CONTA],$I278))</f>
        <v>1</v>
      </c>
      <c r="F278" s="4">
        <f>SUMIFS(Tab_07.Jul[SALDO
ATUAL],Tab_07.Jul[CONTA],$I278)</f>
        <v>15527.74</v>
      </c>
      <c r="G278" s="4">
        <f t="shared" si="10"/>
        <v>0</v>
      </c>
      <c r="H278" s="192">
        <v>51200</v>
      </c>
      <c r="I278" s="3" t="s">
        <v>522</v>
      </c>
      <c r="J278" s="3" t="s">
        <v>523</v>
      </c>
      <c r="K278" s="4">
        <v>15527.74</v>
      </c>
      <c r="L278" s="4">
        <v>0</v>
      </c>
      <c r="M278" s="4">
        <v>0</v>
      </c>
      <c r="N278" s="4">
        <v>15527.74</v>
      </c>
      <c r="O278" s="4">
        <f>Tab_08.Ago[[#This Row],[DÉBITO]]-Tab_08.Ago[[#This Row],[CRÉDITO]]</f>
        <v>0</v>
      </c>
    </row>
    <row r="279" spans="2:15" x14ac:dyDescent="0.3">
      <c r="B279" s="2" t="str">
        <f>_xlfn.XLOOKUP($I279,Tab_00.Trial[CONTA],Tab_00.Trial[TP],"",0,1)</f>
        <v>C</v>
      </c>
      <c r="C279" s="2">
        <f>_xlfn.XLOOKUP($I279,Tab_00.Trial[CONTA],Tab_00.Trial[NV],"",0,1)</f>
        <v>5</v>
      </c>
      <c r="D279" s="2" t="str">
        <f>_xlfn.XLOOKUP($I279,Tab_00.Trial[CONTA],Tab_00.Trial[S/A],"",0,1)</f>
        <v>A</v>
      </c>
      <c r="E279" s="2">
        <f>IF($I279="","",COUNTIFS(Tab_00.Trial[CONTA],$I279))</f>
        <v>1</v>
      </c>
      <c r="F279" s="4">
        <f>SUMIFS(Tab_07.Jul[SALDO
ATUAL],Tab_07.Jul[CONTA],$I279)</f>
        <v>569.07000000000005</v>
      </c>
      <c r="G279" s="4">
        <f t="shared" si="10"/>
        <v>0</v>
      </c>
      <c r="H279" s="192">
        <v>51220</v>
      </c>
      <c r="I279" s="3" t="s">
        <v>524</v>
      </c>
      <c r="J279" s="3" t="s">
        <v>525</v>
      </c>
      <c r="K279" s="4">
        <v>569.07000000000005</v>
      </c>
      <c r="L279" s="4">
        <v>87.96</v>
      </c>
      <c r="M279" s="4">
        <v>0</v>
      </c>
      <c r="N279" s="4">
        <v>657.03</v>
      </c>
      <c r="O279" s="4">
        <f>Tab_08.Ago[[#This Row],[DÉBITO]]-Tab_08.Ago[[#This Row],[CRÉDITO]]</f>
        <v>87.96</v>
      </c>
    </row>
    <row r="280" spans="2:15" x14ac:dyDescent="0.3">
      <c r="B280" s="2" t="str">
        <f>_xlfn.XLOOKUP($I280,Tab_00.Trial[CONTA],Tab_00.Trial[TP],"",0,1)</f>
        <v>C</v>
      </c>
      <c r="C280" s="2">
        <f>_xlfn.XLOOKUP($I280,Tab_00.Trial[CONTA],Tab_00.Trial[NV],"",0,1)</f>
        <v>5</v>
      </c>
      <c r="D280" s="2" t="str">
        <f>_xlfn.XLOOKUP($I280,Tab_00.Trial[CONTA],Tab_00.Trial[S/A],"",0,1)</f>
        <v>S</v>
      </c>
      <c r="E280" s="2">
        <f>IF($I280="","",COUNTIFS(Tab_00.Trial[CONTA],$I280))</f>
        <v>1</v>
      </c>
      <c r="F280" s="4">
        <f>SUMIFS(Tab_07.Jul[SALDO
ATUAL],Tab_07.Jul[CONTA],$I280)</f>
        <v>21599.93</v>
      </c>
      <c r="G280" s="4">
        <f t="shared" si="10"/>
        <v>0</v>
      </c>
      <c r="H280" s="192">
        <v>51230</v>
      </c>
      <c r="I280" s="3" t="s">
        <v>627</v>
      </c>
      <c r="J280" s="3" t="s">
        <v>542</v>
      </c>
      <c r="K280" s="4">
        <v>21599.93</v>
      </c>
      <c r="L280" s="4">
        <v>3194.12</v>
      </c>
      <c r="M280" s="4">
        <v>0</v>
      </c>
      <c r="N280" s="4">
        <v>24794.05</v>
      </c>
      <c r="O280" s="4">
        <f>Tab_08.Ago[[#This Row],[DÉBITO]]-Tab_08.Ago[[#This Row],[CRÉDITO]]</f>
        <v>3194.12</v>
      </c>
    </row>
    <row r="281" spans="2:15" x14ac:dyDescent="0.3">
      <c r="B281" s="2" t="str">
        <f>_xlfn.XLOOKUP($I281,Tab_00.Trial[CONTA],Tab_00.Trial[TP],"",0,1)</f>
        <v>C</v>
      </c>
      <c r="C281" s="2">
        <f>_xlfn.XLOOKUP($I281,Tab_00.Trial[CONTA],Tab_00.Trial[NV],"",0,1)</f>
        <v>5</v>
      </c>
      <c r="D281" s="2" t="str">
        <f>_xlfn.XLOOKUP($I281,Tab_00.Trial[CONTA],Tab_00.Trial[S/A],"",0,1)</f>
        <v>A</v>
      </c>
      <c r="E281" s="2">
        <f>IF($I281="","",COUNTIFS(Tab_00.Trial[CONTA],$I281))</f>
        <v>1</v>
      </c>
      <c r="F281" s="4">
        <f>SUMIFS(Tab_07.Jul[SALDO
ATUAL],Tab_07.Jul[CONTA],$I281)</f>
        <v>750.01</v>
      </c>
      <c r="G281" s="4">
        <f t="shared" si="10"/>
        <v>0</v>
      </c>
      <c r="H281" s="192">
        <v>51245</v>
      </c>
      <c r="I281" s="3" t="s">
        <v>528</v>
      </c>
      <c r="J281" s="3" t="s">
        <v>416</v>
      </c>
      <c r="K281" s="4">
        <v>750.01</v>
      </c>
      <c r="L281" s="4">
        <v>645.41</v>
      </c>
      <c r="M281" s="4">
        <v>0</v>
      </c>
      <c r="N281" s="4">
        <v>1395.42</v>
      </c>
      <c r="O281" s="4">
        <f>Tab_08.Ago[[#This Row],[DÉBITO]]-Tab_08.Ago[[#This Row],[CRÉDITO]]</f>
        <v>645.41</v>
      </c>
    </row>
    <row r="282" spans="2:15" x14ac:dyDescent="0.3">
      <c r="B282" s="2" t="str">
        <f>_xlfn.XLOOKUP($I282,Tab_00.Trial[CONTA],Tab_00.Trial[TP],"",0,1)</f>
        <v>C</v>
      </c>
      <c r="C282" s="2">
        <f>_xlfn.XLOOKUP($I282,Tab_00.Trial[CONTA],Tab_00.Trial[NV],"",0,1)</f>
        <v>5</v>
      </c>
      <c r="D282" s="2" t="str">
        <f>_xlfn.XLOOKUP($I282,Tab_00.Trial[CONTA],Tab_00.Trial[S/A],"",0,1)</f>
        <v>A</v>
      </c>
      <c r="E282" s="2">
        <f>IF($I282="","",COUNTIFS(Tab_00.Trial[CONTA],$I282))</f>
        <v>1</v>
      </c>
      <c r="F282" s="4">
        <f>SUMIFS(Tab_07.Jul[SALDO
ATUAL],Tab_07.Jul[CONTA],$I282)</f>
        <v>258</v>
      </c>
      <c r="G282" s="4">
        <f t="shared" si="10"/>
        <v>0</v>
      </c>
      <c r="H282" s="192">
        <v>51275</v>
      </c>
      <c r="I282" s="3" t="s">
        <v>529</v>
      </c>
      <c r="J282" s="3" t="s">
        <v>530</v>
      </c>
      <c r="K282" s="4">
        <v>258</v>
      </c>
      <c r="L282" s="4">
        <v>0</v>
      </c>
      <c r="M282" s="4">
        <v>0</v>
      </c>
      <c r="N282" s="4">
        <v>258</v>
      </c>
      <c r="O282" s="4">
        <f>Tab_08.Ago[[#This Row],[DÉBITO]]-Tab_08.Ago[[#This Row],[CRÉDITO]]</f>
        <v>0</v>
      </c>
    </row>
    <row r="283" spans="2:15" x14ac:dyDescent="0.3">
      <c r="B283" s="2" t="str">
        <f>_xlfn.XLOOKUP($I283,Tab_00.Trial[CONTA],Tab_00.Trial[TP],"",0,1)</f>
        <v>C</v>
      </c>
      <c r="C283" s="2">
        <f>_xlfn.XLOOKUP($I283,Tab_00.Trial[CONTA],Tab_00.Trial[NV],"",0,1)</f>
        <v>5</v>
      </c>
      <c r="D283" s="2" t="str">
        <f>_xlfn.XLOOKUP($I283,Tab_00.Trial[CONTA],Tab_00.Trial[S/A],"",0,1)</f>
        <v>A</v>
      </c>
      <c r="E283" s="2">
        <f>IF($I283="","",COUNTIFS(Tab_00.Trial[CONTA],$I283))</f>
        <v>1</v>
      </c>
      <c r="F283" s="4">
        <f>SUMIFS(Tab_07.Jul[SALDO
ATUAL],Tab_07.Jul[CONTA],$I283)</f>
        <v>1090.6300000000001</v>
      </c>
      <c r="G283" s="4">
        <f t="shared" si="10"/>
        <v>0</v>
      </c>
      <c r="H283" s="192">
        <v>51290</v>
      </c>
      <c r="I283" s="3" t="s">
        <v>531</v>
      </c>
      <c r="J283" s="3" t="s">
        <v>532</v>
      </c>
      <c r="K283" s="4">
        <v>1090.6300000000001</v>
      </c>
      <c r="L283" s="4">
        <v>170.37</v>
      </c>
      <c r="M283" s="4">
        <v>0</v>
      </c>
      <c r="N283" s="4">
        <v>1261</v>
      </c>
      <c r="O283" s="4">
        <f>Tab_08.Ago[[#This Row],[DÉBITO]]-Tab_08.Ago[[#This Row],[CRÉDITO]]</f>
        <v>170.37</v>
      </c>
    </row>
    <row r="284" spans="2:15" x14ac:dyDescent="0.3">
      <c r="B284" s="2" t="str">
        <f>_xlfn.XLOOKUP($I284,Tab_00.Trial[CONTA],Tab_00.Trial[TP],"",0,1)</f>
        <v>C</v>
      </c>
      <c r="C284" s="2">
        <f>_xlfn.XLOOKUP($I284,Tab_00.Trial[CONTA],Tab_00.Trial[NV],"",0,1)</f>
        <v>5</v>
      </c>
      <c r="D284" s="2" t="str">
        <f>_xlfn.XLOOKUP($I284,Tab_00.Trial[CONTA],Tab_00.Trial[S/A],"",0,1)</f>
        <v>A</v>
      </c>
      <c r="E284" s="2">
        <f>IF($I284="","",COUNTIFS(Tab_00.Trial[CONTA],$I284))</f>
        <v>1</v>
      </c>
      <c r="F284" s="4">
        <f>SUMIFS(Tab_07.Jul[SALDO
ATUAL],Tab_07.Jul[CONTA],$I284)</f>
        <v>2100</v>
      </c>
      <c r="G284" s="4">
        <f t="shared" si="10"/>
        <v>0</v>
      </c>
      <c r="H284" s="192">
        <v>51305</v>
      </c>
      <c r="I284" s="3" t="s">
        <v>533</v>
      </c>
      <c r="J284" s="3" t="s">
        <v>534</v>
      </c>
      <c r="K284" s="4">
        <v>2100</v>
      </c>
      <c r="L284" s="4">
        <v>600</v>
      </c>
      <c r="M284" s="4">
        <v>0</v>
      </c>
      <c r="N284" s="4">
        <v>2700</v>
      </c>
      <c r="O284" s="4">
        <f>Tab_08.Ago[[#This Row],[DÉBITO]]-Tab_08.Ago[[#This Row],[CRÉDITO]]</f>
        <v>600</v>
      </c>
    </row>
    <row r="285" spans="2:15" x14ac:dyDescent="0.3">
      <c r="B285" s="2" t="str">
        <f>_xlfn.XLOOKUP($I285,Tab_00.Trial[CONTA],Tab_00.Trial[TP],"",0,1)</f>
        <v>C</v>
      </c>
      <c r="C285" s="2">
        <f>_xlfn.XLOOKUP($I285,Tab_00.Trial[CONTA],Tab_00.Trial[NV],"",0,1)</f>
        <v>5</v>
      </c>
      <c r="D285" s="2" t="str">
        <f>_xlfn.XLOOKUP($I285,Tab_00.Trial[CONTA],Tab_00.Trial[S/A],"",0,1)</f>
        <v>A</v>
      </c>
      <c r="E285" s="2">
        <f>IF($I285="","",COUNTIFS(Tab_00.Trial[CONTA],$I285))</f>
        <v>1</v>
      </c>
      <c r="F285" s="4">
        <f>SUMIFS(Tab_07.Jul[SALDO
ATUAL],Tab_07.Jul[CONTA],$I285)</f>
        <v>4749.8900000000003</v>
      </c>
      <c r="G285" s="4">
        <f t="shared" si="10"/>
        <v>0</v>
      </c>
      <c r="H285" s="192">
        <v>51335</v>
      </c>
      <c r="I285" s="3" t="s">
        <v>537</v>
      </c>
      <c r="J285" s="3" t="s">
        <v>538</v>
      </c>
      <c r="K285" s="4">
        <v>4749.8900000000003</v>
      </c>
      <c r="L285" s="4">
        <v>0</v>
      </c>
      <c r="M285" s="4">
        <v>0</v>
      </c>
      <c r="N285" s="4">
        <v>4749.8900000000003</v>
      </c>
      <c r="O285" s="4">
        <f>Tab_08.Ago[[#This Row],[DÉBITO]]-Tab_08.Ago[[#This Row],[CRÉDITO]]</f>
        <v>0</v>
      </c>
    </row>
    <row r="286" spans="2:15" x14ac:dyDescent="0.3">
      <c r="B286" s="2" t="str">
        <f>_xlfn.XLOOKUP($I286,Tab_00.Trial[CONTA],Tab_00.Trial[TP],"",0,1)</f>
        <v>C</v>
      </c>
      <c r="C286" s="2">
        <f>_xlfn.XLOOKUP($I286,Tab_00.Trial[CONTA],Tab_00.Trial[NV],"",0,1)</f>
        <v>5</v>
      </c>
      <c r="D286" s="2" t="str">
        <f>_xlfn.XLOOKUP($I286,Tab_00.Trial[CONTA],Tab_00.Trial[S/A],"",0,1)</f>
        <v>A</v>
      </c>
      <c r="E286" s="2">
        <f>IF($I286="","",COUNTIFS(Tab_00.Trial[CONTA],$I286))</f>
        <v>1</v>
      </c>
      <c r="F286" s="4">
        <f>SUMIFS(Tab_07.Jul[SALDO
ATUAL],Tab_07.Jul[CONTA],$I286)</f>
        <v>10965.13</v>
      </c>
      <c r="G286" s="4">
        <f t="shared" si="10"/>
        <v>0</v>
      </c>
      <c r="H286" s="192">
        <v>51338</v>
      </c>
      <c r="I286" s="3" t="s">
        <v>539</v>
      </c>
      <c r="J286" s="3" t="s">
        <v>540</v>
      </c>
      <c r="K286" s="4">
        <v>10965.13</v>
      </c>
      <c r="L286" s="4">
        <v>1175.6500000000001</v>
      </c>
      <c r="M286" s="4">
        <v>0</v>
      </c>
      <c r="N286" s="4">
        <v>12140.78</v>
      </c>
      <c r="O286" s="4">
        <f>Tab_08.Ago[[#This Row],[DÉBITO]]-Tab_08.Ago[[#This Row],[CRÉDITO]]</f>
        <v>1175.6500000000001</v>
      </c>
    </row>
    <row r="287" spans="2:15" x14ac:dyDescent="0.3">
      <c r="B287" s="2" t="str">
        <f>_xlfn.XLOOKUP($I287,Tab_00.Trial[CONTA],Tab_00.Trial[TP],"",0,1)</f>
        <v>C</v>
      </c>
      <c r="C287" s="2">
        <f>_xlfn.XLOOKUP($I287,Tab_00.Trial[CONTA],Tab_00.Trial[NV],"",0,1)</f>
        <v>5</v>
      </c>
      <c r="D287" s="2" t="str">
        <f>_xlfn.XLOOKUP($I287,Tab_00.Trial[CONTA],Tab_00.Trial[S/A],"",0,1)</f>
        <v>A</v>
      </c>
      <c r="E287" s="2">
        <f>IF($I287="","",COUNTIFS(Tab_00.Trial[CONTA],$I287))</f>
        <v>1</v>
      </c>
      <c r="F287" s="4">
        <f>SUMIFS(Tab_07.Jul[SALDO
ATUAL],Tab_07.Jul[CONTA],$I287)</f>
        <v>1686.27</v>
      </c>
      <c r="G287" s="4">
        <f t="shared" si="10"/>
        <v>0</v>
      </c>
      <c r="H287" s="192">
        <v>51337</v>
      </c>
      <c r="I287" s="3" t="s">
        <v>541</v>
      </c>
      <c r="J287" s="3" t="s">
        <v>542</v>
      </c>
      <c r="K287" s="4">
        <v>1686.27</v>
      </c>
      <c r="L287" s="4">
        <v>602.69000000000005</v>
      </c>
      <c r="M287" s="4">
        <v>0</v>
      </c>
      <c r="N287" s="4">
        <v>2288.96</v>
      </c>
      <c r="O287" s="4">
        <f>Tab_08.Ago[[#This Row],[DÉBITO]]-Tab_08.Ago[[#This Row],[CRÉDITO]]</f>
        <v>602.69000000000005</v>
      </c>
    </row>
    <row r="288" spans="2:15" x14ac:dyDescent="0.3">
      <c r="B288" s="2" t="str">
        <f>_xlfn.XLOOKUP($I288,Tab_00.Trial[CONTA],Tab_00.Trial[TP],"",0,1)</f>
        <v>C</v>
      </c>
      <c r="C288" s="2">
        <f>_xlfn.XLOOKUP($I288,Tab_00.Trial[CONTA],Tab_00.Trial[NV],"",0,1)</f>
        <v>2</v>
      </c>
      <c r="D288" s="2" t="str">
        <f>_xlfn.XLOOKUP($I288,Tab_00.Trial[CONTA],Tab_00.Trial[S/A],"",0,1)</f>
        <v>S</v>
      </c>
      <c r="E288" s="2">
        <f>IF($I288="","",COUNTIFS(Tab_00.Trial[CONTA],$I288))</f>
        <v>1</v>
      </c>
      <c r="F288" s="4">
        <f>SUMIFS(Tab_07.Jul[SALDO
ATUAL],Tab_07.Jul[CONTA],$I288)</f>
        <v>405</v>
      </c>
      <c r="G288" s="4">
        <f t="shared" si="10"/>
        <v>0</v>
      </c>
      <c r="H288" s="192">
        <v>51500</v>
      </c>
      <c r="I288" s="3" t="s">
        <v>630</v>
      </c>
      <c r="J288" s="3" t="s">
        <v>728</v>
      </c>
      <c r="K288" s="4">
        <v>405</v>
      </c>
      <c r="L288" s="4">
        <v>0</v>
      </c>
      <c r="M288" s="4">
        <v>0</v>
      </c>
      <c r="N288" s="4">
        <v>405</v>
      </c>
      <c r="O288" s="4">
        <f>Tab_08.Ago[[#This Row],[DÉBITO]]-Tab_08.Ago[[#This Row],[CRÉDITO]]</f>
        <v>0</v>
      </c>
    </row>
    <row r="289" spans="2:15" x14ac:dyDescent="0.3">
      <c r="B289" s="2" t="str">
        <f>_xlfn.XLOOKUP($I289,Tab_00.Trial[CONTA],Tab_00.Trial[TP],"",0,1)</f>
        <v>C</v>
      </c>
      <c r="C289" s="2">
        <f>_xlfn.XLOOKUP($I289,Tab_00.Trial[CONTA],Tab_00.Trial[NV],"",0,1)</f>
        <v>5</v>
      </c>
      <c r="D289" s="2" t="str">
        <f>_xlfn.XLOOKUP($I289,Tab_00.Trial[CONTA],Tab_00.Trial[S/A],"",0,1)</f>
        <v>S</v>
      </c>
      <c r="E289" s="2">
        <f>IF($I289="","",COUNTIFS(Tab_00.Trial[CONTA],$I289))</f>
        <v>1</v>
      </c>
      <c r="F289" s="4">
        <f>SUMIFS(Tab_07.Jul[SALDO
ATUAL],Tab_07.Jul[CONTA],$I289)</f>
        <v>405</v>
      </c>
      <c r="G289" s="4">
        <f t="shared" si="10"/>
        <v>0</v>
      </c>
      <c r="H289" s="192">
        <v>51505</v>
      </c>
      <c r="I289" s="3" t="s">
        <v>631</v>
      </c>
      <c r="J289" s="3" t="s">
        <v>728</v>
      </c>
      <c r="K289" s="4">
        <v>405</v>
      </c>
      <c r="L289" s="4">
        <v>0</v>
      </c>
      <c r="M289" s="4">
        <v>0</v>
      </c>
      <c r="N289" s="4">
        <v>405</v>
      </c>
      <c r="O289" s="4">
        <f>Tab_08.Ago[[#This Row],[DÉBITO]]-Tab_08.Ago[[#This Row],[CRÉDITO]]</f>
        <v>0</v>
      </c>
    </row>
    <row r="290" spans="2:15" x14ac:dyDescent="0.3">
      <c r="B290" s="2" t="str">
        <f>_xlfn.XLOOKUP($I290,Tab_00.Trial[CONTA],Tab_00.Trial[TP],"",0,1)</f>
        <v>C</v>
      </c>
      <c r="C290" s="2">
        <f>_xlfn.XLOOKUP($I290,Tab_00.Trial[CONTA],Tab_00.Trial[NV],"",0,1)</f>
        <v>5</v>
      </c>
      <c r="D290" s="2" t="str">
        <f>_xlfn.XLOOKUP($I290,Tab_00.Trial[CONTA],Tab_00.Trial[S/A],"",0,1)</f>
        <v>S</v>
      </c>
      <c r="E290" s="2">
        <f>IF($I290="","",COUNTIFS(Tab_00.Trial[CONTA],$I290))</f>
        <v>1</v>
      </c>
      <c r="F290" s="4">
        <f>SUMIFS(Tab_07.Jul[SALDO
ATUAL],Tab_07.Jul[CONTA],$I290)</f>
        <v>405</v>
      </c>
      <c r="G290" s="4">
        <f t="shared" ref="G290:G295" si="11">$F290-$K290</f>
        <v>0</v>
      </c>
      <c r="H290" s="192">
        <v>51565</v>
      </c>
      <c r="I290" s="3" t="s">
        <v>633</v>
      </c>
      <c r="J290" s="3" t="s">
        <v>548</v>
      </c>
      <c r="K290" s="4">
        <v>405</v>
      </c>
      <c r="L290" s="4">
        <v>0</v>
      </c>
      <c r="M290" s="4">
        <v>0</v>
      </c>
      <c r="N290" s="4">
        <v>405</v>
      </c>
      <c r="O290" s="4">
        <f>Tab_08.Ago[[#This Row],[DÉBITO]]-Tab_08.Ago[[#This Row],[CRÉDITO]]</f>
        <v>0</v>
      </c>
    </row>
    <row r="291" spans="2:15" x14ac:dyDescent="0.3">
      <c r="B291" s="2" t="str">
        <f>_xlfn.XLOOKUP($I291,Tab_00.Trial[CONTA],Tab_00.Trial[TP],"",0,1)</f>
        <v>C</v>
      </c>
      <c r="C291" s="2">
        <f>_xlfn.XLOOKUP($I291,Tab_00.Trial[CONTA],Tab_00.Trial[NV],"",0,1)</f>
        <v>5</v>
      </c>
      <c r="D291" s="2" t="str">
        <f>_xlfn.XLOOKUP($I291,Tab_00.Trial[CONTA],Tab_00.Trial[S/A],"",0,1)</f>
        <v>A</v>
      </c>
      <c r="E291" s="2">
        <f>IF($I291="","",COUNTIFS(Tab_00.Trial[CONTA],$I291))</f>
        <v>1</v>
      </c>
      <c r="F291" s="4">
        <f>SUMIFS(Tab_07.Jul[SALDO
ATUAL],Tab_07.Jul[CONTA],$I291)</f>
        <v>405</v>
      </c>
      <c r="G291" s="4">
        <f t="shared" si="11"/>
        <v>0</v>
      </c>
      <c r="H291" s="192">
        <v>51570</v>
      </c>
      <c r="I291" s="3" t="s">
        <v>547</v>
      </c>
      <c r="J291" s="3" t="s">
        <v>548</v>
      </c>
      <c r="K291" s="4">
        <v>405</v>
      </c>
      <c r="L291" s="4">
        <v>0</v>
      </c>
      <c r="M291" s="4">
        <v>0</v>
      </c>
      <c r="N291" s="4">
        <v>405</v>
      </c>
      <c r="O291" s="4">
        <f>Tab_08.Ago[[#This Row],[DÉBITO]]-Tab_08.Ago[[#This Row],[CRÉDITO]]</f>
        <v>0</v>
      </c>
    </row>
    <row r="292" spans="2:15" x14ac:dyDescent="0.3">
      <c r="B292" s="2" t="str">
        <f>_xlfn.XLOOKUP($I292,Tab_00.Trial[CONTA],Tab_00.Trial[TP],"",0,1)</f>
        <v>C</v>
      </c>
      <c r="C292" s="2">
        <f>_xlfn.XLOOKUP($I292,Tab_00.Trial[CONTA],Tab_00.Trial[NV],"",0,1)</f>
        <v>2</v>
      </c>
      <c r="D292" s="2" t="str">
        <f>_xlfn.XLOOKUP($I292,Tab_00.Trial[CONTA],Tab_00.Trial[S/A],"",0,1)</f>
        <v>S</v>
      </c>
      <c r="E292" s="2">
        <f>IF($I292="","",COUNTIFS(Tab_00.Trial[CONTA],$I292))</f>
        <v>1</v>
      </c>
      <c r="F292" s="4">
        <f>SUMIFS(Tab_07.Jul[SALDO
ATUAL],Tab_07.Jul[CONTA],$I292)</f>
        <v>-189</v>
      </c>
      <c r="G292" s="4">
        <f t="shared" si="11"/>
        <v>0</v>
      </c>
      <c r="H292" s="192">
        <v>51590</v>
      </c>
      <c r="I292" s="3" t="s">
        <v>634</v>
      </c>
      <c r="J292" s="3" t="s">
        <v>730</v>
      </c>
      <c r="K292" s="4">
        <v>-189</v>
      </c>
      <c r="L292" s="4">
        <v>0</v>
      </c>
      <c r="M292" s="4">
        <v>0</v>
      </c>
      <c r="N292" s="4">
        <v>-189</v>
      </c>
      <c r="O292" s="4">
        <f>Tab_08.Ago[[#This Row],[DÉBITO]]-Tab_08.Ago[[#This Row],[CRÉDITO]]</f>
        <v>0</v>
      </c>
    </row>
    <row r="293" spans="2:15" x14ac:dyDescent="0.3">
      <c r="B293" s="2" t="str">
        <f>_xlfn.XLOOKUP($I293,Tab_00.Trial[CONTA],Tab_00.Trial[TP],"",0,1)</f>
        <v>C</v>
      </c>
      <c r="C293" s="2">
        <f>_xlfn.XLOOKUP($I293,Tab_00.Trial[CONTA],Tab_00.Trial[NV],"",0,1)</f>
        <v>5</v>
      </c>
      <c r="D293" s="2" t="str">
        <f>_xlfn.XLOOKUP($I293,Tab_00.Trial[CONTA],Tab_00.Trial[S/A],"",0,1)</f>
        <v>S</v>
      </c>
      <c r="E293" s="2">
        <f>IF($I293="","",COUNTIFS(Tab_00.Trial[CONTA],$I293))</f>
        <v>1</v>
      </c>
      <c r="F293" s="4">
        <f>SUMIFS(Tab_07.Jul[SALDO
ATUAL],Tab_07.Jul[CONTA],$I293)</f>
        <v>-189</v>
      </c>
      <c r="G293" s="4">
        <f t="shared" si="11"/>
        <v>0</v>
      </c>
      <c r="H293" s="192">
        <v>10216</v>
      </c>
      <c r="I293" s="3" t="s">
        <v>825</v>
      </c>
      <c r="J293" s="3" t="s">
        <v>826</v>
      </c>
      <c r="K293" s="4">
        <v>-189</v>
      </c>
      <c r="L293" s="4">
        <v>0</v>
      </c>
      <c r="M293" s="4">
        <v>0</v>
      </c>
      <c r="N293" s="4">
        <v>-189</v>
      </c>
      <c r="O293" s="4">
        <f>Tab_08.Ago[[#This Row],[DÉBITO]]-Tab_08.Ago[[#This Row],[CRÉDITO]]</f>
        <v>0</v>
      </c>
    </row>
    <row r="294" spans="2:15" x14ac:dyDescent="0.3">
      <c r="B294" s="2" t="str">
        <f>_xlfn.XLOOKUP($I294,Tab_00.Trial[CONTA],Tab_00.Trial[TP],"",0,1)</f>
        <v>C</v>
      </c>
      <c r="C294" s="2">
        <f>_xlfn.XLOOKUP($I294,Tab_00.Trial[CONTA],Tab_00.Trial[NV],"",0,1)</f>
        <v>5</v>
      </c>
      <c r="D294" s="2" t="str">
        <f>_xlfn.XLOOKUP($I294,Tab_00.Trial[CONTA],Tab_00.Trial[S/A],"",0,1)</f>
        <v>S</v>
      </c>
      <c r="E294" s="2">
        <f>IF($I294="","",COUNTIFS(Tab_00.Trial[CONTA],$I294))</f>
        <v>1</v>
      </c>
      <c r="F294" s="4">
        <f>SUMIFS(Tab_07.Jul[SALDO
ATUAL],Tab_07.Jul[CONTA],$I294)</f>
        <v>-189</v>
      </c>
      <c r="G294" s="4">
        <f t="shared" si="11"/>
        <v>0</v>
      </c>
      <c r="H294" s="192">
        <v>10230</v>
      </c>
      <c r="I294" s="3" t="s">
        <v>827</v>
      </c>
      <c r="J294" s="3" t="s">
        <v>826</v>
      </c>
      <c r="K294" s="4">
        <v>-189</v>
      </c>
      <c r="L294" s="4">
        <v>0</v>
      </c>
      <c r="M294" s="4">
        <v>0</v>
      </c>
      <c r="N294" s="4">
        <v>-189</v>
      </c>
      <c r="O294" s="4">
        <f>Tab_08.Ago[[#This Row],[DÉBITO]]-Tab_08.Ago[[#This Row],[CRÉDITO]]</f>
        <v>0</v>
      </c>
    </row>
    <row r="295" spans="2:15" x14ac:dyDescent="0.3">
      <c r="B295" s="2" t="str">
        <f>_xlfn.XLOOKUP($I295,Tab_00.Trial[CONTA],Tab_00.Trial[TP],"",0,1)</f>
        <v>C</v>
      </c>
      <c r="C295" s="2">
        <f>_xlfn.XLOOKUP($I295,Tab_00.Trial[CONTA],Tab_00.Trial[NV],"",0,1)</f>
        <v>5</v>
      </c>
      <c r="D295" s="2" t="str">
        <f>_xlfn.XLOOKUP($I295,Tab_00.Trial[CONTA],Tab_00.Trial[S/A],"",0,1)</f>
        <v>A</v>
      </c>
      <c r="E295" s="2">
        <f>IF($I295="","",COUNTIFS(Tab_00.Trial[CONTA],$I295))</f>
        <v>1</v>
      </c>
      <c r="F295" s="4">
        <f>SUMIFS(Tab_07.Jul[SALDO
ATUAL],Tab_07.Jul[CONTA],$I295)</f>
        <v>-189</v>
      </c>
      <c r="G295" s="4">
        <f t="shared" si="11"/>
        <v>0</v>
      </c>
      <c r="H295" s="192">
        <v>10237</v>
      </c>
      <c r="I295" s="3" t="s">
        <v>828</v>
      </c>
      <c r="J295" s="3" t="s">
        <v>829</v>
      </c>
      <c r="K295" s="4">
        <v>-189</v>
      </c>
      <c r="L295" s="4">
        <v>0</v>
      </c>
      <c r="M295" s="4">
        <v>0</v>
      </c>
      <c r="N295" s="4">
        <v>-189</v>
      </c>
      <c r="O295" s="4">
        <f>Tab_08.Ago[[#This Row],[DÉBITO]]-Tab_08.Ago[[#This Row],[CRÉDITO]]</f>
        <v>0</v>
      </c>
    </row>
    <row r="296" spans="2:15" x14ac:dyDescent="0.3">
      <c r="B296" s="2" t="str">
        <f>_xlfn.XLOOKUP($I296,Tab_00.Trial[CONTA],Tab_00.Trial[TP],"",0,1)</f>
        <v/>
      </c>
      <c r="C296" s="2" t="str">
        <f>_xlfn.XLOOKUP($I296,Tab_00.Trial[CONTA],Tab_00.Trial[NV],"",0,1)</f>
        <v/>
      </c>
      <c r="D296" s="2" t="str">
        <f>_xlfn.XLOOKUP($I296,Tab_00.Trial[CONTA],Tab_00.Trial[S/A],"",0,1)</f>
        <v/>
      </c>
      <c r="E296" s="2" t="str">
        <f>IF($I296="","",COUNTIFS(Tab_00.Trial[CONTA],$I296))</f>
        <v/>
      </c>
      <c r="F296" s="4">
        <f>SUMIFS(Tab_07.Jul[SALDO
ATUAL],Tab_07.Jul[CONTA],$I296)</f>
        <v>0</v>
      </c>
      <c r="G296" s="4">
        <f t="shared" ref="G296" si="12">$F296-$K296</f>
        <v>0</v>
      </c>
      <c r="I296" s="3"/>
      <c r="J296" s="3"/>
      <c r="K296" s="4"/>
      <c r="L296" s="4"/>
      <c r="M296" s="4"/>
      <c r="O296" s="4">
        <f>Tab_08.Ago[[#This Row],[DÉBITO]]-Tab_08.Ago[[#This Row],[CRÉDITO]]</f>
        <v>0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29464-D4F1-4789-BC11-26058A446850}">
  <sheetPr codeName="Planilha3">
    <pageSetUpPr fitToPage="1"/>
  </sheetPr>
  <dimension ref="A1:XFD58"/>
  <sheetViews>
    <sheetView showGridLines="0" tabSelected="1" topLeftCell="C1" zoomScale="85" zoomScaleNormal="85" zoomScaleSheetLayoutView="75" workbookViewId="0">
      <selection activeCell="J5" sqref="J5"/>
    </sheetView>
  </sheetViews>
  <sheetFormatPr defaultColWidth="9.5546875" defaultRowHeight="13.2" customHeight="1" outlineLevelCol="1" x14ac:dyDescent="0.3"/>
  <cols>
    <col min="1" max="1" width="2.88671875" style="23" customWidth="1"/>
    <col min="2" max="2" width="32.33203125" style="23" customWidth="1"/>
    <col min="3" max="3" width="8.6640625" style="23" customWidth="1" outlineLevel="1"/>
    <col min="4" max="4" width="14.5546875" style="23" customWidth="1"/>
    <col min="5" max="5" width="10.6640625" style="101" customWidth="1"/>
    <col min="6" max="6" width="20.6640625" style="24" customWidth="1"/>
    <col min="7" max="7" width="10.6640625" style="104" customWidth="1"/>
    <col min="8" max="8" width="1.88671875" style="25" customWidth="1"/>
    <col min="9" max="9" width="33.21875" style="23" customWidth="1"/>
    <col min="10" max="10" width="8.6640625" style="23" customWidth="1" outlineLevel="1"/>
    <col min="11" max="11" width="14.5546875" style="23" customWidth="1"/>
    <col min="12" max="12" width="10.6640625" style="23" customWidth="1"/>
    <col min="13" max="13" width="15.33203125" style="24" customWidth="1"/>
    <col min="14" max="14" width="10.6640625" style="24" customWidth="1"/>
    <col min="15" max="15" width="1.88671875" style="25" customWidth="1"/>
    <col min="16" max="16" width="1.88671875" style="23" customWidth="1"/>
    <col min="17" max="17" width="38.6640625" style="23" customWidth="1"/>
    <col min="18" max="18" width="8.6640625" style="23" customWidth="1" outlineLevel="1"/>
    <col min="19" max="19" width="15.6640625" style="23" customWidth="1"/>
    <col min="20" max="20" width="10.6640625" style="23" customWidth="1"/>
    <col min="21" max="21" width="20.6640625" style="24" hidden="1" customWidth="1"/>
    <col min="22" max="22" width="10.6640625" style="24" hidden="1" customWidth="1"/>
    <col min="23" max="23" width="1.88671875" style="26" customWidth="1"/>
    <col min="24" max="24" width="4" style="27" customWidth="1"/>
    <col min="25" max="25" width="11.6640625" style="28" customWidth="1"/>
    <col min="26" max="26" width="4" style="27" customWidth="1"/>
    <col min="27" max="16384" width="9.5546875" style="27"/>
  </cols>
  <sheetData>
    <row r="1" spans="2:16384" ht="16.2" customHeight="1" thickTop="1" thickBot="1" x14ac:dyDescent="0.35">
      <c r="F1" s="86" t="s">
        <v>80</v>
      </c>
      <c r="K1" s="168">
        <f ca="1">$D$44-$K$44</f>
        <v>0</v>
      </c>
      <c r="M1" s="168">
        <f ca="1">$F$44-$M$44</f>
        <v>0</v>
      </c>
      <c r="N1" s="30"/>
      <c r="Q1" s="73" t="str">
        <f ca="1">IF(OR($D$44&lt;&gt;$K$44,$F$44&lt;&gt;$M$44),"PRESTE ATENÇÃO!!!","")</f>
        <v/>
      </c>
      <c r="R1" s="71"/>
      <c r="S1" s="71"/>
      <c r="T1" s="71"/>
    </row>
    <row r="2" spans="2:16384" ht="16.5" customHeight="1" thickTop="1" thickBot="1" x14ac:dyDescent="0.35">
      <c r="F2" s="87">
        <v>45657</v>
      </c>
      <c r="K2" s="169"/>
      <c r="M2" s="169">
        <v>0</v>
      </c>
      <c r="N2" s="30"/>
      <c r="Q2" s="73" t="str">
        <f ca="1">IF(OR($D$44&lt;&gt;$K$44,$F$44&lt;&gt;$M$44),"ATIVO E PASSIVO NÃO BATE.","")</f>
        <v/>
      </c>
    </row>
    <row r="3" spans="2:16384" ht="9.9" customHeight="1" thickTop="1" x14ac:dyDescent="0.3">
      <c r="M3" s="30"/>
      <c r="N3" s="30"/>
    </row>
    <row r="4" spans="2:16384" s="32" customFormat="1" ht="20.100000000000001" customHeight="1" x14ac:dyDescent="0.3">
      <c r="B4" s="29" t="s">
        <v>754</v>
      </c>
      <c r="C4" s="29"/>
      <c r="D4" s="29"/>
      <c r="E4" s="35"/>
      <c r="F4" s="30"/>
      <c r="G4" s="37"/>
      <c r="H4" s="31"/>
      <c r="I4" s="31"/>
      <c r="J4" s="31"/>
      <c r="K4" s="31"/>
      <c r="L4" s="31"/>
      <c r="M4" s="30"/>
      <c r="N4" s="30"/>
      <c r="O4" s="31"/>
      <c r="P4" s="31"/>
      <c r="Q4" s="31"/>
      <c r="R4" s="31"/>
      <c r="S4" s="23"/>
      <c r="T4" s="31"/>
      <c r="U4" s="30"/>
      <c r="V4" s="30"/>
      <c r="W4" s="31"/>
      <c r="X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  <c r="OA4" s="27"/>
      <c r="OB4" s="27"/>
      <c r="OC4" s="27"/>
      <c r="OD4" s="27"/>
      <c r="OE4" s="27"/>
      <c r="OF4" s="27"/>
      <c r="OG4" s="27"/>
      <c r="OH4" s="27"/>
      <c r="OI4" s="27"/>
      <c r="OJ4" s="27"/>
      <c r="OK4" s="27"/>
      <c r="OL4" s="27"/>
      <c r="OM4" s="27"/>
      <c r="ON4" s="27"/>
      <c r="OO4" s="27"/>
      <c r="OP4" s="27"/>
      <c r="OQ4" s="27"/>
      <c r="OR4" s="27"/>
      <c r="OS4" s="27"/>
      <c r="OT4" s="27"/>
      <c r="OU4" s="27"/>
      <c r="OV4" s="27"/>
      <c r="OW4" s="27"/>
      <c r="OX4" s="27"/>
      <c r="OY4" s="27"/>
      <c r="OZ4" s="27"/>
      <c r="PA4" s="27"/>
      <c r="PB4" s="27"/>
      <c r="PC4" s="27"/>
      <c r="PD4" s="27"/>
      <c r="PE4" s="27"/>
      <c r="PF4" s="27"/>
      <c r="PG4" s="27"/>
      <c r="PH4" s="27"/>
      <c r="PI4" s="27"/>
      <c r="PJ4" s="27"/>
      <c r="PK4" s="27"/>
      <c r="PL4" s="27"/>
      <c r="PM4" s="27"/>
      <c r="PN4" s="27"/>
      <c r="PO4" s="27"/>
      <c r="PP4" s="27"/>
      <c r="PQ4" s="27"/>
      <c r="PR4" s="27"/>
      <c r="PS4" s="27"/>
      <c r="PT4" s="27"/>
      <c r="PU4" s="27"/>
      <c r="PV4" s="27"/>
      <c r="PW4" s="27"/>
      <c r="PX4" s="27"/>
      <c r="PY4" s="27"/>
      <c r="PZ4" s="27"/>
      <c r="QA4" s="27"/>
      <c r="QB4" s="27"/>
      <c r="QC4" s="27"/>
      <c r="QD4" s="27"/>
      <c r="QE4" s="27"/>
      <c r="QF4" s="27"/>
      <c r="QG4" s="27"/>
      <c r="QH4" s="27"/>
      <c r="QI4" s="27"/>
      <c r="QJ4" s="27"/>
      <c r="QK4" s="27"/>
      <c r="QL4" s="27"/>
      <c r="QM4" s="27"/>
      <c r="QN4" s="27"/>
      <c r="QO4" s="27"/>
      <c r="QP4" s="27"/>
      <c r="QQ4" s="27"/>
      <c r="QR4" s="27"/>
      <c r="QS4" s="27"/>
      <c r="QT4" s="27"/>
      <c r="QU4" s="27"/>
      <c r="QV4" s="27"/>
      <c r="QW4" s="27"/>
      <c r="QX4" s="27"/>
      <c r="QY4" s="27"/>
      <c r="QZ4" s="27"/>
      <c r="RA4" s="27"/>
      <c r="RB4" s="27"/>
      <c r="RC4" s="27"/>
      <c r="RD4" s="27"/>
      <c r="RE4" s="27"/>
      <c r="RF4" s="27"/>
      <c r="RG4" s="27"/>
      <c r="RH4" s="27"/>
      <c r="RI4" s="27"/>
      <c r="RJ4" s="27"/>
      <c r="RK4" s="27"/>
      <c r="RL4" s="27"/>
      <c r="RM4" s="27"/>
      <c r="RN4" s="27"/>
      <c r="RO4" s="27"/>
      <c r="RP4" s="27"/>
      <c r="RQ4" s="27"/>
      <c r="RR4" s="27"/>
      <c r="RS4" s="27"/>
      <c r="RT4" s="27"/>
      <c r="RU4" s="27"/>
      <c r="RV4" s="27"/>
      <c r="RW4" s="27"/>
      <c r="RX4" s="27"/>
      <c r="RY4" s="27"/>
      <c r="RZ4" s="27"/>
      <c r="SA4" s="27"/>
      <c r="SB4" s="27"/>
      <c r="SC4" s="27"/>
      <c r="SD4" s="27"/>
      <c r="SE4" s="27"/>
      <c r="SF4" s="27"/>
      <c r="SG4" s="27"/>
      <c r="SH4" s="27"/>
      <c r="SI4" s="27"/>
      <c r="SJ4" s="27"/>
      <c r="SK4" s="27"/>
      <c r="SL4" s="27"/>
      <c r="SM4" s="27"/>
      <c r="SN4" s="27"/>
      <c r="SO4" s="27"/>
      <c r="SP4" s="27"/>
      <c r="SQ4" s="27"/>
      <c r="SR4" s="27"/>
      <c r="SS4" s="27"/>
      <c r="ST4" s="27"/>
      <c r="SU4" s="27"/>
      <c r="SV4" s="27"/>
      <c r="SW4" s="27"/>
      <c r="SX4" s="27"/>
      <c r="SY4" s="27"/>
      <c r="SZ4" s="27"/>
      <c r="TA4" s="27"/>
      <c r="TB4" s="27"/>
      <c r="TC4" s="27"/>
      <c r="TD4" s="27"/>
      <c r="TE4" s="27"/>
      <c r="TF4" s="27"/>
      <c r="TG4" s="27"/>
      <c r="TH4" s="27"/>
      <c r="TI4" s="27"/>
      <c r="TJ4" s="27"/>
      <c r="TK4" s="27"/>
      <c r="TL4" s="27"/>
      <c r="TM4" s="27"/>
      <c r="TN4" s="27"/>
      <c r="TO4" s="27"/>
      <c r="TP4" s="27"/>
      <c r="TQ4" s="27"/>
      <c r="TR4" s="27"/>
      <c r="TS4" s="27"/>
      <c r="TT4" s="27"/>
      <c r="TU4" s="27"/>
      <c r="TV4" s="27"/>
      <c r="TW4" s="27"/>
      <c r="TX4" s="27"/>
      <c r="TY4" s="27"/>
      <c r="TZ4" s="27"/>
      <c r="UA4" s="27"/>
      <c r="UB4" s="27"/>
      <c r="UC4" s="27"/>
      <c r="UD4" s="27"/>
      <c r="UE4" s="27"/>
      <c r="UF4" s="27"/>
      <c r="UG4" s="27"/>
      <c r="UH4" s="27"/>
      <c r="UI4" s="27"/>
      <c r="UJ4" s="27"/>
      <c r="UK4" s="27"/>
      <c r="UL4" s="27"/>
      <c r="UM4" s="27"/>
      <c r="UN4" s="27"/>
      <c r="UO4" s="27"/>
      <c r="UP4" s="27"/>
      <c r="UQ4" s="27"/>
      <c r="UR4" s="27"/>
      <c r="US4" s="27"/>
      <c r="UT4" s="27"/>
      <c r="UU4" s="27"/>
      <c r="UV4" s="27"/>
      <c r="UW4" s="27"/>
      <c r="UX4" s="27"/>
      <c r="UY4" s="27"/>
      <c r="UZ4" s="27"/>
      <c r="VA4" s="27"/>
      <c r="VB4" s="27"/>
      <c r="VC4" s="27"/>
      <c r="VD4" s="27"/>
      <c r="VE4" s="27"/>
      <c r="VF4" s="27"/>
      <c r="VG4" s="27"/>
      <c r="VH4" s="27"/>
      <c r="VI4" s="27"/>
      <c r="VJ4" s="27"/>
      <c r="VK4" s="27"/>
      <c r="VL4" s="27"/>
      <c r="VM4" s="27"/>
      <c r="VN4" s="27"/>
      <c r="VO4" s="27"/>
      <c r="VP4" s="27"/>
      <c r="VQ4" s="27"/>
      <c r="VR4" s="27"/>
      <c r="VS4" s="27"/>
      <c r="VT4" s="27"/>
      <c r="VU4" s="27"/>
      <c r="VV4" s="27"/>
      <c r="VW4" s="27"/>
      <c r="VX4" s="27"/>
      <c r="VY4" s="27"/>
      <c r="VZ4" s="27"/>
      <c r="WA4" s="27"/>
      <c r="WB4" s="27"/>
      <c r="WC4" s="27"/>
      <c r="WD4" s="27"/>
      <c r="WE4" s="27"/>
      <c r="WF4" s="27"/>
      <c r="WG4" s="27"/>
      <c r="WH4" s="27"/>
      <c r="WI4" s="27"/>
      <c r="WJ4" s="27"/>
      <c r="WK4" s="27"/>
      <c r="WL4" s="27"/>
      <c r="WM4" s="27"/>
      <c r="WN4" s="27"/>
      <c r="WO4" s="27"/>
      <c r="WP4" s="27"/>
      <c r="WQ4" s="27"/>
      <c r="WR4" s="27"/>
      <c r="WS4" s="27"/>
      <c r="WT4" s="27"/>
      <c r="WU4" s="27"/>
      <c r="WV4" s="27"/>
      <c r="WW4" s="27"/>
      <c r="WX4" s="27"/>
      <c r="WY4" s="27"/>
      <c r="WZ4" s="27"/>
      <c r="XA4" s="27"/>
      <c r="XB4" s="27"/>
      <c r="XC4" s="27"/>
      <c r="XD4" s="27"/>
      <c r="XE4" s="27"/>
      <c r="XF4" s="27"/>
      <c r="XG4" s="27"/>
      <c r="XH4" s="27"/>
      <c r="XI4" s="27"/>
      <c r="XJ4" s="27"/>
      <c r="XK4" s="27"/>
      <c r="XL4" s="27"/>
      <c r="XM4" s="27"/>
      <c r="XN4" s="27"/>
      <c r="XO4" s="27"/>
      <c r="XP4" s="27"/>
      <c r="XQ4" s="27"/>
      <c r="XR4" s="27"/>
      <c r="XS4" s="27"/>
      <c r="XT4" s="27"/>
      <c r="XU4" s="27"/>
      <c r="XV4" s="27"/>
      <c r="XW4" s="27"/>
      <c r="XX4" s="27"/>
      <c r="XY4" s="27"/>
      <c r="XZ4" s="27"/>
      <c r="YA4" s="27"/>
      <c r="YB4" s="27"/>
      <c r="YC4" s="27"/>
      <c r="YD4" s="27"/>
      <c r="YE4" s="27"/>
      <c r="YF4" s="27"/>
      <c r="YG4" s="27"/>
      <c r="YH4" s="27"/>
      <c r="YI4" s="27"/>
      <c r="YJ4" s="27"/>
      <c r="YK4" s="27"/>
      <c r="YL4" s="27"/>
      <c r="YM4" s="27"/>
      <c r="YN4" s="27"/>
      <c r="YO4" s="27"/>
      <c r="YP4" s="27"/>
      <c r="YQ4" s="27"/>
      <c r="YR4" s="27"/>
      <c r="YS4" s="27"/>
      <c r="YT4" s="27"/>
      <c r="YU4" s="27"/>
      <c r="YV4" s="27"/>
      <c r="YW4" s="27"/>
      <c r="YX4" s="27"/>
      <c r="YY4" s="27"/>
      <c r="YZ4" s="27"/>
      <c r="ZA4" s="27"/>
      <c r="ZB4" s="27"/>
      <c r="ZC4" s="27"/>
      <c r="ZD4" s="27"/>
      <c r="ZE4" s="27"/>
      <c r="ZF4" s="27"/>
      <c r="ZG4" s="27"/>
      <c r="ZH4" s="27"/>
      <c r="ZI4" s="27"/>
      <c r="ZJ4" s="27"/>
      <c r="ZK4" s="27"/>
      <c r="ZL4" s="27"/>
      <c r="ZM4" s="27"/>
      <c r="ZN4" s="27"/>
      <c r="ZO4" s="27"/>
      <c r="ZP4" s="27"/>
      <c r="ZQ4" s="27"/>
      <c r="ZR4" s="27"/>
      <c r="ZS4" s="27"/>
      <c r="ZT4" s="27"/>
      <c r="ZU4" s="27"/>
      <c r="ZV4" s="27"/>
      <c r="ZW4" s="27"/>
      <c r="ZX4" s="27"/>
      <c r="ZY4" s="27"/>
      <c r="ZZ4" s="27"/>
      <c r="AAA4" s="27"/>
      <c r="AAB4" s="27"/>
      <c r="AAC4" s="27"/>
      <c r="AAD4" s="27"/>
      <c r="AAE4" s="27"/>
      <c r="AAF4" s="27"/>
      <c r="AAG4" s="27"/>
      <c r="AAH4" s="27"/>
      <c r="AAI4" s="27"/>
      <c r="AAJ4" s="27"/>
      <c r="AAK4" s="27"/>
      <c r="AAL4" s="27"/>
      <c r="AAM4" s="27"/>
      <c r="AAN4" s="27"/>
      <c r="AAO4" s="27"/>
      <c r="AAP4" s="27"/>
      <c r="AAQ4" s="27"/>
      <c r="AAR4" s="27"/>
      <c r="AAS4" s="27"/>
      <c r="AAT4" s="27"/>
      <c r="AAU4" s="27"/>
      <c r="AAV4" s="27"/>
      <c r="AAW4" s="27"/>
      <c r="AAX4" s="27"/>
      <c r="AAY4" s="27"/>
      <c r="AAZ4" s="27"/>
      <c r="ABA4" s="27"/>
      <c r="ABB4" s="27"/>
      <c r="ABC4" s="27"/>
      <c r="ABD4" s="27"/>
      <c r="ABE4" s="27"/>
      <c r="ABF4" s="27"/>
      <c r="ABG4" s="27"/>
      <c r="ABH4" s="27"/>
      <c r="ABI4" s="27"/>
      <c r="ABJ4" s="27"/>
      <c r="ABK4" s="27"/>
      <c r="ABL4" s="27"/>
      <c r="ABM4" s="27"/>
      <c r="ABN4" s="27"/>
      <c r="ABO4" s="27"/>
      <c r="ABP4" s="27"/>
      <c r="ABQ4" s="27"/>
      <c r="ABR4" s="27"/>
      <c r="ABS4" s="27"/>
      <c r="ABT4" s="27"/>
      <c r="ABU4" s="27"/>
      <c r="ABV4" s="27"/>
      <c r="ABW4" s="27"/>
      <c r="ABX4" s="27"/>
      <c r="ABY4" s="27"/>
      <c r="ABZ4" s="27"/>
      <c r="ACA4" s="27"/>
      <c r="ACB4" s="27"/>
      <c r="ACC4" s="27"/>
      <c r="ACD4" s="27"/>
      <c r="ACE4" s="27"/>
      <c r="ACF4" s="27"/>
      <c r="ACG4" s="27"/>
      <c r="ACH4" s="27"/>
      <c r="ACI4" s="27"/>
      <c r="ACJ4" s="27"/>
      <c r="ACK4" s="27"/>
      <c r="ACL4" s="27"/>
      <c r="ACM4" s="27"/>
      <c r="ACN4" s="27"/>
      <c r="ACO4" s="27"/>
      <c r="ACP4" s="27"/>
      <c r="ACQ4" s="27"/>
      <c r="ACR4" s="27"/>
      <c r="ACS4" s="27"/>
      <c r="ACT4" s="27"/>
      <c r="ACU4" s="27"/>
      <c r="ACV4" s="27"/>
      <c r="ACW4" s="27"/>
      <c r="ACX4" s="27"/>
      <c r="ACY4" s="27"/>
      <c r="ACZ4" s="27"/>
      <c r="ADA4" s="27"/>
      <c r="ADB4" s="27"/>
      <c r="ADC4" s="27"/>
      <c r="ADD4" s="27"/>
      <c r="ADE4" s="27"/>
      <c r="ADF4" s="27"/>
      <c r="ADG4" s="27"/>
      <c r="ADH4" s="27"/>
      <c r="ADI4" s="27"/>
      <c r="ADJ4" s="27"/>
      <c r="ADK4" s="27"/>
      <c r="ADL4" s="27"/>
      <c r="ADM4" s="27"/>
      <c r="ADN4" s="27"/>
      <c r="ADO4" s="27"/>
      <c r="ADP4" s="27"/>
      <c r="ADQ4" s="27"/>
      <c r="ADR4" s="27"/>
      <c r="ADS4" s="27"/>
      <c r="ADT4" s="27"/>
      <c r="ADU4" s="27"/>
      <c r="ADV4" s="27"/>
      <c r="ADW4" s="27"/>
      <c r="ADX4" s="27"/>
      <c r="ADY4" s="27"/>
      <c r="ADZ4" s="27"/>
      <c r="AEA4" s="27"/>
      <c r="AEB4" s="27"/>
      <c r="AEC4" s="27"/>
      <c r="AED4" s="27"/>
      <c r="AEE4" s="27"/>
      <c r="AEF4" s="27"/>
      <c r="AEG4" s="27"/>
      <c r="AEH4" s="27"/>
      <c r="AEI4" s="27"/>
      <c r="AEJ4" s="27"/>
      <c r="AEK4" s="27"/>
      <c r="AEL4" s="27"/>
      <c r="AEM4" s="27"/>
      <c r="AEN4" s="27"/>
      <c r="AEO4" s="27"/>
      <c r="AEP4" s="27"/>
      <c r="AEQ4" s="27"/>
      <c r="AER4" s="27"/>
      <c r="AES4" s="27"/>
      <c r="AET4" s="27"/>
      <c r="AEU4" s="27"/>
      <c r="AEV4" s="27"/>
      <c r="AEW4" s="27"/>
      <c r="AEX4" s="27"/>
      <c r="AEY4" s="27"/>
      <c r="AEZ4" s="27"/>
      <c r="AFA4" s="27"/>
      <c r="AFB4" s="27"/>
      <c r="AFC4" s="27"/>
      <c r="AFD4" s="27"/>
      <c r="AFE4" s="27"/>
      <c r="AFF4" s="27"/>
      <c r="AFG4" s="27"/>
      <c r="AFH4" s="27"/>
      <c r="AFI4" s="27"/>
      <c r="AFJ4" s="27"/>
      <c r="AFK4" s="27"/>
      <c r="AFL4" s="27"/>
      <c r="AFM4" s="27"/>
      <c r="AFN4" s="27"/>
      <c r="AFO4" s="27"/>
      <c r="AFP4" s="27"/>
      <c r="AFQ4" s="27"/>
      <c r="AFR4" s="27"/>
      <c r="AFS4" s="27"/>
      <c r="AFT4" s="27"/>
      <c r="AFU4" s="27"/>
      <c r="AFV4" s="27"/>
      <c r="AFW4" s="27"/>
      <c r="AFX4" s="27"/>
      <c r="AFY4" s="27"/>
      <c r="AFZ4" s="27"/>
      <c r="AGA4" s="27"/>
      <c r="AGB4" s="27"/>
      <c r="AGC4" s="27"/>
      <c r="AGD4" s="27"/>
      <c r="AGE4" s="27"/>
      <c r="AGF4" s="27"/>
      <c r="AGG4" s="27"/>
      <c r="AGH4" s="27"/>
      <c r="AGI4" s="27"/>
      <c r="AGJ4" s="27"/>
      <c r="AGK4" s="27"/>
      <c r="AGL4" s="27"/>
      <c r="AGM4" s="27"/>
      <c r="AGN4" s="27"/>
      <c r="AGO4" s="27"/>
      <c r="AGP4" s="27"/>
      <c r="AGQ4" s="27"/>
      <c r="AGR4" s="27"/>
      <c r="AGS4" s="27"/>
      <c r="AGT4" s="27"/>
      <c r="AGU4" s="27"/>
      <c r="AGV4" s="27"/>
      <c r="AGW4" s="27"/>
      <c r="AGX4" s="27"/>
      <c r="AGY4" s="27"/>
      <c r="AGZ4" s="27"/>
      <c r="AHA4" s="27"/>
      <c r="AHB4" s="27"/>
      <c r="AHC4" s="27"/>
      <c r="AHD4" s="27"/>
      <c r="AHE4" s="27"/>
      <c r="AHF4" s="27"/>
      <c r="AHG4" s="27"/>
      <c r="AHH4" s="27"/>
      <c r="AHI4" s="27"/>
      <c r="AHJ4" s="27"/>
      <c r="AHK4" s="27"/>
      <c r="AHL4" s="27"/>
      <c r="AHM4" s="27"/>
      <c r="AHN4" s="27"/>
      <c r="AHO4" s="27"/>
      <c r="AHP4" s="27"/>
      <c r="AHQ4" s="27"/>
      <c r="AHR4" s="27"/>
      <c r="AHS4" s="27"/>
      <c r="AHT4" s="27"/>
      <c r="AHU4" s="27"/>
      <c r="AHV4" s="27"/>
      <c r="AHW4" s="27"/>
      <c r="AHX4" s="27"/>
      <c r="AHY4" s="27"/>
      <c r="AHZ4" s="27"/>
      <c r="AIA4" s="27"/>
      <c r="AIB4" s="27"/>
      <c r="AIC4" s="27"/>
      <c r="AID4" s="27"/>
      <c r="AIE4" s="27"/>
      <c r="AIF4" s="27"/>
      <c r="AIG4" s="27"/>
      <c r="AIH4" s="27"/>
      <c r="AII4" s="27"/>
      <c r="AIJ4" s="27"/>
      <c r="AIK4" s="27"/>
      <c r="AIL4" s="27"/>
      <c r="AIM4" s="27"/>
      <c r="AIN4" s="27"/>
      <c r="AIO4" s="27"/>
      <c r="AIP4" s="27"/>
      <c r="AIQ4" s="27"/>
      <c r="AIR4" s="27"/>
      <c r="AIS4" s="27"/>
      <c r="AIT4" s="27"/>
      <c r="AIU4" s="27"/>
      <c r="AIV4" s="27"/>
      <c r="AIW4" s="27"/>
      <c r="AIX4" s="27"/>
      <c r="AIY4" s="27"/>
      <c r="AIZ4" s="27"/>
      <c r="AJA4" s="27"/>
      <c r="AJB4" s="27"/>
      <c r="AJC4" s="27"/>
      <c r="AJD4" s="27"/>
      <c r="AJE4" s="27"/>
      <c r="AJF4" s="27"/>
      <c r="AJG4" s="27"/>
      <c r="AJH4" s="27"/>
      <c r="AJI4" s="27"/>
      <c r="AJJ4" s="27"/>
      <c r="AJK4" s="27"/>
      <c r="AJL4" s="27"/>
      <c r="AJM4" s="27"/>
      <c r="AJN4" s="27"/>
      <c r="AJO4" s="27"/>
      <c r="AJP4" s="27"/>
      <c r="AJQ4" s="27"/>
      <c r="AJR4" s="27"/>
      <c r="AJS4" s="27"/>
      <c r="AJT4" s="27"/>
      <c r="AJU4" s="27"/>
      <c r="AJV4" s="27"/>
      <c r="AJW4" s="27"/>
      <c r="AJX4" s="27"/>
      <c r="AJY4" s="27"/>
      <c r="AJZ4" s="27"/>
      <c r="AKA4" s="27"/>
      <c r="AKB4" s="27"/>
      <c r="AKC4" s="27"/>
      <c r="AKD4" s="27"/>
      <c r="AKE4" s="27"/>
      <c r="AKF4" s="27"/>
      <c r="AKG4" s="27"/>
      <c r="AKH4" s="27"/>
      <c r="AKI4" s="27"/>
      <c r="AKJ4" s="27"/>
      <c r="AKK4" s="27"/>
      <c r="AKL4" s="27"/>
      <c r="AKM4" s="27"/>
      <c r="AKN4" s="27"/>
      <c r="AKO4" s="27"/>
      <c r="AKP4" s="27"/>
      <c r="AKQ4" s="27"/>
      <c r="AKR4" s="27"/>
      <c r="AKS4" s="27"/>
      <c r="AKT4" s="27"/>
      <c r="AKU4" s="27"/>
      <c r="AKV4" s="27"/>
      <c r="AKW4" s="27"/>
      <c r="AKX4" s="27"/>
      <c r="AKY4" s="27"/>
      <c r="AKZ4" s="27"/>
      <c r="ALA4" s="27"/>
      <c r="ALB4" s="27"/>
      <c r="ALC4" s="27"/>
      <c r="ALD4" s="27"/>
      <c r="ALE4" s="27"/>
      <c r="ALF4" s="27"/>
      <c r="ALG4" s="27"/>
      <c r="ALH4" s="27"/>
      <c r="ALI4" s="27"/>
      <c r="ALJ4" s="27"/>
      <c r="ALK4" s="27"/>
      <c r="ALL4" s="27"/>
      <c r="ALM4" s="27"/>
      <c r="ALN4" s="27"/>
      <c r="ALO4" s="27"/>
      <c r="ALP4" s="27"/>
      <c r="ALQ4" s="27"/>
      <c r="ALR4" s="27"/>
      <c r="ALS4" s="27"/>
      <c r="ALT4" s="27"/>
      <c r="ALU4" s="27"/>
      <c r="ALV4" s="27"/>
      <c r="ALW4" s="27"/>
      <c r="ALX4" s="27"/>
      <c r="ALY4" s="27"/>
      <c r="ALZ4" s="27"/>
      <c r="AMA4" s="27"/>
      <c r="AMB4" s="27"/>
      <c r="AMC4" s="27"/>
      <c r="AMD4" s="27"/>
      <c r="AME4" s="27"/>
      <c r="AMF4" s="27"/>
      <c r="AMG4" s="27"/>
      <c r="AMH4" s="27"/>
      <c r="AMI4" s="27"/>
      <c r="AMJ4" s="27"/>
      <c r="AMK4" s="27"/>
      <c r="AML4" s="27"/>
      <c r="AMM4" s="27"/>
      <c r="AMN4" s="27"/>
      <c r="AMO4" s="27"/>
      <c r="AMP4" s="27"/>
      <c r="AMQ4" s="27"/>
      <c r="AMR4" s="27"/>
      <c r="AMS4" s="27"/>
      <c r="AMT4" s="27"/>
      <c r="AMU4" s="27"/>
      <c r="AMV4" s="27"/>
      <c r="AMW4" s="27"/>
      <c r="AMX4" s="27"/>
      <c r="AMY4" s="27"/>
      <c r="AMZ4" s="27"/>
      <c r="ANA4" s="27"/>
      <c r="ANB4" s="27"/>
      <c r="ANC4" s="27"/>
      <c r="AND4" s="27"/>
      <c r="ANE4" s="27"/>
      <c r="ANF4" s="27"/>
      <c r="ANG4" s="27"/>
      <c r="ANH4" s="27"/>
      <c r="ANI4" s="27"/>
      <c r="ANJ4" s="27"/>
      <c r="ANK4" s="27"/>
      <c r="ANL4" s="27"/>
      <c r="ANM4" s="27"/>
      <c r="ANN4" s="27"/>
      <c r="ANO4" s="27"/>
      <c r="ANP4" s="27"/>
      <c r="ANQ4" s="27"/>
      <c r="ANR4" s="27"/>
      <c r="ANS4" s="27"/>
      <c r="ANT4" s="27"/>
      <c r="ANU4" s="27"/>
      <c r="ANV4" s="27"/>
      <c r="ANW4" s="27"/>
      <c r="ANX4" s="27"/>
      <c r="ANY4" s="27"/>
      <c r="ANZ4" s="27"/>
      <c r="AOA4" s="27"/>
      <c r="AOB4" s="27"/>
      <c r="AOC4" s="27"/>
      <c r="AOD4" s="27"/>
      <c r="AOE4" s="27"/>
      <c r="AOF4" s="27"/>
      <c r="AOG4" s="27"/>
      <c r="AOH4" s="27"/>
      <c r="AOI4" s="27"/>
      <c r="AOJ4" s="27"/>
      <c r="AOK4" s="27"/>
      <c r="AOL4" s="27"/>
      <c r="AOM4" s="27"/>
      <c r="AON4" s="27"/>
      <c r="AOO4" s="27"/>
      <c r="AOP4" s="27"/>
      <c r="AOQ4" s="27"/>
      <c r="AOR4" s="27"/>
      <c r="AOS4" s="27"/>
      <c r="AOT4" s="27"/>
      <c r="AOU4" s="27"/>
      <c r="AOV4" s="27"/>
      <c r="AOW4" s="27"/>
      <c r="AOX4" s="27"/>
      <c r="AOY4" s="27"/>
      <c r="AOZ4" s="27"/>
      <c r="APA4" s="27"/>
      <c r="APB4" s="27"/>
      <c r="APC4" s="27"/>
      <c r="APD4" s="27"/>
      <c r="APE4" s="27"/>
      <c r="APF4" s="27"/>
      <c r="APG4" s="27"/>
      <c r="APH4" s="27"/>
      <c r="API4" s="27"/>
      <c r="APJ4" s="27"/>
      <c r="APK4" s="27"/>
      <c r="APL4" s="27"/>
      <c r="APM4" s="27"/>
      <c r="APN4" s="27"/>
      <c r="APO4" s="27"/>
      <c r="APP4" s="27"/>
      <c r="APQ4" s="27"/>
      <c r="APR4" s="27"/>
      <c r="APS4" s="27"/>
      <c r="APT4" s="27"/>
      <c r="APU4" s="27"/>
      <c r="APV4" s="27"/>
      <c r="APW4" s="27"/>
      <c r="APX4" s="27"/>
      <c r="APY4" s="27"/>
      <c r="APZ4" s="27"/>
      <c r="AQA4" s="27"/>
      <c r="AQB4" s="27"/>
      <c r="AQC4" s="27"/>
      <c r="AQD4" s="27"/>
      <c r="AQE4" s="27"/>
      <c r="AQF4" s="27"/>
      <c r="AQG4" s="27"/>
      <c r="AQH4" s="27"/>
      <c r="AQI4" s="27"/>
      <c r="AQJ4" s="27"/>
      <c r="AQK4" s="27"/>
      <c r="AQL4" s="27"/>
      <c r="AQM4" s="27"/>
      <c r="AQN4" s="27"/>
      <c r="AQO4" s="27"/>
      <c r="AQP4" s="27"/>
      <c r="AQQ4" s="27"/>
      <c r="AQR4" s="27"/>
      <c r="AQS4" s="27"/>
      <c r="AQT4" s="27"/>
      <c r="AQU4" s="27"/>
      <c r="AQV4" s="27"/>
      <c r="AQW4" s="27"/>
      <c r="AQX4" s="27"/>
      <c r="AQY4" s="27"/>
      <c r="AQZ4" s="27"/>
      <c r="ARA4" s="27"/>
      <c r="ARB4" s="27"/>
      <c r="ARC4" s="27"/>
      <c r="ARD4" s="27"/>
      <c r="ARE4" s="27"/>
      <c r="ARF4" s="27"/>
      <c r="ARG4" s="27"/>
      <c r="ARH4" s="27"/>
      <c r="ARI4" s="27"/>
      <c r="ARJ4" s="27"/>
      <c r="ARK4" s="27"/>
      <c r="ARL4" s="27"/>
      <c r="ARM4" s="27"/>
      <c r="ARN4" s="27"/>
      <c r="ARO4" s="27"/>
      <c r="ARP4" s="27"/>
      <c r="ARQ4" s="27"/>
      <c r="ARR4" s="27"/>
      <c r="ARS4" s="27"/>
      <c r="ART4" s="27"/>
      <c r="ARU4" s="27"/>
      <c r="ARV4" s="27"/>
      <c r="ARW4" s="27"/>
      <c r="ARX4" s="27"/>
      <c r="ARY4" s="27"/>
      <c r="ARZ4" s="27"/>
      <c r="ASA4" s="27"/>
      <c r="ASB4" s="27"/>
      <c r="ASC4" s="27"/>
      <c r="ASD4" s="27"/>
      <c r="ASE4" s="27"/>
      <c r="ASF4" s="27"/>
      <c r="ASG4" s="27"/>
      <c r="ASH4" s="27"/>
      <c r="ASI4" s="27"/>
      <c r="ASJ4" s="27"/>
      <c r="ASK4" s="27"/>
      <c r="ASL4" s="27"/>
      <c r="ASM4" s="27"/>
      <c r="ASN4" s="27"/>
      <c r="ASO4" s="27"/>
      <c r="ASP4" s="27"/>
      <c r="ASQ4" s="27"/>
      <c r="ASR4" s="27"/>
      <c r="ASS4" s="27"/>
      <c r="AST4" s="27"/>
      <c r="ASU4" s="27"/>
      <c r="ASV4" s="27"/>
      <c r="ASW4" s="27"/>
      <c r="ASX4" s="27"/>
      <c r="ASY4" s="27"/>
      <c r="ASZ4" s="27"/>
      <c r="ATA4" s="27"/>
      <c r="ATB4" s="27"/>
      <c r="ATC4" s="27"/>
      <c r="ATD4" s="27"/>
      <c r="ATE4" s="27"/>
      <c r="ATF4" s="27"/>
      <c r="ATG4" s="27"/>
      <c r="ATH4" s="27"/>
      <c r="ATI4" s="27"/>
      <c r="ATJ4" s="27"/>
      <c r="ATK4" s="27"/>
      <c r="ATL4" s="27"/>
      <c r="ATM4" s="27"/>
      <c r="ATN4" s="27"/>
      <c r="ATO4" s="27"/>
      <c r="ATP4" s="27"/>
      <c r="ATQ4" s="27"/>
      <c r="ATR4" s="27"/>
      <c r="ATS4" s="27"/>
      <c r="ATT4" s="27"/>
      <c r="ATU4" s="27"/>
      <c r="ATV4" s="27"/>
      <c r="ATW4" s="27"/>
      <c r="ATX4" s="27"/>
      <c r="ATY4" s="27"/>
      <c r="ATZ4" s="27"/>
      <c r="AUA4" s="27"/>
      <c r="AUB4" s="27"/>
      <c r="AUC4" s="27"/>
      <c r="AUD4" s="27"/>
      <c r="AUE4" s="27"/>
      <c r="AUF4" s="27"/>
      <c r="AUG4" s="27"/>
      <c r="AUH4" s="27"/>
      <c r="AUI4" s="27"/>
      <c r="AUJ4" s="27"/>
      <c r="AUK4" s="27"/>
      <c r="AUL4" s="27"/>
      <c r="AUM4" s="27"/>
      <c r="AUN4" s="27"/>
      <c r="AUO4" s="27"/>
      <c r="AUP4" s="27"/>
      <c r="AUQ4" s="27"/>
      <c r="AUR4" s="27"/>
      <c r="AUS4" s="27"/>
      <c r="AUT4" s="27"/>
      <c r="AUU4" s="27"/>
      <c r="AUV4" s="27"/>
      <c r="AUW4" s="27"/>
      <c r="AUX4" s="27"/>
      <c r="AUY4" s="27"/>
      <c r="AUZ4" s="27"/>
      <c r="AVA4" s="27"/>
      <c r="AVB4" s="27"/>
      <c r="AVC4" s="27"/>
      <c r="AVD4" s="27"/>
      <c r="AVE4" s="27"/>
      <c r="AVF4" s="27"/>
      <c r="AVG4" s="27"/>
      <c r="AVH4" s="27"/>
      <c r="AVI4" s="27"/>
      <c r="AVJ4" s="27"/>
      <c r="AVK4" s="27"/>
      <c r="AVL4" s="27"/>
      <c r="AVM4" s="27"/>
      <c r="AVN4" s="27"/>
      <c r="AVO4" s="27"/>
      <c r="AVP4" s="27"/>
      <c r="AVQ4" s="27"/>
      <c r="AVR4" s="27"/>
      <c r="AVS4" s="27"/>
      <c r="AVT4" s="27"/>
      <c r="AVU4" s="27"/>
      <c r="AVV4" s="27"/>
      <c r="AVW4" s="27"/>
      <c r="AVX4" s="27"/>
      <c r="AVY4" s="27"/>
      <c r="AVZ4" s="27"/>
      <c r="AWA4" s="27"/>
      <c r="AWB4" s="27"/>
      <c r="AWC4" s="27"/>
      <c r="AWD4" s="27"/>
      <c r="AWE4" s="27"/>
      <c r="AWF4" s="27"/>
      <c r="AWG4" s="27"/>
      <c r="AWH4" s="27"/>
      <c r="AWI4" s="27"/>
      <c r="AWJ4" s="27"/>
      <c r="AWK4" s="27"/>
      <c r="AWL4" s="27"/>
      <c r="AWM4" s="27"/>
      <c r="AWN4" s="27"/>
      <c r="AWO4" s="27"/>
      <c r="AWP4" s="27"/>
      <c r="AWQ4" s="27"/>
      <c r="AWR4" s="27"/>
      <c r="AWS4" s="27"/>
      <c r="AWT4" s="27"/>
      <c r="AWU4" s="27"/>
      <c r="AWV4" s="27"/>
      <c r="AWW4" s="27"/>
      <c r="AWX4" s="27"/>
      <c r="AWY4" s="27"/>
      <c r="AWZ4" s="27"/>
      <c r="AXA4" s="27"/>
      <c r="AXB4" s="27"/>
      <c r="AXC4" s="27"/>
      <c r="AXD4" s="27"/>
      <c r="AXE4" s="27"/>
      <c r="AXF4" s="27"/>
      <c r="AXG4" s="27"/>
      <c r="AXH4" s="27"/>
      <c r="AXI4" s="27"/>
      <c r="AXJ4" s="27"/>
      <c r="AXK4" s="27"/>
      <c r="AXL4" s="27"/>
      <c r="AXM4" s="27"/>
      <c r="AXN4" s="27"/>
      <c r="AXO4" s="27"/>
      <c r="AXP4" s="27"/>
      <c r="AXQ4" s="27"/>
      <c r="AXR4" s="27"/>
      <c r="AXS4" s="27"/>
      <c r="AXT4" s="27"/>
      <c r="AXU4" s="27"/>
      <c r="AXV4" s="27"/>
      <c r="AXW4" s="27"/>
      <c r="AXX4" s="27"/>
      <c r="AXY4" s="27"/>
      <c r="AXZ4" s="27"/>
      <c r="AYA4" s="27"/>
      <c r="AYB4" s="27"/>
      <c r="AYC4" s="27"/>
      <c r="AYD4" s="27"/>
      <c r="AYE4" s="27"/>
      <c r="AYF4" s="27"/>
      <c r="AYG4" s="27"/>
      <c r="AYH4" s="27"/>
      <c r="AYI4" s="27"/>
      <c r="AYJ4" s="27"/>
      <c r="AYK4" s="27"/>
      <c r="AYL4" s="27"/>
      <c r="AYM4" s="27"/>
      <c r="AYN4" s="27"/>
      <c r="AYO4" s="27"/>
      <c r="AYP4" s="27"/>
      <c r="AYQ4" s="27"/>
      <c r="AYR4" s="27"/>
      <c r="AYS4" s="27"/>
      <c r="AYT4" s="27"/>
      <c r="AYU4" s="27"/>
      <c r="AYV4" s="27"/>
      <c r="AYW4" s="27"/>
      <c r="AYX4" s="27"/>
      <c r="AYY4" s="27"/>
      <c r="AYZ4" s="27"/>
      <c r="AZA4" s="27"/>
      <c r="AZB4" s="27"/>
      <c r="AZC4" s="27"/>
      <c r="AZD4" s="27"/>
      <c r="AZE4" s="27"/>
      <c r="AZF4" s="27"/>
      <c r="AZG4" s="27"/>
      <c r="AZH4" s="27"/>
      <c r="AZI4" s="27"/>
      <c r="AZJ4" s="27"/>
      <c r="AZK4" s="27"/>
      <c r="AZL4" s="27"/>
      <c r="AZM4" s="27"/>
      <c r="AZN4" s="27"/>
      <c r="AZO4" s="27"/>
      <c r="AZP4" s="27"/>
      <c r="AZQ4" s="27"/>
      <c r="AZR4" s="27"/>
      <c r="AZS4" s="27"/>
      <c r="AZT4" s="27"/>
      <c r="AZU4" s="27"/>
      <c r="AZV4" s="27"/>
      <c r="AZW4" s="27"/>
      <c r="AZX4" s="27"/>
      <c r="AZY4" s="27"/>
      <c r="AZZ4" s="27"/>
      <c r="BAA4" s="27"/>
      <c r="BAB4" s="27"/>
      <c r="BAC4" s="27"/>
      <c r="BAD4" s="27"/>
      <c r="BAE4" s="27"/>
      <c r="BAF4" s="27"/>
      <c r="BAG4" s="27"/>
      <c r="BAH4" s="27"/>
      <c r="BAI4" s="27"/>
      <c r="BAJ4" s="27"/>
      <c r="BAK4" s="27"/>
      <c r="BAL4" s="27"/>
      <c r="BAM4" s="27"/>
      <c r="BAN4" s="27"/>
      <c r="BAO4" s="27"/>
      <c r="BAP4" s="27"/>
      <c r="BAQ4" s="27"/>
      <c r="BAR4" s="27"/>
      <c r="BAS4" s="27"/>
      <c r="BAT4" s="27"/>
      <c r="BAU4" s="27"/>
      <c r="BAV4" s="27"/>
      <c r="BAW4" s="27"/>
      <c r="BAX4" s="27"/>
      <c r="BAY4" s="27"/>
      <c r="BAZ4" s="27"/>
      <c r="BBA4" s="27"/>
      <c r="BBB4" s="27"/>
      <c r="BBC4" s="27"/>
      <c r="BBD4" s="27"/>
      <c r="BBE4" s="27"/>
      <c r="BBF4" s="27"/>
      <c r="BBG4" s="27"/>
      <c r="BBH4" s="27"/>
      <c r="BBI4" s="27"/>
      <c r="BBJ4" s="27"/>
      <c r="BBK4" s="27"/>
      <c r="BBL4" s="27"/>
      <c r="BBM4" s="27"/>
      <c r="BBN4" s="27"/>
      <c r="BBO4" s="27"/>
      <c r="BBP4" s="27"/>
      <c r="BBQ4" s="27"/>
      <c r="BBR4" s="27"/>
      <c r="BBS4" s="27"/>
      <c r="BBT4" s="27"/>
      <c r="BBU4" s="27"/>
      <c r="BBV4" s="27"/>
      <c r="BBW4" s="27"/>
      <c r="BBX4" s="27"/>
      <c r="BBY4" s="27"/>
      <c r="BBZ4" s="27"/>
      <c r="BCA4" s="27"/>
      <c r="BCB4" s="27"/>
      <c r="BCC4" s="27"/>
      <c r="BCD4" s="27"/>
      <c r="BCE4" s="27"/>
      <c r="BCF4" s="27"/>
      <c r="BCG4" s="27"/>
      <c r="BCH4" s="27"/>
      <c r="BCI4" s="27"/>
      <c r="BCJ4" s="27"/>
      <c r="BCK4" s="27"/>
      <c r="BCL4" s="27"/>
      <c r="BCM4" s="27"/>
      <c r="BCN4" s="27"/>
      <c r="BCO4" s="27"/>
      <c r="BCP4" s="27"/>
      <c r="BCQ4" s="27"/>
      <c r="BCR4" s="27"/>
      <c r="BCS4" s="27"/>
      <c r="BCT4" s="27"/>
      <c r="BCU4" s="27"/>
      <c r="BCV4" s="27"/>
      <c r="BCW4" s="27"/>
      <c r="BCX4" s="27"/>
      <c r="BCY4" s="27"/>
      <c r="BCZ4" s="27"/>
      <c r="BDA4" s="27"/>
      <c r="BDB4" s="27"/>
      <c r="BDC4" s="27"/>
      <c r="BDD4" s="27"/>
      <c r="BDE4" s="27"/>
      <c r="BDF4" s="27"/>
      <c r="BDG4" s="27"/>
      <c r="BDH4" s="27"/>
      <c r="BDI4" s="27"/>
      <c r="BDJ4" s="27"/>
      <c r="BDK4" s="27"/>
      <c r="BDL4" s="27"/>
      <c r="BDM4" s="27"/>
      <c r="BDN4" s="27"/>
      <c r="BDO4" s="27"/>
      <c r="BDP4" s="27"/>
      <c r="BDQ4" s="27"/>
      <c r="BDR4" s="27"/>
      <c r="BDS4" s="27"/>
      <c r="BDT4" s="27"/>
      <c r="BDU4" s="27"/>
      <c r="BDV4" s="27"/>
      <c r="BDW4" s="27"/>
      <c r="BDX4" s="27"/>
      <c r="BDY4" s="27"/>
      <c r="BDZ4" s="27"/>
      <c r="BEA4" s="27"/>
      <c r="BEB4" s="27"/>
      <c r="BEC4" s="27"/>
      <c r="BED4" s="27"/>
      <c r="BEE4" s="27"/>
      <c r="BEF4" s="27"/>
      <c r="BEG4" s="27"/>
      <c r="BEH4" s="27"/>
      <c r="BEI4" s="27"/>
      <c r="BEJ4" s="27"/>
      <c r="BEK4" s="27"/>
      <c r="BEL4" s="27"/>
      <c r="BEM4" s="27"/>
      <c r="BEN4" s="27"/>
      <c r="BEO4" s="27"/>
      <c r="BEP4" s="27"/>
      <c r="BEQ4" s="27"/>
      <c r="BER4" s="27"/>
      <c r="BES4" s="27"/>
      <c r="BET4" s="27"/>
      <c r="BEU4" s="27"/>
      <c r="BEV4" s="27"/>
      <c r="BEW4" s="27"/>
      <c r="BEX4" s="27"/>
      <c r="BEY4" s="27"/>
      <c r="BEZ4" s="27"/>
      <c r="BFA4" s="27"/>
      <c r="BFB4" s="27"/>
      <c r="BFC4" s="27"/>
      <c r="BFD4" s="27"/>
      <c r="BFE4" s="27"/>
      <c r="BFF4" s="27"/>
      <c r="BFG4" s="27"/>
      <c r="BFH4" s="27"/>
      <c r="BFI4" s="27"/>
      <c r="BFJ4" s="27"/>
      <c r="BFK4" s="27"/>
      <c r="BFL4" s="27"/>
      <c r="BFM4" s="27"/>
      <c r="BFN4" s="27"/>
      <c r="BFO4" s="27"/>
      <c r="BFP4" s="27"/>
      <c r="BFQ4" s="27"/>
      <c r="BFR4" s="27"/>
      <c r="BFS4" s="27"/>
      <c r="BFT4" s="27"/>
      <c r="BFU4" s="27"/>
      <c r="BFV4" s="27"/>
      <c r="BFW4" s="27"/>
      <c r="BFX4" s="27"/>
      <c r="BFY4" s="27"/>
      <c r="BFZ4" s="27"/>
      <c r="BGA4" s="27"/>
      <c r="BGB4" s="27"/>
      <c r="BGC4" s="27"/>
      <c r="BGD4" s="27"/>
      <c r="BGE4" s="27"/>
      <c r="BGF4" s="27"/>
      <c r="BGG4" s="27"/>
      <c r="BGH4" s="27"/>
      <c r="BGI4" s="27"/>
      <c r="BGJ4" s="27"/>
      <c r="BGK4" s="27"/>
      <c r="BGL4" s="27"/>
      <c r="BGM4" s="27"/>
      <c r="BGN4" s="27"/>
      <c r="BGO4" s="27"/>
      <c r="BGP4" s="27"/>
      <c r="BGQ4" s="27"/>
      <c r="BGR4" s="27"/>
      <c r="BGS4" s="27"/>
      <c r="BGT4" s="27"/>
      <c r="BGU4" s="27"/>
      <c r="BGV4" s="27"/>
      <c r="BGW4" s="27"/>
      <c r="BGX4" s="27"/>
      <c r="BGY4" s="27"/>
      <c r="BGZ4" s="27"/>
      <c r="BHA4" s="27"/>
      <c r="BHB4" s="27"/>
      <c r="BHC4" s="27"/>
      <c r="BHD4" s="27"/>
      <c r="BHE4" s="27"/>
      <c r="BHF4" s="27"/>
      <c r="BHG4" s="27"/>
      <c r="BHH4" s="27"/>
      <c r="BHI4" s="27"/>
      <c r="BHJ4" s="27"/>
      <c r="BHK4" s="27"/>
      <c r="BHL4" s="27"/>
      <c r="BHM4" s="27"/>
      <c r="BHN4" s="27"/>
      <c r="BHO4" s="27"/>
      <c r="BHP4" s="27"/>
      <c r="BHQ4" s="27"/>
      <c r="BHR4" s="27"/>
      <c r="BHS4" s="27"/>
      <c r="BHT4" s="27"/>
      <c r="BHU4" s="27"/>
      <c r="BHV4" s="27"/>
      <c r="BHW4" s="27"/>
      <c r="BHX4" s="27"/>
      <c r="BHY4" s="27"/>
      <c r="BHZ4" s="27"/>
      <c r="BIA4" s="27"/>
      <c r="BIB4" s="27"/>
      <c r="BIC4" s="27"/>
      <c r="BID4" s="27"/>
      <c r="BIE4" s="27"/>
      <c r="BIF4" s="27"/>
      <c r="BIG4" s="27"/>
      <c r="BIH4" s="27"/>
      <c r="BII4" s="27"/>
      <c r="BIJ4" s="27"/>
      <c r="BIK4" s="27"/>
      <c r="BIL4" s="27"/>
      <c r="BIM4" s="27"/>
      <c r="BIN4" s="27"/>
      <c r="BIO4" s="27"/>
      <c r="BIP4" s="27"/>
      <c r="BIQ4" s="27"/>
      <c r="BIR4" s="27"/>
      <c r="BIS4" s="27"/>
      <c r="BIT4" s="27"/>
      <c r="BIU4" s="27"/>
      <c r="BIV4" s="27"/>
      <c r="BIW4" s="27"/>
      <c r="BIX4" s="27"/>
      <c r="BIY4" s="27"/>
      <c r="BIZ4" s="27"/>
      <c r="BJA4" s="27"/>
      <c r="BJB4" s="27"/>
      <c r="BJC4" s="27"/>
      <c r="BJD4" s="27"/>
      <c r="BJE4" s="27"/>
      <c r="BJF4" s="27"/>
      <c r="BJG4" s="27"/>
      <c r="BJH4" s="27"/>
      <c r="BJI4" s="27"/>
      <c r="BJJ4" s="27"/>
      <c r="BJK4" s="27"/>
      <c r="BJL4" s="27"/>
      <c r="BJM4" s="27"/>
      <c r="BJN4" s="27"/>
      <c r="BJO4" s="27"/>
      <c r="BJP4" s="27"/>
      <c r="BJQ4" s="27"/>
      <c r="BJR4" s="27"/>
      <c r="BJS4" s="27"/>
      <c r="BJT4" s="27"/>
      <c r="BJU4" s="27"/>
      <c r="BJV4" s="27"/>
      <c r="BJW4" s="27"/>
      <c r="BJX4" s="27"/>
      <c r="BJY4" s="27"/>
      <c r="BJZ4" s="27"/>
      <c r="BKA4" s="27"/>
      <c r="BKB4" s="27"/>
      <c r="BKC4" s="27"/>
      <c r="BKD4" s="27"/>
      <c r="BKE4" s="27"/>
      <c r="BKF4" s="27"/>
      <c r="BKG4" s="27"/>
      <c r="BKH4" s="27"/>
      <c r="BKI4" s="27"/>
      <c r="BKJ4" s="27"/>
      <c r="BKK4" s="27"/>
      <c r="BKL4" s="27"/>
      <c r="BKM4" s="27"/>
      <c r="BKN4" s="27"/>
      <c r="BKO4" s="27"/>
      <c r="BKP4" s="27"/>
      <c r="BKQ4" s="27"/>
      <c r="BKR4" s="27"/>
      <c r="BKS4" s="27"/>
      <c r="BKT4" s="27"/>
      <c r="BKU4" s="27"/>
      <c r="BKV4" s="27"/>
      <c r="BKW4" s="27"/>
      <c r="BKX4" s="27"/>
      <c r="BKY4" s="27"/>
      <c r="BKZ4" s="27"/>
      <c r="BLA4" s="27"/>
      <c r="BLB4" s="27"/>
      <c r="BLC4" s="27"/>
      <c r="BLD4" s="27"/>
      <c r="BLE4" s="27"/>
      <c r="BLF4" s="27"/>
      <c r="BLG4" s="27"/>
      <c r="BLH4" s="27"/>
      <c r="BLI4" s="27"/>
      <c r="BLJ4" s="27"/>
      <c r="BLK4" s="27"/>
      <c r="BLL4" s="27"/>
      <c r="BLM4" s="27"/>
      <c r="BLN4" s="27"/>
      <c r="BLO4" s="27"/>
      <c r="BLP4" s="27"/>
      <c r="BLQ4" s="27"/>
      <c r="BLR4" s="27"/>
      <c r="BLS4" s="27"/>
      <c r="BLT4" s="27"/>
      <c r="BLU4" s="27"/>
      <c r="BLV4" s="27"/>
      <c r="BLW4" s="27"/>
      <c r="BLX4" s="27"/>
      <c r="BLY4" s="27"/>
      <c r="BLZ4" s="27"/>
      <c r="BMA4" s="27"/>
      <c r="BMB4" s="27"/>
      <c r="BMC4" s="27"/>
      <c r="BMD4" s="27"/>
      <c r="BME4" s="27"/>
      <c r="BMF4" s="27"/>
      <c r="BMG4" s="27"/>
      <c r="BMH4" s="27"/>
      <c r="BMI4" s="27"/>
      <c r="BMJ4" s="27"/>
      <c r="BMK4" s="27"/>
      <c r="BML4" s="27"/>
      <c r="BMM4" s="27"/>
      <c r="BMN4" s="27"/>
      <c r="BMO4" s="27"/>
      <c r="BMP4" s="27"/>
      <c r="BMQ4" s="27"/>
      <c r="BMR4" s="27"/>
      <c r="BMS4" s="27"/>
      <c r="BMT4" s="27"/>
      <c r="BMU4" s="27"/>
      <c r="BMV4" s="27"/>
      <c r="BMW4" s="27"/>
      <c r="BMX4" s="27"/>
      <c r="BMY4" s="27"/>
      <c r="BMZ4" s="27"/>
      <c r="BNA4" s="27"/>
      <c r="BNB4" s="27"/>
      <c r="BNC4" s="27"/>
      <c r="BND4" s="27"/>
      <c r="BNE4" s="27"/>
      <c r="BNF4" s="27"/>
      <c r="BNG4" s="27"/>
      <c r="BNH4" s="27"/>
      <c r="BNI4" s="27"/>
      <c r="BNJ4" s="27"/>
      <c r="BNK4" s="27"/>
      <c r="BNL4" s="27"/>
      <c r="BNM4" s="27"/>
      <c r="BNN4" s="27"/>
      <c r="BNO4" s="27"/>
      <c r="BNP4" s="27"/>
      <c r="BNQ4" s="27"/>
      <c r="BNR4" s="27"/>
      <c r="BNS4" s="27"/>
      <c r="BNT4" s="27"/>
      <c r="BNU4" s="27"/>
      <c r="BNV4" s="27"/>
      <c r="BNW4" s="27"/>
      <c r="BNX4" s="27"/>
      <c r="BNY4" s="27"/>
      <c r="BNZ4" s="27"/>
      <c r="BOA4" s="27"/>
      <c r="BOB4" s="27"/>
      <c r="BOC4" s="27"/>
      <c r="BOD4" s="27"/>
      <c r="BOE4" s="27"/>
      <c r="BOF4" s="27"/>
      <c r="BOG4" s="27"/>
      <c r="BOH4" s="27"/>
      <c r="BOI4" s="27"/>
      <c r="BOJ4" s="27"/>
      <c r="BOK4" s="27"/>
      <c r="BOL4" s="27"/>
      <c r="BOM4" s="27"/>
      <c r="BON4" s="27"/>
      <c r="BOO4" s="27"/>
      <c r="BOP4" s="27"/>
      <c r="BOQ4" s="27"/>
      <c r="BOR4" s="27"/>
      <c r="BOS4" s="27"/>
      <c r="BOT4" s="27"/>
      <c r="BOU4" s="27"/>
      <c r="BOV4" s="27"/>
      <c r="BOW4" s="27"/>
      <c r="BOX4" s="27"/>
      <c r="BOY4" s="27"/>
      <c r="BOZ4" s="27"/>
      <c r="BPA4" s="27"/>
      <c r="BPB4" s="27"/>
      <c r="BPC4" s="27"/>
      <c r="BPD4" s="27"/>
      <c r="BPE4" s="27"/>
      <c r="BPF4" s="27"/>
      <c r="BPG4" s="27"/>
      <c r="BPH4" s="27"/>
      <c r="BPI4" s="27"/>
      <c r="BPJ4" s="27"/>
      <c r="BPK4" s="27"/>
      <c r="BPL4" s="27"/>
      <c r="BPM4" s="27"/>
      <c r="BPN4" s="27"/>
      <c r="BPO4" s="27"/>
      <c r="BPP4" s="27"/>
      <c r="BPQ4" s="27"/>
      <c r="BPR4" s="27"/>
      <c r="BPS4" s="27"/>
      <c r="BPT4" s="27"/>
      <c r="BPU4" s="27"/>
      <c r="BPV4" s="27"/>
      <c r="BPW4" s="27"/>
      <c r="BPX4" s="27"/>
      <c r="BPY4" s="27"/>
      <c r="BPZ4" s="27"/>
      <c r="BQA4" s="27"/>
      <c r="BQB4" s="27"/>
      <c r="BQC4" s="27"/>
      <c r="BQD4" s="27"/>
      <c r="BQE4" s="27"/>
      <c r="BQF4" s="27"/>
      <c r="BQG4" s="27"/>
      <c r="BQH4" s="27"/>
      <c r="BQI4" s="27"/>
      <c r="BQJ4" s="27"/>
      <c r="BQK4" s="27"/>
      <c r="BQL4" s="27"/>
      <c r="BQM4" s="27"/>
      <c r="BQN4" s="27"/>
      <c r="BQO4" s="27"/>
      <c r="BQP4" s="27"/>
      <c r="BQQ4" s="27"/>
      <c r="BQR4" s="27"/>
      <c r="BQS4" s="27"/>
      <c r="BQT4" s="27"/>
      <c r="BQU4" s="27"/>
      <c r="BQV4" s="27"/>
      <c r="BQW4" s="27"/>
      <c r="BQX4" s="27"/>
      <c r="BQY4" s="27"/>
      <c r="BQZ4" s="27"/>
      <c r="BRA4" s="27"/>
      <c r="BRB4" s="27"/>
      <c r="BRC4" s="27"/>
      <c r="BRD4" s="27"/>
      <c r="BRE4" s="27"/>
      <c r="BRF4" s="27"/>
      <c r="BRG4" s="27"/>
      <c r="BRH4" s="27"/>
      <c r="BRI4" s="27"/>
      <c r="BRJ4" s="27"/>
      <c r="BRK4" s="27"/>
      <c r="BRL4" s="27"/>
      <c r="BRM4" s="27"/>
      <c r="BRN4" s="27"/>
      <c r="BRO4" s="27"/>
      <c r="BRP4" s="27"/>
      <c r="BRQ4" s="27"/>
      <c r="BRR4" s="27"/>
      <c r="BRS4" s="27"/>
      <c r="BRT4" s="27"/>
      <c r="BRU4" s="27"/>
      <c r="BRV4" s="27"/>
      <c r="BRW4" s="27"/>
      <c r="BRX4" s="27"/>
      <c r="BRY4" s="27"/>
      <c r="BRZ4" s="27"/>
      <c r="BSA4" s="27"/>
      <c r="BSB4" s="27"/>
      <c r="BSC4" s="27"/>
      <c r="BSD4" s="27"/>
      <c r="BSE4" s="27"/>
      <c r="BSF4" s="27"/>
      <c r="BSG4" s="27"/>
      <c r="BSH4" s="27"/>
      <c r="BSI4" s="27"/>
      <c r="BSJ4" s="27"/>
      <c r="BSK4" s="27"/>
      <c r="BSL4" s="27"/>
      <c r="BSM4" s="27"/>
      <c r="BSN4" s="27"/>
      <c r="BSO4" s="27"/>
      <c r="BSP4" s="27"/>
      <c r="BSQ4" s="27"/>
      <c r="BSR4" s="27"/>
      <c r="BSS4" s="27"/>
      <c r="BST4" s="27"/>
      <c r="BSU4" s="27"/>
      <c r="BSV4" s="27"/>
      <c r="BSW4" s="27"/>
      <c r="BSX4" s="27"/>
      <c r="BSY4" s="27"/>
      <c r="BSZ4" s="27"/>
      <c r="BTA4" s="27"/>
      <c r="BTB4" s="27"/>
      <c r="BTC4" s="27"/>
      <c r="BTD4" s="27"/>
      <c r="BTE4" s="27"/>
      <c r="BTF4" s="27"/>
      <c r="BTG4" s="27"/>
      <c r="BTH4" s="27"/>
      <c r="BTI4" s="27"/>
      <c r="BTJ4" s="27"/>
      <c r="BTK4" s="27"/>
      <c r="BTL4" s="27"/>
      <c r="BTM4" s="27"/>
      <c r="BTN4" s="27"/>
      <c r="BTO4" s="27"/>
      <c r="BTP4" s="27"/>
      <c r="BTQ4" s="27"/>
      <c r="BTR4" s="27"/>
      <c r="BTS4" s="27"/>
      <c r="BTT4" s="27"/>
      <c r="BTU4" s="27"/>
      <c r="BTV4" s="27"/>
      <c r="BTW4" s="27"/>
      <c r="BTX4" s="27"/>
      <c r="BTY4" s="27"/>
      <c r="BTZ4" s="27"/>
      <c r="BUA4" s="27"/>
      <c r="BUB4" s="27"/>
      <c r="BUC4" s="27"/>
      <c r="BUD4" s="27"/>
      <c r="BUE4" s="27"/>
      <c r="BUF4" s="27"/>
      <c r="BUG4" s="27"/>
      <c r="BUH4" s="27"/>
      <c r="BUI4" s="27"/>
      <c r="BUJ4" s="27"/>
      <c r="BUK4" s="27"/>
      <c r="BUL4" s="27"/>
      <c r="BUM4" s="27"/>
      <c r="BUN4" s="27"/>
      <c r="BUO4" s="27"/>
      <c r="BUP4" s="27"/>
      <c r="BUQ4" s="27"/>
      <c r="BUR4" s="27"/>
      <c r="BUS4" s="27"/>
      <c r="BUT4" s="27"/>
      <c r="BUU4" s="27"/>
      <c r="BUV4" s="27"/>
      <c r="BUW4" s="27"/>
      <c r="BUX4" s="27"/>
      <c r="BUY4" s="27"/>
      <c r="BUZ4" s="27"/>
      <c r="BVA4" s="27"/>
      <c r="BVB4" s="27"/>
      <c r="BVC4" s="27"/>
      <c r="BVD4" s="27"/>
      <c r="BVE4" s="27"/>
      <c r="BVF4" s="27"/>
      <c r="BVG4" s="27"/>
      <c r="BVH4" s="27"/>
      <c r="BVI4" s="27"/>
      <c r="BVJ4" s="27"/>
      <c r="BVK4" s="27"/>
      <c r="BVL4" s="27"/>
      <c r="BVM4" s="27"/>
      <c r="BVN4" s="27"/>
      <c r="BVO4" s="27"/>
      <c r="BVP4" s="27"/>
      <c r="BVQ4" s="27"/>
      <c r="BVR4" s="27"/>
      <c r="BVS4" s="27"/>
      <c r="BVT4" s="27"/>
      <c r="BVU4" s="27"/>
      <c r="BVV4" s="27"/>
      <c r="BVW4" s="27"/>
      <c r="BVX4" s="27"/>
      <c r="BVY4" s="27"/>
      <c r="BVZ4" s="27"/>
      <c r="BWA4" s="27"/>
      <c r="BWB4" s="27"/>
      <c r="BWC4" s="27"/>
      <c r="BWD4" s="27"/>
      <c r="BWE4" s="27"/>
      <c r="BWF4" s="27"/>
      <c r="BWG4" s="27"/>
      <c r="BWH4" s="27"/>
      <c r="BWI4" s="27"/>
      <c r="BWJ4" s="27"/>
      <c r="BWK4" s="27"/>
      <c r="BWL4" s="27"/>
      <c r="BWM4" s="27"/>
      <c r="BWN4" s="27"/>
      <c r="BWO4" s="27"/>
      <c r="BWP4" s="27"/>
      <c r="BWQ4" s="27"/>
      <c r="BWR4" s="27"/>
      <c r="BWS4" s="27"/>
      <c r="BWT4" s="27"/>
      <c r="BWU4" s="27"/>
      <c r="BWV4" s="27"/>
      <c r="BWW4" s="27"/>
      <c r="BWX4" s="27"/>
      <c r="BWY4" s="27"/>
      <c r="BWZ4" s="27"/>
      <c r="BXA4" s="27"/>
      <c r="BXB4" s="27"/>
      <c r="BXC4" s="27"/>
      <c r="BXD4" s="27"/>
      <c r="BXE4" s="27"/>
      <c r="BXF4" s="27"/>
      <c r="BXG4" s="27"/>
      <c r="BXH4" s="27"/>
      <c r="BXI4" s="27"/>
      <c r="BXJ4" s="27"/>
      <c r="BXK4" s="27"/>
      <c r="BXL4" s="27"/>
      <c r="BXM4" s="27"/>
      <c r="BXN4" s="27"/>
      <c r="BXO4" s="27"/>
      <c r="BXP4" s="27"/>
      <c r="BXQ4" s="27"/>
      <c r="BXR4" s="27"/>
      <c r="BXS4" s="27"/>
      <c r="BXT4" s="27"/>
      <c r="BXU4" s="27"/>
      <c r="BXV4" s="27"/>
      <c r="BXW4" s="27"/>
      <c r="BXX4" s="27"/>
      <c r="BXY4" s="27"/>
      <c r="BXZ4" s="27"/>
      <c r="BYA4" s="27"/>
      <c r="BYB4" s="27"/>
      <c r="BYC4" s="27"/>
      <c r="BYD4" s="27"/>
      <c r="BYE4" s="27"/>
      <c r="BYF4" s="27"/>
      <c r="BYG4" s="27"/>
      <c r="BYH4" s="27"/>
      <c r="BYI4" s="27"/>
      <c r="BYJ4" s="27"/>
      <c r="BYK4" s="27"/>
      <c r="BYL4" s="27"/>
      <c r="BYM4" s="27"/>
      <c r="BYN4" s="27"/>
      <c r="BYO4" s="27"/>
      <c r="BYP4" s="27"/>
      <c r="BYQ4" s="27"/>
      <c r="BYR4" s="27"/>
      <c r="BYS4" s="27"/>
      <c r="BYT4" s="27"/>
      <c r="BYU4" s="27"/>
      <c r="BYV4" s="27"/>
      <c r="BYW4" s="27"/>
      <c r="BYX4" s="27"/>
      <c r="BYY4" s="27"/>
      <c r="BYZ4" s="27"/>
      <c r="BZA4" s="27"/>
      <c r="BZB4" s="27"/>
      <c r="BZC4" s="27"/>
      <c r="BZD4" s="27"/>
      <c r="BZE4" s="27"/>
      <c r="BZF4" s="27"/>
      <c r="BZG4" s="27"/>
      <c r="BZH4" s="27"/>
      <c r="BZI4" s="27"/>
      <c r="BZJ4" s="27"/>
      <c r="BZK4" s="27"/>
      <c r="BZL4" s="27"/>
      <c r="BZM4" s="27"/>
      <c r="BZN4" s="27"/>
      <c r="BZO4" s="27"/>
      <c r="BZP4" s="27"/>
      <c r="BZQ4" s="27"/>
      <c r="BZR4" s="27"/>
      <c r="BZS4" s="27"/>
      <c r="BZT4" s="27"/>
      <c r="BZU4" s="27"/>
      <c r="BZV4" s="27"/>
      <c r="BZW4" s="27"/>
      <c r="BZX4" s="27"/>
      <c r="BZY4" s="27"/>
      <c r="BZZ4" s="27"/>
      <c r="CAA4" s="27"/>
      <c r="CAB4" s="27"/>
      <c r="CAC4" s="27"/>
      <c r="CAD4" s="27"/>
      <c r="CAE4" s="27"/>
      <c r="CAF4" s="27"/>
      <c r="CAG4" s="27"/>
      <c r="CAH4" s="27"/>
      <c r="CAI4" s="27"/>
      <c r="CAJ4" s="27"/>
      <c r="CAK4" s="27"/>
      <c r="CAL4" s="27"/>
      <c r="CAM4" s="27"/>
      <c r="CAN4" s="27"/>
      <c r="CAO4" s="27"/>
      <c r="CAP4" s="27"/>
      <c r="CAQ4" s="27"/>
      <c r="CAR4" s="27"/>
      <c r="CAS4" s="27"/>
      <c r="CAT4" s="27"/>
      <c r="CAU4" s="27"/>
      <c r="CAV4" s="27"/>
      <c r="CAW4" s="27"/>
      <c r="CAX4" s="27"/>
      <c r="CAY4" s="27"/>
      <c r="CAZ4" s="27"/>
      <c r="CBA4" s="27"/>
      <c r="CBB4" s="27"/>
      <c r="CBC4" s="27"/>
      <c r="CBD4" s="27"/>
      <c r="CBE4" s="27"/>
      <c r="CBF4" s="27"/>
      <c r="CBG4" s="27"/>
      <c r="CBH4" s="27"/>
      <c r="CBI4" s="27"/>
      <c r="CBJ4" s="27"/>
      <c r="CBK4" s="27"/>
      <c r="CBL4" s="27"/>
      <c r="CBM4" s="27"/>
      <c r="CBN4" s="27"/>
      <c r="CBO4" s="27"/>
      <c r="CBP4" s="27"/>
      <c r="CBQ4" s="27"/>
      <c r="CBR4" s="27"/>
      <c r="CBS4" s="27"/>
      <c r="CBT4" s="27"/>
      <c r="CBU4" s="27"/>
      <c r="CBV4" s="27"/>
      <c r="CBW4" s="27"/>
      <c r="CBX4" s="27"/>
      <c r="CBY4" s="27"/>
      <c r="CBZ4" s="27"/>
      <c r="CCA4" s="27"/>
      <c r="CCB4" s="27"/>
      <c r="CCC4" s="27"/>
      <c r="CCD4" s="27"/>
      <c r="CCE4" s="27"/>
      <c r="CCF4" s="27"/>
      <c r="CCG4" s="27"/>
      <c r="CCH4" s="27"/>
      <c r="CCI4" s="27"/>
      <c r="CCJ4" s="27"/>
      <c r="CCK4" s="27"/>
      <c r="CCL4" s="27"/>
      <c r="CCM4" s="27"/>
      <c r="CCN4" s="27"/>
      <c r="CCO4" s="27"/>
      <c r="CCP4" s="27"/>
      <c r="CCQ4" s="27"/>
      <c r="CCR4" s="27"/>
      <c r="CCS4" s="27"/>
      <c r="CCT4" s="27"/>
      <c r="CCU4" s="27"/>
      <c r="CCV4" s="27"/>
      <c r="CCW4" s="27"/>
      <c r="CCX4" s="27"/>
      <c r="CCY4" s="27"/>
      <c r="CCZ4" s="27"/>
      <c r="CDA4" s="27"/>
      <c r="CDB4" s="27"/>
      <c r="CDC4" s="27"/>
      <c r="CDD4" s="27"/>
      <c r="CDE4" s="27"/>
      <c r="CDF4" s="27"/>
      <c r="CDG4" s="27"/>
      <c r="CDH4" s="27"/>
      <c r="CDI4" s="27"/>
      <c r="CDJ4" s="27"/>
      <c r="CDK4" s="27"/>
      <c r="CDL4" s="27"/>
      <c r="CDM4" s="27"/>
      <c r="CDN4" s="27"/>
      <c r="CDO4" s="27"/>
      <c r="CDP4" s="27"/>
      <c r="CDQ4" s="27"/>
      <c r="CDR4" s="27"/>
      <c r="CDS4" s="27"/>
      <c r="CDT4" s="27"/>
      <c r="CDU4" s="27"/>
      <c r="CDV4" s="27"/>
      <c r="CDW4" s="27"/>
      <c r="CDX4" s="27"/>
      <c r="CDY4" s="27"/>
      <c r="CDZ4" s="27"/>
      <c r="CEA4" s="27"/>
      <c r="CEB4" s="27"/>
      <c r="CEC4" s="27"/>
      <c r="CED4" s="27"/>
      <c r="CEE4" s="27"/>
      <c r="CEF4" s="27"/>
      <c r="CEG4" s="27"/>
      <c r="CEH4" s="27"/>
      <c r="CEI4" s="27"/>
      <c r="CEJ4" s="27"/>
      <c r="CEK4" s="27"/>
      <c r="CEL4" s="27"/>
      <c r="CEM4" s="27"/>
      <c r="CEN4" s="27"/>
      <c r="CEO4" s="27"/>
      <c r="CEP4" s="27"/>
      <c r="CEQ4" s="27"/>
      <c r="CER4" s="27"/>
      <c r="CES4" s="27"/>
      <c r="CET4" s="27"/>
      <c r="CEU4" s="27"/>
      <c r="CEV4" s="27"/>
      <c r="CEW4" s="27"/>
      <c r="CEX4" s="27"/>
      <c r="CEY4" s="27"/>
      <c r="CEZ4" s="27"/>
      <c r="CFA4" s="27"/>
      <c r="CFB4" s="27"/>
      <c r="CFC4" s="27"/>
      <c r="CFD4" s="27"/>
      <c r="CFE4" s="27"/>
      <c r="CFF4" s="27"/>
      <c r="CFG4" s="27"/>
      <c r="CFH4" s="27"/>
      <c r="CFI4" s="27"/>
      <c r="CFJ4" s="27"/>
      <c r="CFK4" s="27"/>
      <c r="CFL4" s="27"/>
      <c r="CFM4" s="27"/>
      <c r="CFN4" s="27"/>
      <c r="CFO4" s="27"/>
      <c r="CFP4" s="27"/>
      <c r="CFQ4" s="27"/>
      <c r="CFR4" s="27"/>
      <c r="CFS4" s="27"/>
      <c r="CFT4" s="27"/>
      <c r="CFU4" s="27"/>
      <c r="CFV4" s="27"/>
      <c r="CFW4" s="27"/>
      <c r="CFX4" s="27"/>
      <c r="CFY4" s="27"/>
      <c r="CFZ4" s="27"/>
      <c r="CGA4" s="27"/>
      <c r="CGB4" s="27"/>
      <c r="CGC4" s="27"/>
      <c r="CGD4" s="27"/>
      <c r="CGE4" s="27"/>
      <c r="CGF4" s="27"/>
      <c r="CGG4" s="27"/>
      <c r="CGH4" s="27"/>
      <c r="CGI4" s="27"/>
      <c r="CGJ4" s="27"/>
      <c r="CGK4" s="27"/>
      <c r="CGL4" s="27"/>
      <c r="CGM4" s="27"/>
      <c r="CGN4" s="27"/>
      <c r="CGO4" s="27"/>
      <c r="CGP4" s="27"/>
      <c r="CGQ4" s="27"/>
      <c r="CGR4" s="27"/>
      <c r="CGS4" s="27"/>
      <c r="CGT4" s="27"/>
      <c r="CGU4" s="27"/>
      <c r="CGV4" s="27"/>
      <c r="CGW4" s="27"/>
      <c r="CGX4" s="27"/>
      <c r="CGY4" s="27"/>
      <c r="CGZ4" s="27"/>
      <c r="CHA4" s="27"/>
      <c r="CHB4" s="27"/>
      <c r="CHC4" s="27"/>
      <c r="CHD4" s="27"/>
      <c r="CHE4" s="27"/>
      <c r="CHF4" s="27"/>
      <c r="CHG4" s="27"/>
      <c r="CHH4" s="27"/>
      <c r="CHI4" s="27"/>
      <c r="CHJ4" s="27"/>
      <c r="CHK4" s="27"/>
      <c r="CHL4" s="27"/>
      <c r="CHM4" s="27"/>
      <c r="CHN4" s="27"/>
      <c r="CHO4" s="27"/>
      <c r="CHP4" s="27"/>
      <c r="CHQ4" s="27"/>
      <c r="CHR4" s="27"/>
      <c r="CHS4" s="27"/>
      <c r="CHT4" s="27"/>
      <c r="CHU4" s="27"/>
      <c r="CHV4" s="27"/>
      <c r="CHW4" s="27"/>
      <c r="CHX4" s="27"/>
      <c r="CHY4" s="27"/>
      <c r="CHZ4" s="27"/>
      <c r="CIA4" s="27"/>
      <c r="CIB4" s="27"/>
      <c r="CIC4" s="27"/>
      <c r="CID4" s="27"/>
      <c r="CIE4" s="27"/>
      <c r="CIF4" s="27"/>
      <c r="CIG4" s="27"/>
      <c r="CIH4" s="27"/>
      <c r="CII4" s="27"/>
      <c r="CIJ4" s="27"/>
      <c r="CIK4" s="27"/>
      <c r="CIL4" s="27"/>
      <c r="CIM4" s="27"/>
      <c r="CIN4" s="27"/>
      <c r="CIO4" s="27"/>
      <c r="CIP4" s="27"/>
      <c r="CIQ4" s="27"/>
      <c r="CIR4" s="27"/>
      <c r="CIS4" s="27"/>
      <c r="CIT4" s="27"/>
      <c r="CIU4" s="27"/>
      <c r="CIV4" s="27"/>
      <c r="CIW4" s="27"/>
      <c r="CIX4" s="27"/>
      <c r="CIY4" s="27"/>
      <c r="CIZ4" s="27"/>
      <c r="CJA4" s="27"/>
      <c r="CJB4" s="27"/>
      <c r="CJC4" s="27"/>
      <c r="CJD4" s="27"/>
      <c r="CJE4" s="27"/>
      <c r="CJF4" s="27"/>
      <c r="CJG4" s="27"/>
      <c r="CJH4" s="27"/>
      <c r="CJI4" s="27"/>
      <c r="CJJ4" s="27"/>
      <c r="CJK4" s="27"/>
      <c r="CJL4" s="27"/>
      <c r="CJM4" s="27"/>
      <c r="CJN4" s="27"/>
      <c r="CJO4" s="27"/>
      <c r="CJP4" s="27"/>
      <c r="CJQ4" s="27"/>
      <c r="CJR4" s="27"/>
      <c r="CJS4" s="27"/>
      <c r="CJT4" s="27"/>
      <c r="CJU4" s="27"/>
      <c r="CJV4" s="27"/>
      <c r="CJW4" s="27"/>
      <c r="CJX4" s="27"/>
      <c r="CJY4" s="27"/>
      <c r="CJZ4" s="27"/>
      <c r="CKA4" s="27"/>
      <c r="CKB4" s="27"/>
      <c r="CKC4" s="27"/>
      <c r="CKD4" s="27"/>
      <c r="CKE4" s="27"/>
      <c r="CKF4" s="27"/>
      <c r="CKG4" s="27"/>
      <c r="CKH4" s="27"/>
      <c r="CKI4" s="27"/>
      <c r="CKJ4" s="27"/>
      <c r="CKK4" s="27"/>
      <c r="CKL4" s="27"/>
      <c r="CKM4" s="27"/>
      <c r="CKN4" s="27"/>
      <c r="CKO4" s="27"/>
      <c r="CKP4" s="27"/>
      <c r="CKQ4" s="27"/>
      <c r="CKR4" s="27"/>
      <c r="CKS4" s="27"/>
      <c r="CKT4" s="27"/>
      <c r="CKU4" s="27"/>
      <c r="CKV4" s="27"/>
      <c r="CKW4" s="27"/>
      <c r="CKX4" s="27"/>
      <c r="CKY4" s="27"/>
      <c r="CKZ4" s="27"/>
      <c r="CLA4" s="27"/>
      <c r="CLB4" s="27"/>
      <c r="CLC4" s="27"/>
      <c r="CLD4" s="27"/>
      <c r="CLE4" s="27"/>
      <c r="CLF4" s="27"/>
      <c r="CLG4" s="27"/>
      <c r="CLH4" s="27"/>
      <c r="CLI4" s="27"/>
      <c r="CLJ4" s="27"/>
      <c r="CLK4" s="27"/>
      <c r="CLL4" s="27"/>
      <c r="CLM4" s="27"/>
      <c r="CLN4" s="27"/>
      <c r="CLO4" s="27"/>
      <c r="CLP4" s="27"/>
      <c r="CLQ4" s="27"/>
      <c r="CLR4" s="27"/>
      <c r="CLS4" s="27"/>
      <c r="CLT4" s="27"/>
      <c r="CLU4" s="27"/>
      <c r="CLV4" s="27"/>
      <c r="CLW4" s="27"/>
      <c r="CLX4" s="27"/>
      <c r="CLY4" s="27"/>
      <c r="CLZ4" s="27"/>
      <c r="CMA4" s="27"/>
      <c r="CMB4" s="27"/>
      <c r="CMC4" s="27"/>
      <c r="CMD4" s="27"/>
      <c r="CME4" s="27"/>
      <c r="CMF4" s="27"/>
      <c r="CMG4" s="27"/>
      <c r="CMH4" s="27"/>
      <c r="CMI4" s="27"/>
      <c r="CMJ4" s="27"/>
      <c r="CMK4" s="27"/>
      <c r="CML4" s="27"/>
      <c r="CMM4" s="27"/>
      <c r="CMN4" s="27"/>
      <c r="CMO4" s="27"/>
      <c r="CMP4" s="27"/>
      <c r="CMQ4" s="27"/>
      <c r="CMR4" s="27"/>
      <c r="CMS4" s="27"/>
      <c r="CMT4" s="27"/>
      <c r="CMU4" s="27"/>
      <c r="CMV4" s="27"/>
      <c r="CMW4" s="27"/>
      <c r="CMX4" s="27"/>
      <c r="CMY4" s="27"/>
      <c r="CMZ4" s="27"/>
      <c r="CNA4" s="27"/>
      <c r="CNB4" s="27"/>
      <c r="CNC4" s="27"/>
      <c r="CND4" s="27"/>
      <c r="CNE4" s="27"/>
      <c r="CNF4" s="27"/>
      <c r="CNG4" s="27"/>
      <c r="CNH4" s="27"/>
      <c r="CNI4" s="27"/>
      <c r="CNJ4" s="27"/>
      <c r="CNK4" s="27"/>
      <c r="CNL4" s="27"/>
      <c r="CNM4" s="27"/>
      <c r="CNN4" s="27"/>
      <c r="CNO4" s="27"/>
      <c r="CNP4" s="27"/>
      <c r="CNQ4" s="27"/>
      <c r="CNR4" s="27"/>
      <c r="CNS4" s="27"/>
      <c r="CNT4" s="27"/>
      <c r="CNU4" s="27"/>
      <c r="CNV4" s="27"/>
      <c r="CNW4" s="27"/>
      <c r="CNX4" s="27"/>
      <c r="CNY4" s="27"/>
      <c r="CNZ4" s="27"/>
      <c r="COA4" s="27"/>
      <c r="COB4" s="27"/>
      <c r="COC4" s="27"/>
      <c r="COD4" s="27"/>
      <c r="COE4" s="27"/>
      <c r="COF4" s="27"/>
      <c r="COG4" s="27"/>
      <c r="COH4" s="27"/>
      <c r="COI4" s="27"/>
      <c r="COJ4" s="27"/>
      <c r="COK4" s="27"/>
      <c r="COL4" s="27"/>
      <c r="COM4" s="27"/>
      <c r="CON4" s="27"/>
      <c r="COO4" s="27"/>
      <c r="COP4" s="27"/>
      <c r="COQ4" s="27"/>
      <c r="COR4" s="27"/>
      <c r="COS4" s="27"/>
      <c r="COT4" s="27"/>
      <c r="COU4" s="27"/>
      <c r="COV4" s="27"/>
      <c r="COW4" s="27"/>
      <c r="COX4" s="27"/>
      <c r="COY4" s="27"/>
      <c r="COZ4" s="27"/>
      <c r="CPA4" s="27"/>
      <c r="CPB4" s="27"/>
      <c r="CPC4" s="27"/>
      <c r="CPD4" s="27"/>
      <c r="CPE4" s="27"/>
      <c r="CPF4" s="27"/>
      <c r="CPG4" s="27"/>
      <c r="CPH4" s="27"/>
      <c r="CPI4" s="27"/>
      <c r="CPJ4" s="27"/>
      <c r="CPK4" s="27"/>
      <c r="CPL4" s="27"/>
      <c r="CPM4" s="27"/>
      <c r="CPN4" s="27"/>
      <c r="CPO4" s="27"/>
      <c r="CPP4" s="27"/>
      <c r="CPQ4" s="27"/>
      <c r="CPR4" s="27"/>
      <c r="CPS4" s="27"/>
      <c r="CPT4" s="27"/>
      <c r="CPU4" s="27"/>
      <c r="CPV4" s="27"/>
      <c r="CPW4" s="27"/>
      <c r="CPX4" s="27"/>
      <c r="CPY4" s="27"/>
      <c r="CPZ4" s="27"/>
      <c r="CQA4" s="27"/>
      <c r="CQB4" s="27"/>
      <c r="CQC4" s="27"/>
      <c r="CQD4" s="27"/>
      <c r="CQE4" s="27"/>
      <c r="CQF4" s="27"/>
      <c r="CQG4" s="27"/>
      <c r="CQH4" s="27"/>
      <c r="CQI4" s="27"/>
      <c r="CQJ4" s="27"/>
      <c r="CQK4" s="27"/>
      <c r="CQL4" s="27"/>
      <c r="CQM4" s="27"/>
      <c r="CQN4" s="27"/>
      <c r="CQO4" s="27"/>
      <c r="CQP4" s="27"/>
      <c r="CQQ4" s="27"/>
      <c r="CQR4" s="27"/>
      <c r="CQS4" s="27"/>
      <c r="CQT4" s="27"/>
      <c r="CQU4" s="27"/>
      <c r="CQV4" s="27"/>
      <c r="CQW4" s="27"/>
      <c r="CQX4" s="27"/>
      <c r="CQY4" s="27"/>
      <c r="CQZ4" s="27"/>
      <c r="CRA4" s="27"/>
      <c r="CRB4" s="27"/>
      <c r="CRC4" s="27"/>
      <c r="CRD4" s="27"/>
      <c r="CRE4" s="27"/>
      <c r="CRF4" s="27"/>
      <c r="CRG4" s="27"/>
      <c r="CRH4" s="27"/>
      <c r="CRI4" s="27"/>
      <c r="CRJ4" s="27"/>
      <c r="CRK4" s="27"/>
      <c r="CRL4" s="27"/>
      <c r="CRM4" s="27"/>
      <c r="CRN4" s="27"/>
      <c r="CRO4" s="27"/>
      <c r="CRP4" s="27"/>
      <c r="CRQ4" s="27"/>
      <c r="CRR4" s="27"/>
      <c r="CRS4" s="27"/>
      <c r="CRT4" s="27"/>
      <c r="CRU4" s="27"/>
      <c r="CRV4" s="27"/>
      <c r="CRW4" s="27"/>
      <c r="CRX4" s="27"/>
      <c r="CRY4" s="27"/>
      <c r="CRZ4" s="27"/>
      <c r="CSA4" s="27"/>
      <c r="CSB4" s="27"/>
      <c r="CSC4" s="27"/>
      <c r="CSD4" s="27"/>
      <c r="CSE4" s="27"/>
      <c r="CSF4" s="27"/>
      <c r="CSG4" s="27"/>
      <c r="CSH4" s="27"/>
      <c r="CSI4" s="27"/>
      <c r="CSJ4" s="27"/>
      <c r="CSK4" s="27"/>
      <c r="CSL4" s="27"/>
      <c r="CSM4" s="27"/>
      <c r="CSN4" s="27"/>
      <c r="CSO4" s="27"/>
      <c r="CSP4" s="27"/>
      <c r="CSQ4" s="27"/>
      <c r="CSR4" s="27"/>
      <c r="CSS4" s="27"/>
      <c r="CST4" s="27"/>
      <c r="CSU4" s="27"/>
      <c r="CSV4" s="27"/>
      <c r="CSW4" s="27"/>
      <c r="CSX4" s="27"/>
      <c r="CSY4" s="27"/>
      <c r="CSZ4" s="27"/>
      <c r="CTA4" s="27"/>
      <c r="CTB4" s="27"/>
      <c r="CTC4" s="27"/>
      <c r="CTD4" s="27"/>
      <c r="CTE4" s="27"/>
      <c r="CTF4" s="27"/>
      <c r="CTG4" s="27"/>
      <c r="CTH4" s="27"/>
      <c r="CTI4" s="27"/>
      <c r="CTJ4" s="27"/>
      <c r="CTK4" s="27"/>
      <c r="CTL4" s="27"/>
      <c r="CTM4" s="27"/>
      <c r="CTN4" s="27"/>
      <c r="CTO4" s="27"/>
      <c r="CTP4" s="27"/>
      <c r="CTQ4" s="27"/>
      <c r="CTR4" s="27"/>
      <c r="CTS4" s="27"/>
      <c r="CTT4" s="27"/>
      <c r="CTU4" s="27"/>
      <c r="CTV4" s="27"/>
      <c r="CTW4" s="27"/>
      <c r="CTX4" s="27"/>
      <c r="CTY4" s="27"/>
      <c r="CTZ4" s="27"/>
      <c r="CUA4" s="27"/>
      <c r="CUB4" s="27"/>
      <c r="CUC4" s="27"/>
      <c r="CUD4" s="27"/>
      <c r="CUE4" s="27"/>
      <c r="CUF4" s="27"/>
      <c r="CUG4" s="27"/>
      <c r="CUH4" s="27"/>
      <c r="CUI4" s="27"/>
      <c r="CUJ4" s="27"/>
      <c r="CUK4" s="27"/>
      <c r="CUL4" s="27"/>
      <c r="CUM4" s="27"/>
      <c r="CUN4" s="27"/>
      <c r="CUO4" s="27"/>
      <c r="CUP4" s="27"/>
      <c r="CUQ4" s="27"/>
      <c r="CUR4" s="27"/>
      <c r="CUS4" s="27"/>
      <c r="CUT4" s="27"/>
      <c r="CUU4" s="27"/>
      <c r="CUV4" s="27"/>
      <c r="CUW4" s="27"/>
      <c r="CUX4" s="27"/>
      <c r="CUY4" s="27"/>
      <c r="CUZ4" s="27"/>
      <c r="CVA4" s="27"/>
      <c r="CVB4" s="27"/>
      <c r="CVC4" s="27"/>
      <c r="CVD4" s="27"/>
      <c r="CVE4" s="27"/>
      <c r="CVF4" s="27"/>
      <c r="CVG4" s="27"/>
      <c r="CVH4" s="27"/>
      <c r="CVI4" s="27"/>
      <c r="CVJ4" s="27"/>
      <c r="CVK4" s="27"/>
      <c r="CVL4" s="27"/>
      <c r="CVM4" s="27"/>
      <c r="CVN4" s="27"/>
      <c r="CVO4" s="27"/>
      <c r="CVP4" s="27"/>
      <c r="CVQ4" s="27"/>
      <c r="CVR4" s="27"/>
      <c r="CVS4" s="27"/>
      <c r="CVT4" s="27"/>
      <c r="CVU4" s="27"/>
      <c r="CVV4" s="27"/>
      <c r="CVW4" s="27"/>
      <c r="CVX4" s="27"/>
      <c r="CVY4" s="27"/>
      <c r="CVZ4" s="27"/>
      <c r="CWA4" s="27"/>
      <c r="CWB4" s="27"/>
      <c r="CWC4" s="27"/>
      <c r="CWD4" s="27"/>
      <c r="CWE4" s="27"/>
      <c r="CWF4" s="27"/>
      <c r="CWG4" s="27"/>
      <c r="CWH4" s="27"/>
      <c r="CWI4" s="27"/>
      <c r="CWJ4" s="27"/>
      <c r="CWK4" s="27"/>
      <c r="CWL4" s="27"/>
      <c r="CWM4" s="27"/>
      <c r="CWN4" s="27"/>
      <c r="CWO4" s="27"/>
      <c r="CWP4" s="27"/>
      <c r="CWQ4" s="27"/>
      <c r="CWR4" s="27"/>
      <c r="CWS4" s="27"/>
      <c r="CWT4" s="27"/>
      <c r="CWU4" s="27"/>
      <c r="CWV4" s="27"/>
      <c r="CWW4" s="27"/>
      <c r="CWX4" s="27"/>
      <c r="CWY4" s="27"/>
      <c r="CWZ4" s="27"/>
      <c r="CXA4" s="27"/>
      <c r="CXB4" s="27"/>
      <c r="CXC4" s="27"/>
      <c r="CXD4" s="27"/>
      <c r="CXE4" s="27"/>
      <c r="CXF4" s="27"/>
      <c r="CXG4" s="27"/>
      <c r="CXH4" s="27"/>
      <c r="CXI4" s="27"/>
      <c r="CXJ4" s="27"/>
      <c r="CXK4" s="27"/>
      <c r="CXL4" s="27"/>
      <c r="CXM4" s="27"/>
      <c r="CXN4" s="27"/>
      <c r="CXO4" s="27"/>
      <c r="CXP4" s="27"/>
      <c r="CXQ4" s="27"/>
      <c r="CXR4" s="27"/>
      <c r="CXS4" s="27"/>
      <c r="CXT4" s="27"/>
      <c r="CXU4" s="27"/>
      <c r="CXV4" s="27"/>
      <c r="CXW4" s="27"/>
      <c r="CXX4" s="27"/>
      <c r="CXY4" s="27"/>
      <c r="CXZ4" s="27"/>
      <c r="CYA4" s="27"/>
      <c r="CYB4" s="27"/>
      <c r="CYC4" s="27"/>
      <c r="CYD4" s="27"/>
      <c r="CYE4" s="27"/>
      <c r="CYF4" s="27"/>
      <c r="CYG4" s="27"/>
      <c r="CYH4" s="27"/>
      <c r="CYI4" s="27"/>
      <c r="CYJ4" s="27"/>
      <c r="CYK4" s="27"/>
      <c r="CYL4" s="27"/>
      <c r="CYM4" s="27"/>
      <c r="CYN4" s="27"/>
      <c r="CYO4" s="27"/>
      <c r="CYP4" s="27"/>
      <c r="CYQ4" s="27"/>
      <c r="CYR4" s="27"/>
      <c r="CYS4" s="27"/>
      <c r="CYT4" s="27"/>
      <c r="CYU4" s="27"/>
      <c r="CYV4" s="27"/>
      <c r="CYW4" s="27"/>
      <c r="CYX4" s="27"/>
      <c r="CYY4" s="27"/>
      <c r="CYZ4" s="27"/>
      <c r="CZA4" s="27"/>
      <c r="CZB4" s="27"/>
      <c r="CZC4" s="27"/>
      <c r="CZD4" s="27"/>
      <c r="CZE4" s="27"/>
      <c r="CZF4" s="27"/>
      <c r="CZG4" s="27"/>
      <c r="CZH4" s="27"/>
      <c r="CZI4" s="27"/>
      <c r="CZJ4" s="27"/>
      <c r="CZK4" s="27"/>
      <c r="CZL4" s="27"/>
      <c r="CZM4" s="27"/>
      <c r="CZN4" s="27"/>
      <c r="CZO4" s="27"/>
      <c r="CZP4" s="27"/>
      <c r="CZQ4" s="27"/>
      <c r="CZR4" s="27"/>
      <c r="CZS4" s="27"/>
      <c r="CZT4" s="27"/>
      <c r="CZU4" s="27"/>
      <c r="CZV4" s="27"/>
      <c r="CZW4" s="27"/>
      <c r="CZX4" s="27"/>
      <c r="CZY4" s="27"/>
      <c r="CZZ4" s="27"/>
      <c r="DAA4" s="27"/>
      <c r="DAB4" s="27"/>
      <c r="DAC4" s="27"/>
      <c r="DAD4" s="27"/>
      <c r="DAE4" s="27"/>
      <c r="DAF4" s="27"/>
      <c r="DAG4" s="27"/>
      <c r="DAH4" s="27"/>
      <c r="DAI4" s="27"/>
      <c r="DAJ4" s="27"/>
      <c r="DAK4" s="27"/>
      <c r="DAL4" s="27"/>
      <c r="DAM4" s="27"/>
      <c r="DAN4" s="27"/>
      <c r="DAO4" s="27"/>
      <c r="DAP4" s="27"/>
      <c r="DAQ4" s="27"/>
      <c r="DAR4" s="27"/>
      <c r="DAS4" s="27"/>
      <c r="DAT4" s="27"/>
      <c r="DAU4" s="27"/>
      <c r="DAV4" s="27"/>
      <c r="DAW4" s="27"/>
      <c r="DAX4" s="27"/>
      <c r="DAY4" s="27"/>
      <c r="DAZ4" s="27"/>
      <c r="DBA4" s="27"/>
      <c r="DBB4" s="27"/>
      <c r="DBC4" s="27"/>
      <c r="DBD4" s="27"/>
      <c r="DBE4" s="27"/>
      <c r="DBF4" s="27"/>
      <c r="DBG4" s="27"/>
      <c r="DBH4" s="27"/>
      <c r="DBI4" s="27"/>
      <c r="DBJ4" s="27"/>
      <c r="DBK4" s="27"/>
      <c r="DBL4" s="27"/>
      <c r="DBM4" s="27"/>
      <c r="DBN4" s="27"/>
      <c r="DBO4" s="27"/>
      <c r="DBP4" s="27"/>
      <c r="DBQ4" s="27"/>
      <c r="DBR4" s="27"/>
      <c r="DBS4" s="27"/>
      <c r="DBT4" s="27"/>
      <c r="DBU4" s="27"/>
      <c r="DBV4" s="27"/>
      <c r="DBW4" s="27"/>
      <c r="DBX4" s="27"/>
      <c r="DBY4" s="27"/>
      <c r="DBZ4" s="27"/>
      <c r="DCA4" s="27"/>
      <c r="DCB4" s="27"/>
      <c r="DCC4" s="27"/>
      <c r="DCD4" s="27"/>
      <c r="DCE4" s="27"/>
      <c r="DCF4" s="27"/>
      <c r="DCG4" s="27"/>
      <c r="DCH4" s="27"/>
      <c r="DCI4" s="27"/>
      <c r="DCJ4" s="27"/>
      <c r="DCK4" s="27"/>
      <c r="DCL4" s="27"/>
      <c r="DCM4" s="27"/>
      <c r="DCN4" s="27"/>
      <c r="DCO4" s="27"/>
      <c r="DCP4" s="27"/>
      <c r="DCQ4" s="27"/>
      <c r="DCR4" s="27"/>
      <c r="DCS4" s="27"/>
      <c r="DCT4" s="27"/>
      <c r="DCU4" s="27"/>
      <c r="DCV4" s="27"/>
      <c r="DCW4" s="27"/>
      <c r="DCX4" s="27"/>
      <c r="DCY4" s="27"/>
      <c r="DCZ4" s="27"/>
      <c r="DDA4" s="27"/>
      <c r="DDB4" s="27"/>
      <c r="DDC4" s="27"/>
      <c r="DDD4" s="27"/>
      <c r="DDE4" s="27"/>
      <c r="DDF4" s="27"/>
      <c r="DDG4" s="27"/>
      <c r="DDH4" s="27"/>
      <c r="DDI4" s="27"/>
      <c r="DDJ4" s="27"/>
      <c r="DDK4" s="27"/>
      <c r="DDL4" s="27"/>
      <c r="DDM4" s="27"/>
      <c r="DDN4" s="27"/>
      <c r="DDO4" s="27"/>
      <c r="DDP4" s="27"/>
      <c r="DDQ4" s="27"/>
      <c r="DDR4" s="27"/>
      <c r="DDS4" s="27"/>
      <c r="DDT4" s="27"/>
      <c r="DDU4" s="27"/>
      <c r="DDV4" s="27"/>
      <c r="DDW4" s="27"/>
      <c r="DDX4" s="27"/>
      <c r="DDY4" s="27"/>
      <c r="DDZ4" s="27"/>
      <c r="DEA4" s="27"/>
      <c r="DEB4" s="27"/>
      <c r="DEC4" s="27"/>
      <c r="DED4" s="27"/>
      <c r="DEE4" s="27"/>
      <c r="DEF4" s="27"/>
      <c r="DEG4" s="27"/>
      <c r="DEH4" s="27"/>
      <c r="DEI4" s="27"/>
      <c r="DEJ4" s="27"/>
      <c r="DEK4" s="27"/>
      <c r="DEL4" s="27"/>
      <c r="DEM4" s="27"/>
      <c r="DEN4" s="27"/>
      <c r="DEO4" s="27"/>
      <c r="DEP4" s="27"/>
      <c r="DEQ4" s="27"/>
      <c r="DER4" s="27"/>
      <c r="DES4" s="27"/>
      <c r="DET4" s="27"/>
      <c r="DEU4" s="27"/>
      <c r="DEV4" s="27"/>
      <c r="DEW4" s="27"/>
      <c r="DEX4" s="27"/>
      <c r="DEY4" s="27"/>
      <c r="DEZ4" s="27"/>
      <c r="DFA4" s="27"/>
      <c r="DFB4" s="27"/>
      <c r="DFC4" s="27"/>
      <c r="DFD4" s="27"/>
      <c r="DFE4" s="27"/>
      <c r="DFF4" s="27"/>
      <c r="DFG4" s="27"/>
      <c r="DFH4" s="27"/>
      <c r="DFI4" s="27"/>
      <c r="DFJ4" s="27"/>
      <c r="DFK4" s="27"/>
      <c r="DFL4" s="27"/>
      <c r="DFM4" s="27"/>
      <c r="DFN4" s="27"/>
      <c r="DFO4" s="27"/>
      <c r="DFP4" s="27"/>
      <c r="DFQ4" s="27"/>
      <c r="DFR4" s="27"/>
      <c r="DFS4" s="27"/>
      <c r="DFT4" s="27"/>
      <c r="DFU4" s="27"/>
      <c r="DFV4" s="27"/>
      <c r="DFW4" s="27"/>
      <c r="DFX4" s="27"/>
      <c r="DFY4" s="27"/>
      <c r="DFZ4" s="27"/>
      <c r="DGA4" s="27"/>
      <c r="DGB4" s="27"/>
      <c r="DGC4" s="27"/>
      <c r="DGD4" s="27"/>
      <c r="DGE4" s="27"/>
      <c r="DGF4" s="27"/>
      <c r="DGG4" s="27"/>
      <c r="DGH4" s="27"/>
      <c r="DGI4" s="27"/>
      <c r="DGJ4" s="27"/>
      <c r="DGK4" s="27"/>
      <c r="DGL4" s="27"/>
      <c r="DGM4" s="27"/>
      <c r="DGN4" s="27"/>
      <c r="DGO4" s="27"/>
      <c r="DGP4" s="27"/>
      <c r="DGQ4" s="27"/>
      <c r="DGR4" s="27"/>
      <c r="DGS4" s="27"/>
      <c r="DGT4" s="27"/>
      <c r="DGU4" s="27"/>
      <c r="DGV4" s="27"/>
      <c r="DGW4" s="27"/>
      <c r="DGX4" s="27"/>
      <c r="DGY4" s="27"/>
      <c r="DGZ4" s="27"/>
      <c r="DHA4" s="27"/>
      <c r="DHB4" s="27"/>
      <c r="DHC4" s="27"/>
      <c r="DHD4" s="27"/>
      <c r="DHE4" s="27"/>
      <c r="DHF4" s="27"/>
      <c r="DHG4" s="27"/>
      <c r="DHH4" s="27"/>
      <c r="DHI4" s="27"/>
      <c r="DHJ4" s="27"/>
      <c r="DHK4" s="27"/>
      <c r="DHL4" s="27"/>
      <c r="DHM4" s="27"/>
      <c r="DHN4" s="27"/>
      <c r="DHO4" s="27"/>
      <c r="DHP4" s="27"/>
      <c r="DHQ4" s="27"/>
      <c r="DHR4" s="27"/>
      <c r="DHS4" s="27"/>
      <c r="DHT4" s="27"/>
      <c r="DHU4" s="27"/>
      <c r="DHV4" s="27"/>
      <c r="DHW4" s="27"/>
      <c r="DHX4" s="27"/>
      <c r="DHY4" s="27"/>
      <c r="DHZ4" s="27"/>
      <c r="DIA4" s="27"/>
      <c r="DIB4" s="27"/>
      <c r="DIC4" s="27"/>
      <c r="DID4" s="27"/>
      <c r="DIE4" s="27"/>
      <c r="DIF4" s="27"/>
      <c r="DIG4" s="27"/>
      <c r="DIH4" s="27"/>
      <c r="DII4" s="27"/>
      <c r="DIJ4" s="27"/>
      <c r="DIK4" s="27"/>
      <c r="DIL4" s="27"/>
      <c r="DIM4" s="27"/>
      <c r="DIN4" s="27"/>
      <c r="DIO4" s="27"/>
      <c r="DIP4" s="27"/>
      <c r="DIQ4" s="27"/>
      <c r="DIR4" s="27"/>
      <c r="DIS4" s="27"/>
      <c r="DIT4" s="27"/>
      <c r="DIU4" s="27"/>
      <c r="DIV4" s="27"/>
      <c r="DIW4" s="27"/>
      <c r="DIX4" s="27"/>
      <c r="DIY4" s="27"/>
      <c r="DIZ4" s="27"/>
      <c r="DJA4" s="27"/>
      <c r="DJB4" s="27"/>
      <c r="DJC4" s="27"/>
      <c r="DJD4" s="27"/>
      <c r="DJE4" s="27"/>
      <c r="DJF4" s="27"/>
      <c r="DJG4" s="27"/>
      <c r="DJH4" s="27"/>
      <c r="DJI4" s="27"/>
      <c r="DJJ4" s="27"/>
      <c r="DJK4" s="27"/>
      <c r="DJL4" s="27"/>
      <c r="DJM4" s="27"/>
      <c r="DJN4" s="27"/>
      <c r="DJO4" s="27"/>
      <c r="DJP4" s="27"/>
      <c r="DJQ4" s="27"/>
      <c r="DJR4" s="27"/>
      <c r="DJS4" s="27"/>
      <c r="DJT4" s="27"/>
      <c r="DJU4" s="27"/>
      <c r="DJV4" s="27"/>
      <c r="DJW4" s="27"/>
      <c r="DJX4" s="27"/>
      <c r="DJY4" s="27"/>
      <c r="DJZ4" s="27"/>
      <c r="DKA4" s="27"/>
      <c r="DKB4" s="27"/>
      <c r="DKC4" s="27"/>
      <c r="DKD4" s="27"/>
      <c r="DKE4" s="27"/>
      <c r="DKF4" s="27"/>
      <c r="DKG4" s="27"/>
      <c r="DKH4" s="27"/>
      <c r="DKI4" s="27"/>
      <c r="DKJ4" s="27"/>
      <c r="DKK4" s="27"/>
      <c r="DKL4" s="27"/>
      <c r="DKM4" s="27"/>
      <c r="DKN4" s="27"/>
      <c r="DKO4" s="27"/>
      <c r="DKP4" s="27"/>
      <c r="DKQ4" s="27"/>
      <c r="DKR4" s="27"/>
      <c r="DKS4" s="27"/>
      <c r="DKT4" s="27"/>
      <c r="DKU4" s="27"/>
      <c r="DKV4" s="27"/>
      <c r="DKW4" s="27"/>
      <c r="DKX4" s="27"/>
      <c r="DKY4" s="27"/>
      <c r="DKZ4" s="27"/>
      <c r="DLA4" s="27"/>
      <c r="DLB4" s="27"/>
      <c r="DLC4" s="27"/>
      <c r="DLD4" s="27"/>
      <c r="DLE4" s="27"/>
      <c r="DLF4" s="27"/>
      <c r="DLG4" s="27"/>
      <c r="DLH4" s="27"/>
      <c r="DLI4" s="27"/>
      <c r="DLJ4" s="27"/>
      <c r="DLK4" s="27"/>
      <c r="DLL4" s="27"/>
      <c r="DLM4" s="27"/>
      <c r="DLN4" s="27"/>
      <c r="DLO4" s="27"/>
      <c r="DLP4" s="27"/>
      <c r="DLQ4" s="27"/>
      <c r="DLR4" s="27"/>
      <c r="DLS4" s="27"/>
      <c r="DLT4" s="27"/>
      <c r="DLU4" s="27"/>
      <c r="DLV4" s="27"/>
      <c r="DLW4" s="27"/>
      <c r="DLX4" s="27"/>
      <c r="DLY4" s="27"/>
      <c r="DLZ4" s="27"/>
      <c r="DMA4" s="27"/>
      <c r="DMB4" s="27"/>
      <c r="DMC4" s="27"/>
      <c r="DMD4" s="27"/>
      <c r="DME4" s="27"/>
      <c r="DMF4" s="27"/>
      <c r="DMG4" s="27"/>
      <c r="DMH4" s="27"/>
      <c r="DMI4" s="27"/>
      <c r="DMJ4" s="27"/>
      <c r="DMK4" s="27"/>
      <c r="DML4" s="27"/>
      <c r="DMM4" s="27"/>
      <c r="DMN4" s="27"/>
      <c r="DMO4" s="27"/>
      <c r="DMP4" s="27"/>
      <c r="DMQ4" s="27"/>
      <c r="DMR4" s="27"/>
      <c r="DMS4" s="27"/>
      <c r="DMT4" s="27"/>
      <c r="DMU4" s="27"/>
      <c r="DMV4" s="27"/>
      <c r="DMW4" s="27"/>
      <c r="DMX4" s="27"/>
      <c r="DMY4" s="27"/>
      <c r="DMZ4" s="27"/>
      <c r="DNA4" s="27"/>
      <c r="DNB4" s="27"/>
      <c r="DNC4" s="27"/>
      <c r="DND4" s="27"/>
      <c r="DNE4" s="27"/>
      <c r="DNF4" s="27"/>
      <c r="DNG4" s="27"/>
      <c r="DNH4" s="27"/>
      <c r="DNI4" s="27"/>
      <c r="DNJ4" s="27"/>
      <c r="DNK4" s="27"/>
      <c r="DNL4" s="27"/>
      <c r="DNM4" s="27"/>
      <c r="DNN4" s="27"/>
      <c r="DNO4" s="27"/>
      <c r="DNP4" s="27"/>
      <c r="DNQ4" s="27"/>
      <c r="DNR4" s="27"/>
      <c r="DNS4" s="27"/>
      <c r="DNT4" s="27"/>
      <c r="DNU4" s="27"/>
      <c r="DNV4" s="27"/>
      <c r="DNW4" s="27"/>
      <c r="DNX4" s="27"/>
      <c r="DNY4" s="27"/>
      <c r="DNZ4" s="27"/>
      <c r="DOA4" s="27"/>
      <c r="DOB4" s="27"/>
      <c r="DOC4" s="27"/>
      <c r="DOD4" s="27"/>
      <c r="DOE4" s="27"/>
      <c r="DOF4" s="27"/>
      <c r="DOG4" s="27"/>
      <c r="DOH4" s="27"/>
      <c r="DOI4" s="27"/>
      <c r="DOJ4" s="27"/>
      <c r="DOK4" s="27"/>
      <c r="DOL4" s="27"/>
      <c r="DOM4" s="27"/>
      <c r="DON4" s="27"/>
      <c r="DOO4" s="27"/>
      <c r="DOP4" s="27"/>
      <c r="DOQ4" s="27"/>
      <c r="DOR4" s="27"/>
      <c r="DOS4" s="27"/>
      <c r="DOT4" s="27"/>
      <c r="DOU4" s="27"/>
      <c r="DOV4" s="27"/>
      <c r="DOW4" s="27"/>
      <c r="DOX4" s="27"/>
      <c r="DOY4" s="27"/>
      <c r="DOZ4" s="27"/>
      <c r="DPA4" s="27"/>
      <c r="DPB4" s="27"/>
      <c r="DPC4" s="27"/>
      <c r="DPD4" s="27"/>
      <c r="DPE4" s="27"/>
      <c r="DPF4" s="27"/>
      <c r="DPG4" s="27"/>
      <c r="DPH4" s="27"/>
      <c r="DPI4" s="27"/>
      <c r="DPJ4" s="27"/>
      <c r="DPK4" s="27"/>
      <c r="DPL4" s="27"/>
      <c r="DPM4" s="27"/>
      <c r="DPN4" s="27"/>
      <c r="DPO4" s="27"/>
      <c r="DPP4" s="27"/>
      <c r="DPQ4" s="27"/>
      <c r="DPR4" s="27"/>
      <c r="DPS4" s="27"/>
      <c r="DPT4" s="27"/>
      <c r="DPU4" s="27"/>
      <c r="DPV4" s="27"/>
      <c r="DPW4" s="27"/>
      <c r="DPX4" s="27"/>
      <c r="DPY4" s="27"/>
      <c r="DPZ4" s="27"/>
      <c r="DQA4" s="27"/>
      <c r="DQB4" s="27"/>
      <c r="DQC4" s="27"/>
      <c r="DQD4" s="27"/>
      <c r="DQE4" s="27"/>
      <c r="DQF4" s="27"/>
      <c r="DQG4" s="27"/>
      <c r="DQH4" s="27"/>
      <c r="DQI4" s="27"/>
      <c r="DQJ4" s="27"/>
      <c r="DQK4" s="27"/>
      <c r="DQL4" s="27"/>
      <c r="DQM4" s="27"/>
      <c r="DQN4" s="27"/>
      <c r="DQO4" s="27"/>
      <c r="DQP4" s="27"/>
      <c r="DQQ4" s="27"/>
      <c r="DQR4" s="27"/>
      <c r="DQS4" s="27"/>
      <c r="DQT4" s="27"/>
      <c r="DQU4" s="27"/>
      <c r="DQV4" s="27"/>
      <c r="DQW4" s="27"/>
      <c r="DQX4" s="27"/>
      <c r="DQY4" s="27"/>
      <c r="DQZ4" s="27"/>
      <c r="DRA4" s="27"/>
      <c r="DRB4" s="27"/>
      <c r="DRC4" s="27"/>
      <c r="DRD4" s="27"/>
      <c r="DRE4" s="27"/>
      <c r="DRF4" s="27"/>
      <c r="DRG4" s="27"/>
      <c r="DRH4" s="27"/>
      <c r="DRI4" s="27"/>
      <c r="DRJ4" s="27"/>
      <c r="DRK4" s="27"/>
      <c r="DRL4" s="27"/>
      <c r="DRM4" s="27"/>
      <c r="DRN4" s="27"/>
      <c r="DRO4" s="27"/>
      <c r="DRP4" s="27"/>
      <c r="DRQ4" s="27"/>
      <c r="DRR4" s="27"/>
      <c r="DRS4" s="27"/>
      <c r="DRT4" s="27"/>
      <c r="DRU4" s="27"/>
      <c r="DRV4" s="27"/>
      <c r="DRW4" s="27"/>
      <c r="DRX4" s="27"/>
      <c r="DRY4" s="27"/>
      <c r="DRZ4" s="27"/>
      <c r="DSA4" s="27"/>
      <c r="DSB4" s="27"/>
      <c r="DSC4" s="27"/>
      <c r="DSD4" s="27"/>
      <c r="DSE4" s="27"/>
      <c r="DSF4" s="27"/>
      <c r="DSG4" s="27"/>
      <c r="DSH4" s="27"/>
      <c r="DSI4" s="27"/>
      <c r="DSJ4" s="27"/>
      <c r="DSK4" s="27"/>
      <c r="DSL4" s="27"/>
      <c r="DSM4" s="27"/>
      <c r="DSN4" s="27"/>
      <c r="DSO4" s="27"/>
      <c r="DSP4" s="27"/>
      <c r="DSQ4" s="27"/>
      <c r="DSR4" s="27"/>
      <c r="DSS4" s="27"/>
      <c r="DST4" s="27"/>
      <c r="DSU4" s="27"/>
      <c r="DSV4" s="27"/>
      <c r="DSW4" s="27"/>
      <c r="DSX4" s="27"/>
      <c r="DSY4" s="27"/>
      <c r="DSZ4" s="27"/>
      <c r="DTA4" s="27"/>
      <c r="DTB4" s="27"/>
      <c r="DTC4" s="27"/>
      <c r="DTD4" s="27"/>
      <c r="DTE4" s="27"/>
      <c r="DTF4" s="27"/>
      <c r="DTG4" s="27"/>
      <c r="DTH4" s="27"/>
      <c r="DTI4" s="27"/>
      <c r="DTJ4" s="27"/>
      <c r="DTK4" s="27"/>
      <c r="DTL4" s="27"/>
      <c r="DTM4" s="27"/>
      <c r="DTN4" s="27"/>
      <c r="DTO4" s="27"/>
      <c r="DTP4" s="27"/>
      <c r="DTQ4" s="27"/>
      <c r="DTR4" s="27"/>
      <c r="DTS4" s="27"/>
      <c r="DTT4" s="27"/>
      <c r="DTU4" s="27"/>
      <c r="DTV4" s="27"/>
      <c r="DTW4" s="27"/>
      <c r="DTX4" s="27"/>
      <c r="DTY4" s="27"/>
      <c r="DTZ4" s="27"/>
      <c r="DUA4" s="27"/>
      <c r="DUB4" s="27"/>
      <c r="DUC4" s="27"/>
      <c r="DUD4" s="27"/>
      <c r="DUE4" s="27"/>
      <c r="DUF4" s="27"/>
      <c r="DUG4" s="27"/>
      <c r="DUH4" s="27"/>
      <c r="DUI4" s="27"/>
      <c r="DUJ4" s="27"/>
      <c r="DUK4" s="27"/>
      <c r="DUL4" s="27"/>
      <c r="DUM4" s="27"/>
      <c r="DUN4" s="27"/>
      <c r="DUO4" s="27"/>
      <c r="DUP4" s="27"/>
      <c r="DUQ4" s="27"/>
      <c r="DUR4" s="27"/>
      <c r="DUS4" s="27"/>
      <c r="DUT4" s="27"/>
      <c r="DUU4" s="27"/>
      <c r="DUV4" s="27"/>
      <c r="DUW4" s="27"/>
      <c r="DUX4" s="27"/>
      <c r="DUY4" s="27"/>
      <c r="DUZ4" s="27"/>
      <c r="DVA4" s="27"/>
      <c r="DVB4" s="27"/>
      <c r="DVC4" s="27"/>
      <c r="DVD4" s="27"/>
      <c r="DVE4" s="27"/>
      <c r="DVF4" s="27"/>
      <c r="DVG4" s="27"/>
      <c r="DVH4" s="27"/>
      <c r="DVI4" s="27"/>
      <c r="DVJ4" s="27"/>
      <c r="DVK4" s="27"/>
      <c r="DVL4" s="27"/>
      <c r="DVM4" s="27"/>
      <c r="DVN4" s="27"/>
      <c r="DVO4" s="27"/>
      <c r="DVP4" s="27"/>
      <c r="DVQ4" s="27"/>
      <c r="DVR4" s="27"/>
      <c r="DVS4" s="27"/>
      <c r="DVT4" s="27"/>
      <c r="DVU4" s="27"/>
      <c r="DVV4" s="27"/>
      <c r="DVW4" s="27"/>
      <c r="DVX4" s="27"/>
      <c r="DVY4" s="27"/>
      <c r="DVZ4" s="27"/>
      <c r="DWA4" s="27"/>
      <c r="DWB4" s="27"/>
      <c r="DWC4" s="27"/>
      <c r="DWD4" s="27"/>
      <c r="DWE4" s="27"/>
      <c r="DWF4" s="27"/>
      <c r="DWG4" s="27"/>
      <c r="DWH4" s="27"/>
      <c r="DWI4" s="27"/>
      <c r="DWJ4" s="27"/>
      <c r="DWK4" s="27"/>
      <c r="DWL4" s="27"/>
      <c r="DWM4" s="27"/>
      <c r="DWN4" s="27"/>
      <c r="DWO4" s="27"/>
      <c r="DWP4" s="27"/>
      <c r="DWQ4" s="27"/>
      <c r="DWR4" s="27"/>
      <c r="DWS4" s="27"/>
      <c r="DWT4" s="27"/>
      <c r="DWU4" s="27"/>
      <c r="DWV4" s="27"/>
      <c r="DWW4" s="27"/>
      <c r="DWX4" s="27"/>
      <c r="DWY4" s="27"/>
      <c r="DWZ4" s="27"/>
      <c r="DXA4" s="27"/>
      <c r="DXB4" s="27"/>
      <c r="DXC4" s="27"/>
      <c r="DXD4" s="27"/>
      <c r="DXE4" s="27"/>
      <c r="DXF4" s="27"/>
      <c r="DXG4" s="27"/>
      <c r="DXH4" s="27"/>
      <c r="DXI4" s="27"/>
      <c r="DXJ4" s="27"/>
      <c r="DXK4" s="27"/>
      <c r="DXL4" s="27"/>
      <c r="DXM4" s="27"/>
      <c r="DXN4" s="27"/>
      <c r="DXO4" s="27"/>
      <c r="DXP4" s="27"/>
      <c r="DXQ4" s="27"/>
      <c r="DXR4" s="27"/>
      <c r="DXS4" s="27"/>
      <c r="DXT4" s="27"/>
      <c r="DXU4" s="27"/>
      <c r="DXV4" s="27"/>
      <c r="DXW4" s="27"/>
      <c r="DXX4" s="27"/>
      <c r="DXY4" s="27"/>
      <c r="DXZ4" s="27"/>
      <c r="DYA4" s="27"/>
      <c r="DYB4" s="27"/>
      <c r="DYC4" s="27"/>
      <c r="DYD4" s="27"/>
      <c r="DYE4" s="27"/>
      <c r="DYF4" s="27"/>
      <c r="DYG4" s="27"/>
      <c r="DYH4" s="27"/>
      <c r="DYI4" s="27"/>
      <c r="DYJ4" s="27"/>
      <c r="DYK4" s="27"/>
      <c r="DYL4" s="27"/>
      <c r="DYM4" s="27"/>
      <c r="DYN4" s="27"/>
      <c r="DYO4" s="27"/>
      <c r="DYP4" s="27"/>
      <c r="DYQ4" s="27"/>
      <c r="DYR4" s="27"/>
      <c r="DYS4" s="27"/>
      <c r="DYT4" s="27"/>
      <c r="DYU4" s="27"/>
      <c r="DYV4" s="27"/>
      <c r="DYW4" s="27"/>
      <c r="DYX4" s="27"/>
      <c r="DYY4" s="27"/>
      <c r="DYZ4" s="27"/>
      <c r="DZA4" s="27"/>
      <c r="DZB4" s="27"/>
      <c r="DZC4" s="27"/>
      <c r="DZD4" s="27"/>
      <c r="DZE4" s="27"/>
      <c r="DZF4" s="27"/>
      <c r="DZG4" s="27"/>
      <c r="DZH4" s="27"/>
      <c r="DZI4" s="27"/>
      <c r="DZJ4" s="27"/>
      <c r="DZK4" s="27"/>
      <c r="DZL4" s="27"/>
      <c r="DZM4" s="27"/>
      <c r="DZN4" s="27"/>
      <c r="DZO4" s="27"/>
      <c r="DZP4" s="27"/>
      <c r="DZQ4" s="27"/>
      <c r="DZR4" s="27"/>
      <c r="DZS4" s="27"/>
      <c r="DZT4" s="27"/>
      <c r="DZU4" s="27"/>
      <c r="DZV4" s="27"/>
      <c r="DZW4" s="27"/>
      <c r="DZX4" s="27"/>
      <c r="DZY4" s="27"/>
      <c r="DZZ4" s="27"/>
      <c r="EAA4" s="27"/>
      <c r="EAB4" s="27"/>
      <c r="EAC4" s="27"/>
      <c r="EAD4" s="27"/>
      <c r="EAE4" s="27"/>
      <c r="EAF4" s="27"/>
      <c r="EAG4" s="27"/>
      <c r="EAH4" s="27"/>
      <c r="EAI4" s="27"/>
      <c r="EAJ4" s="27"/>
      <c r="EAK4" s="27"/>
      <c r="EAL4" s="27"/>
      <c r="EAM4" s="27"/>
      <c r="EAN4" s="27"/>
      <c r="EAO4" s="27"/>
      <c r="EAP4" s="27"/>
      <c r="EAQ4" s="27"/>
      <c r="EAR4" s="27"/>
      <c r="EAS4" s="27"/>
      <c r="EAT4" s="27"/>
      <c r="EAU4" s="27"/>
      <c r="EAV4" s="27"/>
      <c r="EAW4" s="27"/>
      <c r="EAX4" s="27"/>
      <c r="EAY4" s="27"/>
      <c r="EAZ4" s="27"/>
      <c r="EBA4" s="27"/>
      <c r="EBB4" s="27"/>
      <c r="EBC4" s="27"/>
      <c r="EBD4" s="27"/>
      <c r="EBE4" s="27"/>
      <c r="EBF4" s="27"/>
      <c r="EBG4" s="27"/>
      <c r="EBH4" s="27"/>
      <c r="EBI4" s="27"/>
      <c r="EBJ4" s="27"/>
      <c r="EBK4" s="27"/>
      <c r="EBL4" s="27"/>
      <c r="EBM4" s="27"/>
      <c r="EBN4" s="27"/>
      <c r="EBO4" s="27"/>
      <c r="EBP4" s="27"/>
      <c r="EBQ4" s="27"/>
      <c r="EBR4" s="27"/>
      <c r="EBS4" s="27"/>
      <c r="EBT4" s="27"/>
      <c r="EBU4" s="27"/>
      <c r="EBV4" s="27"/>
      <c r="EBW4" s="27"/>
      <c r="EBX4" s="27"/>
      <c r="EBY4" s="27"/>
      <c r="EBZ4" s="27"/>
      <c r="ECA4" s="27"/>
      <c r="ECB4" s="27"/>
      <c r="ECC4" s="27"/>
      <c r="ECD4" s="27"/>
      <c r="ECE4" s="27"/>
      <c r="ECF4" s="27"/>
      <c r="ECG4" s="27"/>
      <c r="ECH4" s="27"/>
      <c r="ECI4" s="27"/>
      <c r="ECJ4" s="27"/>
      <c r="ECK4" s="27"/>
      <c r="ECL4" s="27"/>
      <c r="ECM4" s="27"/>
      <c r="ECN4" s="27"/>
      <c r="ECO4" s="27"/>
      <c r="ECP4" s="27"/>
      <c r="ECQ4" s="27"/>
      <c r="ECR4" s="27"/>
      <c r="ECS4" s="27"/>
      <c r="ECT4" s="27"/>
      <c r="ECU4" s="27"/>
      <c r="ECV4" s="27"/>
      <c r="ECW4" s="27"/>
      <c r="ECX4" s="27"/>
      <c r="ECY4" s="27"/>
      <c r="ECZ4" s="27"/>
      <c r="EDA4" s="27"/>
      <c r="EDB4" s="27"/>
      <c r="EDC4" s="27"/>
      <c r="EDD4" s="27"/>
      <c r="EDE4" s="27"/>
      <c r="EDF4" s="27"/>
      <c r="EDG4" s="27"/>
      <c r="EDH4" s="27"/>
      <c r="EDI4" s="27"/>
      <c r="EDJ4" s="27"/>
      <c r="EDK4" s="27"/>
      <c r="EDL4" s="27"/>
      <c r="EDM4" s="27"/>
      <c r="EDN4" s="27"/>
      <c r="EDO4" s="27"/>
      <c r="EDP4" s="27"/>
      <c r="EDQ4" s="27"/>
      <c r="EDR4" s="27"/>
      <c r="EDS4" s="27"/>
      <c r="EDT4" s="27"/>
      <c r="EDU4" s="27"/>
      <c r="EDV4" s="27"/>
      <c r="EDW4" s="27"/>
      <c r="EDX4" s="27"/>
      <c r="EDY4" s="27"/>
      <c r="EDZ4" s="27"/>
      <c r="EEA4" s="27"/>
      <c r="EEB4" s="27"/>
      <c r="EEC4" s="27"/>
      <c r="EED4" s="27"/>
      <c r="EEE4" s="27"/>
      <c r="EEF4" s="27"/>
      <c r="EEG4" s="27"/>
      <c r="EEH4" s="27"/>
      <c r="EEI4" s="27"/>
      <c r="EEJ4" s="27"/>
      <c r="EEK4" s="27"/>
      <c r="EEL4" s="27"/>
      <c r="EEM4" s="27"/>
      <c r="EEN4" s="27"/>
      <c r="EEO4" s="27"/>
      <c r="EEP4" s="27"/>
      <c r="EEQ4" s="27"/>
      <c r="EER4" s="27"/>
      <c r="EES4" s="27"/>
      <c r="EET4" s="27"/>
      <c r="EEU4" s="27"/>
      <c r="EEV4" s="27"/>
      <c r="EEW4" s="27"/>
      <c r="EEX4" s="27"/>
      <c r="EEY4" s="27"/>
      <c r="EEZ4" s="27"/>
      <c r="EFA4" s="27"/>
      <c r="EFB4" s="27"/>
      <c r="EFC4" s="27"/>
      <c r="EFD4" s="27"/>
      <c r="EFE4" s="27"/>
      <c r="EFF4" s="27"/>
      <c r="EFG4" s="27"/>
      <c r="EFH4" s="27"/>
      <c r="EFI4" s="27"/>
      <c r="EFJ4" s="27"/>
      <c r="EFK4" s="27"/>
      <c r="EFL4" s="27"/>
      <c r="EFM4" s="27"/>
      <c r="EFN4" s="27"/>
      <c r="EFO4" s="27"/>
      <c r="EFP4" s="27"/>
      <c r="EFQ4" s="27"/>
      <c r="EFR4" s="27"/>
      <c r="EFS4" s="27"/>
      <c r="EFT4" s="27"/>
      <c r="EFU4" s="27"/>
      <c r="EFV4" s="27"/>
      <c r="EFW4" s="27"/>
      <c r="EFX4" s="27"/>
      <c r="EFY4" s="27"/>
      <c r="EFZ4" s="27"/>
      <c r="EGA4" s="27"/>
      <c r="EGB4" s="27"/>
      <c r="EGC4" s="27"/>
      <c r="EGD4" s="27"/>
      <c r="EGE4" s="27"/>
      <c r="EGF4" s="27"/>
      <c r="EGG4" s="27"/>
      <c r="EGH4" s="27"/>
      <c r="EGI4" s="27"/>
      <c r="EGJ4" s="27"/>
      <c r="EGK4" s="27"/>
      <c r="EGL4" s="27"/>
      <c r="EGM4" s="27"/>
      <c r="EGN4" s="27"/>
      <c r="EGO4" s="27"/>
      <c r="EGP4" s="27"/>
      <c r="EGQ4" s="27"/>
      <c r="EGR4" s="27"/>
      <c r="EGS4" s="27"/>
      <c r="EGT4" s="27"/>
      <c r="EGU4" s="27"/>
      <c r="EGV4" s="27"/>
      <c r="EGW4" s="27"/>
      <c r="EGX4" s="27"/>
      <c r="EGY4" s="27"/>
      <c r="EGZ4" s="27"/>
      <c r="EHA4" s="27"/>
      <c r="EHB4" s="27"/>
      <c r="EHC4" s="27"/>
      <c r="EHD4" s="27"/>
      <c r="EHE4" s="27"/>
      <c r="EHF4" s="27"/>
      <c r="EHG4" s="27"/>
      <c r="EHH4" s="27"/>
      <c r="EHI4" s="27"/>
      <c r="EHJ4" s="27"/>
      <c r="EHK4" s="27"/>
      <c r="EHL4" s="27"/>
      <c r="EHM4" s="27"/>
      <c r="EHN4" s="27"/>
      <c r="EHO4" s="27"/>
      <c r="EHP4" s="27"/>
      <c r="EHQ4" s="27"/>
      <c r="EHR4" s="27"/>
      <c r="EHS4" s="27"/>
      <c r="EHT4" s="27"/>
      <c r="EHU4" s="27"/>
      <c r="EHV4" s="27"/>
      <c r="EHW4" s="27"/>
      <c r="EHX4" s="27"/>
      <c r="EHY4" s="27"/>
      <c r="EHZ4" s="27"/>
      <c r="EIA4" s="27"/>
      <c r="EIB4" s="27"/>
      <c r="EIC4" s="27"/>
      <c r="EID4" s="27"/>
      <c r="EIE4" s="27"/>
      <c r="EIF4" s="27"/>
      <c r="EIG4" s="27"/>
      <c r="EIH4" s="27"/>
      <c r="EII4" s="27"/>
      <c r="EIJ4" s="27"/>
      <c r="EIK4" s="27"/>
      <c r="EIL4" s="27"/>
      <c r="EIM4" s="27"/>
      <c r="EIN4" s="27"/>
      <c r="EIO4" s="27"/>
      <c r="EIP4" s="27"/>
      <c r="EIQ4" s="27"/>
      <c r="EIR4" s="27"/>
      <c r="EIS4" s="27"/>
      <c r="EIT4" s="27"/>
      <c r="EIU4" s="27"/>
      <c r="EIV4" s="27"/>
      <c r="EIW4" s="27"/>
      <c r="EIX4" s="27"/>
      <c r="EIY4" s="27"/>
      <c r="EIZ4" s="27"/>
      <c r="EJA4" s="27"/>
      <c r="EJB4" s="27"/>
      <c r="EJC4" s="27"/>
      <c r="EJD4" s="27"/>
      <c r="EJE4" s="27"/>
      <c r="EJF4" s="27"/>
      <c r="EJG4" s="27"/>
      <c r="EJH4" s="27"/>
      <c r="EJI4" s="27"/>
      <c r="EJJ4" s="27"/>
      <c r="EJK4" s="27"/>
      <c r="EJL4" s="27"/>
      <c r="EJM4" s="27"/>
      <c r="EJN4" s="27"/>
      <c r="EJO4" s="27"/>
      <c r="EJP4" s="27"/>
      <c r="EJQ4" s="27"/>
      <c r="EJR4" s="27"/>
      <c r="EJS4" s="27"/>
      <c r="EJT4" s="27"/>
      <c r="EJU4" s="27"/>
      <c r="EJV4" s="27"/>
      <c r="EJW4" s="27"/>
      <c r="EJX4" s="27"/>
      <c r="EJY4" s="27"/>
      <c r="EJZ4" s="27"/>
      <c r="EKA4" s="27"/>
      <c r="EKB4" s="27"/>
      <c r="EKC4" s="27"/>
      <c r="EKD4" s="27"/>
      <c r="EKE4" s="27"/>
      <c r="EKF4" s="27"/>
      <c r="EKG4" s="27"/>
      <c r="EKH4" s="27"/>
      <c r="EKI4" s="27"/>
      <c r="EKJ4" s="27"/>
      <c r="EKK4" s="27"/>
      <c r="EKL4" s="27"/>
      <c r="EKM4" s="27"/>
      <c r="EKN4" s="27"/>
      <c r="EKO4" s="27"/>
      <c r="EKP4" s="27"/>
      <c r="EKQ4" s="27"/>
      <c r="EKR4" s="27"/>
      <c r="EKS4" s="27"/>
      <c r="EKT4" s="27"/>
      <c r="EKU4" s="27"/>
      <c r="EKV4" s="27"/>
      <c r="EKW4" s="27"/>
      <c r="EKX4" s="27"/>
      <c r="EKY4" s="27"/>
      <c r="EKZ4" s="27"/>
      <c r="ELA4" s="27"/>
      <c r="ELB4" s="27"/>
      <c r="ELC4" s="27"/>
      <c r="ELD4" s="27"/>
      <c r="ELE4" s="27"/>
      <c r="ELF4" s="27"/>
      <c r="ELG4" s="27"/>
      <c r="ELH4" s="27"/>
      <c r="ELI4" s="27"/>
      <c r="ELJ4" s="27"/>
      <c r="ELK4" s="27"/>
      <c r="ELL4" s="27"/>
      <c r="ELM4" s="27"/>
      <c r="ELN4" s="27"/>
      <c r="ELO4" s="27"/>
      <c r="ELP4" s="27"/>
      <c r="ELQ4" s="27"/>
      <c r="ELR4" s="27"/>
      <c r="ELS4" s="27"/>
      <c r="ELT4" s="27"/>
      <c r="ELU4" s="27"/>
      <c r="ELV4" s="27"/>
      <c r="ELW4" s="27"/>
      <c r="ELX4" s="27"/>
      <c r="ELY4" s="27"/>
      <c r="ELZ4" s="27"/>
      <c r="EMA4" s="27"/>
      <c r="EMB4" s="27"/>
      <c r="EMC4" s="27"/>
      <c r="EMD4" s="27"/>
      <c r="EME4" s="27"/>
      <c r="EMF4" s="27"/>
      <c r="EMG4" s="27"/>
      <c r="EMH4" s="27"/>
      <c r="EMI4" s="27"/>
      <c r="EMJ4" s="27"/>
      <c r="EMK4" s="27"/>
      <c r="EML4" s="27"/>
      <c r="EMM4" s="27"/>
      <c r="EMN4" s="27"/>
      <c r="EMO4" s="27"/>
      <c r="EMP4" s="27"/>
      <c r="EMQ4" s="27"/>
      <c r="EMR4" s="27"/>
      <c r="EMS4" s="27"/>
      <c r="EMT4" s="27"/>
      <c r="EMU4" s="27"/>
      <c r="EMV4" s="27"/>
      <c r="EMW4" s="27"/>
      <c r="EMX4" s="27"/>
      <c r="EMY4" s="27"/>
      <c r="EMZ4" s="27"/>
      <c r="ENA4" s="27"/>
      <c r="ENB4" s="27"/>
      <c r="ENC4" s="27"/>
      <c r="END4" s="27"/>
      <c r="ENE4" s="27"/>
      <c r="ENF4" s="27"/>
      <c r="ENG4" s="27"/>
      <c r="ENH4" s="27"/>
      <c r="ENI4" s="27"/>
      <c r="ENJ4" s="27"/>
      <c r="ENK4" s="27"/>
      <c r="ENL4" s="27"/>
      <c r="ENM4" s="27"/>
      <c r="ENN4" s="27"/>
      <c r="ENO4" s="27"/>
      <c r="ENP4" s="27"/>
      <c r="ENQ4" s="27"/>
      <c r="ENR4" s="27"/>
      <c r="ENS4" s="27"/>
      <c r="ENT4" s="27"/>
      <c r="ENU4" s="27"/>
      <c r="ENV4" s="27"/>
      <c r="ENW4" s="27"/>
      <c r="ENX4" s="27"/>
      <c r="ENY4" s="27"/>
      <c r="ENZ4" s="27"/>
      <c r="EOA4" s="27"/>
      <c r="EOB4" s="27"/>
      <c r="EOC4" s="27"/>
      <c r="EOD4" s="27"/>
      <c r="EOE4" s="27"/>
      <c r="EOF4" s="27"/>
      <c r="EOG4" s="27"/>
      <c r="EOH4" s="27"/>
      <c r="EOI4" s="27"/>
      <c r="EOJ4" s="27"/>
      <c r="EOK4" s="27"/>
      <c r="EOL4" s="27"/>
      <c r="EOM4" s="27"/>
      <c r="EON4" s="27"/>
      <c r="EOO4" s="27"/>
      <c r="EOP4" s="27"/>
      <c r="EOQ4" s="27"/>
      <c r="EOR4" s="27"/>
      <c r="EOS4" s="27"/>
      <c r="EOT4" s="27"/>
      <c r="EOU4" s="27"/>
      <c r="EOV4" s="27"/>
      <c r="EOW4" s="27"/>
      <c r="EOX4" s="27"/>
      <c r="EOY4" s="27"/>
      <c r="EOZ4" s="27"/>
      <c r="EPA4" s="27"/>
      <c r="EPB4" s="27"/>
      <c r="EPC4" s="27"/>
      <c r="EPD4" s="27"/>
      <c r="EPE4" s="27"/>
      <c r="EPF4" s="27"/>
      <c r="EPG4" s="27"/>
      <c r="EPH4" s="27"/>
      <c r="EPI4" s="27"/>
      <c r="EPJ4" s="27"/>
      <c r="EPK4" s="27"/>
      <c r="EPL4" s="27"/>
      <c r="EPM4" s="27"/>
      <c r="EPN4" s="27"/>
      <c r="EPO4" s="27"/>
      <c r="EPP4" s="27"/>
      <c r="EPQ4" s="27"/>
      <c r="EPR4" s="27"/>
      <c r="EPS4" s="27"/>
      <c r="EPT4" s="27"/>
      <c r="EPU4" s="27"/>
      <c r="EPV4" s="27"/>
      <c r="EPW4" s="27"/>
      <c r="EPX4" s="27"/>
      <c r="EPY4" s="27"/>
      <c r="EPZ4" s="27"/>
      <c r="EQA4" s="27"/>
      <c r="EQB4" s="27"/>
      <c r="EQC4" s="27"/>
      <c r="EQD4" s="27"/>
      <c r="EQE4" s="27"/>
      <c r="EQF4" s="27"/>
      <c r="EQG4" s="27"/>
      <c r="EQH4" s="27"/>
      <c r="EQI4" s="27"/>
      <c r="EQJ4" s="27"/>
      <c r="EQK4" s="27"/>
      <c r="EQL4" s="27"/>
      <c r="EQM4" s="27"/>
      <c r="EQN4" s="27"/>
      <c r="EQO4" s="27"/>
      <c r="EQP4" s="27"/>
      <c r="EQQ4" s="27"/>
      <c r="EQR4" s="27"/>
      <c r="EQS4" s="27"/>
      <c r="EQT4" s="27"/>
      <c r="EQU4" s="27"/>
      <c r="EQV4" s="27"/>
      <c r="EQW4" s="27"/>
      <c r="EQX4" s="27"/>
      <c r="EQY4" s="27"/>
      <c r="EQZ4" s="27"/>
      <c r="ERA4" s="27"/>
      <c r="ERB4" s="27"/>
      <c r="ERC4" s="27"/>
      <c r="ERD4" s="27"/>
      <c r="ERE4" s="27"/>
      <c r="ERF4" s="27"/>
      <c r="ERG4" s="27"/>
      <c r="ERH4" s="27"/>
      <c r="ERI4" s="27"/>
      <c r="ERJ4" s="27"/>
      <c r="ERK4" s="27"/>
      <c r="ERL4" s="27"/>
      <c r="ERM4" s="27"/>
      <c r="ERN4" s="27"/>
      <c r="ERO4" s="27"/>
      <c r="ERP4" s="27"/>
      <c r="ERQ4" s="27"/>
      <c r="ERR4" s="27"/>
      <c r="ERS4" s="27"/>
      <c r="ERT4" s="27"/>
      <c r="ERU4" s="27"/>
      <c r="ERV4" s="27"/>
      <c r="ERW4" s="27"/>
      <c r="ERX4" s="27"/>
      <c r="ERY4" s="27"/>
      <c r="ERZ4" s="27"/>
      <c r="ESA4" s="27"/>
      <c r="ESB4" s="27"/>
      <c r="ESC4" s="27"/>
      <c r="ESD4" s="27"/>
      <c r="ESE4" s="27"/>
      <c r="ESF4" s="27"/>
      <c r="ESG4" s="27"/>
      <c r="ESH4" s="27"/>
      <c r="ESI4" s="27"/>
      <c r="ESJ4" s="27"/>
      <c r="ESK4" s="27"/>
      <c r="ESL4" s="27"/>
      <c r="ESM4" s="27"/>
      <c r="ESN4" s="27"/>
      <c r="ESO4" s="27"/>
      <c r="ESP4" s="27"/>
      <c r="ESQ4" s="27"/>
      <c r="ESR4" s="27"/>
      <c r="ESS4" s="27"/>
      <c r="EST4" s="27"/>
      <c r="ESU4" s="27"/>
      <c r="ESV4" s="27"/>
      <c r="ESW4" s="27"/>
      <c r="ESX4" s="27"/>
      <c r="ESY4" s="27"/>
      <c r="ESZ4" s="27"/>
      <c r="ETA4" s="27"/>
      <c r="ETB4" s="27"/>
      <c r="ETC4" s="27"/>
      <c r="ETD4" s="27"/>
      <c r="ETE4" s="27"/>
      <c r="ETF4" s="27"/>
      <c r="ETG4" s="27"/>
      <c r="ETH4" s="27"/>
      <c r="ETI4" s="27"/>
      <c r="ETJ4" s="27"/>
      <c r="ETK4" s="27"/>
      <c r="ETL4" s="27"/>
      <c r="ETM4" s="27"/>
      <c r="ETN4" s="27"/>
      <c r="ETO4" s="27"/>
      <c r="ETP4" s="27"/>
      <c r="ETQ4" s="27"/>
      <c r="ETR4" s="27"/>
      <c r="ETS4" s="27"/>
      <c r="ETT4" s="27"/>
      <c r="ETU4" s="27"/>
      <c r="ETV4" s="27"/>
      <c r="ETW4" s="27"/>
      <c r="ETX4" s="27"/>
      <c r="ETY4" s="27"/>
      <c r="ETZ4" s="27"/>
      <c r="EUA4" s="27"/>
      <c r="EUB4" s="27"/>
      <c r="EUC4" s="27"/>
      <c r="EUD4" s="27"/>
      <c r="EUE4" s="27"/>
      <c r="EUF4" s="27"/>
      <c r="EUG4" s="27"/>
      <c r="EUH4" s="27"/>
      <c r="EUI4" s="27"/>
      <c r="EUJ4" s="27"/>
      <c r="EUK4" s="27"/>
      <c r="EUL4" s="27"/>
      <c r="EUM4" s="27"/>
      <c r="EUN4" s="27"/>
      <c r="EUO4" s="27"/>
      <c r="EUP4" s="27"/>
      <c r="EUQ4" s="27"/>
      <c r="EUR4" s="27"/>
      <c r="EUS4" s="27"/>
      <c r="EUT4" s="27"/>
      <c r="EUU4" s="27"/>
      <c r="EUV4" s="27"/>
      <c r="EUW4" s="27"/>
      <c r="EUX4" s="27"/>
      <c r="EUY4" s="27"/>
      <c r="EUZ4" s="27"/>
      <c r="EVA4" s="27"/>
      <c r="EVB4" s="27"/>
      <c r="EVC4" s="27"/>
      <c r="EVD4" s="27"/>
      <c r="EVE4" s="27"/>
      <c r="EVF4" s="27"/>
      <c r="EVG4" s="27"/>
      <c r="EVH4" s="27"/>
      <c r="EVI4" s="27"/>
      <c r="EVJ4" s="27"/>
      <c r="EVK4" s="27"/>
      <c r="EVL4" s="27"/>
      <c r="EVM4" s="27"/>
      <c r="EVN4" s="27"/>
      <c r="EVO4" s="27"/>
      <c r="EVP4" s="27"/>
      <c r="EVQ4" s="27"/>
      <c r="EVR4" s="27"/>
      <c r="EVS4" s="27"/>
      <c r="EVT4" s="27"/>
      <c r="EVU4" s="27"/>
      <c r="EVV4" s="27"/>
      <c r="EVW4" s="27"/>
      <c r="EVX4" s="27"/>
      <c r="EVY4" s="27"/>
      <c r="EVZ4" s="27"/>
      <c r="EWA4" s="27"/>
      <c r="EWB4" s="27"/>
      <c r="EWC4" s="27"/>
      <c r="EWD4" s="27"/>
      <c r="EWE4" s="27"/>
      <c r="EWF4" s="27"/>
      <c r="EWG4" s="27"/>
      <c r="EWH4" s="27"/>
      <c r="EWI4" s="27"/>
      <c r="EWJ4" s="27"/>
      <c r="EWK4" s="27"/>
      <c r="EWL4" s="27"/>
      <c r="EWM4" s="27"/>
      <c r="EWN4" s="27"/>
      <c r="EWO4" s="27"/>
      <c r="EWP4" s="27"/>
      <c r="EWQ4" s="27"/>
      <c r="EWR4" s="27"/>
      <c r="EWS4" s="27"/>
      <c r="EWT4" s="27"/>
      <c r="EWU4" s="27"/>
      <c r="EWV4" s="27"/>
      <c r="EWW4" s="27"/>
      <c r="EWX4" s="27"/>
      <c r="EWY4" s="27"/>
      <c r="EWZ4" s="27"/>
      <c r="EXA4" s="27"/>
      <c r="EXB4" s="27"/>
      <c r="EXC4" s="27"/>
      <c r="EXD4" s="27"/>
      <c r="EXE4" s="27"/>
      <c r="EXF4" s="27"/>
      <c r="EXG4" s="27"/>
      <c r="EXH4" s="27"/>
      <c r="EXI4" s="27"/>
      <c r="EXJ4" s="27"/>
      <c r="EXK4" s="27"/>
      <c r="EXL4" s="27"/>
      <c r="EXM4" s="27"/>
      <c r="EXN4" s="27"/>
      <c r="EXO4" s="27"/>
      <c r="EXP4" s="27"/>
      <c r="EXQ4" s="27"/>
      <c r="EXR4" s="27"/>
      <c r="EXS4" s="27"/>
      <c r="EXT4" s="27"/>
      <c r="EXU4" s="27"/>
      <c r="EXV4" s="27"/>
      <c r="EXW4" s="27"/>
      <c r="EXX4" s="27"/>
      <c r="EXY4" s="27"/>
      <c r="EXZ4" s="27"/>
      <c r="EYA4" s="27"/>
      <c r="EYB4" s="27"/>
      <c r="EYC4" s="27"/>
      <c r="EYD4" s="27"/>
      <c r="EYE4" s="27"/>
      <c r="EYF4" s="27"/>
      <c r="EYG4" s="27"/>
      <c r="EYH4" s="27"/>
      <c r="EYI4" s="27"/>
      <c r="EYJ4" s="27"/>
      <c r="EYK4" s="27"/>
      <c r="EYL4" s="27"/>
      <c r="EYM4" s="27"/>
      <c r="EYN4" s="27"/>
      <c r="EYO4" s="27"/>
      <c r="EYP4" s="27"/>
      <c r="EYQ4" s="27"/>
      <c r="EYR4" s="27"/>
      <c r="EYS4" s="27"/>
      <c r="EYT4" s="27"/>
      <c r="EYU4" s="27"/>
      <c r="EYV4" s="27"/>
      <c r="EYW4" s="27"/>
      <c r="EYX4" s="27"/>
      <c r="EYY4" s="27"/>
      <c r="EYZ4" s="27"/>
      <c r="EZA4" s="27"/>
      <c r="EZB4" s="27"/>
      <c r="EZC4" s="27"/>
      <c r="EZD4" s="27"/>
      <c r="EZE4" s="27"/>
      <c r="EZF4" s="27"/>
      <c r="EZG4" s="27"/>
      <c r="EZH4" s="27"/>
      <c r="EZI4" s="27"/>
      <c r="EZJ4" s="27"/>
      <c r="EZK4" s="27"/>
      <c r="EZL4" s="27"/>
      <c r="EZM4" s="27"/>
      <c r="EZN4" s="27"/>
      <c r="EZO4" s="27"/>
      <c r="EZP4" s="27"/>
      <c r="EZQ4" s="27"/>
      <c r="EZR4" s="27"/>
      <c r="EZS4" s="27"/>
      <c r="EZT4" s="27"/>
      <c r="EZU4" s="27"/>
      <c r="EZV4" s="27"/>
      <c r="EZW4" s="27"/>
      <c r="EZX4" s="27"/>
      <c r="EZY4" s="27"/>
      <c r="EZZ4" s="27"/>
      <c r="FAA4" s="27"/>
      <c r="FAB4" s="27"/>
      <c r="FAC4" s="27"/>
      <c r="FAD4" s="27"/>
      <c r="FAE4" s="27"/>
      <c r="FAF4" s="27"/>
      <c r="FAG4" s="27"/>
      <c r="FAH4" s="27"/>
      <c r="FAI4" s="27"/>
      <c r="FAJ4" s="27"/>
      <c r="FAK4" s="27"/>
      <c r="FAL4" s="27"/>
      <c r="FAM4" s="27"/>
      <c r="FAN4" s="27"/>
      <c r="FAO4" s="27"/>
      <c r="FAP4" s="27"/>
      <c r="FAQ4" s="27"/>
      <c r="FAR4" s="27"/>
      <c r="FAS4" s="27"/>
      <c r="FAT4" s="27"/>
      <c r="FAU4" s="27"/>
      <c r="FAV4" s="27"/>
      <c r="FAW4" s="27"/>
      <c r="FAX4" s="27"/>
      <c r="FAY4" s="27"/>
      <c r="FAZ4" s="27"/>
      <c r="FBA4" s="27"/>
      <c r="FBB4" s="27"/>
      <c r="FBC4" s="27"/>
      <c r="FBD4" s="27"/>
      <c r="FBE4" s="27"/>
      <c r="FBF4" s="27"/>
      <c r="FBG4" s="27"/>
      <c r="FBH4" s="27"/>
      <c r="FBI4" s="27"/>
      <c r="FBJ4" s="27"/>
      <c r="FBK4" s="27"/>
      <c r="FBL4" s="27"/>
      <c r="FBM4" s="27"/>
      <c r="FBN4" s="27"/>
      <c r="FBO4" s="27"/>
      <c r="FBP4" s="27"/>
      <c r="FBQ4" s="27"/>
      <c r="FBR4" s="27"/>
      <c r="FBS4" s="27"/>
      <c r="FBT4" s="27"/>
      <c r="FBU4" s="27"/>
      <c r="FBV4" s="27"/>
      <c r="FBW4" s="27"/>
      <c r="FBX4" s="27"/>
      <c r="FBY4" s="27"/>
      <c r="FBZ4" s="27"/>
      <c r="FCA4" s="27"/>
      <c r="FCB4" s="27"/>
      <c r="FCC4" s="27"/>
      <c r="FCD4" s="27"/>
      <c r="FCE4" s="27"/>
      <c r="FCF4" s="27"/>
      <c r="FCG4" s="27"/>
      <c r="FCH4" s="27"/>
      <c r="FCI4" s="27"/>
      <c r="FCJ4" s="27"/>
      <c r="FCK4" s="27"/>
      <c r="FCL4" s="27"/>
      <c r="FCM4" s="27"/>
      <c r="FCN4" s="27"/>
      <c r="FCO4" s="27"/>
      <c r="FCP4" s="27"/>
      <c r="FCQ4" s="27"/>
      <c r="FCR4" s="27"/>
      <c r="FCS4" s="27"/>
      <c r="FCT4" s="27"/>
      <c r="FCU4" s="27"/>
      <c r="FCV4" s="27"/>
      <c r="FCW4" s="27"/>
      <c r="FCX4" s="27"/>
      <c r="FCY4" s="27"/>
      <c r="FCZ4" s="27"/>
      <c r="FDA4" s="27"/>
      <c r="FDB4" s="27"/>
      <c r="FDC4" s="27"/>
      <c r="FDD4" s="27"/>
      <c r="FDE4" s="27"/>
      <c r="FDF4" s="27"/>
      <c r="FDG4" s="27"/>
      <c r="FDH4" s="27"/>
      <c r="FDI4" s="27"/>
      <c r="FDJ4" s="27"/>
      <c r="FDK4" s="27"/>
      <c r="FDL4" s="27"/>
      <c r="FDM4" s="27"/>
      <c r="FDN4" s="27"/>
      <c r="FDO4" s="27"/>
      <c r="FDP4" s="27"/>
      <c r="FDQ4" s="27"/>
      <c r="FDR4" s="27"/>
      <c r="FDS4" s="27"/>
      <c r="FDT4" s="27"/>
      <c r="FDU4" s="27"/>
      <c r="FDV4" s="27"/>
      <c r="FDW4" s="27"/>
      <c r="FDX4" s="27"/>
      <c r="FDY4" s="27"/>
      <c r="FDZ4" s="27"/>
      <c r="FEA4" s="27"/>
      <c r="FEB4" s="27"/>
      <c r="FEC4" s="27"/>
      <c r="FED4" s="27"/>
      <c r="FEE4" s="27"/>
      <c r="FEF4" s="27"/>
      <c r="FEG4" s="27"/>
      <c r="FEH4" s="27"/>
      <c r="FEI4" s="27"/>
      <c r="FEJ4" s="27"/>
      <c r="FEK4" s="27"/>
      <c r="FEL4" s="27"/>
      <c r="FEM4" s="27"/>
      <c r="FEN4" s="27"/>
      <c r="FEO4" s="27"/>
      <c r="FEP4" s="27"/>
      <c r="FEQ4" s="27"/>
      <c r="FER4" s="27"/>
      <c r="FES4" s="27"/>
      <c r="FET4" s="27"/>
      <c r="FEU4" s="27"/>
      <c r="FEV4" s="27"/>
      <c r="FEW4" s="27"/>
      <c r="FEX4" s="27"/>
      <c r="FEY4" s="27"/>
      <c r="FEZ4" s="27"/>
      <c r="FFA4" s="27"/>
      <c r="FFB4" s="27"/>
      <c r="FFC4" s="27"/>
      <c r="FFD4" s="27"/>
      <c r="FFE4" s="27"/>
      <c r="FFF4" s="27"/>
      <c r="FFG4" s="27"/>
      <c r="FFH4" s="27"/>
      <c r="FFI4" s="27"/>
      <c r="FFJ4" s="27"/>
      <c r="FFK4" s="27"/>
      <c r="FFL4" s="27"/>
      <c r="FFM4" s="27"/>
      <c r="FFN4" s="27"/>
      <c r="FFO4" s="27"/>
      <c r="FFP4" s="27"/>
      <c r="FFQ4" s="27"/>
      <c r="FFR4" s="27"/>
      <c r="FFS4" s="27"/>
      <c r="FFT4" s="27"/>
      <c r="FFU4" s="27"/>
      <c r="FFV4" s="27"/>
      <c r="FFW4" s="27"/>
      <c r="FFX4" s="27"/>
      <c r="FFY4" s="27"/>
      <c r="FFZ4" s="27"/>
      <c r="FGA4" s="27"/>
      <c r="FGB4" s="27"/>
      <c r="FGC4" s="27"/>
      <c r="FGD4" s="27"/>
      <c r="FGE4" s="27"/>
      <c r="FGF4" s="27"/>
      <c r="FGG4" s="27"/>
      <c r="FGH4" s="27"/>
      <c r="FGI4" s="27"/>
      <c r="FGJ4" s="27"/>
      <c r="FGK4" s="27"/>
      <c r="FGL4" s="27"/>
      <c r="FGM4" s="27"/>
      <c r="FGN4" s="27"/>
      <c r="FGO4" s="27"/>
      <c r="FGP4" s="27"/>
      <c r="FGQ4" s="27"/>
      <c r="FGR4" s="27"/>
      <c r="FGS4" s="27"/>
      <c r="FGT4" s="27"/>
      <c r="FGU4" s="27"/>
      <c r="FGV4" s="27"/>
      <c r="FGW4" s="27"/>
      <c r="FGX4" s="27"/>
      <c r="FGY4" s="27"/>
      <c r="FGZ4" s="27"/>
      <c r="FHA4" s="27"/>
      <c r="FHB4" s="27"/>
      <c r="FHC4" s="27"/>
      <c r="FHD4" s="27"/>
      <c r="FHE4" s="27"/>
      <c r="FHF4" s="27"/>
      <c r="FHG4" s="27"/>
      <c r="FHH4" s="27"/>
      <c r="FHI4" s="27"/>
      <c r="FHJ4" s="27"/>
      <c r="FHK4" s="27"/>
      <c r="FHL4" s="27"/>
      <c r="FHM4" s="27"/>
      <c r="FHN4" s="27"/>
      <c r="FHO4" s="27"/>
      <c r="FHP4" s="27"/>
      <c r="FHQ4" s="27"/>
      <c r="FHR4" s="27"/>
      <c r="FHS4" s="27"/>
      <c r="FHT4" s="27"/>
      <c r="FHU4" s="27"/>
      <c r="FHV4" s="27"/>
      <c r="FHW4" s="27"/>
      <c r="FHX4" s="27"/>
      <c r="FHY4" s="27"/>
      <c r="FHZ4" s="27"/>
      <c r="FIA4" s="27"/>
      <c r="FIB4" s="27"/>
      <c r="FIC4" s="27"/>
      <c r="FID4" s="27"/>
      <c r="FIE4" s="27"/>
      <c r="FIF4" s="27"/>
      <c r="FIG4" s="27"/>
      <c r="FIH4" s="27"/>
      <c r="FII4" s="27"/>
      <c r="FIJ4" s="27"/>
      <c r="FIK4" s="27"/>
      <c r="FIL4" s="27"/>
      <c r="FIM4" s="27"/>
      <c r="FIN4" s="27"/>
      <c r="FIO4" s="27"/>
      <c r="FIP4" s="27"/>
      <c r="FIQ4" s="27"/>
      <c r="FIR4" s="27"/>
      <c r="FIS4" s="27"/>
      <c r="FIT4" s="27"/>
      <c r="FIU4" s="27"/>
      <c r="FIV4" s="27"/>
      <c r="FIW4" s="27"/>
      <c r="FIX4" s="27"/>
      <c r="FIY4" s="27"/>
      <c r="FIZ4" s="27"/>
      <c r="FJA4" s="27"/>
      <c r="FJB4" s="27"/>
      <c r="FJC4" s="27"/>
      <c r="FJD4" s="27"/>
      <c r="FJE4" s="27"/>
      <c r="FJF4" s="27"/>
      <c r="FJG4" s="27"/>
      <c r="FJH4" s="27"/>
      <c r="FJI4" s="27"/>
      <c r="FJJ4" s="27"/>
      <c r="FJK4" s="27"/>
      <c r="FJL4" s="27"/>
      <c r="FJM4" s="27"/>
      <c r="FJN4" s="27"/>
      <c r="FJO4" s="27"/>
      <c r="FJP4" s="27"/>
      <c r="FJQ4" s="27"/>
      <c r="FJR4" s="27"/>
      <c r="FJS4" s="27"/>
      <c r="FJT4" s="27"/>
      <c r="FJU4" s="27"/>
      <c r="FJV4" s="27"/>
      <c r="FJW4" s="27"/>
      <c r="FJX4" s="27"/>
      <c r="FJY4" s="27"/>
      <c r="FJZ4" s="27"/>
      <c r="FKA4" s="27"/>
      <c r="FKB4" s="27"/>
      <c r="FKC4" s="27"/>
      <c r="FKD4" s="27"/>
      <c r="FKE4" s="27"/>
      <c r="FKF4" s="27"/>
      <c r="FKG4" s="27"/>
      <c r="FKH4" s="27"/>
      <c r="FKI4" s="27"/>
      <c r="FKJ4" s="27"/>
      <c r="FKK4" s="27"/>
      <c r="FKL4" s="27"/>
      <c r="FKM4" s="27"/>
      <c r="FKN4" s="27"/>
      <c r="FKO4" s="27"/>
      <c r="FKP4" s="27"/>
      <c r="FKQ4" s="27"/>
      <c r="FKR4" s="27"/>
      <c r="FKS4" s="27"/>
      <c r="FKT4" s="27"/>
      <c r="FKU4" s="27"/>
      <c r="FKV4" s="27"/>
      <c r="FKW4" s="27"/>
      <c r="FKX4" s="27"/>
      <c r="FKY4" s="27"/>
      <c r="FKZ4" s="27"/>
      <c r="FLA4" s="27"/>
      <c r="FLB4" s="27"/>
      <c r="FLC4" s="27"/>
      <c r="FLD4" s="27"/>
      <c r="FLE4" s="27"/>
      <c r="FLF4" s="27"/>
      <c r="FLG4" s="27"/>
      <c r="FLH4" s="27"/>
      <c r="FLI4" s="27"/>
      <c r="FLJ4" s="27"/>
      <c r="FLK4" s="27"/>
      <c r="FLL4" s="27"/>
      <c r="FLM4" s="27"/>
      <c r="FLN4" s="27"/>
      <c r="FLO4" s="27"/>
      <c r="FLP4" s="27"/>
      <c r="FLQ4" s="27"/>
      <c r="FLR4" s="27"/>
      <c r="FLS4" s="27"/>
      <c r="FLT4" s="27"/>
      <c r="FLU4" s="27"/>
      <c r="FLV4" s="27"/>
      <c r="FLW4" s="27"/>
      <c r="FLX4" s="27"/>
      <c r="FLY4" s="27"/>
      <c r="FLZ4" s="27"/>
      <c r="FMA4" s="27"/>
      <c r="FMB4" s="27"/>
      <c r="FMC4" s="27"/>
      <c r="FMD4" s="27"/>
      <c r="FME4" s="27"/>
      <c r="FMF4" s="27"/>
      <c r="FMG4" s="27"/>
      <c r="FMH4" s="27"/>
      <c r="FMI4" s="27"/>
      <c r="FMJ4" s="27"/>
      <c r="FMK4" s="27"/>
      <c r="FML4" s="27"/>
      <c r="FMM4" s="27"/>
      <c r="FMN4" s="27"/>
      <c r="FMO4" s="27"/>
      <c r="FMP4" s="27"/>
      <c r="FMQ4" s="27"/>
      <c r="FMR4" s="27"/>
      <c r="FMS4" s="27"/>
      <c r="FMT4" s="27"/>
      <c r="FMU4" s="27"/>
      <c r="FMV4" s="27"/>
      <c r="FMW4" s="27"/>
      <c r="FMX4" s="27"/>
      <c r="FMY4" s="27"/>
      <c r="FMZ4" s="27"/>
      <c r="FNA4" s="27"/>
      <c r="FNB4" s="27"/>
      <c r="FNC4" s="27"/>
      <c r="FND4" s="27"/>
      <c r="FNE4" s="27"/>
      <c r="FNF4" s="27"/>
      <c r="FNG4" s="27"/>
      <c r="FNH4" s="27"/>
      <c r="FNI4" s="27"/>
      <c r="FNJ4" s="27"/>
      <c r="FNK4" s="27"/>
      <c r="FNL4" s="27"/>
      <c r="FNM4" s="27"/>
      <c r="FNN4" s="27"/>
      <c r="FNO4" s="27"/>
      <c r="FNP4" s="27"/>
      <c r="FNQ4" s="27"/>
      <c r="FNR4" s="27"/>
      <c r="FNS4" s="27"/>
      <c r="FNT4" s="27"/>
      <c r="FNU4" s="27"/>
      <c r="FNV4" s="27"/>
      <c r="FNW4" s="27"/>
      <c r="FNX4" s="27"/>
      <c r="FNY4" s="27"/>
      <c r="FNZ4" s="27"/>
      <c r="FOA4" s="27"/>
      <c r="FOB4" s="27"/>
      <c r="FOC4" s="27"/>
      <c r="FOD4" s="27"/>
      <c r="FOE4" s="27"/>
      <c r="FOF4" s="27"/>
      <c r="FOG4" s="27"/>
      <c r="FOH4" s="27"/>
      <c r="FOI4" s="27"/>
      <c r="FOJ4" s="27"/>
      <c r="FOK4" s="27"/>
      <c r="FOL4" s="27"/>
      <c r="FOM4" s="27"/>
      <c r="FON4" s="27"/>
      <c r="FOO4" s="27"/>
      <c r="FOP4" s="27"/>
      <c r="FOQ4" s="27"/>
      <c r="FOR4" s="27"/>
      <c r="FOS4" s="27"/>
      <c r="FOT4" s="27"/>
      <c r="FOU4" s="27"/>
      <c r="FOV4" s="27"/>
      <c r="FOW4" s="27"/>
      <c r="FOX4" s="27"/>
      <c r="FOY4" s="27"/>
      <c r="FOZ4" s="27"/>
      <c r="FPA4" s="27"/>
      <c r="FPB4" s="27"/>
      <c r="FPC4" s="27"/>
      <c r="FPD4" s="27"/>
      <c r="FPE4" s="27"/>
      <c r="FPF4" s="27"/>
      <c r="FPG4" s="27"/>
      <c r="FPH4" s="27"/>
      <c r="FPI4" s="27"/>
      <c r="FPJ4" s="27"/>
      <c r="FPK4" s="27"/>
      <c r="FPL4" s="27"/>
      <c r="FPM4" s="27"/>
      <c r="FPN4" s="27"/>
      <c r="FPO4" s="27"/>
      <c r="FPP4" s="27"/>
      <c r="FPQ4" s="27"/>
      <c r="FPR4" s="27"/>
      <c r="FPS4" s="27"/>
      <c r="FPT4" s="27"/>
      <c r="FPU4" s="27"/>
      <c r="FPV4" s="27"/>
      <c r="FPW4" s="27"/>
      <c r="FPX4" s="27"/>
      <c r="FPY4" s="27"/>
      <c r="FPZ4" s="27"/>
      <c r="FQA4" s="27"/>
      <c r="FQB4" s="27"/>
      <c r="FQC4" s="27"/>
      <c r="FQD4" s="27"/>
      <c r="FQE4" s="27"/>
      <c r="FQF4" s="27"/>
      <c r="FQG4" s="27"/>
      <c r="FQH4" s="27"/>
      <c r="FQI4" s="27"/>
      <c r="FQJ4" s="27"/>
      <c r="FQK4" s="27"/>
      <c r="FQL4" s="27"/>
      <c r="FQM4" s="27"/>
      <c r="FQN4" s="27"/>
      <c r="FQO4" s="27"/>
      <c r="FQP4" s="27"/>
      <c r="FQQ4" s="27"/>
      <c r="FQR4" s="27"/>
      <c r="FQS4" s="27"/>
      <c r="FQT4" s="27"/>
      <c r="FQU4" s="27"/>
      <c r="FQV4" s="27"/>
      <c r="FQW4" s="27"/>
      <c r="FQX4" s="27"/>
      <c r="FQY4" s="27"/>
      <c r="FQZ4" s="27"/>
      <c r="FRA4" s="27"/>
      <c r="FRB4" s="27"/>
      <c r="FRC4" s="27"/>
      <c r="FRD4" s="27"/>
      <c r="FRE4" s="27"/>
      <c r="FRF4" s="27"/>
      <c r="FRG4" s="27"/>
      <c r="FRH4" s="27"/>
      <c r="FRI4" s="27"/>
      <c r="FRJ4" s="27"/>
      <c r="FRK4" s="27"/>
      <c r="FRL4" s="27"/>
      <c r="FRM4" s="27"/>
      <c r="FRN4" s="27"/>
      <c r="FRO4" s="27"/>
      <c r="FRP4" s="27"/>
      <c r="FRQ4" s="27"/>
      <c r="FRR4" s="27"/>
      <c r="FRS4" s="27"/>
      <c r="FRT4" s="27"/>
      <c r="FRU4" s="27"/>
      <c r="FRV4" s="27"/>
      <c r="FRW4" s="27"/>
      <c r="FRX4" s="27"/>
      <c r="FRY4" s="27"/>
      <c r="FRZ4" s="27"/>
      <c r="FSA4" s="27"/>
      <c r="FSB4" s="27"/>
      <c r="FSC4" s="27"/>
      <c r="FSD4" s="27"/>
      <c r="FSE4" s="27"/>
      <c r="FSF4" s="27"/>
      <c r="FSG4" s="27"/>
      <c r="FSH4" s="27"/>
      <c r="FSI4" s="27"/>
      <c r="FSJ4" s="27"/>
      <c r="FSK4" s="27"/>
      <c r="FSL4" s="27"/>
      <c r="FSM4" s="27"/>
      <c r="FSN4" s="27"/>
      <c r="FSO4" s="27"/>
      <c r="FSP4" s="27"/>
      <c r="FSQ4" s="27"/>
      <c r="FSR4" s="27"/>
      <c r="FSS4" s="27"/>
      <c r="FST4" s="27"/>
      <c r="FSU4" s="27"/>
      <c r="FSV4" s="27"/>
      <c r="FSW4" s="27"/>
      <c r="FSX4" s="27"/>
      <c r="FSY4" s="27"/>
      <c r="FSZ4" s="27"/>
      <c r="FTA4" s="27"/>
      <c r="FTB4" s="27"/>
      <c r="FTC4" s="27"/>
      <c r="FTD4" s="27"/>
      <c r="FTE4" s="27"/>
      <c r="FTF4" s="27"/>
      <c r="FTG4" s="27"/>
      <c r="FTH4" s="27"/>
      <c r="FTI4" s="27"/>
      <c r="FTJ4" s="27"/>
      <c r="FTK4" s="27"/>
      <c r="FTL4" s="27"/>
      <c r="FTM4" s="27"/>
      <c r="FTN4" s="27"/>
      <c r="FTO4" s="27"/>
      <c r="FTP4" s="27"/>
      <c r="FTQ4" s="27"/>
      <c r="FTR4" s="27"/>
      <c r="FTS4" s="27"/>
      <c r="FTT4" s="27"/>
      <c r="FTU4" s="27"/>
      <c r="FTV4" s="27"/>
      <c r="FTW4" s="27"/>
      <c r="FTX4" s="27"/>
      <c r="FTY4" s="27"/>
      <c r="FTZ4" s="27"/>
      <c r="FUA4" s="27"/>
      <c r="FUB4" s="27"/>
      <c r="FUC4" s="27"/>
      <c r="FUD4" s="27"/>
      <c r="FUE4" s="27"/>
      <c r="FUF4" s="27"/>
      <c r="FUG4" s="27"/>
      <c r="FUH4" s="27"/>
      <c r="FUI4" s="27"/>
      <c r="FUJ4" s="27"/>
      <c r="FUK4" s="27"/>
      <c r="FUL4" s="27"/>
      <c r="FUM4" s="27"/>
      <c r="FUN4" s="27"/>
      <c r="FUO4" s="27"/>
      <c r="FUP4" s="27"/>
      <c r="FUQ4" s="27"/>
      <c r="FUR4" s="27"/>
      <c r="FUS4" s="27"/>
      <c r="FUT4" s="27"/>
      <c r="FUU4" s="27"/>
      <c r="FUV4" s="27"/>
      <c r="FUW4" s="27"/>
      <c r="FUX4" s="27"/>
      <c r="FUY4" s="27"/>
      <c r="FUZ4" s="27"/>
      <c r="FVA4" s="27"/>
      <c r="FVB4" s="27"/>
      <c r="FVC4" s="27"/>
      <c r="FVD4" s="27"/>
      <c r="FVE4" s="27"/>
      <c r="FVF4" s="27"/>
      <c r="FVG4" s="27"/>
      <c r="FVH4" s="27"/>
      <c r="FVI4" s="27"/>
      <c r="FVJ4" s="27"/>
      <c r="FVK4" s="27"/>
      <c r="FVL4" s="27"/>
      <c r="FVM4" s="27"/>
      <c r="FVN4" s="27"/>
      <c r="FVO4" s="27"/>
      <c r="FVP4" s="27"/>
      <c r="FVQ4" s="27"/>
      <c r="FVR4" s="27"/>
      <c r="FVS4" s="27"/>
      <c r="FVT4" s="27"/>
      <c r="FVU4" s="27"/>
      <c r="FVV4" s="27"/>
      <c r="FVW4" s="27"/>
      <c r="FVX4" s="27"/>
      <c r="FVY4" s="27"/>
      <c r="FVZ4" s="27"/>
      <c r="FWA4" s="27"/>
      <c r="FWB4" s="27"/>
      <c r="FWC4" s="27"/>
      <c r="FWD4" s="27"/>
      <c r="FWE4" s="27"/>
      <c r="FWF4" s="27"/>
      <c r="FWG4" s="27"/>
      <c r="FWH4" s="27"/>
      <c r="FWI4" s="27"/>
      <c r="FWJ4" s="27"/>
      <c r="FWK4" s="27"/>
      <c r="FWL4" s="27"/>
      <c r="FWM4" s="27"/>
      <c r="FWN4" s="27"/>
      <c r="FWO4" s="27"/>
      <c r="FWP4" s="27"/>
      <c r="FWQ4" s="27"/>
      <c r="FWR4" s="27"/>
      <c r="FWS4" s="27"/>
      <c r="FWT4" s="27"/>
      <c r="FWU4" s="27"/>
      <c r="FWV4" s="27"/>
      <c r="FWW4" s="27"/>
      <c r="FWX4" s="27"/>
      <c r="FWY4" s="27"/>
      <c r="FWZ4" s="27"/>
      <c r="FXA4" s="27"/>
      <c r="FXB4" s="27"/>
      <c r="FXC4" s="27"/>
      <c r="FXD4" s="27"/>
      <c r="FXE4" s="27"/>
      <c r="FXF4" s="27"/>
      <c r="FXG4" s="27"/>
      <c r="FXH4" s="27"/>
      <c r="FXI4" s="27"/>
      <c r="FXJ4" s="27"/>
      <c r="FXK4" s="27"/>
      <c r="FXL4" s="27"/>
      <c r="FXM4" s="27"/>
      <c r="FXN4" s="27"/>
      <c r="FXO4" s="27"/>
      <c r="FXP4" s="27"/>
      <c r="FXQ4" s="27"/>
      <c r="FXR4" s="27"/>
      <c r="FXS4" s="27"/>
      <c r="FXT4" s="27"/>
      <c r="FXU4" s="27"/>
      <c r="FXV4" s="27"/>
      <c r="FXW4" s="27"/>
      <c r="FXX4" s="27"/>
      <c r="FXY4" s="27"/>
      <c r="FXZ4" s="27"/>
      <c r="FYA4" s="27"/>
      <c r="FYB4" s="27"/>
      <c r="FYC4" s="27"/>
      <c r="FYD4" s="27"/>
      <c r="FYE4" s="27"/>
      <c r="FYF4" s="27"/>
      <c r="FYG4" s="27"/>
      <c r="FYH4" s="27"/>
      <c r="FYI4" s="27"/>
      <c r="FYJ4" s="27"/>
      <c r="FYK4" s="27"/>
      <c r="FYL4" s="27"/>
      <c r="FYM4" s="27"/>
      <c r="FYN4" s="27"/>
      <c r="FYO4" s="27"/>
      <c r="FYP4" s="27"/>
      <c r="FYQ4" s="27"/>
      <c r="FYR4" s="27"/>
      <c r="FYS4" s="27"/>
      <c r="FYT4" s="27"/>
      <c r="FYU4" s="27"/>
      <c r="FYV4" s="27"/>
      <c r="FYW4" s="27"/>
      <c r="FYX4" s="27"/>
      <c r="FYY4" s="27"/>
      <c r="FYZ4" s="27"/>
      <c r="FZA4" s="27"/>
      <c r="FZB4" s="27"/>
      <c r="FZC4" s="27"/>
      <c r="FZD4" s="27"/>
      <c r="FZE4" s="27"/>
      <c r="FZF4" s="27"/>
      <c r="FZG4" s="27"/>
      <c r="FZH4" s="27"/>
      <c r="FZI4" s="27"/>
      <c r="FZJ4" s="27"/>
      <c r="FZK4" s="27"/>
      <c r="FZL4" s="27"/>
      <c r="FZM4" s="27"/>
      <c r="FZN4" s="27"/>
      <c r="FZO4" s="27"/>
      <c r="FZP4" s="27"/>
      <c r="FZQ4" s="27"/>
      <c r="FZR4" s="27"/>
      <c r="FZS4" s="27"/>
      <c r="FZT4" s="27"/>
      <c r="FZU4" s="27"/>
      <c r="FZV4" s="27"/>
      <c r="FZW4" s="27"/>
      <c r="FZX4" s="27"/>
      <c r="FZY4" s="27"/>
      <c r="FZZ4" s="27"/>
      <c r="GAA4" s="27"/>
      <c r="GAB4" s="27"/>
      <c r="GAC4" s="27"/>
      <c r="GAD4" s="27"/>
      <c r="GAE4" s="27"/>
      <c r="GAF4" s="27"/>
      <c r="GAG4" s="27"/>
      <c r="GAH4" s="27"/>
      <c r="GAI4" s="27"/>
      <c r="GAJ4" s="27"/>
      <c r="GAK4" s="27"/>
      <c r="GAL4" s="27"/>
      <c r="GAM4" s="27"/>
      <c r="GAN4" s="27"/>
      <c r="GAO4" s="27"/>
      <c r="GAP4" s="27"/>
      <c r="GAQ4" s="27"/>
      <c r="GAR4" s="27"/>
      <c r="GAS4" s="27"/>
      <c r="GAT4" s="27"/>
      <c r="GAU4" s="27"/>
      <c r="GAV4" s="27"/>
      <c r="GAW4" s="27"/>
      <c r="GAX4" s="27"/>
      <c r="GAY4" s="27"/>
      <c r="GAZ4" s="27"/>
      <c r="GBA4" s="27"/>
      <c r="GBB4" s="27"/>
      <c r="GBC4" s="27"/>
      <c r="GBD4" s="27"/>
      <c r="GBE4" s="27"/>
      <c r="GBF4" s="27"/>
      <c r="GBG4" s="27"/>
      <c r="GBH4" s="27"/>
      <c r="GBI4" s="27"/>
      <c r="GBJ4" s="27"/>
      <c r="GBK4" s="27"/>
      <c r="GBL4" s="27"/>
      <c r="GBM4" s="27"/>
      <c r="GBN4" s="27"/>
      <c r="GBO4" s="27"/>
      <c r="GBP4" s="27"/>
      <c r="GBQ4" s="27"/>
      <c r="GBR4" s="27"/>
      <c r="GBS4" s="27"/>
      <c r="GBT4" s="27"/>
      <c r="GBU4" s="27"/>
      <c r="GBV4" s="27"/>
      <c r="GBW4" s="27"/>
      <c r="GBX4" s="27"/>
      <c r="GBY4" s="27"/>
      <c r="GBZ4" s="27"/>
      <c r="GCA4" s="27"/>
      <c r="GCB4" s="27"/>
      <c r="GCC4" s="27"/>
      <c r="GCD4" s="27"/>
      <c r="GCE4" s="27"/>
      <c r="GCF4" s="27"/>
      <c r="GCG4" s="27"/>
      <c r="GCH4" s="27"/>
      <c r="GCI4" s="27"/>
      <c r="GCJ4" s="27"/>
      <c r="GCK4" s="27"/>
      <c r="GCL4" s="27"/>
      <c r="GCM4" s="27"/>
      <c r="GCN4" s="27"/>
      <c r="GCO4" s="27"/>
      <c r="GCP4" s="27"/>
      <c r="GCQ4" s="27"/>
      <c r="GCR4" s="27"/>
      <c r="GCS4" s="27"/>
      <c r="GCT4" s="27"/>
      <c r="GCU4" s="27"/>
      <c r="GCV4" s="27"/>
      <c r="GCW4" s="27"/>
      <c r="GCX4" s="27"/>
      <c r="GCY4" s="27"/>
      <c r="GCZ4" s="27"/>
      <c r="GDA4" s="27"/>
      <c r="GDB4" s="27"/>
      <c r="GDC4" s="27"/>
      <c r="GDD4" s="27"/>
      <c r="GDE4" s="27"/>
      <c r="GDF4" s="27"/>
      <c r="GDG4" s="27"/>
      <c r="GDH4" s="27"/>
      <c r="GDI4" s="27"/>
      <c r="GDJ4" s="27"/>
      <c r="GDK4" s="27"/>
      <c r="GDL4" s="27"/>
      <c r="GDM4" s="27"/>
      <c r="GDN4" s="27"/>
      <c r="GDO4" s="27"/>
      <c r="GDP4" s="27"/>
      <c r="GDQ4" s="27"/>
      <c r="GDR4" s="27"/>
      <c r="GDS4" s="27"/>
      <c r="GDT4" s="27"/>
      <c r="GDU4" s="27"/>
      <c r="GDV4" s="27"/>
      <c r="GDW4" s="27"/>
      <c r="GDX4" s="27"/>
      <c r="GDY4" s="27"/>
      <c r="GDZ4" s="27"/>
      <c r="GEA4" s="27"/>
      <c r="GEB4" s="27"/>
      <c r="GEC4" s="27"/>
      <c r="GED4" s="27"/>
      <c r="GEE4" s="27"/>
      <c r="GEF4" s="27"/>
      <c r="GEG4" s="27"/>
      <c r="GEH4" s="27"/>
      <c r="GEI4" s="27"/>
      <c r="GEJ4" s="27"/>
      <c r="GEK4" s="27"/>
      <c r="GEL4" s="27"/>
      <c r="GEM4" s="27"/>
      <c r="GEN4" s="27"/>
      <c r="GEO4" s="27"/>
      <c r="GEP4" s="27"/>
      <c r="GEQ4" s="27"/>
      <c r="GER4" s="27"/>
      <c r="GES4" s="27"/>
      <c r="GET4" s="27"/>
      <c r="GEU4" s="27"/>
      <c r="GEV4" s="27"/>
      <c r="GEW4" s="27"/>
      <c r="GEX4" s="27"/>
      <c r="GEY4" s="27"/>
      <c r="GEZ4" s="27"/>
      <c r="GFA4" s="27"/>
      <c r="GFB4" s="27"/>
      <c r="GFC4" s="27"/>
      <c r="GFD4" s="27"/>
      <c r="GFE4" s="27"/>
      <c r="GFF4" s="27"/>
      <c r="GFG4" s="27"/>
      <c r="GFH4" s="27"/>
      <c r="GFI4" s="27"/>
      <c r="GFJ4" s="27"/>
      <c r="GFK4" s="27"/>
      <c r="GFL4" s="27"/>
      <c r="GFM4" s="27"/>
      <c r="GFN4" s="27"/>
      <c r="GFO4" s="27"/>
      <c r="GFP4" s="27"/>
      <c r="GFQ4" s="27"/>
      <c r="GFR4" s="27"/>
      <c r="GFS4" s="27"/>
      <c r="GFT4" s="27"/>
      <c r="GFU4" s="27"/>
      <c r="GFV4" s="27"/>
      <c r="GFW4" s="27"/>
      <c r="GFX4" s="27"/>
      <c r="GFY4" s="27"/>
      <c r="GFZ4" s="27"/>
      <c r="GGA4" s="27"/>
      <c r="GGB4" s="27"/>
      <c r="GGC4" s="27"/>
      <c r="GGD4" s="27"/>
      <c r="GGE4" s="27"/>
      <c r="GGF4" s="27"/>
      <c r="GGG4" s="27"/>
      <c r="GGH4" s="27"/>
      <c r="GGI4" s="27"/>
      <c r="GGJ4" s="27"/>
      <c r="GGK4" s="27"/>
      <c r="GGL4" s="27"/>
      <c r="GGM4" s="27"/>
      <c r="GGN4" s="27"/>
      <c r="GGO4" s="27"/>
      <c r="GGP4" s="27"/>
      <c r="GGQ4" s="27"/>
      <c r="GGR4" s="27"/>
      <c r="GGS4" s="27"/>
      <c r="GGT4" s="27"/>
      <c r="GGU4" s="27"/>
      <c r="GGV4" s="27"/>
      <c r="GGW4" s="27"/>
      <c r="GGX4" s="27"/>
      <c r="GGY4" s="27"/>
      <c r="GGZ4" s="27"/>
      <c r="GHA4" s="27"/>
      <c r="GHB4" s="27"/>
      <c r="GHC4" s="27"/>
      <c r="GHD4" s="27"/>
      <c r="GHE4" s="27"/>
      <c r="GHF4" s="27"/>
      <c r="GHG4" s="27"/>
      <c r="GHH4" s="27"/>
      <c r="GHI4" s="27"/>
      <c r="GHJ4" s="27"/>
      <c r="GHK4" s="27"/>
      <c r="GHL4" s="27"/>
      <c r="GHM4" s="27"/>
      <c r="GHN4" s="27"/>
      <c r="GHO4" s="27"/>
      <c r="GHP4" s="27"/>
      <c r="GHQ4" s="27"/>
      <c r="GHR4" s="27"/>
      <c r="GHS4" s="27"/>
      <c r="GHT4" s="27"/>
      <c r="GHU4" s="27"/>
      <c r="GHV4" s="27"/>
      <c r="GHW4" s="27"/>
      <c r="GHX4" s="27"/>
      <c r="GHY4" s="27"/>
      <c r="GHZ4" s="27"/>
      <c r="GIA4" s="27"/>
      <c r="GIB4" s="27"/>
      <c r="GIC4" s="27"/>
      <c r="GID4" s="27"/>
      <c r="GIE4" s="27"/>
      <c r="GIF4" s="27"/>
      <c r="GIG4" s="27"/>
      <c r="GIH4" s="27"/>
      <c r="GII4" s="27"/>
      <c r="GIJ4" s="27"/>
      <c r="GIK4" s="27"/>
      <c r="GIL4" s="27"/>
      <c r="GIM4" s="27"/>
      <c r="GIN4" s="27"/>
      <c r="GIO4" s="27"/>
      <c r="GIP4" s="27"/>
      <c r="GIQ4" s="27"/>
      <c r="GIR4" s="27"/>
      <c r="GIS4" s="27"/>
      <c r="GIT4" s="27"/>
      <c r="GIU4" s="27"/>
      <c r="GIV4" s="27"/>
      <c r="GIW4" s="27"/>
      <c r="GIX4" s="27"/>
      <c r="GIY4" s="27"/>
      <c r="GIZ4" s="27"/>
      <c r="GJA4" s="27"/>
      <c r="GJB4" s="27"/>
      <c r="GJC4" s="27"/>
      <c r="GJD4" s="27"/>
      <c r="GJE4" s="27"/>
      <c r="GJF4" s="27"/>
      <c r="GJG4" s="27"/>
      <c r="GJH4" s="27"/>
      <c r="GJI4" s="27"/>
      <c r="GJJ4" s="27"/>
      <c r="GJK4" s="27"/>
      <c r="GJL4" s="27"/>
      <c r="GJM4" s="27"/>
      <c r="GJN4" s="27"/>
      <c r="GJO4" s="27"/>
      <c r="GJP4" s="27"/>
      <c r="GJQ4" s="27"/>
      <c r="GJR4" s="27"/>
      <c r="GJS4" s="27"/>
      <c r="GJT4" s="27"/>
      <c r="GJU4" s="27"/>
      <c r="GJV4" s="27"/>
      <c r="GJW4" s="27"/>
      <c r="GJX4" s="27"/>
      <c r="GJY4" s="27"/>
      <c r="GJZ4" s="27"/>
      <c r="GKA4" s="27"/>
      <c r="GKB4" s="27"/>
      <c r="GKC4" s="27"/>
      <c r="GKD4" s="27"/>
      <c r="GKE4" s="27"/>
      <c r="GKF4" s="27"/>
      <c r="GKG4" s="27"/>
      <c r="GKH4" s="27"/>
      <c r="GKI4" s="27"/>
      <c r="GKJ4" s="27"/>
      <c r="GKK4" s="27"/>
      <c r="GKL4" s="27"/>
      <c r="GKM4" s="27"/>
      <c r="GKN4" s="27"/>
      <c r="GKO4" s="27"/>
      <c r="GKP4" s="27"/>
      <c r="GKQ4" s="27"/>
      <c r="GKR4" s="27"/>
      <c r="GKS4" s="27"/>
      <c r="GKT4" s="27"/>
      <c r="GKU4" s="27"/>
      <c r="GKV4" s="27"/>
      <c r="GKW4" s="27"/>
      <c r="GKX4" s="27"/>
      <c r="GKY4" s="27"/>
      <c r="GKZ4" s="27"/>
      <c r="GLA4" s="27"/>
      <c r="GLB4" s="27"/>
      <c r="GLC4" s="27"/>
      <c r="GLD4" s="27"/>
      <c r="GLE4" s="27"/>
      <c r="GLF4" s="27"/>
      <c r="GLG4" s="27"/>
      <c r="GLH4" s="27"/>
      <c r="GLI4" s="27"/>
      <c r="GLJ4" s="27"/>
      <c r="GLK4" s="27"/>
      <c r="GLL4" s="27"/>
      <c r="GLM4" s="27"/>
      <c r="GLN4" s="27"/>
      <c r="GLO4" s="27"/>
      <c r="GLP4" s="27"/>
      <c r="GLQ4" s="27"/>
      <c r="GLR4" s="27"/>
      <c r="GLS4" s="27"/>
      <c r="GLT4" s="27"/>
      <c r="GLU4" s="27"/>
      <c r="GLV4" s="27"/>
      <c r="GLW4" s="27"/>
      <c r="GLX4" s="27"/>
      <c r="GLY4" s="27"/>
      <c r="GLZ4" s="27"/>
      <c r="GMA4" s="27"/>
      <c r="GMB4" s="27"/>
      <c r="GMC4" s="27"/>
      <c r="GMD4" s="27"/>
      <c r="GME4" s="27"/>
      <c r="GMF4" s="27"/>
      <c r="GMG4" s="27"/>
      <c r="GMH4" s="27"/>
      <c r="GMI4" s="27"/>
      <c r="GMJ4" s="27"/>
      <c r="GMK4" s="27"/>
      <c r="GML4" s="27"/>
      <c r="GMM4" s="27"/>
      <c r="GMN4" s="27"/>
      <c r="GMO4" s="27"/>
      <c r="GMP4" s="27"/>
      <c r="GMQ4" s="27"/>
      <c r="GMR4" s="27"/>
      <c r="GMS4" s="27"/>
      <c r="GMT4" s="27"/>
      <c r="GMU4" s="27"/>
      <c r="GMV4" s="27"/>
      <c r="GMW4" s="27"/>
      <c r="GMX4" s="27"/>
      <c r="GMY4" s="27"/>
      <c r="GMZ4" s="27"/>
      <c r="GNA4" s="27"/>
      <c r="GNB4" s="27"/>
      <c r="GNC4" s="27"/>
      <c r="GND4" s="27"/>
      <c r="GNE4" s="27"/>
      <c r="GNF4" s="27"/>
      <c r="GNG4" s="27"/>
      <c r="GNH4" s="27"/>
      <c r="GNI4" s="27"/>
      <c r="GNJ4" s="27"/>
      <c r="GNK4" s="27"/>
      <c r="GNL4" s="27"/>
      <c r="GNM4" s="27"/>
      <c r="GNN4" s="27"/>
      <c r="GNO4" s="27"/>
      <c r="GNP4" s="27"/>
      <c r="GNQ4" s="27"/>
      <c r="GNR4" s="27"/>
      <c r="GNS4" s="27"/>
      <c r="GNT4" s="27"/>
      <c r="GNU4" s="27"/>
      <c r="GNV4" s="27"/>
      <c r="GNW4" s="27"/>
      <c r="GNX4" s="27"/>
      <c r="GNY4" s="27"/>
      <c r="GNZ4" s="27"/>
      <c r="GOA4" s="27"/>
      <c r="GOB4" s="27"/>
      <c r="GOC4" s="27"/>
      <c r="GOD4" s="27"/>
      <c r="GOE4" s="27"/>
      <c r="GOF4" s="27"/>
      <c r="GOG4" s="27"/>
      <c r="GOH4" s="27"/>
      <c r="GOI4" s="27"/>
      <c r="GOJ4" s="27"/>
      <c r="GOK4" s="27"/>
      <c r="GOL4" s="27"/>
      <c r="GOM4" s="27"/>
      <c r="GON4" s="27"/>
      <c r="GOO4" s="27"/>
      <c r="GOP4" s="27"/>
      <c r="GOQ4" s="27"/>
      <c r="GOR4" s="27"/>
      <c r="GOS4" s="27"/>
      <c r="GOT4" s="27"/>
      <c r="GOU4" s="27"/>
      <c r="GOV4" s="27"/>
      <c r="GOW4" s="27"/>
      <c r="GOX4" s="27"/>
      <c r="GOY4" s="27"/>
      <c r="GOZ4" s="27"/>
      <c r="GPA4" s="27"/>
      <c r="GPB4" s="27"/>
      <c r="GPC4" s="27"/>
      <c r="GPD4" s="27"/>
      <c r="GPE4" s="27"/>
      <c r="GPF4" s="27"/>
      <c r="GPG4" s="27"/>
      <c r="GPH4" s="27"/>
      <c r="GPI4" s="27"/>
      <c r="GPJ4" s="27"/>
      <c r="GPK4" s="27"/>
      <c r="GPL4" s="27"/>
      <c r="GPM4" s="27"/>
      <c r="GPN4" s="27"/>
      <c r="GPO4" s="27"/>
      <c r="GPP4" s="27"/>
      <c r="GPQ4" s="27"/>
      <c r="GPR4" s="27"/>
      <c r="GPS4" s="27"/>
      <c r="GPT4" s="27"/>
      <c r="GPU4" s="27"/>
      <c r="GPV4" s="27"/>
      <c r="GPW4" s="27"/>
      <c r="GPX4" s="27"/>
      <c r="GPY4" s="27"/>
      <c r="GPZ4" s="27"/>
      <c r="GQA4" s="27"/>
      <c r="GQB4" s="27"/>
      <c r="GQC4" s="27"/>
      <c r="GQD4" s="27"/>
      <c r="GQE4" s="27"/>
      <c r="GQF4" s="27"/>
      <c r="GQG4" s="27"/>
      <c r="GQH4" s="27"/>
      <c r="GQI4" s="27"/>
      <c r="GQJ4" s="27"/>
      <c r="GQK4" s="27"/>
      <c r="GQL4" s="27"/>
      <c r="GQM4" s="27"/>
      <c r="GQN4" s="27"/>
      <c r="GQO4" s="27"/>
      <c r="GQP4" s="27"/>
      <c r="GQQ4" s="27"/>
      <c r="GQR4" s="27"/>
      <c r="GQS4" s="27"/>
      <c r="GQT4" s="27"/>
      <c r="GQU4" s="27"/>
      <c r="GQV4" s="27"/>
      <c r="GQW4" s="27"/>
      <c r="GQX4" s="27"/>
      <c r="GQY4" s="27"/>
      <c r="GQZ4" s="27"/>
      <c r="GRA4" s="27"/>
      <c r="GRB4" s="27"/>
      <c r="GRC4" s="27"/>
      <c r="GRD4" s="27"/>
      <c r="GRE4" s="27"/>
      <c r="GRF4" s="27"/>
      <c r="GRG4" s="27"/>
      <c r="GRH4" s="27"/>
      <c r="GRI4" s="27"/>
      <c r="GRJ4" s="27"/>
      <c r="GRK4" s="27"/>
      <c r="GRL4" s="27"/>
      <c r="GRM4" s="27"/>
      <c r="GRN4" s="27"/>
      <c r="GRO4" s="27"/>
      <c r="GRP4" s="27"/>
      <c r="GRQ4" s="27"/>
      <c r="GRR4" s="27"/>
      <c r="GRS4" s="27"/>
      <c r="GRT4" s="27"/>
      <c r="GRU4" s="27"/>
      <c r="GRV4" s="27"/>
      <c r="GRW4" s="27"/>
      <c r="GRX4" s="27"/>
      <c r="GRY4" s="27"/>
      <c r="GRZ4" s="27"/>
      <c r="GSA4" s="27"/>
      <c r="GSB4" s="27"/>
      <c r="GSC4" s="27"/>
      <c r="GSD4" s="27"/>
      <c r="GSE4" s="27"/>
      <c r="GSF4" s="27"/>
      <c r="GSG4" s="27"/>
      <c r="GSH4" s="27"/>
      <c r="GSI4" s="27"/>
      <c r="GSJ4" s="27"/>
      <c r="GSK4" s="27"/>
      <c r="GSL4" s="27"/>
      <c r="GSM4" s="27"/>
      <c r="GSN4" s="27"/>
      <c r="GSO4" s="27"/>
      <c r="GSP4" s="27"/>
      <c r="GSQ4" s="27"/>
      <c r="GSR4" s="27"/>
      <c r="GSS4" s="27"/>
      <c r="GST4" s="27"/>
      <c r="GSU4" s="27"/>
      <c r="GSV4" s="27"/>
      <c r="GSW4" s="27"/>
      <c r="GSX4" s="27"/>
      <c r="GSY4" s="27"/>
      <c r="GSZ4" s="27"/>
      <c r="GTA4" s="27"/>
      <c r="GTB4" s="27"/>
      <c r="GTC4" s="27"/>
      <c r="GTD4" s="27"/>
      <c r="GTE4" s="27"/>
      <c r="GTF4" s="27"/>
      <c r="GTG4" s="27"/>
      <c r="GTH4" s="27"/>
      <c r="GTI4" s="27"/>
      <c r="GTJ4" s="27"/>
      <c r="GTK4" s="27"/>
      <c r="GTL4" s="27"/>
      <c r="GTM4" s="27"/>
      <c r="GTN4" s="27"/>
      <c r="GTO4" s="27"/>
      <c r="GTP4" s="27"/>
      <c r="GTQ4" s="27"/>
      <c r="GTR4" s="27"/>
      <c r="GTS4" s="27"/>
      <c r="GTT4" s="27"/>
      <c r="GTU4" s="27"/>
      <c r="GTV4" s="27"/>
      <c r="GTW4" s="27"/>
      <c r="GTX4" s="27"/>
      <c r="GTY4" s="27"/>
      <c r="GTZ4" s="27"/>
      <c r="GUA4" s="27"/>
      <c r="GUB4" s="27"/>
      <c r="GUC4" s="27"/>
      <c r="GUD4" s="27"/>
      <c r="GUE4" s="27"/>
      <c r="GUF4" s="27"/>
      <c r="GUG4" s="27"/>
      <c r="GUH4" s="27"/>
      <c r="GUI4" s="27"/>
      <c r="GUJ4" s="27"/>
      <c r="GUK4" s="27"/>
      <c r="GUL4" s="27"/>
      <c r="GUM4" s="27"/>
      <c r="GUN4" s="27"/>
      <c r="GUO4" s="27"/>
      <c r="GUP4" s="27"/>
      <c r="GUQ4" s="27"/>
      <c r="GUR4" s="27"/>
      <c r="GUS4" s="27"/>
      <c r="GUT4" s="27"/>
      <c r="GUU4" s="27"/>
      <c r="GUV4" s="27"/>
      <c r="GUW4" s="27"/>
      <c r="GUX4" s="27"/>
      <c r="GUY4" s="27"/>
      <c r="GUZ4" s="27"/>
      <c r="GVA4" s="27"/>
      <c r="GVB4" s="27"/>
      <c r="GVC4" s="27"/>
      <c r="GVD4" s="27"/>
      <c r="GVE4" s="27"/>
      <c r="GVF4" s="27"/>
      <c r="GVG4" s="27"/>
      <c r="GVH4" s="27"/>
      <c r="GVI4" s="27"/>
      <c r="GVJ4" s="27"/>
      <c r="GVK4" s="27"/>
      <c r="GVL4" s="27"/>
      <c r="GVM4" s="27"/>
      <c r="GVN4" s="27"/>
      <c r="GVO4" s="27"/>
      <c r="GVP4" s="27"/>
      <c r="GVQ4" s="27"/>
      <c r="GVR4" s="27"/>
      <c r="GVS4" s="27"/>
      <c r="GVT4" s="27"/>
      <c r="GVU4" s="27"/>
      <c r="GVV4" s="27"/>
      <c r="GVW4" s="27"/>
      <c r="GVX4" s="27"/>
      <c r="GVY4" s="27"/>
      <c r="GVZ4" s="27"/>
      <c r="GWA4" s="27"/>
      <c r="GWB4" s="27"/>
      <c r="GWC4" s="27"/>
      <c r="GWD4" s="27"/>
      <c r="GWE4" s="27"/>
      <c r="GWF4" s="27"/>
      <c r="GWG4" s="27"/>
      <c r="GWH4" s="27"/>
      <c r="GWI4" s="27"/>
      <c r="GWJ4" s="27"/>
      <c r="GWK4" s="27"/>
      <c r="GWL4" s="27"/>
      <c r="GWM4" s="27"/>
      <c r="GWN4" s="27"/>
      <c r="GWO4" s="27"/>
      <c r="GWP4" s="27"/>
      <c r="GWQ4" s="27"/>
      <c r="GWR4" s="27"/>
      <c r="GWS4" s="27"/>
      <c r="GWT4" s="27"/>
      <c r="GWU4" s="27"/>
      <c r="GWV4" s="27"/>
      <c r="GWW4" s="27"/>
      <c r="GWX4" s="27"/>
      <c r="GWY4" s="27"/>
      <c r="GWZ4" s="27"/>
      <c r="GXA4" s="27"/>
      <c r="GXB4" s="27"/>
      <c r="GXC4" s="27"/>
      <c r="GXD4" s="27"/>
      <c r="GXE4" s="27"/>
      <c r="GXF4" s="27"/>
      <c r="GXG4" s="27"/>
      <c r="GXH4" s="27"/>
      <c r="GXI4" s="27"/>
      <c r="GXJ4" s="27"/>
      <c r="GXK4" s="27"/>
      <c r="GXL4" s="27"/>
      <c r="GXM4" s="27"/>
      <c r="GXN4" s="27"/>
      <c r="GXO4" s="27"/>
      <c r="GXP4" s="27"/>
      <c r="GXQ4" s="27"/>
      <c r="GXR4" s="27"/>
      <c r="GXS4" s="27"/>
      <c r="GXT4" s="27"/>
      <c r="GXU4" s="27"/>
      <c r="GXV4" s="27"/>
      <c r="GXW4" s="27"/>
      <c r="GXX4" s="27"/>
      <c r="GXY4" s="27"/>
      <c r="GXZ4" s="27"/>
      <c r="GYA4" s="27"/>
      <c r="GYB4" s="27"/>
      <c r="GYC4" s="27"/>
      <c r="GYD4" s="27"/>
      <c r="GYE4" s="27"/>
      <c r="GYF4" s="27"/>
      <c r="GYG4" s="27"/>
      <c r="GYH4" s="27"/>
      <c r="GYI4" s="27"/>
      <c r="GYJ4" s="27"/>
      <c r="GYK4" s="27"/>
      <c r="GYL4" s="27"/>
      <c r="GYM4" s="27"/>
      <c r="GYN4" s="27"/>
      <c r="GYO4" s="27"/>
      <c r="GYP4" s="27"/>
      <c r="GYQ4" s="27"/>
      <c r="GYR4" s="27"/>
      <c r="GYS4" s="27"/>
      <c r="GYT4" s="27"/>
      <c r="GYU4" s="27"/>
      <c r="GYV4" s="27"/>
      <c r="GYW4" s="27"/>
      <c r="GYX4" s="27"/>
      <c r="GYY4" s="27"/>
      <c r="GYZ4" s="27"/>
      <c r="GZA4" s="27"/>
      <c r="GZB4" s="27"/>
      <c r="GZC4" s="27"/>
      <c r="GZD4" s="27"/>
      <c r="GZE4" s="27"/>
      <c r="GZF4" s="27"/>
      <c r="GZG4" s="27"/>
      <c r="GZH4" s="27"/>
      <c r="GZI4" s="27"/>
      <c r="GZJ4" s="27"/>
      <c r="GZK4" s="27"/>
      <c r="GZL4" s="27"/>
      <c r="GZM4" s="27"/>
      <c r="GZN4" s="27"/>
      <c r="GZO4" s="27"/>
      <c r="GZP4" s="27"/>
      <c r="GZQ4" s="27"/>
      <c r="GZR4" s="27"/>
      <c r="GZS4" s="27"/>
      <c r="GZT4" s="27"/>
      <c r="GZU4" s="27"/>
      <c r="GZV4" s="27"/>
      <c r="GZW4" s="27"/>
      <c r="GZX4" s="27"/>
      <c r="GZY4" s="27"/>
      <c r="GZZ4" s="27"/>
      <c r="HAA4" s="27"/>
      <c r="HAB4" s="27"/>
      <c r="HAC4" s="27"/>
      <c r="HAD4" s="27"/>
      <c r="HAE4" s="27"/>
      <c r="HAF4" s="27"/>
      <c r="HAG4" s="27"/>
      <c r="HAH4" s="27"/>
      <c r="HAI4" s="27"/>
      <c r="HAJ4" s="27"/>
      <c r="HAK4" s="27"/>
      <c r="HAL4" s="27"/>
      <c r="HAM4" s="27"/>
      <c r="HAN4" s="27"/>
      <c r="HAO4" s="27"/>
      <c r="HAP4" s="27"/>
      <c r="HAQ4" s="27"/>
      <c r="HAR4" s="27"/>
      <c r="HAS4" s="27"/>
      <c r="HAT4" s="27"/>
      <c r="HAU4" s="27"/>
      <c r="HAV4" s="27"/>
      <c r="HAW4" s="27"/>
      <c r="HAX4" s="27"/>
      <c r="HAY4" s="27"/>
      <c r="HAZ4" s="27"/>
      <c r="HBA4" s="27"/>
      <c r="HBB4" s="27"/>
      <c r="HBC4" s="27"/>
      <c r="HBD4" s="27"/>
      <c r="HBE4" s="27"/>
      <c r="HBF4" s="27"/>
      <c r="HBG4" s="27"/>
      <c r="HBH4" s="27"/>
      <c r="HBI4" s="27"/>
      <c r="HBJ4" s="27"/>
      <c r="HBK4" s="27"/>
      <c r="HBL4" s="27"/>
      <c r="HBM4" s="27"/>
      <c r="HBN4" s="27"/>
      <c r="HBO4" s="27"/>
      <c r="HBP4" s="27"/>
      <c r="HBQ4" s="27"/>
      <c r="HBR4" s="27"/>
      <c r="HBS4" s="27"/>
      <c r="HBT4" s="27"/>
      <c r="HBU4" s="27"/>
      <c r="HBV4" s="27"/>
      <c r="HBW4" s="27"/>
      <c r="HBX4" s="27"/>
      <c r="HBY4" s="27"/>
      <c r="HBZ4" s="27"/>
      <c r="HCA4" s="27"/>
      <c r="HCB4" s="27"/>
      <c r="HCC4" s="27"/>
      <c r="HCD4" s="27"/>
      <c r="HCE4" s="27"/>
      <c r="HCF4" s="27"/>
      <c r="HCG4" s="27"/>
      <c r="HCH4" s="27"/>
      <c r="HCI4" s="27"/>
      <c r="HCJ4" s="27"/>
      <c r="HCK4" s="27"/>
      <c r="HCL4" s="27"/>
      <c r="HCM4" s="27"/>
      <c r="HCN4" s="27"/>
      <c r="HCO4" s="27"/>
      <c r="HCP4" s="27"/>
      <c r="HCQ4" s="27"/>
      <c r="HCR4" s="27"/>
      <c r="HCS4" s="27"/>
      <c r="HCT4" s="27"/>
      <c r="HCU4" s="27"/>
      <c r="HCV4" s="27"/>
      <c r="HCW4" s="27"/>
      <c r="HCX4" s="27"/>
      <c r="HCY4" s="27"/>
      <c r="HCZ4" s="27"/>
      <c r="HDA4" s="27"/>
      <c r="HDB4" s="27"/>
      <c r="HDC4" s="27"/>
      <c r="HDD4" s="27"/>
      <c r="HDE4" s="27"/>
      <c r="HDF4" s="27"/>
      <c r="HDG4" s="27"/>
      <c r="HDH4" s="27"/>
      <c r="HDI4" s="27"/>
      <c r="HDJ4" s="27"/>
      <c r="HDK4" s="27"/>
      <c r="HDL4" s="27"/>
      <c r="HDM4" s="27"/>
      <c r="HDN4" s="27"/>
      <c r="HDO4" s="27"/>
      <c r="HDP4" s="27"/>
      <c r="HDQ4" s="27"/>
      <c r="HDR4" s="27"/>
      <c r="HDS4" s="27"/>
      <c r="HDT4" s="27"/>
      <c r="HDU4" s="27"/>
      <c r="HDV4" s="27"/>
      <c r="HDW4" s="27"/>
      <c r="HDX4" s="27"/>
      <c r="HDY4" s="27"/>
      <c r="HDZ4" s="27"/>
      <c r="HEA4" s="27"/>
      <c r="HEB4" s="27"/>
      <c r="HEC4" s="27"/>
      <c r="HED4" s="27"/>
      <c r="HEE4" s="27"/>
      <c r="HEF4" s="27"/>
      <c r="HEG4" s="27"/>
      <c r="HEH4" s="27"/>
      <c r="HEI4" s="27"/>
      <c r="HEJ4" s="27"/>
      <c r="HEK4" s="27"/>
      <c r="HEL4" s="27"/>
      <c r="HEM4" s="27"/>
      <c r="HEN4" s="27"/>
      <c r="HEO4" s="27"/>
      <c r="HEP4" s="27"/>
      <c r="HEQ4" s="27"/>
      <c r="HER4" s="27"/>
      <c r="HES4" s="27"/>
      <c r="HET4" s="27"/>
      <c r="HEU4" s="27"/>
      <c r="HEV4" s="27"/>
      <c r="HEW4" s="27"/>
      <c r="HEX4" s="27"/>
      <c r="HEY4" s="27"/>
      <c r="HEZ4" s="27"/>
      <c r="HFA4" s="27"/>
      <c r="HFB4" s="27"/>
      <c r="HFC4" s="27"/>
      <c r="HFD4" s="27"/>
      <c r="HFE4" s="27"/>
      <c r="HFF4" s="27"/>
      <c r="HFG4" s="27"/>
      <c r="HFH4" s="27"/>
      <c r="HFI4" s="27"/>
      <c r="HFJ4" s="27"/>
      <c r="HFK4" s="27"/>
      <c r="HFL4" s="27"/>
      <c r="HFM4" s="27"/>
      <c r="HFN4" s="27"/>
      <c r="HFO4" s="27"/>
      <c r="HFP4" s="27"/>
      <c r="HFQ4" s="27"/>
      <c r="HFR4" s="27"/>
      <c r="HFS4" s="27"/>
      <c r="HFT4" s="27"/>
      <c r="HFU4" s="27"/>
      <c r="HFV4" s="27"/>
      <c r="HFW4" s="27"/>
      <c r="HFX4" s="27"/>
      <c r="HFY4" s="27"/>
      <c r="HFZ4" s="27"/>
      <c r="HGA4" s="27"/>
      <c r="HGB4" s="27"/>
      <c r="HGC4" s="27"/>
      <c r="HGD4" s="27"/>
      <c r="HGE4" s="27"/>
      <c r="HGF4" s="27"/>
      <c r="HGG4" s="27"/>
      <c r="HGH4" s="27"/>
      <c r="HGI4" s="27"/>
      <c r="HGJ4" s="27"/>
      <c r="HGK4" s="27"/>
      <c r="HGL4" s="27"/>
      <c r="HGM4" s="27"/>
      <c r="HGN4" s="27"/>
      <c r="HGO4" s="27"/>
      <c r="HGP4" s="27"/>
      <c r="HGQ4" s="27"/>
      <c r="HGR4" s="27"/>
      <c r="HGS4" s="27"/>
      <c r="HGT4" s="27"/>
      <c r="HGU4" s="27"/>
      <c r="HGV4" s="27"/>
      <c r="HGW4" s="27"/>
      <c r="HGX4" s="27"/>
      <c r="HGY4" s="27"/>
      <c r="HGZ4" s="27"/>
      <c r="HHA4" s="27"/>
      <c r="HHB4" s="27"/>
      <c r="HHC4" s="27"/>
      <c r="HHD4" s="27"/>
      <c r="HHE4" s="27"/>
      <c r="HHF4" s="27"/>
      <c r="HHG4" s="27"/>
      <c r="HHH4" s="27"/>
      <c r="HHI4" s="27"/>
      <c r="HHJ4" s="27"/>
      <c r="HHK4" s="27"/>
      <c r="HHL4" s="27"/>
      <c r="HHM4" s="27"/>
      <c r="HHN4" s="27"/>
      <c r="HHO4" s="27"/>
      <c r="HHP4" s="27"/>
      <c r="HHQ4" s="27"/>
      <c r="HHR4" s="27"/>
      <c r="HHS4" s="27"/>
      <c r="HHT4" s="27"/>
      <c r="HHU4" s="27"/>
      <c r="HHV4" s="27"/>
      <c r="HHW4" s="27"/>
      <c r="HHX4" s="27"/>
      <c r="HHY4" s="27"/>
      <c r="HHZ4" s="27"/>
      <c r="HIA4" s="27"/>
      <c r="HIB4" s="27"/>
      <c r="HIC4" s="27"/>
      <c r="HID4" s="27"/>
      <c r="HIE4" s="27"/>
      <c r="HIF4" s="27"/>
      <c r="HIG4" s="27"/>
      <c r="HIH4" s="27"/>
      <c r="HII4" s="27"/>
      <c r="HIJ4" s="27"/>
      <c r="HIK4" s="27"/>
      <c r="HIL4" s="27"/>
      <c r="HIM4" s="27"/>
      <c r="HIN4" s="27"/>
      <c r="HIO4" s="27"/>
      <c r="HIP4" s="27"/>
      <c r="HIQ4" s="27"/>
      <c r="HIR4" s="27"/>
      <c r="HIS4" s="27"/>
      <c r="HIT4" s="27"/>
      <c r="HIU4" s="27"/>
      <c r="HIV4" s="27"/>
      <c r="HIW4" s="27"/>
      <c r="HIX4" s="27"/>
      <c r="HIY4" s="27"/>
      <c r="HIZ4" s="27"/>
      <c r="HJA4" s="27"/>
      <c r="HJB4" s="27"/>
      <c r="HJC4" s="27"/>
      <c r="HJD4" s="27"/>
      <c r="HJE4" s="27"/>
      <c r="HJF4" s="27"/>
      <c r="HJG4" s="27"/>
      <c r="HJH4" s="27"/>
      <c r="HJI4" s="27"/>
      <c r="HJJ4" s="27"/>
      <c r="HJK4" s="27"/>
      <c r="HJL4" s="27"/>
      <c r="HJM4" s="27"/>
      <c r="HJN4" s="27"/>
      <c r="HJO4" s="27"/>
      <c r="HJP4" s="27"/>
      <c r="HJQ4" s="27"/>
      <c r="HJR4" s="27"/>
      <c r="HJS4" s="27"/>
      <c r="HJT4" s="27"/>
      <c r="HJU4" s="27"/>
      <c r="HJV4" s="27"/>
      <c r="HJW4" s="27"/>
      <c r="HJX4" s="27"/>
      <c r="HJY4" s="27"/>
      <c r="HJZ4" s="27"/>
      <c r="HKA4" s="27"/>
      <c r="HKB4" s="27"/>
      <c r="HKC4" s="27"/>
      <c r="HKD4" s="27"/>
      <c r="HKE4" s="27"/>
      <c r="HKF4" s="27"/>
      <c r="HKG4" s="27"/>
      <c r="HKH4" s="27"/>
      <c r="HKI4" s="27"/>
      <c r="HKJ4" s="27"/>
      <c r="HKK4" s="27"/>
      <c r="HKL4" s="27"/>
      <c r="HKM4" s="27"/>
      <c r="HKN4" s="27"/>
      <c r="HKO4" s="27"/>
      <c r="HKP4" s="27"/>
      <c r="HKQ4" s="27"/>
      <c r="HKR4" s="27"/>
      <c r="HKS4" s="27"/>
      <c r="HKT4" s="27"/>
      <c r="HKU4" s="27"/>
      <c r="HKV4" s="27"/>
      <c r="HKW4" s="27"/>
      <c r="HKX4" s="27"/>
      <c r="HKY4" s="27"/>
      <c r="HKZ4" s="27"/>
      <c r="HLA4" s="27"/>
      <c r="HLB4" s="27"/>
      <c r="HLC4" s="27"/>
      <c r="HLD4" s="27"/>
      <c r="HLE4" s="27"/>
      <c r="HLF4" s="27"/>
      <c r="HLG4" s="27"/>
      <c r="HLH4" s="27"/>
      <c r="HLI4" s="27"/>
      <c r="HLJ4" s="27"/>
      <c r="HLK4" s="27"/>
      <c r="HLL4" s="27"/>
      <c r="HLM4" s="27"/>
      <c r="HLN4" s="27"/>
      <c r="HLO4" s="27"/>
      <c r="HLP4" s="27"/>
      <c r="HLQ4" s="27"/>
      <c r="HLR4" s="27"/>
      <c r="HLS4" s="27"/>
      <c r="HLT4" s="27"/>
      <c r="HLU4" s="27"/>
      <c r="HLV4" s="27"/>
      <c r="HLW4" s="27"/>
      <c r="HLX4" s="27"/>
      <c r="HLY4" s="27"/>
      <c r="HLZ4" s="27"/>
      <c r="HMA4" s="27"/>
      <c r="HMB4" s="27"/>
      <c r="HMC4" s="27"/>
      <c r="HMD4" s="27"/>
      <c r="HME4" s="27"/>
      <c r="HMF4" s="27"/>
      <c r="HMG4" s="27"/>
      <c r="HMH4" s="27"/>
      <c r="HMI4" s="27"/>
      <c r="HMJ4" s="27"/>
      <c r="HMK4" s="27"/>
      <c r="HML4" s="27"/>
      <c r="HMM4" s="27"/>
      <c r="HMN4" s="27"/>
      <c r="HMO4" s="27"/>
      <c r="HMP4" s="27"/>
      <c r="HMQ4" s="27"/>
      <c r="HMR4" s="27"/>
      <c r="HMS4" s="27"/>
      <c r="HMT4" s="27"/>
      <c r="HMU4" s="27"/>
      <c r="HMV4" s="27"/>
      <c r="HMW4" s="27"/>
      <c r="HMX4" s="27"/>
      <c r="HMY4" s="27"/>
      <c r="HMZ4" s="27"/>
      <c r="HNA4" s="27"/>
      <c r="HNB4" s="27"/>
      <c r="HNC4" s="27"/>
      <c r="HND4" s="27"/>
      <c r="HNE4" s="27"/>
      <c r="HNF4" s="27"/>
      <c r="HNG4" s="27"/>
      <c r="HNH4" s="27"/>
      <c r="HNI4" s="27"/>
      <c r="HNJ4" s="27"/>
      <c r="HNK4" s="27"/>
      <c r="HNL4" s="27"/>
      <c r="HNM4" s="27"/>
      <c r="HNN4" s="27"/>
      <c r="HNO4" s="27"/>
      <c r="HNP4" s="27"/>
      <c r="HNQ4" s="27"/>
      <c r="HNR4" s="27"/>
      <c r="HNS4" s="27"/>
      <c r="HNT4" s="27"/>
      <c r="HNU4" s="27"/>
      <c r="HNV4" s="27"/>
      <c r="HNW4" s="27"/>
      <c r="HNX4" s="27"/>
      <c r="HNY4" s="27"/>
      <c r="HNZ4" s="27"/>
      <c r="HOA4" s="27"/>
      <c r="HOB4" s="27"/>
      <c r="HOC4" s="27"/>
      <c r="HOD4" s="27"/>
      <c r="HOE4" s="27"/>
      <c r="HOF4" s="27"/>
      <c r="HOG4" s="27"/>
      <c r="HOH4" s="27"/>
      <c r="HOI4" s="27"/>
      <c r="HOJ4" s="27"/>
      <c r="HOK4" s="27"/>
      <c r="HOL4" s="27"/>
      <c r="HOM4" s="27"/>
      <c r="HON4" s="27"/>
      <c r="HOO4" s="27"/>
      <c r="HOP4" s="27"/>
      <c r="HOQ4" s="27"/>
      <c r="HOR4" s="27"/>
      <c r="HOS4" s="27"/>
      <c r="HOT4" s="27"/>
      <c r="HOU4" s="27"/>
      <c r="HOV4" s="27"/>
      <c r="HOW4" s="27"/>
      <c r="HOX4" s="27"/>
      <c r="HOY4" s="27"/>
      <c r="HOZ4" s="27"/>
      <c r="HPA4" s="27"/>
      <c r="HPB4" s="27"/>
      <c r="HPC4" s="27"/>
      <c r="HPD4" s="27"/>
      <c r="HPE4" s="27"/>
      <c r="HPF4" s="27"/>
      <c r="HPG4" s="27"/>
      <c r="HPH4" s="27"/>
      <c r="HPI4" s="27"/>
      <c r="HPJ4" s="27"/>
      <c r="HPK4" s="27"/>
      <c r="HPL4" s="27"/>
      <c r="HPM4" s="27"/>
      <c r="HPN4" s="27"/>
      <c r="HPO4" s="27"/>
      <c r="HPP4" s="27"/>
      <c r="HPQ4" s="27"/>
      <c r="HPR4" s="27"/>
      <c r="HPS4" s="27"/>
      <c r="HPT4" s="27"/>
      <c r="HPU4" s="27"/>
      <c r="HPV4" s="27"/>
      <c r="HPW4" s="27"/>
      <c r="HPX4" s="27"/>
      <c r="HPY4" s="27"/>
      <c r="HPZ4" s="27"/>
      <c r="HQA4" s="27"/>
      <c r="HQB4" s="27"/>
      <c r="HQC4" s="27"/>
      <c r="HQD4" s="27"/>
      <c r="HQE4" s="27"/>
      <c r="HQF4" s="27"/>
      <c r="HQG4" s="27"/>
      <c r="HQH4" s="27"/>
      <c r="HQI4" s="27"/>
      <c r="HQJ4" s="27"/>
      <c r="HQK4" s="27"/>
      <c r="HQL4" s="27"/>
      <c r="HQM4" s="27"/>
      <c r="HQN4" s="27"/>
      <c r="HQO4" s="27"/>
      <c r="HQP4" s="27"/>
      <c r="HQQ4" s="27"/>
      <c r="HQR4" s="27"/>
      <c r="HQS4" s="27"/>
      <c r="HQT4" s="27"/>
      <c r="HQU4" s="27"/>
      <c r="HQV4" s="27"/>
      <c r="HQW4" s="27"/>
      <c r="HQX4" s="27"/>
      <c r="HQY4" s="27"/>
      <c r="HQZ4" s="27"/>
      <c r="HRA4" s="27"/>
      <c r="HRB4" s="27"/>
      <c r="HRC4" s="27"/>
      <c r="HRD4" s="27"/>
      <c r="HRE4" s="27"/>
      <c r="HRF4" s="27"/>
      <c r="HRG4" s="27"/>
      <c r="HRH4" s="27"/>
      <c r="HRI4" s="27"/>
      <c r="HRJ4" s="27"/>
      <c r="HRK4" s="27"/>
      <c r="HRL4" s="27"/>
      <c r="HRM4" s="27"/>
      <c r="HRN4" s="27"/>
      <c r="HRO4" s="27"/>
      <c r="HRP4" s="27"/>
      <c r="HRQ4" s="27"/>
      <c r="HRR4" s="27"/>
      <c r="HRS4" s="27"/>
      <c r="HRT4" s="27"/>
      <c r="HRU4" s="27"/>
      <c r="HRV4" s="27"/>
      <c r="HRW4" s="27"/>
      <c r="HRX4" s="27"/>
      <c r="HRY4" s="27"/>
      <c r="HRZ4" s="27"/>
      <c r="HSA4" s="27"/>
      <c r="HSB4" s="27"/>
      <c r="HSC4" s="27"/>
      <c r="HSD4" s="27"/>
      <c r="HSE4" s="27"/>
      <c r="HSF4" s="27"/>
      <c r="HSG4" s="27"/>
      <c r="HSH4" s="27"/>
      <c r="HSI4" s="27"/>
      <c r="HSJ4" s="27"/>
      <c r="HSK4" s="27"/>
      <c r="HSL4" s="27"/>
      <c r="HSM4" s="27"/>
      <c r="HSN4" s="27"/>
      <c r="HSO4" s="27"/>
      <c r="HSP4" s="27"/>
      <c r="HSQ4" s="27"/>
      <c r="HSR4" s="27"/>
      <c r="HSS4" s="27"/>
      <c r="HST4" s="27"/>
      <c r="HSU4" s="27"/>
      <c r="HSV4" s="27"/>
      <c r="HSW4" s="27"/>
      <c r="HSX4" s="27"/>
      <c r="HSY4" s="27"/>
      <c r="HSZ4" s="27"/>
      <c r="HTA4" s="27"/>
      <c r="HTB4" s="27"/>
      <c r="HTC4" s="27"/>
      <c r="HTD4" s="27"/>
      <c r="HTE4" s="27"/>
      <c r="HTF4" s="27"/>
      <c r="HTG4" s="27"/>
      <c r="HTH4" s="27"/>
      <c r="HTI4" s="27"/>
      <c r="HTJ4" s="27"/>
      <c r="HTK4" s="27"/>
      <c r="HTL4" s="27"/>
      <c r="HTM4" s="27"/>
      <c r="HTN4" s="27"/>
      <c r="HTO4" s="27"/>
      <c r="HTP4" s="27"/>
      <c r="HTQ4" s="27"/>
      <c r="HTR4" s="27"/>
      <c r="HTS4" s="27"/>
      <c r="HTT4" s="27"/>
      <c r="HTU4" s="27"/>
      <c r="HTV4" s="27"/>
      <c r="HTW4" s="27"/>
      <c r="HTX4" s="27"/>
      <c r="HTY4" s="27"/>
      <c r="HTZ4" s="27"/>
      <c r="HUA4" s="27"/>
      <c r="HUB4" s="27"/>
      <c r="HUC4" s="27"/>
      <c r="HUD4" s="27"/>
      <c r="HUE4" s="27"/>
      <c r="HUF4" s="27"/>
      <c r="HUG4" s="27"/>
      <c r="HUH4" s="27"/>
      <c r="HUI4" s="27"/>
      <c r="HUJ4" s="27"/>
      <c r="HUK4" s="27"/>
      <c r="HUL4" s="27"/>
      <c r="HUM4" s="27"/>
      <c r="HUN4" s="27"/>
      <c r="HUO4" s="27"/>
      <c r="HUP4" s="27"/>
      <c r="HUQ4" s="27"/>
      <c r="HUR4" s="27"/>
      <c r="HUS4" s="27"/>
      <c r="HUT4" s="27"/>
      <c r="HUU4" s="27"/>
      <c r="HUV4" s="27"/>
      <c r="HUW4" s="27"/>
      <c r="HUX4" s="27"/>
      <c r="HUY4" s="27"/>
      <c r="HUZ4" s="27"/>
      <c r="HVA4" s="27"/>
      <c r="HVB4" s="27"/>
      <c r="HVC4" s="27"/>
      <c r="HVD4" s="27"/>
      <c r="HVE4" s="27"/>
      <c r="HVF4" s="27"/>
      <c r="HVG4" s="27"/>
      <c r="HVH4" s="27"/>
      <c r="HVI4" s="27"/>
      <c r="HVJ4" s="27"/>
      <c r="HVK4" s="27"/>
      <c r="HVL4" s="27"/>
      <c r="HVM4" s="27"/>
      <c r="HVN4" s="27"/>
      <c r="HVO4" s="27"/>
      <c r="HVP4" s="27"/>
      <c r="HVQ4" s="27"/>
      <c r="HVR4" s="27"/>
      <c r="HVS4" s="27"/>
      <c r="HVT4" s="27"/>
      <c r="HVU4" s="27"/>
      <c r="HVV4" s="27"/>
      <c r="HVW4" s="27"/>
      <c r="HVX4" s="27"/>
      <c r="HVY4" s="27"/>
      <c r="HVZ4" s="27"/>
      <c r="HWA4" s="27"/>
      <c r="HWB4" s="27"/>
      <c r="HWC4" s="27"/>
      <c r="HWD4" s="27"/>
      <c r="HWE4" s="27"/>
      <c r="HWF4" s="27"/>
      <c r="HWG4" s="27"/>
      <c r="HWH4" s="27"/>
      <c r="HWI4" s="27"/>
      <c r="HWJ4" s="27"/>
      <c r="HWK4" s="27"/>
      <c r="HWL4" s="27"/>
      <c r="HWM4" s="27"/>
      <c r="HWN4" s="27"/>
      <c r="HWO4" s="27"/>
      <c r="HWP4" s="27"/>
      <c r="HWQ4" s="27"/>
      <c r="HWR4" s="27"/>
      <c r="HWS4" s="27"/>
      <c r="HWT4" s="27"/>
      <c r="HWU4" s="27"/>
      <c r="HWV4" s="27"/>
      <c r="HWW4" s="27"/>
      <c r="HWX4" s="27"/>
      <c r="HWY4" s="27"/>
      <c r="HWZ4" s="27"/>
      <c r="HXA4" s="27"/>
      <c r="HXB4" s="27"/>
      <c r="HXC4" s="27"/>
      <c r="HXD4" s="27"/>
      <c r="HXE4" s="27"/>
      <c r="HXF4" s="27"/>
      <c r="HXG4" s="27"/>
      <c r="HXH4" s="27"/>
      <c r="HXI4" s="27"/>
      <c r="HXJ4" s="27"/>
      <c r="HXK4" s="27"/>
      <c r="HXL4" s="27"/>
      <c r="HXM4" s="27"/>
      <c r="HXN4" s="27"/>
      <c r="HXO4" s="27"/>
      <c r="HXP4" s="27"/>
      <c r="HXQ4" s="27"/>
      <c r="HXR4" s="27"/>
      <c r="HXS4" s="27"/>
      <c r="HXT4" s="27"/>
      <c r="HXU4" s="27"/>
      <c r="HXV4" s="27"/>
      <c r="HXW4" s="27"/>
      <c r="HXX4" s="27"/>
      <c r="HXY4" s="27"/>
      <c r="HXZ4" s="27"/>
      <c r="HYA4" s="27"/>
      <c r="HYB4" s="27"/>
      <c r="HYC4" s="27"/>
      <c r="HYD4" s="27"/>
      <c r="HYE4" s="27"/>
      <c r="HYF4" s="27"/>
      <c r="HYG4" s="27"/>
      <c r="HYH4" s="27"/>
      <c r="HYI4" s="27"/>
      <c r="HYJ4" s="27"/>
      <c r="HYK4" s="27"/>
      <c r="HYL4" s="27"/>
      <c r="HYM4" s="27"/>
      <c r="HYN4" s="27"/>
      <c r="HYO4" s="27"/>
      <c r="HYP4" s="27"/>
      <c r="HYQ4" s="27"/>
      <c r="HYR4" s="27"/>
      <c r="HYS4" s="27"/>
      <c r="HYT4" s="27"/>
      <c r="HYU4" s="27"/>
      <c r="HYV4" s="27"/>
      <c r="HYW4" s="27"/>
      <c r="HYX4" s="27"/>
      <c r="HYY4" s="27"/>
      <c r="HYZ4" s="27"/>
      <c r="HZA4" s="27"/>
      <c r="HZB4" s="27"/>
      <c r="HZC4" s="27"/>
      <c r="HZD4" s="27"/>
      <c r="HZE4" s="27"/>
      <c r="HZF4" s="27"/>
      <c r="HZG4" s="27"/>
      <c r="HZH4" s="27"/>
      <c r="HZI4" s="27"/>
      <c r="HZJ4" s="27"/>
      <c r="HZK4" s="27"/>
      <c r="HZL4" s="27"/>
      <c r="HZM4" s="27"/>
      <c r="HZN4" s="27"/>
      <c r="HZO4" s="27"/>
      <c r="HZP4" s="27"/>
      <c r="HZQ4" s="27"/>
      <c r="HZR4" s="27"/>
      <c r="HZS4" s="27"/>
      <c r="HZT4" s="27"/>
      <c r="HZU4" s="27"/>
      <c r="HZV4" s="27"/>
      <c r="HZW4" s="27"/>
      <c r="HZX4" s="27"/>
      <c r="HZY4" s="27"/>
      <c r="HZZ4" s="27"/>
      <c r="IAA4" s="27"/>
      <c r="IAB4" s="27"/>
      <c r="IAC4" s="27"/>
      <c r="IAD4" s="27"/>
      <c r="IAE4" s="27"/>
      <c r="IAF4" s="27"/>
      <c r="IAG4" s="27"/>
      <c r="IAH4" s="27"/>
      <c r="IAI4" s="27"/>
      <c r="IAJ4" s="27"/>
      <c r="IAK4" s="27"/>
      <c r="IAL4" s="27"/>
      <c r="IAM4" s="27"/>
      <c r="IAN4" s="27"/>
      <c r="IAO4" s="27"/>
      <c r="IAP4" s="27"/>
      <c r="IAQ4" s="27"/>
      <c r="IAR4" s="27"/>
      <c r="IAS4" s="27"/>
      <c r="IAT4" s="27"/>
      <c r="IAU4" s="27"/>
      <c r="IAV4" s="27"/>
      <c r="IAW4" s="27"/>
      <c r="IAX4" s="27"/>
      <c r="IAY4" s="27"/>
      <c r="IAZ4" s="27"/>
      <c r="IBA4" s="27"/>
      <c r="IBB4" s="27"/>
      <c r="IBC4" s="27"/>
      <c r="IBD4" s="27"/>
      <c r="IBE4" s="27"/>
      <c r="IBF4" s="27"/>
      <c r="IBG4" s="27"/>
      <c r="IBH4" s="27"/>
      <c r="IBI4" s="27"/>
      <c r="IBJ4" s="27"/>
      <c r="IBK4" s="27"/>
      <c r="IBL4" s="27"/>
      <c r="IBM4" s="27"/>
      <c r="IBN4" s="27"/>
      <c r="IBO4" s="27"/>
      <c r="IBP4" s="27"/>
      <c r="IBQ4" s="27"/>
      <c r="IBR4" s="27"/>
      <c r="IBS4" s="27"/>
      <c r="IBT4" s="27"/>
      <c r="IBU4" s="27"/>
      <c r="IBV4" s="27"/>
      <c r="IBW4" s="27"/>
      <c r="IBX4" s="27"/>
      <c r="IBY4" s="27"/>
      <c r="IBZ4" s="27"/>
      <c r="ICA4" s="27"/>
      <c r="ICB4" s="27"/>
      <c r="ICC4" s="27"/>
      <c r="ICD4" s="27"/>
      <c r="ICE4" s="27"/>
      <c r="ICF4" s="27"/>
      <c r="ICG4" s="27"/>
      <c r="ICH4" s="27"/>
      <c r="ICI4" s="27"/>
      <c r="ICJ4" s="27"/>
      <c r="ICK4" s="27"/>
      <c r="ICL4" s="27"/>
      <c r="ICM4" s="27"/>
      <c r="ICN4" s="27"/>
      <c r="ICO4" s="27"/>
      <c r="ICP4" s="27"/>
      <c r="ICQ4" s="27"/>
      <c r="ICR4" s="27"/>
      <c r="ICS4" s="27"/>
      <c r="ICT4" s="27"/>
      <c r="ICU4" s="27"/>
      <c r="ICV4" s="27"/>
      <c r="ICW4" s="27"/>
      <c r="ICX4" s="27"/>
      <c r="ICY4" s="27"/>
      <c r="ICZ4" s="27"/>
      <c r="IDA4" s="27"/>
      <c r="IDB4" s="27"/>
      <c r="IDC4" s="27"/>
      <c r="IDD4" s="27"/>
      <c r="IDE4" s="27"/>
      <c r="IDF4" s="27"/>
      <c r="IDG4" s="27"/>
      <c r="IDH4" s="27"/>
      <c r="IDI4" s="27"/>
      <c r="IDJ4" s="27"/>
      <c r="IDK4" s="27"/>
      <c r="IDL4" s="27"/>
      <c r="IDM4" s="27"/>
      <c r="IDN4" s="27"/>
      <c r="IDO4" s="27"/>
      <c r="IDP4" s="27"/>
      <c r="IDQ4" s="27"/>
      <c r="IDR4" s="27"/>
      <c r="IDS4" s="27"/>
      <c r="IDT4" s="27"/>
      <c r="IDU4" s="27"/>
      <c r="IDV4" s="27"/>
      <c r="IDW4" s="27"/>
      <c r="IDX4" s="27"/>
      <c r="IDY4" s="27"/>
      <c r="IDZ4" s="27"/>
      <c r="IEA4" s="27"/>
      <c r="IEB4" s="27"/>
      <c r="IEC4" s="27"/>
      <c r="IED4" s="27"/>
      <c r="IEE4" s="27"/>
      <c r="IEF4" s="27"/>
      <c r="IEG4" s="27"/>
      <c r="IEH4" s="27"/>
      <c r="IEI4" s="27"/>
      <c r="IEJ4" s="27"/>
      <c r="IEK4" s="27"/>
      <c r="IEL4" s="27"/>
      <c r="IEM4" s="27"/>
      <c r="IEN4" s="27"/>
      <c r="IEO4" s="27"/>
      <c r="IEP4" s="27"/>
      <c r="IEQ4" s="27"/>
      <c r="IER4" s="27"/>
      <c r="IES4" s="27"/>
      <c r="IET4" s="27"/>
      <c r="IEU4" s="27"/>
      <c r="IEV4" s="27"/>
      <c r="IEW4" s="27"/>
      <c r="IEX4" s="27"/>
      <c r="IEY4" s="27"/>
      <c r="IEZ4" s="27"/>
      <c r="IFA4" s="27"/>
      <c r="IFB4" s="27"/>
      <c r="IFC4" s="27"/>
      <c r="IFD4" s="27"/>
      <c r="IFE4" s="27"/>
      <c r="IFF4" s="27"/>
      <c r="IFG4" s="27"/>
      <c r="IFH4" s="27"/>
      <c r="IFI4" s="27"/>
      <c r="IFJ4" s="27"/>
      <c r="IFK4" s="27"/>
      <c r="IFL4" s="27"/>
      <c r="IFM4" s="27"/>
      <c r="IFN4" s="27"/>
      <c r="IFO4" s="27"/>
      <c r="IFP4" s="27"/>
      <c r="IFQ4" s="27"/>
      <c r="IFR4" s="27"/>
      <c r="IFS4" s="27"/>
      <c r="IFT4" s="27"/>
      <c r="IFU4" s="27"/>
      <c r="IFV4" s="27"/>
      <c r="IFW4" s="27"/>
      <c r="IFX4" s="27"/>
      <c r="IFY4" s="27"/>
      <c r="IFZ4" s="27"/>
      <c r="IGA4" s="27"/>
      <c r="IGB4" s="27"/>
      <c r="IGC4" s="27"/>
      <c r="IGD4" s="27"/>
      <c r="IGE4" s="27"/>
      <c r="IGF4" s="27"/>
      <c r="IGG4" s="27"/>
      <c r="IGH4" s="27"/>
      <c r="IGI4" s="27"/>
      <c r="IGJ4" s="27"/>
      <c r="IGK4" s="27"/>
      <c r="IGL4" s="27"/>
      <c r="IGM4" s="27"/>
      <c r="IGN4" s="27"/>
      <c r="IGO4" s="27"/>
      <c r="IGP4" s="27"/>
      <c r="IGQ4" s="27"/>
      <c r="IGR4" s="27"/>
      <c r="IGS4" s="27"/>
      <c r="IGT4" s="27"/>
      <c r="IGU4" s="27"/>
      <c r="IGV4" s="27"/>
      <c r="IGW4" s="27"/>
      <c r="IGX4" s="27"/>
      <c r="IGY4" s="27"/>
      <c r="IGZ4" s="27"/>
      <c r="IHA4" s="27"/>
      <c r="IHB4" s="27"/>
      <c r="IHC4" s="27"/>
      <c r="IHD4" s="27"/>
      <c r="IHE4" s="27"/>
      <c r="IHF4" s="27"/>
      <c r="IHG4" s="27"/>
      <c r="IHH4" s="27"/>
      <c r="IHI4" s="27"/>
      <c r="IHJ4" s="27"/>
      <c r="IHK4" s="27"/>
      <c r="IHL4" s="27"/>
      <c r="IHM4" s="27"/>
      <c r="IHN4" s="27"/>
      <c r="IHO4" s="27"/>
      <c r="IHP4" s="27"/>
      <c r="IHQ4" s="27"/>
      <c r="IHR4" s="27"/>
      <c r="IHS4" s="27"/>
      <c r="IHT4" s="27"/>
      <c r="IHU4" s="27"/>
      <c r="IHV4" s="27"/>
      <c r="IHW4" s="27"/>
      <c r="IHX4" s="27"/>
      <c r="IHY4" s="27"/>
      <c r="IHZ4" s="27"/>
      <c r="IIA4" s="27"/>
      <c r="IIB4" s="27"/>
      <c r="IIC4" s="27"/>
      <c r="IID4" s="27"/>
      <c r="IIE4" s="27"/>
      <c r="IIF4" s="27"/>
      <c r="IIG4" s="27"/>
      <c r="IIH4" s="27"/>
      <c r="III4" s="27"/>
      <c r="IIJ4" s="27"/>
      <c r="IIK4" s="27"/>
      <c r="IIL4" s="27"/>
      <c r="IIM4" s="27"/>
      <c r="IIN4" s="27"/>
      <c r="IIO4" s="27"/>
      <c r="IIP4" s="27"/>
      <c r="IIQ4" s="27"/>
      <c r="IIR4" s="27"/>
      <c r="IIS4" s="27"/>
      <c r="IIT4" s="27"/>
      <c r="IIU4" s="27"/>
      <c r="IIV4" s="27"/>
      <c r="IIW4" s="27"/>
      <c r="IIX4" s="27"/>
      <c r="IIY4" s="27"/>
      <c r="IIZ4" s="27"/>
      <c r="IJA4" s="27"/>
      <c r="IJB4" s="27"/>
      <c r="IJC4" s="27"/>
      <c r="IJD4" s="27"/>
      <c r="IJE4" s="27"/>
      <c r="IJF4" s="27"/>
      <c r="IJG4" s="27"/>
      <c r="IJH4" s="27"/>
      <c r="IJI4" s="27"/>
      <c r="IJJ4" s="27"/>
      <c r="IJK4" s="27"/>
      <c r="IJL4" s="27"/>
      <c r="IJM4" s="27"/>
      <c r="IJN4" s="27"/>
      <c r="IJO4" s="27"/>
      <c r="IJP4" s="27"/>
      <c r="IJQ4" s="27"/>
      <c r="IJR4" s="27"/>
      <c r="IJS4" s="27"/>
      <c r="IJT4" s="27"/>
      <c r="IJU4" s="27"/>
      <c r="IJV4" s="27"/>
      <c r="IJW4" s="27"/>
      <c r="IJX4" s="27"/>
      <c r="IJY4" s="27"/>
      <c r="IJZ4" s="27"/>
      <c r="IKA4" s="27"/>
      <c r="IKB4" s="27"/>
      <c r="IKC4" s="27"/>
      <c r="IKD4" s="27"/>
      <c r="IKE4" s="27"/>
      <c r="IKF4" s="27"/>
      <c r="IKG4" s="27"/>
      <c r="IKH4" s="27"/>
      <c r="IKI4" s="27"/>
      <c r="IKJ4" s="27"/>
      <c r="IKK4" s="27"/>
      <c r="IKL4" s="27"/>
      <c r="IKM4" s="27"/>
      <c r="IKN4" s="27"/>
      <c r="IKO4" s="27"/>
      <c r="IKP4" s="27"/>
      <c r="IKQ4" s="27"/>
      <c r="IKR4" s="27"/>
      <c r="IKS4" s="27"/>
      <c r="IKT4" s="27"/>
      <c r="IKU4" s="27"/>
      <c r="IKV4" s="27"/>
      <c r="IKW4" s="27"/>
      <c r="IKX4" s="27"/>
      <c r="IKY4" s="27"/>
      <c r="IKZ4" s="27"/>
      <c r="ILA4" s="27"/>
      <c r="ILB4" s="27"/>
      <c r="ILC4" s="27"/>
      <c r="ILD4" s="27"/>
      <c r="ILE4" s="27"/>
      <c r="ILF4" s="27"/>
      <c r="ILG4" s="27"/>
      <c r="ILH4" s="27"/>
      <c r="ILI4" s="27"/>
      <c r="ILJ4" s="27"/>
      <c r="ILK4" s="27"/>
      <c r="ILL4" s="27"/>
      <c r="ILM4" s="27"/>
      <c r="ILN4" s="27"/>
      <c r="ILO4" s="27"/>
      <c r="ILP4" s="27"/>
      <c r="ILQ4" s="27"/>
      <c r="ILR4" s="27"/>
      <c r="ILS4" s="27"/>
      <c r="ILT4" s="27"/>
      <c r="ILU4" s="27"/>
      <c r="ILV4" s="27"/>
      <c r="ILW4" s="27"/>
      <c r="ILX4" s="27"/>
      <c r="ILY4" s="27"/>
      <c r="ILZ4" s="27"/>
      <c r="IMA4" s="27"/>
      <c r="IMB4" s="27"/>
      <c r="IMC4" s="27"/>
      <c r="IMD4" s="27"/>
      <c r="IME4" s="27"/>
      <c r="IMF4" s="27"/>
      <c r="IMG4" s="27"/>
      <c r="IMH4" s="27"/>
      <c r="IMI4" s="27"/>
      <c r="IMJ4" s="27"/>
      <c r="IMK4" s="27"/>
      <c r="IML4" s="27"/>
      <c r="IMM4" s="27"/>
      <c r="IMN4" s="27"/>
      <c r="IMO4" s="27"/>
      <c r="IMP4" s="27"/>
      <c r="IMQ4" s="27"/>
      <c r="IMR4" s="27"/>
      <c r="IMS4" s="27"/>
      <c r="IMT4" s="27"/>
      <c r="IMU4" s="27"/>
      <c r="IMV4" s="27"/>
      <c r="IMW4" s="27"/>
      <c r="IMX4" s="27"/>
      <c r="IMY4" s="27"/>
      <c r="IMZ4" s="27"/>
      <c r="INA4" s="27"/>
      <c r="INB4" s="27"/>
      <c r="INC4" s="27"/>
      <c r="IND4" s="27"/>
      <c r="INE4" s="27"/>
      <c r="INF4" s="27"/>
      <c r="ING4" s="27"/>
      <c r="INH4" s="27"/>
      <c r="INI4" s="27"/>
      <c r="INJ4" s="27"/>
      <c r="INK4" s="27"/>
      <c r="INL4" s="27"/>
      <c r="INM4" s="27"/>
      <c r="INN4" s="27"/>
      <c r="INO4" s="27"/>
      <c r="INP4" s="27"/>
      <c r="INQ4" s="27"/>
      <c r="INR4" s="27"/>
      <c r="INS4" s="27"/>
      <c r="INT4" s="27"/>
      <c r="INU4" s="27"/>
      <c r="INV4" s="27"/>
      <c r="INW4" s="27"/>
      <c r="INX4" s="27"/>
      <c r="INY4" s="27"/>
      <c r="INZ4" s="27"/>
      <c r="IOA4" s="27"/>
      <c r="IOB4" s="27"/>
      <c r="IOC4" s="27"/>
      <c r="IOD4" s="27"/>
      <c r="IOE4" s="27"/>
      <c r="IOF4" s="27"/>
      <c r="IOG4" s="27"/>
      <c r="IOH4" s="27"/>
      <c r="IOI4" s="27"/>
      <c r="IOJ4" s="27"/>
      <c r="IOK4" s="27"/>
      <c r="IOL4" s="27"/>
      <c r="IOM4" s="27"/>
      <c r="ION4" s="27"/>
      <c r="IOO4" s="27"/>
      <c r="IOP4" s="27"/>
      <c r="IOQ4" s="27"/>
      <c r="IOR4" s="27"/>
      <c r="IOS4" s="27"/>
      <c r="IOT4" s="27"/>
      <c r="IOU4" s="27"/>
      <c r="IOV4" s="27"/>
      <c r="IOW4" s="27"/>
      <c r="IOX4" s="27"/>
      <c r="IOY4" s="27"/>
      <c r="IOZ4" s="27"/>
      <c r="IPA4" s="27"/>
      <c r="IPB4" s="27"/>
      <c r="IPC4" s="27"/>
      <c r="IPD4" s="27"/>
      <c r="IPE4" s="27"/>
      <c r="IPF4" s="27"/>
      <c r="IPG4" s="27"/>
      <c r="IPH4" s="27"/>
      <c r="IPI4" s="27"/>
      <c r="IPJ4" s="27"/>
      <c r="IPK4" s="27"/>
      <c r="IPL4" s="27"/>
      <c r="IPM4" s="27"/>
      <c r="IPN4" s="27"/>
      <c r="IPO4" s="27"/>
      <c r="IPP4" s="27"/>
      <c r="IPQ4" s="27"/>
      <c r="IPR4" s="27"/>
      <c r="IPS4" s="27"/>
      <c r="IPT4" s="27"/>
      <c r="IPU4" s="27"/>
      <c r="IPV4" s="27"/>
      <c r="IPW4" s="27"/>
      <c r="IPX4" s="27"/>
      <c r="IPY4" s="27"/>
      <c r="IPZ4" s="27"/>
      <c r="IQA4" s="27"/>
      <c r="IQB4" s="27"/>
      <c r="IQC4" s="27"/>
      <c r="IQD4" s="27"/>
      <c r="IQE4" s="27"/>
      <c r="IQF4" s="27"/>
      <c r="IQG4" s="27"/>
      <c r="IQH4" s="27"/>
      <c r="IQI4" s="27"/>
      <c r="IQJ4" s="27"/>
      <c r="IQK4" s="27"/>
      <c r="IQL4" s="27"/>
      <c r="IQM4" s="27"/>
      <c r="IQN4" s="27"/>
      <c r="IQO4" s="27"/>
      <c r="IQP4" s="27"/>
      <c r="IQQ4" s="27"/>
      <c r="IQR4" s="27"/>
      <c r="IQS4" s="27"/>
      <c r="IQT4" s="27"/>
      <c r="IQU4" s="27"/>
      <c r="IQV4" s="27"/>
      <c r="IQW4" s="27"/>
      <c r="IQX4" s="27"/>
      <c r="IQY4" s="27"/>
      <c r="IQZ4" s="27"/>
      <c r="IRA4" s="27"/>
      <c r="IRB4" s="27"/>
      <c r="IRC4" s="27"/>
      <c r="IRD4" s="27"/>
      <c r="IRE4" s="27"/>
      <c r="IRF4" s="27"/>
      <c r="IRG4" s="27"/>
      <c r="IRH4" s="27"/>
      <c r="IRI4" s="27"/>
      <c r="IRJ4" s="27"/>
      <c r="IRK4" s="27"/>
      <c r="IRL4" s="27"/>
      <c r="IRM4" s="27"/>
      <c r="IRN4" s="27"/>
      <c r="IRO4" s="27"/>
      <c r="IRP4" s="27"/>
      <c r="IRQ4" s="27"/>
      <c r="IRR4" s="27"/>
      <c r="IRS4" s="27"/>
      <c r="IRT4" s="27"/>
      <c r="IRU4" s="27"/>
      <c r="IRV4" s="27"/>
      <c r="IRW4" s="27"/>
      <c r="IRX4" s="27"/>
      <c r="IRY4" s="27"/>
      <c r="IRZ4" s="27"/>
      <c r="ISA4" s="27"/>
      <c r="ISB4" s="27"/>
      <c r="ISC4" s="27"/>
      <c r="ISD4" s="27"/>
      <c r="ISE4" s="27"/>
      <c r="ISF4" s="27"/>
      <c r="ISG4" s="27"/>
      <c r="ISH4" s="27"/>
      <c r="ISI4" s="27"/>
      <c r="ISJ4" s="27"/>
      <c r="ISK4" s="27"/>
      <c r="ISL4" s="27"/>
      <c r="ISM4" s="27"/>
      <c r="ISN4" s="27"/>
      <c r="ISO4" s="27"/>
      <c r="ISP4" s="27"/>
      <c r="ISQ4" s="27"/>
      <c r="ISR4" s="27"/>
      <c r="ISS4" s="27"/>
      <c r="IST4" s="27"/>
      <c r="ISU4" s="27"/>
      <c r="ISV4" s="27"/>
      <c r="ISW4" s="27"/>
      <c r="ISX4" s="27"/>
      <c r="ISY4" s="27"/>
      <c r="ISZ4" s="27"/>
      <c r="ITA4" s="27"/>
      <c r="ITB4" s="27"/>
      <c r="ITC4" s="27"/>
      <c r="ITD4" s="27"/>
      <c r="ITE4" s="27"/>
      <c r="ITF4" s="27"/>
      <c r="ITG4" s="27"/>
      <c r="ITH4" s="27"/>
      <c r="ITI4" s="27"/>
      <c r="ITJ4" s="27"/>
      <c r="ITK4" s="27"/>
      <c r="ITL4" s="27"/>
      <c r="ITM4" s="27"/>
      <c r="ITN4" s="27"/>
      <c r="ITO4" s="27"/>
      <c r="ITP4" s="27"/>
      <c r="ITQ4" s="27"/>
      <c r="ITR4" s="27"/>
      <c r="ITS4" s="27"/>
      <c r="ITT4" s="27"/>
      <c r="ITU4" s="27"/>
      <c r="ITV4" s="27"/>
      <c r="ITW4" s="27"/>
      <c r="ITX4" s="27"/>
      <c r="ITY4" s="27"/>
      <c r="ITZ4" s="27"/>
      <c r="IUA4" s="27"/>
      <c r="IUB4" s="27"/>
      <c r="IUC4" s="27"/>
      <c r="IUD4" s="27"/>
      <c r="IUE4" s="27"/>
      <c r="IUF4" s="27"/>
      <c r="IUG4" s="27"/>
      <c r="IUH4" s="27"/>
      <c r="IUI4" s="27"/>
      <c r="IUJ4" s="27"/>
      <c r="IUK4" s="27"/>
      <c r="IUL4" s="27"/>
      <c r="IUM4" s="27"/>
      <c r="IUN4" s="27"/>
      <c r="IUO4" s="27"/>
      <c r="IUP4" s="27"/>
      <c r="IUQ4" s="27"/>
      <c r="IUR4" s="27"/>
      <c r="IUS4" s="27"/>
      <c r="IUT4" s="27"/>
      <c r="IUU4" s="27"/>
      <c r="IUV4" s="27"/>
      <c r="IUW4" s="27"/>
      <c r="IUX4" s="27"/>
      <c r="IUY4" s="27"/>
      <c r="IUZ4" s="27"/>
      <c r="IVA4" s="27"/>
      <c r="IVB4" s="27"/>
      <c r="IVC4" s="27"/>
      <c r="IVD4" s="27"/>
      <c r="IVE4" s="27"/>
      <c r="IVF4" s="27"/>
      <c r="IVG4" s="27"/>
      <c r="IVH4" s="27"/>
      <c r="IVI4" s="27"/>
      <c r="IVJ4" s="27"/>
      <c r="IVK4" s="27"/>
      <c r="IVL4" s="27"/>
      <c r="IVM4" s="27"/>
      <c r="IVN4" s="27"/>
      <c r="IVO4" s="27"/>
      <c r="IVP4" s="27"/>
      <c r="IVQ4" s="27"/>
      <c r="IVR4" s="27"/>
      <c r="IVS4" s="27"/>
      <c r="IVT4" s="27"/>
      <c r="IVU4" s="27"/>
      <c r="IVV4" s="27"/>
      <c r="IVW4" s="27"/>
      <c r="IVX4" s="27"/>
      <c r="IVY4" s="27"/>
      <c r="IVZ4" s="27"/>
      <c r="IWA4" s="27"/>
      <c r="IWB4" s="27"/>
      <c r="IWC4" s="27"/>
      <c r="IWD4" s="27"/>
      <c r="IWE4" s="27"/>
      <c r="IWF4" s="27"/>
      <c r="IWG4" s="27"/>
      <c r="IWH4" s="27"/>
      <c r="IWI4" s="27"/>
      <c r="IWJ4" s="27"/>
      <c r="IWK4" s="27"/>
      <c r="IWL4" s="27"/>
      <c r="IWM4" s="27"/>
      <c r="IWN4" s="27"/>
      <c r="IWO4" s="27"/>
      <c r="IWP4" s="27"/>
      <c r="IWQ4" s="27"/>
      <c r="IWR4" s="27"/>
      <c r="IWS4" s="27"/>
      <c r="IWT4" s="27"/>
      <c r="IWU4" s="27"/>
      <c r="IWV4" s="27"/>
      <c r="IWW4" s="27"/>
      <c r="IWX4" s="27"/>
      <c r="IWY4" s="27"/>
      <c r="IWZ4" s="27"/>
      <c r="IXA4" s="27"/>
      <c r="IXB4" s="27"/>
      <c r="IXC4" s="27"/>
      <c r="IXD4" s="27"/>
      <c r="IXE4" s="27"/>
      <c r="IXF4" s="27"/>
      <c r="IXG4" s="27"/>
      <c r="IXH4" s="27"/>
      <c r="IXI4" s="27"/>
      <c r="IXJ4" s="27"/>
      <c r="IXK4" s="27"/>
      <c r="IXL4" s="27"/>
      <c r="IXM4" s="27"/>
      <c r="IXN4" s="27"/>
      <c r="IXO4" s="27"/>
      <c r="IXP4" s="27"/>
      <c r="IXQ4" s="27"/>
      <c r="IXR4" s="27"/>
      <c r="IXS4" s="27"/>
      <c r="IXT4" s="27"/>
      <c r="IXU4" s="27"/>
      <c r="IXV4" s="27"/>
      <c r="IXW4" s="27"/>
      <c r="IXX4" s="27"/>
      <c r="IXY4" s="27"/>
      <c r="IXZ4" s="27"/>
      <c r="IYA4" s="27"/>
      <c r="IYB4" s="27"/>
      <c r="IYC4" s="27"/>
      <c r="IYD4" s="27"/>
      <c r="IYE4" s="27"/>
      <c r="IYF4" s="27"/>
      <c r="IYG4" s="27"/>
      <c r="IYH4" s="27"/>
      <c r="IYI4" s="27"/>
      <c r="IYJ4" s="27"/>
      <c r="IYK4" s="27"/>
      <c r="IYL4" s="27"/>
      <c r="IYM4" s="27"/>
      <c r="IYN4" s="27"/>
      <c r="IYO4" s="27"/>
      <c r="IYP4" s="27"/>
      <c r="IYQ4" s="27"/>
      <c r="IYR4" s="27"/>
      <c r="IYS4" s="27"/>
      <c r="IYT4" s="27"/>
      <c r="IYU4" s="27"/>
      <c r="IYV4" s="27"/>
      <c r="IYW4" s="27"/>
      <c r="IYX4" s="27"/>
      <c r="IYY4" s="27"/>
      <c r="IYZ4" s="27"/>
      <c r="IZA4" s="27"/>
      <c r="IZB4" s="27"/>
      <c r="IZC4" s="27"/>
      <c r="IZD4" s="27"/>
      <c r="IZE4" s="27"/>
      <c r="IZF4" s="27"/>
      <c r="IZG4" s="27"/>
      <c r="IZH4" s="27"/>
      <c r="IZI4" s="27"/>
      <c r="IZJ4" s="27"/>
      <c r="IZK4" s="27"/>
      <c r="IZL4" s="27"/>
      <c r="IZM4" s="27"/>
      <c r="IZN4" s="27"/>
      <c r="IZO4" s="27"/>
      <c r="IZP4" s="27"/>
      <c r="IZQ4" s="27"/>
      <c r="IZR4" s="27"/>
      <c r="IZS4" s="27"/>
      <c r="IZT4" s="27"/>
      <c r="IZU4" s="27"/>
      <c r="IZV4" s="27"/>
      <c r="IZW4" s="27"/>
      <c r="IZX4" s="27"/>
      <c r="IZY4" s="27"/>
      <c r="IZZ4" s="27"/>
      <c r="JAA4" s="27"/>
      <c r="JAB4" s="27"/>
      <c r="JAC4" s="27"/>
      <c r="JAD4" s="27"/>
      <c r="JAE4" s="27"/>
      <c r="JAF4" s="27"/>
      <c r="JAG4" s="27"/>
      <c r="JAH4" s="27"/>
      <c r="JAI4" s="27"/>
      <c r="JAJ4" s="27"/>
      <c r="JAK4" s="27"/>
      <c r="JAL4" s="27"/>
      <c r="JAM4" s="27"/>
      <c r="JAN4" s="27"/>
      <c r="JAO4" s="27"/>
      <c r="JAP4" s="27"/>
      <c r="JAQ4" s="27"/>
      <c r="JAR4" s="27"/>
      <c r="JAS4" s="27"/>
      <c r="JAT4" s="27"/>
      <c r="JAU4" s="27"/>
      <c r="JAV4" s="27"/>
      <c r="JAW4" s="27"/>
      <c r="JAX4" s="27"/>
      <c r="JAY4" s="27"/>
      <c r="JAZ4" s="27"/>
      <c r="JBA4" s="27"/>
      <c r="JBB4" s="27"/>
      <c r="JBC4" s="27"/>
      <c r="JBD4" s="27"/>
      <c r="JBE4" s="27"/>
      <c r="JBF4" s="27"/>
      <c r="JBG4" s="27"/>
      <c r="JBH4" s="27"/>
      <c r="JBI4" s="27"/>
      <c r="JBJ4" s="27"/>
      <c r="JBK4" s="27"/>
      <c r="JBL4" s="27"/>
      <c r="JBM4" s="27"/>
      <c r="JBN4" s="27"/>
      <c r="JBO4" s="27"/>
      <c r="JBP4" s="27"/>
      <c r="JBQ4" s="27"/>
      <c r="JBR4" s="27"/>
      <c r="JBS4" s="27"/>
      <c r="JBT4" s="27"/>
      <c r="JBU4" s="27"/>
      <c r="JBV4" s="27"/>
      <c r="JBW4" s="27"/>
      <c r="JBX4" s="27"/>
      <c r="JBY4" s="27"/>
      <c r="JBZ4" s="27"/>
      <c r="JCA4" s="27"/>
      <c r="JCB4" s="27"/>
      <c r="JCC4" s="27"/>
      <c r="JCD4" s="27"/>
      <c r="JCE4" s="27"/>
      <c r="JCF4" s="27"/>
      <c r="JCG4" s="27"/>
      <c r="JCH4" s="27"/>
      <c r="JCI4" s="27"/>
      <c r="JCJ4" s="27"/>
      <c r="JCK4" s="27"/>
      <c r="JCL4" s="27"/>
      <c r="JCM4" s="27"/>
      <c r="JCN4" s="27"/>
      <c r="JCO4" s="27"/>
      <c r="JCP4" s="27"/>
      <c r="JCQ4" s="27"/>
      <c r="JCR4" s="27"/>
      <c r="JCS4" s="27"/>
      <c r="JCT4" s="27"/>
      <c r="JCU4" s="27"/>
      <c r="JCV4" s="27"/>
      <c r="JCW4" s="27"/>
      <c r="JCX4" s="27"/>
      <c r="JCY4" s="27"/>
      <c r="JCZ4" s="27"/>
      <c r="JDA4" s="27"/>
      <c r="JDB4" s="27"/>
      <c r="JDC4" s="27"/>
      <c r="JDD4" s="27"/>
      <c r="JDE4" s="27"/>
      <c r="JDF4" s="27"/>
      <c r="JDG4" s="27"/>
      <c r="JDH4" s="27"/>
      <c r="JDI4" s="27"/>
      <c r="JDJ4" s="27"/>
      <c r="JDK4" s="27"/>
      <c r="JDL4" s="27"/>
      <c r="JDM4" s="27"/>
      <c r="JDN4" s="27"/>
      <c r="JDO4" s="27"/>
      <c r="JDP4" s="27"/>
      <c r="JDQ4" s="27"/>
      <c r="JDR4" s="27"/>
      <c r="JDS4" s="27"/>
      <c r="JDT4" s="27"/>
      <c r="JDU4" s="27"/>
      <c r="JDV4" s="27"/>
      <c r="JDW4" s="27"/>
      <c r="JDX4" s="27"/>
      <c r="JDY4" s="27"/>
      <c r="JDZ4" s="27"/>
      <c r="JEA4" s="27"/>
      <c r="JEB4" s="27"/>
      <c r="JEC4" s="27"/>
      <c r="JED4" s="27"/>
      <c r="JEE4" s="27"/>
      <c r="JEF4" s="27"/>
      <c r="JEG4" s="27"/>
      <c r="JEH4" s="27"/>
      <c r="JEI4" s="27"/>
      <c r="JEJ4" s="27"/>
      <c r="JEK4" s="27"/>
      <c r="JEL4" s="27"/>
      <c r="JEM4" s="27"/>
      <c r="JEN4" s="27"/>
      <c r="JEO4" s="27"/>
      <c r="JEP4" s="27"/>
      <c r="JEQ4" s="27"/>
      <c r="JER4" s="27"/>
      <c r="JES4" s="27"/>
      <c r="JET4" s="27"/>
      <c r="JEU4" s="27"/>
      <c r="JEV4" s="27"/>
      <c r="JEW4" s="27"/>
      <c r="JEX4" s="27"/>
      <c r="JEY4" s="27"/>
      <c r="JEZ4" s="27"/>
      <c r="JFA4" s="27"/>
      <c r="JFB4" s="27"/>
      <c r="JFC4" s="27"/>
      <c r="JFD4" s="27"/>
      <c r="JFE4" s="27"/>
      <c r="JFF4" s="27"/>
      <c r="JFG4" s="27"/>
      <c r="JFH4" s="27"/>
      <c r="JFI4" s="27"/>
      <c r="JFJ4" s="27"/>
      <c r="JFK4" s="27"/>
      <c r="JFL4" s="27"/>
      <c r="JFM4" s="27"/>
      <c r="JFN4" s="27"/>
      <c r="JFO4" s="27"/>
      <c r="JFP4" s="27"/>
      <c r="JFQ4" s="27"/>
      <c r="JFR4" s="27"/>
      <c r="JFS4" s="27"/>
      <c r="JFT4" s="27"/>
      <c r="JFU4" s="27"/>
      <c r="JFV4" s="27"/>
      <c r="JFW4" s="27"/>
      <c r="JFX4" s="27"/>
      <c r="JFY4" s="27"/>
      <c r="JFZ4" s="27"/>
      <c r="JGA4" s="27"/>
      <c r="JGB4" s="27"/>
      <c r="JGC4" s="27"/>
      <c r="JGD4" s="27"/>
      <c r="JGE4" s="27"/>
      <c r="JGF4" s="27"/>
      <c r="JGG4" s="27"/>
      <c r="JGH4" s="27"/>
      <c r="JGI4" s="27"/>
      <c r="JGJ4" s="27"/>
      <c r="JGK4" s="27"/>
      <c r="JGL4" s="27"/>
      <c r="JGM4" s="27"/>
      <c r="JGN4" s="27"/>
      <c r="JGO4" s="27"/>
      <c r="JGP4" s="27"/>
      <c r="JGQ4" s="27"/>
      <c r="JGR4" s="27"/>
      <c r="JGS4" s="27"/>
      <c r="JGT4" s="27"/>
      <c r="JGU4" s="27"/>
      <c r="JGV4" s="27"/>
      <c r="JGW4" s="27"/>
      <c r="JGX4" s="27"/>
      <c r="JGY4" s="27"/>
      <c r="JGZ4" s="27"/>
      <c r="JHA4" s="27"/>
      <c r="JHB4" s="27"/>
      <c r="JHC4" s="27"/>
      <c r="JHD4" s="27"/>
      <c r="JHE4" s="27"/>
      <c r="JHF4" s="27"/>
      <c r="JHG4" s="27"/>
      <c r="JHH4" s="27"/>
      <c r="JHI4" s="27"/>
      <c r="JHJ4" s="27"/>
      <c r="JHK4" s="27"/>
      <c r="JHL4" s="27"/>
      <c r="JHM4" s="27"/>
      <c r="JHN4" s="27"/>
      <c r="JHO4" s="27"/>
      <c r="JHP4" s="27"/>
      <c r="JHQ4" s="27"/>
      <c r="JHR4" s="27"/>
      <c r="JHS4" s="27"/>
      <c r="JHT4" s="27"/>
      <c r="JHU4" s="27"/>
      <c r="JHV4" s="27"/>
      <c r="JHW4" s="27"/>
      <c r="JHX4" s="27"/>
      <c r="JHY4" s="27"/>
      <c r="JHZ4" s="27"/>
      <c r="JIA4" s="27"/>
      <c r="JIB4" s="27"/>
      <c r="JIC4" s="27"/>
      <c r="JID4" s="27"/>
      <c r="JIE4" s="27"/>
      <c r="JIF4" s="27"/>
      <c r="JIG4" s="27"/>
      <c r="JIH4" s="27"/>
      <c r="JII4" s="27"/>
      <c r="JIJ4" s="27"/>
      <c r="JIK4" s="27"/>
      <c r="JIL4" s="27"/>
      <c r="JIM4" s="27"/>
      <c r="JIN4" s="27"/>
      <c r="JIO4" s="27"/>
      <c r="JIP4" s="27"/>
      <c r="JIQ4" s="27"/>
      <c r="JIR4" s="27"/>
      <c r="JIS4" s="27"/>
      <c r="JIT4" s="27"/>
      <c r="JIU4" s="27"/>
      <c r="JIV4" s="27"/>
      <c r="JIW4" s="27"/>
      <c r="JIX4" s="27"/>
      <c r="JIY4" s="27"/>
      <c r="JIZ4" s="27"/>
      <c r="JJA4" s="27"/>
      <c r="JJB4" s="27"/>
      <c r="JJC4" s="27"/>
      <c r="JJD4" s="27"/>
      <c r="JJE4" s="27"/>
      <c r="JJF4" s="27"/>
      <c r="JJG4" s="27"/>
      <c r="JJH4" s="27"/>
      <c r="JJI4" s="27"/>
      <c r="JJJ4" s="27"/>
      <c r="JJK4" s="27"/>
      <c r="JJL4" s="27"/>
      <c r="JJM4" s="27"/>
      <c r="JJN4" s="27"/>
      <c r="JJO4" s="27"/>
      <c r="JJP4" s="27"/>
      <c r="JJQ4" s="27"/>
      <c r="JJR4" s="27"/>
      <c r="JJS4" s="27"/>
      <c r="JJT4" s="27"/>
      <c r="JJU4" s="27"/>
      <c r="JJV4" s="27"/>
      <c r="JJW4" s="27"/>
      <c r="JJX4" s="27"/>
      <c r="JJY4" s="27"/>
      <c r="JJZ4" s="27"/>
      <c r="JKA4" s="27"/>
      <c r="JKB4" s="27"/>
      <c r="JKC4" s="27"/>
      <c r="JKD4" s="27"/>
      <c r="JKE4" s="27"/>
      <c r="JKF4" s="27"/>
      <c r="JKG4" s="27"/>
      <c r="JKH4" s="27"/>
      <c r="JKI4" s="27"/>
      <c r="JKJ4" s="27"/>
      <c r="JKK4" s="27"/>
      <c r="JKL4" s="27"/>
      <c r="JKM4" s="27"/>
      <c r="JKN4" s="27"/>
      <c r="JKO4" s="27"/>
      <c r="JKP4" s="27"/>
      <c r="JKQ4" s="27"/>
      <c r="JKR4" s="27"/>
      <c r="JKS4" s="27"/>
      <c r="JKT4" s="27"/>
      <c r="JKU4" s="27"/>
      <c r="JKV4" s="27"/>
      <c r="JKW4" s="27"/>
      <c r="JKX4" s="27"/>
      <c r="JKY4" s="27"/>
      <c r="JKZ4" s="27"/>
      <c r="JLA4" s="27"/>
      <c r="JLB4" s="27"/>
      <c r="JLC4" s="27"/>
      <c r="JLD4" s="27"/>
      <c r="JLE4" s="27"/>
      <c r="JLF4" s="27"/>
      <c r="JLG4" s="27"/>
      <c r="JLH4" s="27"/>
      <c r="JLI4" s="27"/>
      <c r="JLJ4" s="27"/>
      <c r="JLK4" s="27"/>
      <c r="JLL4" s="27"/>
      <c r="JLM4" s="27"/>
      <c r="JLN4" s="27"/>
      <c r="JLO4" s="27"/>
      <c r="JLP4" s="27"/>
      <c r="JLQ4" s="27"/>
      <c r="JLR4" s="27"/>
      <c r="JLS4" s="27"/>
      <c r="JLT4" s="27"/>
      <c r="JLU4" s="27"/>
      <c r="JLV4" s="27"/>
      <c r="JLW4" s="27"/>
      <c r="JLX4" s="27"/>
      <c r="JLY4" s="27"/>
      <c r="JLZ4" s="27"/>
      <c r="JMA4" s="27"/>
      <c r="JMB4" s="27"/>
      <c r="JMC4" s="27"/>
      <c r="JMD4" s="27"/>
      <c r="JME4" s="27"/>
      <c r="JMF4" s="27"/>
      <c r="JMG4" s="27"/>
      <c r="JMH4" s="27"/>
      <c r="JMI4" s="27"/>
      <c r="JMJ4" s="27"/>
      <c r="JMK4" s="27"/>
      <c r="JML4" s="27"/>
      <c r="JMM4" s="27"/>
      <c r="JMN4" s="27"/>
      <c r="JMO4" s="27"/>
      <c r="JMP4" s="27"/>
      <c r="JMQ4" s="27"/>
      <c r="JMR4" s="27"/>
      <c r="JMS4" s="27"/>
      <c r="JMT4" s="27"/>
      <c r="JMU4" s="27"/>
      <c r="JMV4" s="27"/>
      <c r="JMW4" s="27"/>
      <c r="JMX4" s="27"/>
      <c r="JMY4" s="27"/>
      <c r="JMZ4" s="27"/>
      <c r="JNA4" s="27"/>
      <c r="JNB4" s="27"/>
      <c r="JNC4" s="27"/>
      <c r="JND4" s="27"/>
      <c r="JNE4" s="27"/>
      <c r="JNF4" s="27"/>
      <c r="JNG4" s="27"/>
      <c r="JNH4" s="27"/>
      <c r="JNI4" s="27"/>
      <c r="JNJ4" s="27"/>
      <c r="JNK4" s="27"/>
      <c r="JNL4" s="27"/>
      <c r="JNM4" s="27"/>
      <c r="JNN4" s="27"/>
      <c r="JNO4" s="27"/>
      <c r="JNP4" s="27"/>
      <c r="JNQ4" s="27"/>
      <c r="JNR4" s="27"/>
      <c r="JNS4" s="27"/>
      <c r="JNT4" s="27"/>
      <c r="JNU4" s="27"/>
      <c r="JNV4" s="27"/>
      <c r="JNW4" s="27"/>
      <c r="JNX4" s="27"/>
      <c r="JNY4" s="27"/>
      <c r="JNZ4" s="27"/>
      <c r="JOA4" s="27"/>
      <c r="JOB4" s="27"/>
      <c r="JOC4" s="27"/>
      <c r="JOD4" s="27"/>
      <c r="JOE4" s="27"/>
      <c r="JOF4" s="27"/>
      <c r="JOG4" s="27"/>
      <c r="JOH4" s="27"/>
      <c r="JOI4" s="27"/>
      <c r="JOJ4" s="27"/>
      <c r="JOK4" s="27"/>
      <c r="JOL4" s="27"/>
      <c r="JOM4" s="27"/>
      <c r="JON4" s="27"/>
      <c r="JOO4" s="27"/>
      <c r="JOP4" s="27"/>
      <c r="JOQ4" s="27"/>
      <c r="JOR4" s="27"/>
      <c r="JOS4" s="27"/>
      <c r="JOT4" s="27"/>
      <c r="JOU4" s="27"/>
      <c r="JOV4" s="27"/>
      <c r="JOW4" s="27"/>
      <c r="JOX4" s="27"/>
      <c r="JOY4" s="27"/>
      <c r="JOZ4" s="27"/>
      <c r="JPA4" s="27"/>
      <c r="JPB4" s="27"/>
      <c r="JPC4" s="27"/>
      <c r="JPD4" s="27"/>
      <c r="JPE4" s="27"/>
      <c r="JPF4" s="27"/>
      <c r="JPG4" s="27"/>
      <c r="JPH4" s="27"/>
      <c r="JPI4" s="27"/>
      <c r="JPJ4" s="27"/>
      <c r="JPK4" s="27"/>
      <c r="JPL4" s="27"/>
      <c r="JPM4" s="27"/>
      <c r="JPN4" s="27"/>
      <c r="JPO4" s="27"/>
      <c r="JPP4" s="27"/>
      <c r="JPQ4" s="27"/>
      <c r="JPR4" s="27"/>
      <c r="JPS4" s="27"/>
      <c r="JPT4" s="27"/>
      <c r="JPU4" s="27"/>
      <c r="JPV4" s="27"/>
      <c r="JPW4" s="27"/>
      <c r="JPX4" s="27"/>
      <c r="JPY4" s="27"/>
      <c r="JPZ4" s="27"/>
      <c r="JQA4" s="27"/>
      <c r="JQB4" s="27"/>
      <c r="JQC4" s="27"/>
      <c r="JQD4" s="27"/>
      <c r="JQE4" s="27"/>
      <c r="JQF4" s="27"/>
      <c r="JQG4" s="27"/>
      <c r="JQH4" s="27"/>
      <c r="JQI4" s="27"/>
      <c r="JQJ4" s="27"/>
      <c r="JQK4" s="27"/>
      <c r="JQL4" s="27"/>
      <c r="JQM4" s="27"/>
      <c r="JQN4" s="27"/>
      <c r="JQO4" s="27"/>
      <c r="JQP4" s="27"/>
      <c r="JQQ4" s="27"/>
      <c r="JQR4" s="27"/>
      <c r="JQS4" s="27"/>
      <c r="JQT4" s="27"/>
      <c r="JQU4" s="27"/>
      <c r="JQV4" s="27"/>
      <c r="JQW4" s="27"/>
      <c r="JQX4" s="27"/>
      <c r="JQY4" s="27"/>
      <c r="JQZ4" s="27"/>
      <c r="JRA4" s="27"/>
      <c r="JRB4" s="27"/>
      <c r="JRC4" s="27"/>
      <c r="JRD4" s="27"/>
      <c r="JRE4" s="27"/>
      <c r="JRF4" s="27"/>
      <c r="JRG4" s="27"/>
      <c r="JRH4" s="27"/>
      <c r="JRI4" s="27"/>
      <c r="JRJ4" s="27"/>
      <c r="JRK4" s="27"/>
      <c r="JRL4" s="27"/>
      <c r="JRM4" s="27"/>
      <c r="JRN4" s="27"/>
      <c r="JRO4" s="27"/>
      <c r="JRP4" s="27"/>
      <c r="JRQ4" s="27"/>
      <c r="JRR4" s="27"/>
      <c r="JRS4" s="27"/>
      <c r="JRT4" s="27"/>
      <c r="JRU4" s="27"/>
      <c r="JRV4" s="27"/>
      <c r="JRW4" s="27"/>
      <c r="JRX4" s="27"/>
      <c r="JRY4" s="27"/>
      <c r="JRZ4" s="27"/>
      <c r="JSA4" s="27"/>
      <c r="JSB4" s="27"/>
      <c r="JSC4" s="27"/>
      <c r="JSD4" s="27"/>
      <c r="JSE4" s="27"/>
      <c r="JSF4" s="27"/>
      <c r="JSG4" s="27"/>
      <c r="JSH4" s="27"/>
      <c r="JSI4" s="27"/>
      <c r="JSJ4" s="27"/>
      <c r="JSK4" s="27"/>
      <c r="JSL4" s="27"/>
      <c r="JSM4" s="27"/>
      <c r="JSN4" s="27"/>
      <c r="JSO4" s="27"/>
      <c r="JSP4" s="27"/>
      <c r="JSQ4" s="27"/>
      <c r="JSR4" s="27"/>
      <c r="JSS4" s="27"/>
      <c r="JST4" s="27"/>
      <c r="JSU4" s="27"/>
      <c r="JSV4" s="27"/>
      <c r="JSW4" s="27"/>
      <c r="JSX4" s="27"/>
      <c r="JSY4" s="27"/>
      <c r="JSZ4" s="27"/>
      <c r="JTA4" s="27"/>
      <c r="JTB4" s="27"/>
      <c r="JTC4" s="27"/>
      <c r="JTD4" s="27"/>
      <c r="JTE4" s="27"/>
      <c r="JTF4" s="27"/>
      <c r="JTG4" s="27"/>
      <c r="JTH4" s="27"/>
      <c r="JTI4" s="27"/>
      <c r="JTJ4" s="27"/>
      <c r="JTK4" s="27"/>
      <c r="JTL4" s="27"/>
      <c r="JTM4" s="27"/>
      <c r="JTN4" s="27"/>
      <c r="JTO4" s="27"/>
      <c r="JTP4" s="27"/>
      <c r="JTQ4" s="27"/>
      <c r="JTR4" s="27"/>
      <c r="JTS4" s="27"/>
      <c r="JTT4" s="27"/>
      <c r="JTU4" s="27"/>
      <c r="JTV4" s="27"/>
      <c r="JTW4" s="27"/>
      <c r="JTX4" s="27"/>
      <c r="JTY4" s="27"/>
      <c r="JTZ4" s="27"/>
      <c r="JUA4" s="27"/>
      <c r="JUB4" s="27"/>
      <c r="JUC4" s="27"/>
      <c r="JUD4" s="27"/>
      <c r="JUE4" s="27"/>
      <c r="JUF4" s="27"/>
      <c r="JUG4" s="27"/>
      <c r="JUH4" s="27"/>
      <c r="JUI4" s="27"/>
      <c r="JUJ4" s="27"/>
      <c r="JUK4" s="27"/>
      <c r="JUL4" s="27"/>
      <c r="JUM4" s="27"/>
      <c r="JUN4" s="27"/>
      <c r="JUO4" s="27"/>
      <c r="JUP4" s="27"/>
      <c r="JUQ4" s="27"/>
      <c r="JUR4" s="27"/>
      <c r="JUS4" s="27"/>
      <c r="JUT4" s="27"/>
      <c r="JUU4" s="27"/>
      <c r="JUV4" s="27"/>
      <c r="JUW4" s="27"/>
      <c r="JUX4" s="27"/>
      <c r="JUY4" s="27"/>
      <c r="JUZ4" s="27"/>
      <c r="JVA4" s="27"/>
      <c r="JVB4" s="27"/>
      <c r="JVC4" s="27"/>
      <c r="JVD4" s="27"/>
      <c r="JVE4" s="27"/>
      <c r="JVF4" s="27"/>
      <c r="JVG4" s="27"/>
      <c r="JVH4" s="27"/>
      <c r="JVI4" s="27"/>
      <c r="JVJ4" s="27"/>
      <c r="JVK4" s="27"/>
      <c r="JVL4" s="27"/>
      <c r="JVM4" s="27"/>
      <c r="JVN4" s="27"/>
      <c r="JVO4" s="27"/>
      <c r="JVP4" s="27"/>
      <c r="JVQ4" s="27"/>
      <c r="JVR4" s="27"/>
      <c r="JVS4" s="27"/>
      <c r="JVT4" s="27"/>
      <c r="JVU4" s="27"/>
      <c r="JVV4" s="27"/>
      <c r="JVW4" s="27"/>
      <c r="JVX4" s="27"/>
      <c r="JVY4" s="27"/>
      <c r="JVZ4" s="27"/>
      <c r="JWA4" s="27"/>
      <c r="JWB4" s="27"/>
      <c r="JWC4" s="27"/>
      <c r="JWD4" s="27"/>
      <c r="JWE4" s="27"/>
      <c r="JWF4" s="27"/>
      <c r="JWG4" s="27"/>
      <c r="JWH4" s="27"/>
      <c r="JWI4" s="27"/>
      <c r="JWJ4" s="27"/>
      <c r="JWK4" s="27"/>
      <c r="JWL4" s="27"/>
      <c r="JWM4" s="27"/>
      <c r="JWN4" s="27"/>
      <c r="JWO4" s="27"/>
      <c r="JWP4" s="27"/>
      <c r="JWQ4" s="27"/>
      <c r="JWR4" s="27"/>
      <c r="JWS4" s="27"/>
      <c r="JWT4" s="27"/>
      <c r="JWU4" s="27"/>
      <c r="JWV4" s="27"/>
      <c r="JWW4" s="27"/>
      <c r="JWX4" s="27"/>
      <c r="JWY4" s="27"/>
      <c r="JWZ4" s="27"/>
      <c r="JXA4" s="27"/>
      <c r="JXB4" s="27"/>
      <c r="JXC4" s="27"/>
      <c r="JXD4" s="27"/>
      <c r="JXE4" s="27"/>
      <c r="JXF4" s="27"/>
      <c r="JXG4" s="27"/>
      <c r="JXH4" s="27"/>
      <c r="JXI4" s="27"/>
      <c r="JXJ4" s="27"/>
      <c r="JXK4" s="27"/>
      <c r="JXL4" s="27"/>
      <c r="JXM4" s="27"/>
      <c r="JXN4" s="27"/>
      <c r="JXO4" s="27"/>
      <c r="JXP4" s="27"/>
      <c r="JXQ4" s="27"/>
      <c r="JXR4" s="27"/>
      <c r="JXS4" s="27"/>
      <c r="JXT4" s="27"/>
      <c r="JXU4" s="27"/>
      <c r="JXV4" s="27"/>
      <c r="JXW4" s="27"/>
      <c r="JXX4" s="27"/>
      <c r="JXY4" s="27"/>
      <c r="JXZ4" s="27"/>
      <c r="JYA4" s="27"/>
      <c r="JYB4" s="27"/>
      <c r="JYC4" s="27"/>
      <c r="JYD4" s="27"/>
      <c r="JYE4" s="27"/>
      <c r="JYF4" s="27"/>
      <c r="JYG4" s="27"/>
      <c r="JYH4" s="27"/>
      <c r="JYI4" s="27"/>
      <c r="JYJ4" s="27"/>
      <c r="JYK4" s="27"/>
      <c r="JYL4" s="27"/>
      <c r="JYM4" s="27"/>
      <c r="JYN4" s="27"/>
      <c r="JYO4" s="27"/>
      <c r="JYP4" s="27"/>
      <c r="JYQ4" s="27"/>
      <c r="JYR4" s="27"/>
      <c r="JYS4" s="27"/>
      <c r="JYT4" s="27"/>
      <c r="JYU4" s="27"/>
      <c r="JYV4" s="27"/>
      <c r="JYW4" s="27"/>
      <c r="JYX4" s="27"/>
      <c r="JYY4" s="27"/>
      <c r="JYZ4" s="27"/>
      <c r="JZA4" s="27"/>
      <c r="JZB4" s="27"/>
      <c r="JZC4" s="27"/>
      <c r="JZD4" s="27"/>
      <c r="JZE4" s="27"/>
      <c r="JZF4" s="27"/>
      <c r="JZG4" s="27"/>
      <c r="JZH4" s="27"/>
      <c r="JZI4" s="27"/>
      <c r="JZJ4" s="27"/>
      <c r="JZK4" s="27"/>
      <c r="JZL4" s="27"/>
      <c r="JZM4" s="27"/>
      <c r="JZN4" s="27"/>
      <c r="JZO4" s="27"/>
      <c r="JZP4" s="27"/>
      <c r="JZQ4" s="27"/>
      <c r="JZR4" s="27"/>
      <c r="JZS4" s="27"/>
      <c r="JZT4" s="27"/>
      <c r="JZU4" s="27"/>
      <c r="JZV4" s="27"/>
      <c r="JZW4" s="27"/>
      <c r="JZX4" s="27"/>
      <c r="JZY4" s="27"/>
      <c r="JZZ4" s="27"/>
      <c r="KAA4" s="27"/>
      <c r="KAB4" s="27"/>
      <c r="KAC4" s="27"/>
      <c r="KAD4" s="27"/>
      <c r="KAE4" s="27"/>
      <c r="KAF4" s="27"/>
      <c r="KAG4" s="27"/>
      <c r="KAH4" s="27"/>
      <c r="KAI4" s="27"/>
      <c r="KAJ4" s="27"/>
      <c r="KAK4" s="27"/>
      <c r="KAL4" s="27"/>
      <c r="KAM4" s="27"/>
      <c r="KAN4" s="27"/>
      <c r="KAO4" s="27"/>
      <c r="KAP4" s="27"/>
      <c r="KAQ4" s="27"/>
      <c r="KAR4" s="27"/>
      <c r="KAS4" s="27"/>
      <c r="KAT4" s="27"/>
      <c r="KAU4" s="27"/>
      <c r="KAV4" s="27"/>
      <c r="KAW4" s="27"/>
      <c r="KAX4" s="27"/>
      <c r="KAY4" s="27"/>
      <c r="KAZ4" s="27"/>
      <c r="KBA4" s="27"/>
      <c r="KBB4" s="27"/>
      <c r="KBC4" s="27"/>
      <c r="KBD4" s="27"/>
      <c r="KBE4" s="27"/>
      <c r="KBF4" s="27"/>
      <c r="KBG4" s="27"/>
      <c r="KBH4" s="27"/>
      <c r="KBI4" s="27"/>
      <c r="KBJ4" s="27"/>
      <c r="KBK4" s="27"/>
      <c r="KBL4" s="27"/>
      <c r="KBM4" s="27"/>
      <c r="KBN4" s="27"/>
      <c r="KBO4" s="27"/>
      <c r="KBP4" s="27"/>
      <c r="KBQ4" s="27"/>
      <c r="KBR4" s="27"/>
      <c r="KBS4" s="27"/>
      <c r="KBT4" s="27"/>
      <c r="KBU4" s="27"/>
      <c r="KBV4" s="27"/>
      <c r="KBW4" s="27"/>
      <c r="KBX4" s="27"/>
      <c r="KBY4" s="27"/>
      <c r="KBZ4" s="27"/>
      <c r="KCA4" s="27"/>
      <c r="KCB4" s="27"/>
      <c r="KCC4" s="27"/>
      <c r="KCD4" s="27"/>
      <c r="KCE4" s="27"/>
      <c r="KCF4" s="27"/>
      <c r="KCG4" s="27"/>
      <c r="KCH4" s="27"/>
      <c r="KCI4" s="27"/>
      <c r="KCJ4" s="27"/>
      <c r="KCK4" s="27"/>
      <c r="KCL4" s="27"/>
      <c r="KCM4" s="27"/>
      <c r="KCN4" s="27"/>
      <c r="KCO4" s="27"/>
      <c r="KCP4" s="27"/>
      <c r="KCQ4" s="27"/>
      <c r="KCR4" s="27"/>
      <c r="KCS4" s="27"/>
      <c r="KCT4" s="27"/>
      <c r="KCU4" s="27"/>
      <c r="KCV4" s="27"/>
      <c r="KCW4" s="27"/>
      <c r="KCX4" s="27"/>
      <c r="KCY4" s="27"/>
      <c r="KCZ4" s="27"/>
      <c r="KDA4" s="27"/>
      <c r="KDB4" s="27"/>
      <c r="KDC4" s="27"/>
      <c r="KDD4" s="27"/>
      <c r="KDE4" s="27"/>
      <c r="KDF4" s="27"/>
      <c r="KDG4" s="27"/>
      <c r="KDH4" s="27"/>
      <c r="KDI4" s="27"/>
      <c r="KDJ4" s="27"/>
      <c r="KDK4" s="27"/>
      <c r="KDL4" s="27"/>
      <c r="KDM4" s="27"/>
      <c r="KDN4" s="27"/>
      <c r="KDO4" s="27"/>
      <c r="KDP4" s="27"/>
      <c r="KDQ4" s="27"/>
      <c r="KDR4" s="27"/>
      <c r="KDS4" s="27"/>
      <c r="KDT4" s="27"/>
      <c r="KDU4" s="27"/>
      <c r="KDV4" s="27"/>
      <c r="KDW4" s="27"/>
      <c r="KDX4" s="27"/>
      <c r="KDY4" s="27"/>
      <c r="KDZ4" s="27"/>
      <c r="KEA4" s="27"/>
      <c r="KEB4" s="27"/>
      <c r="KEC4" s="27"/>
      <c r="KED4" s="27"/>
      <c r="KEE4" s="27"/>
      <c r="KEF4" s="27"/>
      <c r="KEG4" s="27"/>
      <c r="KEH4" s="27"/>
      <c r="KEI4" s="27"/>
      <c r="KEJ4" s="27"/>
      <c r="KEK4" s="27"/>
      <c r="KEL4" s="27"/>
      <c r="KEM4" s="27"/>
      <c r="KEN4" s="27"/>
      <c r="KEO4" s="27"/>
      <c r="KEP4" s="27"/>
      <c r="KEQ4" s="27"/>
      <c r="KER4" s="27"/>
      <c r="KES4" s="27"/>
      <c r="KET4" s="27"/>
      <c r="KEU4" s="27"/>
      <c r="KEV4" s="27"/>
      <c r="KEW4" s="27"/>
      <c r="KEX4" s="27"/>
      <c r="KEY4" s="27"/>
      <c r="KEZ4" s="27"/>
      <c r="KFA4" s="27"/>
      <c r="KFB4" s="27"/>
      <c r="KFC4" s="27"/>
      <c r="KFD4" s="27"/>
      <c r="KFE4" s="27"/>
      <c r="KFF4" s="27"/>
      <c r="KFG4" s="27"/>
      <c r="KFH4" s="27"/>
      <c r="KFI4" s="27"/>
      <c r="KFJ4" s="27"/>
      <c r="KFK4" s="27"/>
      <c r="KFL4" s="27"/>
      <c r="KFM4" s="27"/>
      <c r="KFN4" s="27"/>
      <c r="KFO4" s="27"/>
      <c r="KFP4" s="27"/>
      <c r="KFQ4" s="27"/>
      <c r="KFR4" s="27"/>
      <c r="KFS4" s="27"/>
      <c r="KFT4" s="27"/>
      <c r="KFU4" s="27"/>
      <c r="KFV4" s="27"/>
      <c r="KFW4" s="27"/>
      <c r="KFX4" s="27"/>
      <c r="KFY4" s="27"/>
      <c r="KFZ4" s="27"/>
      <c r="KGA4" s="27"/>
      <c r="KGB4" s="27"/>
      <c r="KGC4" s="27"/>
      <c r="KGD4" s="27"/>
      <c r="KGE4" s="27"/>
      <c r="KGF4" s="27"/>
      <c r="KGG4" s="27"/>
      <c r="KGH4" s="27"/>
      <c r="KGI4" s="27"/>
      <c r="KGJ4" s="27"/>
      <c r="KGK4" s="27"/>
      <c r="KGL4" s="27"/>
      <c r="KGM4" s="27"/>
      <c r="KGN4" s="27"/>
      <c r="KGO4" s="27"/>
      <c r="KGP4" s="27"/>
      <c r="KGQ4" s="27"/>
      <c r="KGR4" s="27"/>
      <c r="KGS4" s="27"/>
      <c r="KGT4" s="27"/>
      <c r="KGU4" s="27"/>
      <c r="KGV4" s="27"/>
      <c r="KGW4" s="27"/>
      <c r="KGX4" s="27"/>
      <c r="KGY4" s="27"/>
      <c r="KGZ4" s="27"/>
      <c r="KHA4" s="27"/>
      <c r="KHB4" s="27"/>
      <c r="KHC4" s="27"/>
      <c r="KHD4" s="27"/>
      <c r="KHE4" s="27"/>
      <c r="KHF4" s="27"/>
      <c r="KHG4" s="27"/>
      <c r="KHH4" s="27"/>
      <c r="KHI4" s="27"/>
      <c r="KHJ4" s="27"/>
      <c r="KHK4" s="27"/>
      <c r="KHL4" s="27"/>
      <c r="KHM4" s="27"/>
      <c r="KHN4" s="27"/>
      <c r="KHO4" s="27"/>
      <c r="KHP4" s="27"/>
      <c r="KHQ4" s="27"/>
      <c r="KHR4" s="27"/>
      <c r="KHS4" s="27"/>
      <c r="KHT4" s="27"/>
      <c r="KHU4" s="27"/>
      <c r="KHV4" s="27"/>
      <c r="KHW4" s="27"/>
      <c r="KHX4" s="27"/>
      <c r="KHY4" s="27"/>
      <c r="KHZ4" s="27"/>
      <c r="KIA4" s="27"/>
      <c r="KIB4" s="27"/>
      <c r="KIC4" s="27"/>
      <c r="KID4" s="27"/>
      <c r="KIE4" s="27"/>
      <c r="KIF4" s="27"/>
      <c r="KIG4" s="27"/>
      <c r="KIH4" s="27"/>
      <c r="KII4" s="27"/>
      <c r="KIJ4" s="27"/>
      <c r="KIK4" s="27"/>
      <c r="KIL4" s="27"/>
      <c r="KIM4" s="27"/>
      <c r="KIN4" s="27"/>
      <c r="KIO4" s="27"/>
      <c r="KIP4" s="27"/>
      <c r="KIQ4" s="27"/>
      <c r="KIR4" s="27"/>
      <c r="KIS4" s="27"/>
      <c r="KIT4" s="27"/>
      <c r="KIU4" s="27"/>
      <c r="KIV4" s="27"/>
      <c r="KIW4" s="27"/>
      <c r="KIX4" s="27"/>
      <c r="KIY4" s="27"/>
      <c r="KIZ4" s="27"/>
      <c r="KJA4" s="27"/>
      <c r="KJB4" s="27"/>
      <c r="KJC4" s="27"/>
      <c r="KJD4" s="27"/>
      <c r="KJE4" s="27"/>
      <c r="KJF4" s="27"/>
      <c r="KJG4" s="27"/>
      <c r="KJH4" s="27"/>
      <c r="KJI4" s="27"/>
      <c r="KJJ4" s="27"/>
      <c r="KJK4" s="27"/>
      <c r="KJL4" s="27"/>
      <c r="KJM4" s="27"/>
      <c r="KJN4" s="27"/>
      <c r="KJO4" s="27"/>
      <c r="KJP4" s="27"/>
      <c r="KJQ4" s="27"/>
      <c r="KJR4" s="27"/>
      <c r="KJS4" s="27"/>
      <c r="KJT4" s="27"/>
      <c r="KJU4" s="27"/>
      <c r="KJV4" s="27"/>
      <c r="KJW4" s="27"/>
      <c r="KJX4" s="27"/>
      <c r="KJY4" s="27"/>
      <c r="KJZ4" s="27"/>
      <c r="KKA4" s="27"/>
      <c r="KKB4" s="27"/>
      <c r="KKC4" s="27"/>
      <c r="KKD4" s="27"/>
      <c r="KKE4" s="27"/>
      <c r="KKF4" s="27"/>
      <c r="KKG4" s="27"/>
      <c r="KKH4" s="27"/>
      <c r="KKI4" s="27"/>
      <c r="KKJ4" s="27"/>
      <c r="KKK4" s="27"/>
      <c r="KKL4" s="27"/>
      <c r="KKM4" s="27"/>
      <c r="KKN4" s="27"/>
      <c r="KKO4" s="27"/>
      <c r="KKP4" s="27"/>
      <c r="KKQ4" s="27"/>
      <c r="KKR4" s="27"/>
      <c r="KKS4" s="27"/>
      <c r="KKT4" s="27"/>
      <c r="KKU4" s="27"/>
      <c r="KKV4" s="27"/>
      <c r="KKW4" s="27"/>
      <c r="KKX4" s="27"/>
      <c r="KKY4" s="27"/>
      <c r="KKZ4" s="27"/>
      <c r="KLA4" s="27"/>
      <c r="KLB4" s="27"/>
      <c r="KLC4" s="27"/>
      <c r="KLD4" s="27"/>
      <c r="KLE4" s="27"/>
      <c r="KLF4" s="27"/>
      <c r="KLG4" s="27"/>
      <c r="KLH4" s="27"/>
      <c r="KLI4" s="27"/>
      <c r="KLJ4" s="27"/>
      <c r="KLK4" s="27"/>
      <c r="KLL4" s="27"/>
      <c r="KLM4" s="27"/>
      <c r="KLN4" s="27"/>
      <c r="KLO4" s="27"/>
      <c r="KLP4" s="27"/>
      <c r="KLQ4" s="27"/>
      <c r="KLR4" s="27"/>
      <c r="KLS4" s="27"/>
      <c r="KLT4" s="27"/>
      <c r="KLU4" s="27"/>
      <c r="KLV4" s="27"/>
      <c r="KLW4" s="27"/>
      <c r="KLX4" s="27"/>
      <c r="KLY4" s="27"/>
      <c r="KLZ4" s="27"/>
      <c r="KMA4" s="27"/>
      <c r="KMB4" s="27"/>
      <c r="KMC4" s="27"/>
      <c r="KMD4" s="27"/>
      <c r="KME4" s="27"/>
      <c r="KMF4" s="27"/>
      <c r="KMG4" s="27"/>
      <c r="KMH4" s="27"/>
      <c r="KMI4" s="27"/>
      <c r="KMJ4" s="27"/>
      <c r="KMK4" s="27"/>
      <c r="KML4" s="27"/>
      <c r="KMM4" s="27"/>
      <c r="KMN4" s="27"/>
      <c r="KMO4" s="27"/>
      <c r="KMP4" s="27"/>
      <c r="KMQ4" s="27"/>
      <c r="KMR4" s="27"/>
      <c r="KMS4" s="27"/>
      <c r="KMT4" s="27"/>
      <c r="KMU4" s="27"/>
      <c r="KMV4" s="27"/>
      <c r="KMW4" s="27"/>
      <c r="KMX4" s="27"/>
      <c r="KMY4" s="27"/>
      <c r="KMZ4" s="27"/>
      <c r="KNA4" s="27"/>
      <c r="KNB4" s="27"/>
      <c r="KNC4" s="27"/>
      <c r="KND4" s="27"/>
      <c r="KNE4" s="27"/>
      <c r="KNF4" s="27"/>
      <c r="KNG4" s="27"/>
      <c r="KNH4" s="27"/>
      <c r="KNI4" s="27"/>
      <c r="KNJ4" s="27"/>
      <c r="KNK4" s="27"/>
      <c r="KNL4" s="27"/>
      <c r="KNM4" s="27"/>
      <c r="KNN4" s="27"/>
      <c r="KNO4" s="27"/>
      <c r="KNP4" s="27"/>
      <c r="KNQ4" s="27"/>
      <c r="KNR4" s="27"/>
      <c r="KNS4" s="27"/>
      <c r="KNT4" s="27"/>
      <c r="KNU4" s="27"/>
      <c r="KNV4" s="27"/>
      <c r="KNW4" s="27"/>
      <c r="KNX4" s="27"/>
      <c r="KNY4" s="27"/>
      <c r="KNZ4" s="27"/>
      <c r="KOA4" s="27"/>
      <c r="KOB4" s="27"/>
      <c r="KOC4" s="27"/>
      <c r="KOD4" s="27"/>
      <c r="KOE4" s="27"/>
      <c r="KOF4" s="27"/>
      <c r="KOG4" s="27"/>
      <c r="KOH4" s="27"/>
      <c r="KOI4" s="27"/>
      <c r="KOJ4" s="27"/>
      <c r="KOK4" s="27"/>
      <c r="KOL4" s="27"/>
      <c r="KOM4" s="27"/>
      <c r="KON4" s="27"/>
      <c r="KOO4" s="27"/>
      <c r="KOP4" s="27"/>
      <c r="KOQ4" s="27"/>
      <c r="KOR4" s="27"/>
      <c r="KOS4" s="27"/>
      <c r="KOT4" s="27"/>
      <c r="KOU4" s="27"/>
      <c r="KOV4" s="27"/>
      <c r="KOW4" s="27"/>
      <c r="KOX4" s="27"/>
      <c r="KOY4" s="27"/>
      <c r="KOZ4" s="27"/>
      <c r="KPA4" s="27"/>
      <c r="KPB4" s="27"/>
      <c r="KPC4" s="27"/>
      <c r="KPD4" s="27"/>
      <c r="KPE4" s="27"/>
      <c r="KPF4" s="27"/>
      <c r="KPG4" s="27"/>
      <c r="KPH4" s="27"/>
      <c r="KPI4" s="27"/>
      <c r="KPJ4" s="27"/>
      <c r="KPK4" s="27"/>
      <c r="KPL4" s="27"/>
      <c r="KPM4" s="27"/>
      <c r="KPN4" s="27"/>
      <c r="KPO4" s="27"/>
      <c r="KPP4" s="27"/>
      <c r="KPQ4" s="27"/>
      <c r="KPR4" s="27"/>
      <c r="KPS4" s="27"/>
      <c r="KPT4" s="27"/>
      <c r="KPU4" s="27"/>
      <c r="KPV4" s="27"/>
      <c r="KPW4" s="27"/>
      <c r="KPX4" s="27"/>
      <c r="KPY4" s="27"/>
      <c r="KPZ4" s="27"/>
      <c r="KQA4" s="27"/>
      <c r="KQB4" s="27"/>
      <c r="KQC4" s="27"/>
      <c r="KQD4" s="27"/>
      <c r="KQE4" s="27"/>
      <c r="KQF4" s="27"/>
      <c r="KQG4" s="27"/>
      <c r="KQH4" s="27"/>
      <c r="KQI4" s="27"/>
      <c r="KQJ4" s="27"/>
      <c r="KQK4" s="27"/>
      <c r="KQL4" s="27"/>
      <c r="KQM4" s="27"/>
      <c r="KQN4" s="27"/>
      <c r="KQO4" s="27"/>
      <c r="KQP4" s="27"/>
      <c r="KQQ4" s="27"/>
      <c r="KQR4" s="27"/>
      <c r="KQS4" s="27"/>
      <c r="KQT4" s="27"/>
      <c r="KQU4" s="27"/>
      <c r="KQV4" s="27"/>
      <c r="KQW4" s="27"/>
      <c r="KQX4" s="27"/>
      <c r="KQY4" s="27"/>
      <c r="KQZ4" s="27"/>
      <c r="KRA4" s="27"/>
      <c r="KRB4" s="27"/>
      <c r="KRC4" s="27"/>
      <c r="KRD4" s="27"/>
      <c r="KRE4" s="27"/>
      <c r="KRF4" s="27"/>
      <c r="KRG4" s="27"/>
      <c r="KRH4" s="27"/>
      <c r="KRI4" s="27"/>
      <c r="KRJ4" s="27"/>
      <c r="KRK4" s="27"/>
      <c r="KRL4" s="27"/>
      <c r="KRM4" s="27"/>
      <c r="KRN4" s="27"/>
      <c r="KRO4" s="27"/>
      <c r="KRP4" s="27"/>
      <c r="KRQ4" s="27"/>
      <c r="KRR4" s="27"/>
      <c r="KRS4" s="27"/>
      <c r="KRT4" s="27"/>
      <c r="KRU4" s="27"/>
      <c r="KRV4" s="27"/>
      <c r="KRW4" s="27"/>
      <c r="KRX4" s="27"/>
      <c r="KRY4" s="27"/>
      <c r="KRZ4" s="27"/>
      <c r="KSA4" s="27"/>
      <c r="KSB4" s="27"/>
      <c r="KSC4" s="27"/>
      <c r="KSD4" s="27"/>
      <c r="KSE4" s="27"/>
      <c r="KSF4" s="27"/>
      <c r="KSG4" s="27"/>
      <c r="KSH4" s="27"/>
      <c r="KSI4" s="27"/>
      <c r="KSJ4" s="27"/>
      <c r="KSK4" s="27"/>
      <c r="KSL4" s="27"/>
      <c r="KSM4" s="27"/>
      <c r="KSN4" s="27"/>
      <c r="KSO4" s="27"/>
      <c r="KSP4" s="27"/>
      <c r="KSQ4" s="27"/>
      <c r="KSR4" s="27"/>
      <c r="KSS4" s="27"/>
      <c r="KST4" s="27"/>
      <c r="KSU4" s="27"/>
      <c r="KSV4" s="27"/>
      <c r="KSW4" s="27"/>
      <c r="KSX4" s="27"/>
      <c r="KSY4" s="27"/>
      <c r="KSZ4" s="27"/>
      <c r="KTA4" s="27"/>
      <c r="KTB4" s="27"/>
      <c r="KTC4" s="27"/>
      <c r="KTD4" s="27"/>
      <c r="KTE4" s="27"/>
      <c r="KTF4" s="27"/>
      <c r="KTG4" s="27"/>
      <c r="KTH4" s="27"/>
      <c r="KTI4" s="27"/>
      <c r="KTJ4" s="27"/>
      <c r="KTK4" s="27"/>
      <c r="KTL4" s="27"/>
      <c r="KTM4" s="27"/>
      <c r="KTN4" s="27"/>
      <c r="KTO4" s="27"/>
      <c r="KTP4" s="27"/>
      <c r="KTQ4" s="27"/>
      <c r="KTR4" s="27"/>
      <c r="KTS4" s="27"/>
      <c r="KTT4" s="27"/>
      <c r="KTU4" s="27"/>
      <c r="KTV4" s="27"/>
      <c r="KTW4" s="27"/>
      <c r="KTX4" s="27"/>
      <c r="KTY4" s="27"/>
      <c r="KTZ4" s="27"/>
      <c r="KUA4" s="27"/>
      <c r="KUB4" s="27"/>
      <c r="KUC4" s="27"/>
      <c r="KUD4" s="27"/>
      <c r="KUE4" s="27"/>
      <c r="KUF4" s="27"/>
      <c r="KUG4" s="27"/>
      <c r="KUH4" s="27"/>
      <c r="KUI4" s="27"/>
      <c r="KUJ4" s="27"/>
      <c r="KUK4" s="27"/>
      <c r="KUL4" s="27"/>
      <c r="KUM4" s="27"/>
      <c r="KUN4" s="27"/>
      <c r="KUO4" s="27"/>
      <c r="KUP4" s="27"/>
      <c r="KUQ4" s="27"/>
      <c r="KUR4" s="27"/>
      <c r="KUS4" s="27"/>
      <c r="KUT4" s="27"/>
      <c r="KUU4" s="27"/>
      <c r="KUV4" s="27"/>
      <c r="KUW4" s="27"/>
      <c r="KUX4" s="27"/>
      <c r="KUY4" s="27"/>
      <c r="KUZ4" s="27"/>
      <c r="KVA4" s="27"/>
      <c r="KVB4" s="27"/>
      <c r="KVC4" s="27"/>
      <c r="KVD4" s="27"/>
      <c r="KVE4" s="27"/>
      <c r="KVF4" s="27"/>
      <c r="KVG4" s="27"/>
      <c r="KVH4" s="27"/>
      <c r="KVI4" s="27"/>
      <c r="KVJ4" s="27"/>
      <c r="KVK4" s="27"/>
      <c r="KVL4" s="27"/>
      <c r="KVM4" s="27"/>
      <c r="KVN4" s="27"/>
      <c r="KVO4" s="27"/>
      <c r="KVP4" s="27"/>
      <c r="KVQ4" s="27"/>
      <c r="KVR4" s="27"/>
      <c r="KVS4" s="27"/>
      <c r="KVT4" s="27"/>
      <c r="KVU4" s="27"/>
      <c r="KVV4" s="27"/>
      <c r="KVW4" s="27"/>
      <c r="KVX4" s="27"/>
      <c r="KVY4" s="27"/>
      <c r="KVZ4" s="27"/>
      <c r="KWA4" s="27"/>
      <c r="KWB4" s="27"/>
      <c r="KWC4" s="27"/>
      <c r="KWD4" s="27"/>
      <c r="KWE4" s="27"/>
      <c r="KWF4" s="27"/>
      <c r="KWG4" s="27"/>
      <c r="KWH4" s="27"/>
      <c r="KWI4" s="27"/>
      <c r="KWJ4" s="27"/>
      <c r="KWK4" s="27"/>
      <c r="KWL4" s="27"/>
      <c r="KWM4" s="27"/>
      <c r="KWN4" s="27"/>
      <c r="KWO4" s="27"/>
      <c r="KWP4" s="27"/>
      <c r="KWQ4" s="27"/>
      <c r="KWR4" s="27"/>
      <c r="KWS4" s="27"/>
      <c r="KWT4" s="27"/>
      <c r="KWU4" s="27"/>
      <c r="KWV4" s="27"/>
      <c r="KWW4" s="27"/>
      <c r="KWX4" s="27"/>
      <c r="KWY4" s="27"/>
      <c r="KWZ4" s="27"/>
      <c r="KXA4" s="27"/>
      <c r="KXB4" s="27"/>
      <c r="KXC4" s="27"/>
      <c r="KXD4" s="27"/>
      <c r="KXE4" s="27"/>
      <c r="KXF4" s="27"/>
      <c r="KXG4" s="27"/>
      <c r="KXH4" s="27"/>
      <c r="KXI4" s="27"/>
      <c r="KXJ4" s="27"/>
      <c r="KXK4" s="27"/>
      <c r="KXL4" s="27"/>
      <c r="KXM4" s="27"/>
      <c r="KXN4" s="27"/>
      <c r="KXO4" s="27"/>
      <c r="KXP4" s="27"/>
      <c r="KXQ4" s="27"/>
      <c r="KXR4" s="27"/>
      <c r="KXS4" s="27"/>
      <c r="KXT4" s="27"/>
      <c r="KXU4" s="27"/>
      <c r="KXV4" s="27"/>
      <c r="KXW4" s="27"/>
      <c r="KXX4" s="27"/>
      <c r="KXY4" s="27"/>
      <c r="KXZ4" s="27"/>
      <c r="KYA4" s="27"/>
      <c r="KYB4" s="27"/>
      <c r="KYC4" s="27"/>
      <c r="KYD4" s="27"/>
      <c r="KYE4" s="27"/>
      <c r="KYF4" s="27"/>
      <c r="KYG4" s="27"/>
      <c r="KYH4" s="27"/>
      <c r="KYI4" s="27"/>
      <c r="KYJ4" s="27"/>
      <c r="KYK4" s="27"/>
      <c r="KYL4" s="27"/>
      <c r="KYM4" s="27"/>
      <c r="KYN4" s="27"/>
      <c r="KYO4" s="27"/>
      <c r="KYP4" s="27"/>
      <c r="KYQ4" s="27"/>
      <c r="KYR4" s="27"/>
      <c r="KYS4" s="27"/>
      <c r="KYT4" s="27"/>
      <c r="KYU4" s="27"/>
      <c r="KYV4" s="27"/>
      <c r="KYW4" s="27"/>
      <c r="KYX4" s="27"/>
      <c r="KYY4" s="27"/>
      <c r="KYZ4" s="27"/>
      <c r="KZA4" s="27"/>
      <c r="KZB4" s="27"/>
      <c r="KZC4" s="27"/>
      <c r="KZD4" s="27"/>
      <c r="KZE4" s="27"/>
      <c r="KZF4" s="27"/>
      <c r="KZG4" s="27"/>
      <c r="KZH4" s="27"/>
      <c r="KZI4" s="27"/>
      <c r="KZJ4" s="27"/>
      <c r="KZK4" s="27"/>
      <c r="KZL4" s="27"/>
      <c r="KZM4" s="27"/>
      <c r="KZN4" s="27"/>
      <c r="KZO4" s="27"/>
      <c r="KZP4" s="27"/>
      <c r="KZQ4" s="27"/>
      <c r="KZR4" s="27"/>
      <c r="KZS4" s="27"/>
      <c r="KZT4" s="27"/>
      <c r="KZU4" s="27"/>
      <c r="KZV4" s="27"/>
      <c r="KZW4" s="27"/>
      <c r="KZX4" s="27"/>
      <c r="KZY4" s="27"/>
      <c r="KZZ4" s="27"/>
      <c r="LAA4" s="27"/>
      <c r="LAB4" s="27"/>
      <c r="LAC4" s="27"/>
      <c r="LAD4" s="27"/>
      <c r="LAE4" s="27"/>
      <c r="LAF4" s="27"/>
      <c r="LAG4" s="27"/>
      <c r="LAH4" s="27"/>
      <c r="LAI4" s="27"/>
      <c r="LAJ4" s="27"/>
      <c r="LAK4" s="27"/>
      <c r="LAL4" s="27"/>
      <c r="LAM4" s="27"/>
      <c r="LAN4" s="27"/>
      <c r="LAO4" s="27"/>
      <c r="LAP4" s="27"/>
      <c r="LAQ4" s="27"/>
      <c r="LAR4" s="27"/>
      <c r="LAS4" s="27"/>
      <c r="LAT4" s="27"/>
      <c r="LAU4" s="27"/>
      <c r="LAV4" s="27"/>
      <c r="LAW4" s="27"/>
      <c r="LAX4" s="27"/>
      <c r="LAY4" s="27"/>
      <c r="LAZ4" s="27"/>
      <c r="LBA4" s="27"/>
      <c r="LBB4" s="27"/>
      <c r="LBC4" s="27"/>
      <c r="LBD4" s="27"/>
      <c r="LBE4" s="27"/>
      <c r="LBF4" s="27"/>
      <c r="LBG4" s="27"/>
      <c r="LBH4" s="27"/>
      <c r="LBI4" s="27"/>
      <c r="LBJ4" s="27"/>
      <c r="LBK4" s="27"/>
      <c r="LBL4" s="27"/>
      <c r="LBM4" s="27"/>
      <c r="LBN4" s="27"/>
      <c r="LBO4" s="27"/>
      <c r="LBP4" s="27"/>
      <c r="LBQ4" s="27"/>
      <c r="LBR4" s="27"/>
      <c r="LBS4" s="27"/>
      <c r="LBT4" s="27"/>
      <c r="LBU4" s="27"/>
      <c r="LBV4" s="27"/>
      <c r="LBW4" s="27"/>
      <c r="LBX4" s="27"/>
      <c r="LBY4" s="27"/>
      <c r="LBZ4" s="27"/>
      <c r="LCA4" s="27"/>
      <c r="LCB4" s="27"/>
      <c r="LCC4" s="27"/>
      <c r="LCD4" s="27"/>
      <c r="LCE4" s="27"/>
      <c r="LCF4" s="27"/>
      <c r="LCG4" s="27"/>
      <c r="LCH4" s="27"/>
      <c r="LCI4" s="27"/>
      <c r="LCJ4" s="27"/>
      <c r="LCK4" s="27"/>
      <c r="LCL4" s="27"/>
      <c r="LCM4" s="27"/>
      <c r="LCN4" s="27"/>
      <c r="LCO4" s="27"/>
      <c r="LCP4" s="27"/>
      <c r="LCQ4" s="27"/>
      <c r="LCR4" s="27"/>
      <c r="LCS4" s="27"/>
      <c r="LCT4" s="27"/>
      <c r="LCU4" s="27"/>
      <c r="LCV4" s="27"/>
      <c r="LCW4" s="27"/>
      <c r="LCX4" s="27"/>
      <c r="LCY4" s="27"/>
      <c r="LCZ4" s="27"/>
      <c r="LDA4" s="27"/>
      <c r="LDB4" s="27"/>
      <c r="LDC4" s="27"/>
      <c r="LDD4" s="27"/>
      <c r="LDE4" s="27"/>
      <c r="LDF4" s="27"/>
      <c r="LDG4" s="27"/>
      <c r="LDH4" s="27"/>
      <c r="LDI4" s="27"/>
      <c r="LDJ4" s="27"/>
      <c r="LDK4" s="27"/>
      <c r="LDL4" s="27"/>
      <c r="LDM4" s="27"/>
      <c r="LDN4" s="27"/>
      <c r="LDO4" s="27"/>
      <c r="LDP4" s="27"/>
      <c r="LDQ4" s="27"/>
      <c r="LDR4" s="27"/>
      <c r="LDS4" s="27"/>
      <c r="LDT4" s="27"/>
      <c r="LDU4" s="27"/>
      <c r="LDV4" s="27"/>
      <c r="LDW4" s="27"/>
      <c r="LDX4" s="27"/>
      <c r="LDY4" s="27"/>
      <c r="LDZ4" s="27"/>
      <c r="LEA4" s="27"/>
      <c r="LEB4" s="27"/>
      <c r="LEC4" s="27"/>
      <c r="LED4" s="27"/>
      <c r="LEE4" s="27"/>
      <c r="LEF4" s="27"/>
      <c r="LEG4" s="27"/>
      <c r="LEH4" s="27"/>
      <c r="LEI4" s="27"/>
      <c r="LEJ4" s="27"/>
      <c r="LEK4" s="27"/>
      <c r="LEL4" s="27"/>
      <c r="LEM4" s="27"/>
      <c r="LEN4" s="27"/>
      <c r="LEO4" s="27"/>
      <c r="LEP4" s="27"/>
      <c r="LEQ4" s="27"/>
      <c r="LER4" s="27"/>
      <c r="LES4" s="27"/>
      <c r="LET4" s="27"/>
      <c r="LEU4" s="27"/>
      <c r="LEV4" s="27"/>
      <c r="LEW4" s="27"/>
      <c r="LEX4" s="27"/>
      <c r="LEY4" s="27"/>
      <c r="LEZ4" s="27"/>
      <c r="LFA4" s="27"/>
      <c r="LFB4" s="27"/>
      <c r="LFC4" s="27"/>
      <c r="LFD4" s="27"/>
      <c r="LFE4" s="27"/>
      <c r="LFF4" s="27"/>
      <c r="LFG4" s="27"/>
      <c r="LFH4" s="27"/>
      <c r="LFI4" s="27"/>
      <c r="LFJ4" s="27"/>
      <c r="LFK4" s="27"/>
      <c r="LFL4" s="27"/>
      <c r="LFM4" s="27"/>
      <c r="LFN4" s="27"/>
      <c r="LFO4" s="27"/>
      <c r="LFP4" s="27"/>
      <c r="LFQ4" s="27"/>
      <c r="LFR4" s="27"/>
      <c r="LFS4" s="27"/>
      <c r="LFT4" s="27"/>
      <c r="LFU4" s="27"/>
      <c r="LFV4" s="27"/>
      <c r="LFW4" s="27"/>
      <c r="LFX4" s="27"/>
      <c r="LFY4" s="27"/>
      <c r="LFZ4" s="27"/>
      <c r="LGA4" s="27"/>
      <c r="LGB4" s="27"/>
      <c r="LGC4" s="27"/>
      <c r="LGD4" s="27"/>
      <c r="LGE4" s="27"/>
      <c r="LGF4" s="27"/>
      <c r="LGG4" s="27"/>
      <c r="LGH4" s="27"/>
      <c r="LGI4" s="27"/>
      <c r="LGJ4" s="27"/>
      <c r="LGK4" s="27"/>
      <c r="LGL4" s="27"/>
      <c r="LGM4" s="27"/>
      <c r="LGN4" s="27"/>
      <c r="LGO4" s="27"/>
      <c r="LGP4" s="27"/>
      <c r="LGQ4" s="27"/>
      <c r="LGR4" s="27"/>
      <c r="LGS4" s="27"/>
      <c r="LGT4" s="27"/>
      <c r="LGU4" s="27"/>
      <c r="LGV4" s="27"/>
      <c r="LGW4" s="27"/>
      <c r="LGX4" s="27"/>
      <c r="LGY4" s="27"/>
      <c r="LGZ4" s="27"/>
      <c r="LHA4" s="27"/>
      <c r="LHB4" s="27"/>
      <c r="LHC4" s="27"/>
      <c r="LHD4" s="27"/>
      <c r="LHE4" s="27"/>
      <c r="LHF4" s="27"/>
      <c r="LHG4" s="27"/>
      <c r="LHH4" s="27"/>
      <c r="LHI4" s="27"/>
      <c r="LHJ4" s="27"/>
      <c r="LHK4" s="27"/>
      <c r="LHL4" s="27"/>
      <c r="LHM4" s="27"/>
      <c r="LHN4" s="27"/>
      <c r="LHO4" s="27"/>
      <c r="LHP4" s="27"/>
      <c r="LHQ4" s="27"/>
      <c r="LHR4" s="27"/>
      <c r="LHS4" s="27"/>
      <c r="LHT4" s="27"/>
      <c r="LHU4" s="27"/>
      <c r="LHV4" s="27"/>
      <c r="LHW4" s="27"/>
      <c r="LHX4" s="27"/>
      <c r="LHY4" s="27"/>
      <c r="LHZ4" s="27"/>
      <c r="LIA4" s="27"/>
      <c r="LIB4" s="27"/>
      <c r="LIC4" s="27"/>
      <c r="LID4" s="27"/>
      <c r="LIE4" s="27"/>
      <c r="LIF4" s="27"/>
      <c r="LIG4" s="27"/>
      <c r="LIH4" s="27"/>
      <c r="LII4" s="27"/>
      <c r="LIJ4" s="27"/>
      <c r="LIK4" s="27"/>
      <c r="LIL4" s="27"/>
      <c r="LIM4" s="27"/>
      <c r="LIN4" s="27"/>
      <c r="LIO4" s="27"/>
      <c r="LIP4" s="27"/>
      <c r="LIQ4" s="27"/>
      <c r="LIR4" s="27"/>
      <c r="LIS4" s="27"/>
      <c r="LIT4" s="27"/>
      <c r="LIU4" s="27"/>
      <c r="LIV4" s="27"/>
      <c r="LIW4" s="27"/>
      <c r="LIX4" s="27"/>
      <c r="LIY4" s="27"/>
      <c r="LIZ4" s="27"/>
      <c r="LJA4" s="27"/>
      <c r="LJB4" s="27"/>
      <c r="LJC4" s="27"/>
      <c r="LJD4" s="27"/>
      <c r="LJE4" s="27"/>
      <c r="LJF4" s="27"/>
      <c r="LJG4" s="27"/>
      <c r="LJH4" s="27"/>
      <c r="LJI4" s="27"/>
      <c r="LJJ4" s="27"/>
      <c r="LJK4" s="27"/>
      <c r="LJL4" s="27"/>
      <c r="LJM4" s="27"/>
      <c r="LJN4" s="27"/>
      <c r="LJO4" s="27"/>
      <c r="LJP4" s="27"/>
      <c r="LJQ4" s="27"/>
      <c r="LJR4" s="27"/>
      <c r="LJS4" s="27"/>
      <c r="LJT4" s="27"/>
      <c r="LJU4" s="27"/>
      <c r="LJV4" s="27"/>
      <c r="LJW4" s="27"/>
      <c r="LJX4" s="27"/>
      <c r="LJY4" s="27"/>
      <c r="LJZ4" s="27"/>
      <c r="LKA4" s="27"/>
      <c r="LKB4" s="27"/>
      <c r="LKC4" s="27"/>
      <c r="LKD4" s="27"/>
      <c r="LKE4" s="27"/>
      <c r="LKF4" s="27"/>
      <c r="LKG4" s="27"/>
      <c r="LKH4" s="27"/>
      <c r="LKI4" s="27"/>
      <c r="LKJ4" s="27"/>
      <c r="LKK4" s="27"/>
      <c r="LKL4" s="27"/>
      <c r="LKM4" s="27"/>
      <c r="LKN4" s="27"/>
      <c r="LKO4" s="27"/>
      <c r="LKP4" s="27"/>
      <c r="LKQ4" s="27"/>
      <c r="LKR4" s="27"/>
      <c r="LKS4" s="27"/>
      <c r="LKT4" s="27"/>
      <c r="LKU4" s="27"/>
      <c r="LKV4" s="27"/>
      <c r="LKW4" s="27"/>
      <c r="LKX4" s="27"/>
      <c r="LKY4" s="27"/>
      <c r="LKZ4" s="27"/>
      <c r="LLA4" s="27"/>
      <c r="LLB4" s="27"/>
      <c r="LLC4" s="27"/>
      <c r="LLD4" s="27"/>
      <c r="LLE4" s="27"/>
      <c r="LLF4" s="27"/>
      <c r="LLG4" s="27"/>
      <c r="LLH4" s="27"/>
      <c r="LLI4" s="27"/>
      <c r="LLJ4" s="27"/>
      <c r="LLK4" s="27"/>
      <c r="LLL4" s="27"/>
      <c r="LLM4" s="27"/>
      <c r="LLN4" s="27"/>
      <c r="LLO4" s="27"/>
      <c r="LLP4" s="27"/>
      <c r="LLQ4" s="27"/>
      <c r="LLR4" s="27"/>
      <c r="LLS4" s="27"/>
      <c r="LLT4" s="27"/>
      <c r="LLU4" s="27"/>
      <c r="LLV4" s="27"/>
      <c r="LLW4" s="27"/>
      <c r="LLX4" s="27"/>
      <c r="LLY4" s="27"/>
      <c r="LLZ4" s="27"/>
      <c r="LMA4" s="27"/>
      <c r="LMB4" s="27"/>
      <c r="LMC4" s="27"/>
      <c r="LMD4" s="27"/>
      <c r="LME4" s="27"/>
      <c r="LMF4" s="27"/>
      <c r="LMG4" s="27"/>
      <c r="LMH4" s="27"/>
      <c r="LMI4" s="27"/>
      <c r="LMJ4" s="27"/>
      <c r="LMK4" s="27"/>
      <c r="LML4" s="27"/>
      <c r="LMM4" s="27"/>
      <c r="LMN4" s="27"/>
      <c r="LMO4" s="27"/>
      <c r="LMP4" s="27"/>
      <c r="LMQ4" s="27"/>
      <c r="LMR4" s="27"/>
      <c r="LMS4" s="27"/>
      <c r="LMT4" s="27"/>
      <c r="LMU4" s="27"/>
      <c r="LMV4" s="27"/>
      <c r="LMW4" s="27"/>
      <c r="LMX4" s="27"/>
      <c r="LMY4" s="27"/>
      <c r="LMZ4" s="27"/>
      <c r="LNA4" s="27"/>
      <c r="LNB4" s="27"/>
      <c r="LNC4" s="27"/>
      <c r="LND4" s="27"/>
      <c r="LNE4" s="27"/>
      <c r="LNF4" s="27"/>
      <c r="LNG4" s="27"/>
      <c r="LNH4" s="27"/>
      <c r="LNI4" s="27"/>
      <c r="LNJ4" s="27"/>
      <c r="LNK4" s="27"/>
      <c r="LNL4" s="27"/>
      <c r="LNM4" s="27"/>
      <c r="LNN4" s="27"/>
      <c r="LNO4" s="27"/>
      <c r="LNP4" s="27"/>
      <c r="LNQ4" s="27"/>
      <c r="LNR4" s="27"/>
      <c r="LNS4" s="27"/>
      <c r="LNT4" s="27"/>
      <c r="LNU4" s="27"/>
      <c r="LNV4" s="27"/>
      <c r="LNW4" s="27"/>
      <c r="LNX4" s="27"/>
      <c r="LNY4" s="27"/>
      <c r="LNZ4" s="27"/>
      <c r="LOA4" s="27"/>
      <c r="LOB4" s="27"/>
      <c r="LOC4" s="27"/>
      <c r="LOD4" s="27"/>
      <c r="LOE4" s="27"/>
      <c r="LOF4" s="27"/>
      <c r="LOG4" s="27"/>
      <c r="LOH4" s="27"/>
      <c r="LOI4" s="27"/>
      <c r="LOJ4" s="27"/>
      <c r="LOK4" s="27"/>
      <c r="LOL4" s="27"/>
      <c r="LOM4" s="27"/>
      <c r="LON4" s="27"/>
      <c r="LOO4" s="27"/>
      <c r="LOP4" s="27"/>
      <c r="LOQ4" s="27"/>
      <c r="LOR4" s="27"/>
      <c r="LOS4" s="27"/>
      <c r="LOT4" s="27"/>
      <c r="LOU4" s="27"/>
      <c r="LOV4" s="27"/>
      <c r="LOW4" s="27"/>
      <c r="LOX4" s="27"/>
      <c r="LOY4" s="27"/>
      <c r="LOZ4" s="27"/>
      <c r="LPA4" s="27"/>
      <c r="LPB4" s="27"/>
      <c r="LPC4" s="27"/>
      <c r="LPD4" s="27"/>
      <c r="LPE4" s="27"/>
      <c r="LPF4" s="27"/>
      <c r="LPG4" s="27"/>
      <c r="LPH4" s="27"/>
      <c r="LPI4" s="27"/>
      <c r="LPJ4" s="27"/>
      <c r="LPK4" s="27"/>
      <c r="LPL4" s="27"/>
      <c r="LPM4" s="27"/>
      <c r="LPN4" s="27"/>
      <c r="LPO4" s="27"/>
      <c r="LPP4" s="27"/>
      <c r="LPQ4" s="27"/>
      <c r="LPR4" s="27"/>
      <c r="LPS4" s="27"/>
      <c r="LPT4" s="27"/>
      <c r="LPU4" s="27"/>
      <c r="LPV4" s="27"/>
      <c r="LPW4" s="27"/>
      <c r="LPX4" s="27"/>
      <c r="LPY4" s="27"/>
      <c r="LPZ4" s="27"/>
      <c r="LQA4" s="27"/>
      <c r="LQB4" s="27"/>
      <c r="LQC4" s="27"/>
      <c r="LQD4" s="27"/>
      <c r="LQE4" s="27"/>
      <c r="LQF4" s="27"/>
      <c r="LQG4" s="27"/>
      <c r="LQH4" s="27"/>
      <c r="LQI4" s="27"/>
      <c r="LQJ4" s="27"/>
      <c r="LQK4" s="27"/>
      <c r="LQL4" s="27"/>
      <c r="LQM4" s="27"/>
      <c r="LQN4" s="27"/>
      <c r="LQO4" s="27"/>
      <c r="LQP4" s="27"/>
      <c r="LQQ4" s="27"/>
      <c r="LQR4" s="27"/>
      <c r="LQS4" s="27"/>
      <c r="LQT4" s="27"/>
      <c r="LQU4" s="27"/>
      <c r="LQV4" s="27"/>
      <c r="LQW4" s="27"/>
      <c r="LQX4" s="27"/>
      <c r="LQY4" s="27"/>
      <c r="LQZ4" s="27"/>
      <c r="LRA4" s="27"/>
      <c r="LRB4" s="27"/>
      <c r="LRC4" s="27"/>
      <c r="LRD4" s="27"/>
      <c r="LRE4" s="27"/>
      <c r="LRF4" s="27"/>
      <c r="LRG4" s="27"/>
      <c r="LRH4" s="27"/>
      <c r="LRI4" s="27"/>
      <c r="LRJ4" s="27"/>
      <c r="LRK4" s="27"/>
      <c r="LRL4" s="27"/>
      <c r="LRM4" s="27"/>
      <c r="LRN4" s="27"/>
      <c r="LRO4" s="27"/>
      <c r="LRP4" s="27"/>
      <c r="LRQ4" s="27"/>
      <c r="LRR4" s="27"/>
      <c r="LRS4" s="27"/>
      <c r="LRT4" s="27"/>
      <c r="LRU4" s="27"/>
      <c r="LRV4" s="27"/>
      <c r="LRW4" s="27"/>
      <c r="LRX4" s="27"/>
      <c r="LRY4" s="27"/>
      <c r="LRZ4" s="27"/>
      <c r="LSA4" s="27"/>
      <c r="LSB4" s="27"/>
      <c r="LSC4" s="27"/>
      <c r="LSD4" s="27"/>
      <c r="LSE4" s="27"/>
      <c r="LSF4" s="27"/>
      <c r="LSG4" s="27"/>
      <c r="LSH4" s="27"/>
      <c r="LSI4" s="27"/>
      <c r="LSJ4" s="27"/>
      <c r="LSK4" s="27"/>
      <c r="LSL4" s="27"/>
      <c r="LSM4" s="27"/>
      <c r="LSN4" s="27"/>
      <c r="LSO4" s="27"/>
      <c r="LSP4" s="27"/>
      <c r="LSQ4" s="27"/>
      <c r="LSR4" s="27"/>
      <c r="LSS4" s="27"/>
      <c r="LST4" s="27"/>
      <c r="LSU4" s="27"/>
      <c r="LSV4" s="27"/>
      <c r="LSW4" s="27"/>
      <c r="LSX4" s="27"/>
      <c r="LSY4" s="27"/>
      <c r="LSZ4" s="27"/>
      <c r="LTA4" s="27"/>
      <c r="LTB4" s="27"/>
      <c r="LTC4" s="27"/>
      <c r="LTD4" s="27"/>
      <c r="LTE4" s="27"/>
      <c r="LTF4" s="27"/>
      <c r="LTG4" s="27"/>
      <c r="LTH4" s="27"/>
      <c r="LTI4" s="27"/>
      <c r="LTJ4" s="27"/>
      <c r="LTK4" s="27"/>
      <c r="LTL4" s="27"/>
      <c r="LTM4" s="27"/>
      <c r="LTN4" s="27"/>
      <c r="LTO4" s="27"/>
      <c r="LTP4" s="27"/>
      <c r="LTQ4" s="27"/>
      <c r="LTR4" s="27"/>
      <c r="LTS4" s="27"/>
      <c r="LTT4" s="27"/>
      <c r="LTU4" s="27"/>
      <c r="LTV4" s="27"/>
      <c r="LTW4" s="27"/>
      <c r="LTX4" s="27"/>
      <c r="LTY4" s="27"/>
      <c r="LTZ4" s="27"/>
      <c r="LUA4" s="27"/>
      <c r="LUB4" s="27"/>
      <c r="LUC4" s="27"/>
      <c r="LUD4" s="27"/>
      <c r="LUE4" s="27"/>
      <c r="LUF4" s="27"/>
      <c r="LUG4" s="27"/>
      <c r="LUH4" s="27"/>
      <c r="LUI4" s="27"/>
      <c r="LUJ4" s="27"/>
      <c r="LUK4" s="27"/>
      <c r="LUL4" s="27"/>
      <c r="LUM4" s="27"/>
      <c r="LUN4" s="27"/>
      <c r="LUO4" s="27"/>
      <c r="LUP4" s="27"/>
      <c r="LUQ4" s="27"/>
      <c r="LUR4" s="27"/>
      <c r="LUS4" s="27"/>
      <c r="LUT4" s="27"/>
      <c r="LUU4" s="27"/>
      <c r="LUV4" s="27"/>
      <c r="LUW4" s="27"/>
      <c r="LUX4" s="27"/>
      <c r="LUY4" s="27"/>
      <c r="LUZ4" s="27"/>
      <c r="LVA4" s="27"/>
      <c r="LVB4" s="27"/>
      <c r="LVC4" s="27"/>
      <c r="LVD4" s="27"/>
      <c r="LVE4" s="27"/>
      <c r="LVF4" s="27"/>
      <c r="LVG4" s="27"/>
      <c r="LVH4" s="27"/>
      <c r="LVI4" s="27"/>
      <c r="LVJ4" s="27"/>
      <c r="LVK4" s="27"/>
      <c r="LVL4" s="27"/>
      <c r="LVM4" s="27"/>
      <c r="LVN4" s="27"/>
      <c r="LVO4" s="27"/>
      <c r="LVP4" s="27"/>
      <c r="LVQ4" s="27"/>
      <c r="LVR4" s="27"/>
      <c r="LVS4" s="27"/>
      <c r="LVT4" s="27"/>
      <c r="LVU4" s="27"/>
      <c r="LVV4" s="27"/>
      <c r="LVW4" s="27"/>
      <c r="LVX4" s="27"/>
      <c r="LVY4" s="27"/>
      <c r="LVZ4" s="27"/>
      <c r="LWA4" s="27"/>
      <c r="LWB4" s="27"/>
      <c r="LWC4" s="27"/>
      <c r="LWD4" s="27"/>
      <c r="LWE4" s="27"/>
      <c r="LWF4" s="27"/>
      <c r="LWG4" s="27"/>
      <c r="LWH4" s="27"/>
      <c r="LWI4" s="27"/>
      <c r="LWJ4" s="27"/>
      <c r="LWK4" s="27"/>
      <c r="LWL4" s="27"/>
      <c r="LWM4" s="27"/>
      <c r="LWN4" s="27"/>
      <c r="LWO4" s="27"/>
      <c r="LWP4" s="27"/>
      <c r="LWQ4" s="27"/>
      <c r="LWR4" s="27"/>
      <c r="LWS4" s="27"/>
      <c r="LWT4" s="27"/>
      <c r="LWU4" s="27"/>
      <c r="LWV4" s="27"/>
      <c r="LWW4" s="27"/>
      <c r="LWX4" s="27"/>
      <c r="LWY4" s="27"/>
      <c r="LWZ4" s="27"/>
      <c r="LXA4" s="27"/>
      <c r="LXB4" s="27"/>
      <c r="LXC4" s="27"/>
      <c r="LXD4" s="27"/>
      <c r="LXE4" s="27"/>
      <c r="LXF4" s="27"/>
      <c r="LXG4" s="27"/>
      <c r="LXH4" s="27"/>
      <c r="LXI4" s="27"/>
      <c r="LXJ4" s="27"/>
      <c r="LXK4" s="27"/>
      <c r="LXL4" s="27"/>
      <c r="LXM4" s="27"/>
      <c r="LXN4" s="27"/>
      <c r="LXO4" s="27"/>
      <c r="LXP4" s="27"/>
      <c r="LXQ4" s="27"/>
      <c r="LXR4" s="27"/>
      <c r="LXS4" s="27"/>
      <c r="LXT4" s="27"/>
      <c r="LXU4" s="27"/>
      <c r="LXV4" s="27"/>
      <c r="LXW4" s="27"/>
      <c r="LXX4" s="27"/>
      <c r="LXY4" s="27"/>
      <c r="LXZ4" s="27"/>
      <c r="LYA4" s="27"/>
      <c r="LYB4" s="27"/>
      <c r="LYC4" s="27"/>
      <c r="LYD4" s="27"/>
      <c r="LYE4" s="27"/>
      <c r="LYF4" s="27"/>
      <c r="LYG4" s="27"/>
      <c r="LYH4" s="27"/>
      <c r="LYI4" s="27"/>
      <c r="LYJ4" s="27"/>
      <c r="LYK4" s="27"/>
      <c r="LYL4" s="27"/>
      <c r="LYM4" s="27"/>
      <c r="LYN4" s="27"/>
      <c r="LYO4" s="27"/>
      <c r="LYP4" s="27"/>
      <c r="LYQ4" s="27"/>
      <c r="LYR4" s="27"/>
      <c r="LYS4" s="27"/>
      <c r="LYT4" s="27"/>
      <c r="LYU4" s="27"/>
      <c r="LYV4" s="27"/>
      <c r="LYW4" s="27"/>
      <c r="LYX4" s="27"/>
      <c r="LYY4" s="27"/>
      <c r="LYZ4" s="27"/>
      <c r="LZA4" s="27"/>
      <c r="LZB4" s="27"/>
      <c r="LZC4" s="27"/>
      <c r="LZD4" s="27"/>
      <c r="LZE4" s="27"/>
      <c r="LZF4" s="27"/>
      <c r="LZG4" s="27"/>
      <c r="LZH4" s="27"/>
      <c r="LZI4" s="27"/>
      <c r="LZJ4" s="27"/>
      <c r="LZK4" s="27"/>
      <c r="LZL4" s="27"/>
      <c r="LZM4" s="27"/>
      <c r="LZN4" s="27"/>
      <c r="LZO4" s="27"/>
      <c r="LZP4" s="27"/>
      <c r="LZQ4" s="27"/>
      <c r="LZR4" s="27"/>
      <c r="LZS4" s="27"/>
      <c r="LZT4" s="27"/>
      <c r="LZU4" s="27"/>
      <c r="LZV4" s="27"/>
      <c r="LZW4" s="27"/>
      <c r="LZX4" s="27"/>
      <c r="LZY4" s="27"/>
      <c r="LZZ4" s="27"/>
      <c r="MAA4" s="27"/>
      <c r="MAB4" s="27"/>
      <c r="MAC4" s="27"/>
      <c r="MAD4" s="27"/>
      <c r="MAE4" s="27"/>
      <c r="MAF4" s="27"/>
      <c r="MAG4" s="27"/>
      <c r="MAH4" s="27"/>
      <c r="MAI4" s="27"/>
      <c r="MAJ4" s="27"/>
      <c r="MAK4" s="27"/>
      <c r="MAL4" s="27"/>
      <c r="MAM4" s="27"/>
      <c r="MAN4" s="27"/>
      <c r="MAO4" s="27"/>
      <c r="MAP4" s="27"/>
      <c r="MAQ4" s="27"/>
      <c r="MAR4" s="27"/>
      <c r="MAS4" s="27"/>
      <c r="MAT4" s="27"/>
      <c r="MAU4" s="27"/>
      <c r="MAV4" s="27"/>
      <c r="MAW4" s="27"/>
      <c r="MAX4" s="27"/>
      <c r="MAY4" s="27"/>
      <c r="MAZ4" s="27"/>
      <c r="MBA4" s="27"/>
      <c r="MBB4" s="27"/>
      <c r="MBC4" s="27"/>
      <c r="MBD4" s="27"/>
      <c r="MBE4" s="27"/>
      <c r="MBF4" s="27"/>
      <c r="MBG4" s="27"/>
      <c r="MBH4" s="27"/>
      <c r="MBI4" s="27"/>
      <c r="MBJ4" s="27"/>
      <c r="MBK4" s="27"/>
      <c r="MBL4" s="27"/>
      <c r="MBM4" s="27"/>
      <c r="MBN4" s="27"/>
      <c r="MBO4" s="27"/>
      <c r="MBP4" s="27"/>
      <c r="MBQ4" s="27"/>
      <c r="MBR4" s="27"/>
      <c r="MBS4" s="27"/>
      <c r="MBT4" s="27"/>
      <c r="MBU4" s="27"/>
      <c r="MBV4" s="27"/>
      <c r="MBW4" s="27"/>
      <c r="MBX4" s="27"/>
      <c r="MBY4" s="27"/>
      <c r="MBZ4" s="27"/>
      <c r="MCA4" s="27"/>
      <c r="MCB4" s="27"/>
      <c r="MCC4" s="27"/>
      <c r="MCD4" s="27"/>
      <c r="MCE4" s="27"/>
      <c r="MCF4" s="27"/>
      <c r="MCG4" s="27"/>
      <c r="MCH4" s="27"/>
      <c r="MCI4" s="27"/>
      <c r="MCJ4" s="27"/>
      <c r="MCK4" s="27"/>
      <c r="MCL4" s="27"/>
      <c r="MCM4" s="27"/>
      <c r="MCN4" s="27"/>
      <c r="MCO4" s="27"/>
      <c r="MCP4" s="27"/>
      <c r="MCQ4" s="27"/>
      <c r="MCR4" s="27"/>
      <c r="MCS4" s="27"/>
      <c r="MCT4" s="27"/>
      <c r="MCU4" s="27"/>
      <c r="MCV4" s="27"/>
      <c r="MCW4" s="27"/>
      <c r="MCX4" s="27"/>
      <c r="MCY4" s="27"/>
      <c r="MCZ4" s="27"/>
      <c r="MDA4" s="27"/>
      <c r="MDB4" s="27"/>
      <c r="MDC4" s="27"/>
      <c r="MDD4" s="27"/>
      <c r="MDE4" s="27"/>
      <c r="MDF4" s="27"/>
      <c r="MDG4" s="27"/>
      <c r="MDH4" s="27"/>
      <c r="MDI4" s="27"/>
      <c r="MDJ4" s="27"/>
      <c r="MDK4" s="27"/>
      <c r="MDL4" s="27"/>
      <c r="MDM4" s="27"/>
      <c r="MDN4" s="27"/>
      <c r="MDO4" s="27"/>
      <c r="MDP4" s="27"/>
      <c r="MDQ4" s="27"/>
      <c r="MDR4" s="27"/>
      <c r="MDS4" s="27"/>
      <c r="MDT4" s="27"/>
      <c r="MDU4" s="27"/>
      <c r="MDV4" s="27"/>
      <c r="MDW4" s="27"/>
      <c r="MDX4" s="27"/>
      <c r="MDY4" s="27"/>
      <c r="MDZ4" s="27"/>
      <c r="MEA4" s="27"/>
      <c r="MEB4" s="27"/>
      <c r="MEC4" s="27"/>
      <c r="MED4" s="27"/>
      <c r="MEE4" s="27"/>
      <c r="MEF4" s="27"/>
      <c r="MEG4" s="27"/>
      <c r="MEH4" s="27"/>
      <c r="MEI4" s="27"/>
      <c r="MEJ4" s="27"/>
      <c r="MEK4" s="27"/>
      <c r="MEL4" s="27"/>
      <c r="MEM4" s="27"/>
      <c r="MEN4" s="27"/>
      <c r="MEO4" s="27"/>
      <c r="MEP4" s="27"/>
      <c r="MEQ4" s="27"/>
      <c r="MER4" s="27"/>
      <c r="MES4" s="27"/>
      <c r="MET4" s="27"/>
      <c r="MEU4" s="27"/>
      <c r="MEV4" s="27"/>
      <c r="MEW4" s="27"/>
      <c r="MEX4" s="27"/>
      <c r="MEY4" s="27"/>
      <c r="MEZ4" s="27"/>
      <c r="MFA4" s="27"/>
      <c r="MFB4" s="27"/>
      <c r="MFC4" s="27"/>
      <c r="MFD4" s="27"/>
      <c r="MFE4" s="27"/>
      <c r="MFF4" s="27"/>
      <c r="MFG4" s="27"/>
      <c r="MFH4" s="27"/>
      <c r="MFI4" s="27"/>
      <c r="MFJ4" s="27"/>
      <c r="MFK4" s="27"/>
      <c r="MFL4" s="27"/>
      <c r="MFM4" s="27"/>
      <c r="MFN4" s="27"/>
      <c r="MFO4" s="27"/>
      <c r="MFP4" s="27"/>
      <c r="MFQ4" s="27"/>
      <c r="MFR4" s="27"/>
      <c r="MFS4" s="27"/>
      <c r="MFT4" s="27"/>
      <c r="MFU4" s="27"/>
      <c r="MFV4" s="27"/>
      <c r="MFW4" s="27"/>
      <c r="MFX4" s="27"/>
      <c r="MFY4" s="27"/>
      <c r="MFZ4" s="27"/>
      <c r="MGA4" s="27"/>
      <c r="MGB4" s="27"/>
      <c r="MGC4" s="27"/>
      <c r="MGD4" s="27"/>
      <c r="MGE4" s="27"/>
      <c r="MGF4" s="27"/>
      <c r="MGG4" s="27"/>
      <c r="MGH4" s="27"/>
      <c r="MGI4" s="27"/>
      <c r="MGJ4" s="27"/>
      <c r="MGK4" s="27"/>
      <c r="MGL4" s="27"/>
      <c r="MGM4" s="27"/>
      <c r="MGN4" s="27"/>
      <c r="MGO4" s="27"/>
      <c r="MGP4" s="27"/>
      <c r="MGQ4" s="27"/>
      <c r="MGR4" s="27"/>
      <c r="MGS4" s="27"/>
      <c r="MGT4" s="27"/>
      <c r="MGU4" s="27"/>
      <c r="MGV4" s="27"/>
      <c r="MGW4" s="27"/>
      <c r="MGX4" s="27"/>
      <c r="MGY4" s="27"/>
      <c r="MGZ4" s="27"/>
      <c r="MHA4" s="27"/>
      <c r="MHB4" s="27"/>
      <c r="MHC4" s="27"/>
      <c r="MHD4" s="27"/>
      <c r="MHE4" s="27"/>
      <c r="MHF4" s="27"/>
      <c r="MHG4" s="27"/>
      <c r="MHH4" s="27"/>
      <c r="MHI4" s="27"/>
      <c r="MHJ4" s="27"/>
      <c r="MHK4" s="27"/>
      <c r="MHL4" s="27"/>
      <c r="MHM4" s="27"/>
      <c r="MHN4" s="27"/>
      <c r="MHO4" s="27"/>
      <c r="MHP4" s="27"/>
      <c r="MHQ4" s="27"/>
      <c r="MHR4" s="27"/>
      <c r="MHS4" s="27"/>
      <c r="MHT4" s="27"/>
      <c r="MHU4" s="27"/>
      <c r="MHV4" s="27"/>
      <c r="MHW4" s="27"/>
      <c r="MHX4" s="27"/>
      <c r="MHY4" s="27"/>
      <c r="MHZ4" s="27"/>
      <c r="MIA4" s="27"/>
      <c r="MIB4" s="27"/>
      <c r="MIC4" s="27"/>
      <c r="MID4" s="27"/>
      <c r="MIE4" s="27"/>
      <c r="MIF4" s="27"/>
      <c r="MIG4" s="27"/>
      <c r="MIH4" s="27"/>
      <c r="MII4" s="27"/>
      <c r="MIJ4" s="27"/>
      <c r="MIK4" s="27"/>
      <c r="MIL4" s="27"/>
      <c r="MIM4" s="27"/>
      <c r="MIN4" s="27"/>
      <c r="MIO4" s="27"/>
      <c r="MIP4" s="27"/>
      <c r="MIQ4" s="27"/>
      <c r="MIR4" s="27"/>
      <c r="MIS4" s="27"/>
      <c r="MIT4" s="27"/>
      <c r="MIU4" s="27"/>
      <c r="MIV4" s="27"/>
      <c r="MIW4" s="27"/>
      <c r="MIX4" s="27"/>
      <c r="MIY4" s="27"/>
      <c r="MIZ4" s="27"/>
      <c r="MJA4" s="27"/>
      <c r="MJB4" s="27"/>
      <c r="MJC4" s="27"/>
      <c r="MJD4" s="27"/>
      <c r="MJE4" s="27"/>
      <c r="MJF4" s="27"/>
      <c r="MJG4" s="27"/>
      <c r="MJH4" s="27"/>
      <c r="MJI4" s="27"/>
      <c r="MJJ4" s="27"/>
      <c r="MJK4" s="27"/>
      <c r="MJL4" s="27"/>
      <c r="MJM4" s="27"/>
      <c r="MJN4" s="27"/>
      <c r="MJO4" s="27"/>
      <c r="MJP4" s="27"/>
      <c r="MJQ4" s="27"/>
      <c r="MJR4" s="27"/>
      <c r="MJS4" s="27"/>
      <c r="MJT4" s="27"/>
      <c r="MJU4" s="27"/>
      <c r="MJV4" s="27"/>
      <c r="MJW4" s="27"/>
      <c r="MJX4" s="27"/>
      <c r="MJY4" s="27"/>
      <c r="MJZ4" s="27"/>
      <c r="MKA4" s="27"/>
      <c r="MKB4" s="27"/>
      <c r="MKC4" s="27"/>
      <c r="MKD4" s="27"/>
      <c r="MKE4" s="27"/>
      <c r="MKF4" s="27"/>
      <c r="MKG4" s="27"/>
      <c r="MKH4" s="27"/>
      <c r="MKI4" s="27"/>
      <c r="MKJ4" s="27"/>
      <c r="MKK4" s="27"/>
      <c r="MKL4" s="27"/>
      <c r="MKM4" s="27"/>
      <c r="MKN4" s="27"/>
      <c r="MKO4" s="27"/>
      <c r="MKP4" s="27"/>
      <c r="MKQ4" s="27"/>
      <c r="MKR4" s="27"/>
      <c r="MKS4" s="27"/>
      <c r="MKT4" s="27"/>
      <c r="MKU4" s="27"/>
      <c r="MKV4" s="27"/>
      <c r="MKW4" s="27"/>
      <c r="MKX4" s="27"/>
      <c r="MKY4" s="27"/>
      <c r="MKZ4" s="27"/>
      <c r="MLA4" s="27"/>
      <c r="MLB4" s="27"/>
      <c r="MLC4" s="27"/>
      <c r="MLD4" s="27"/>
      <c r="MLE4" s="27"/>
      <c r="MLF4" s="27"/>
      <c r="MLG4" s="27"/>
      <c r="MLH4" s="27"/>
      <c r="MLI4" s="27"/>
      <c r="MLJ4" s="27"/>
      <c r="MLK4" s="27"/>
      <c r="MLL4" s="27"/>
      <c r="MLM4" s="27"/>
      <c r="MLN4" s="27"/>
      <c r="MLO4" s="27"/>
      <c r="MLP4" s="27"/>
      <c r="MLQ4" s="27"/>
      <c r="MLR4" s="27"/>
      <c r="MLS4" s="27"/>
      <c r="MLT4" s="27"/>
      <c r="MLU4" s="27"/>
      <c r="MLV4" s="27"/>
      <c r="MLW4" s="27"/>
      <c r="MLX4" s="27"/>
      <c r="MLY4" s="27"/>
      <c r="MLZ4" s="27"/>
      <c r="MMA4" s="27"/>
      <c r="MMB4" s="27"/>
      <c r="MMC4" s="27"/>
      <c r="MMD4" s="27"/>
      <c r="MME4" s="27"/>
      <c r="MMF4" s="27"/>
      <c r="MMG4" s="27"/>
      <c r="MMH4" s="27"/>
      <c r="MMI4" s="27"/>
      <c r="MMJ4" s="27"/>
      <c r="MMK4" s="27"/>
      <c r="MML4" s="27"/>
      <c r="MMM4" s="27"/>
      <c r="MMN4" s="27"/>
      <c r="MMO4" s="27"/>
      <c r="MMP4" s="27"/>
      <c r="MMQ4" s="27"/>
      <c r="MMR4" s="27"/>
      <c r="MMS4" s="27"/>
      <c r="MMT4" s="27"/>
      <c r="MMU4" s="27"/>
      <c r="MMV4" s="27"/>
      <c r="MMW4" s="27"/>
      <c r="MMX4" s="27"/>
      <c r="MMY4" s="27"/>
      <c r="MMZ4" s="27"/>
      <c r="MNA4" s="27"/>
      <c r="MNB4" s="27"/>
      <c r="MNC4" s="27"/>
      <c r="MND4" s="27"/>
      <c r="MNE4" s="27"/>
      <c r="MNF4" s="27"/>
      <c r="MNG4" s="27"/>
      <c r="MNH4" s="27"/>
      <c r="MNI4" s="27"/>
      <c r="MNJ4" s="27"/>
      <c r="MNK4" s="27"/>
      <c r="MNL4" s="27"/>
      <c r="MNM4" s="27"/>
      <c r="MNN4" s="27"/>
      <c r="MNO4" s="27"/>
      <c r="MNP4" s="27"/>
      <c r="MNQ4" s="27"/>
      <c r="MNR4" s="27"/>
      <c r="MNS4" s="27"/>
      <c r="MNT4" s="27"/>
      <c r="MNU4" s="27"/>
      <c r="MNV4" s="27"/>
      <c r="MNW4" s="27"/>
      <c r="MNX4" s="27"/>
      <c r="MNY4" s="27"/>
      <c r="MNZ4" s="27"/>
      <c r="MOA4" s="27"/>
      <c r="MOB4" s="27"/>
      <c r="MOC4" s="27"/>
      <c r="MOD4" s="27"/>
      <c r="MOE4" s="27"/>
      <c r="MOF4" s="27"/>
      <c r="MOG4" s="27"/>
      <c r="MOH4" s="27"/>
      <c r="MOI4" s="27"/>
      <c r="MOJ4" s="27"/>
      <c r="MOK4" s="27"/>
      <c r="MOL4" s="27"/>
      <c r="MOM4" s="27"/>
      <c r="MON4" s="27"/>
      <c r="MOO4" s="27"/>
      <c r="MOP4" s="27"/>
      <c r="MOQ4" s="27"/>
      <c r="MOR4" s="27"/>
      <c r="MOS4" s="27"/>
      <c r="MOT4" s="27"/>
      <c r="MOU4" s="27"/>
      <c r="MOV4" s="27"/>
      <c r="MOW4" s="27"/>
      <c r="MOX4" s="27"/>
      <c r="MOY4" s="27"/>
      <c r="MOZ4" s="27"/>
      <c r="MPA4" s="27"/>
      <c r="MPB4" s="27"/>
      <c r="MPC4" s="27"/>
      <c r="MPD4" s="27"/>
      <c r="MPE4" s="27"/>
      <c r="MPF4" s="27"/>
      <c r="MPG4" s="27"/>
      <c r="MPH4" s="27"/>
      <c r="MPI4" s="27"/>
      <c r="MPJ4" s="27"/>
      <c r="MPK4" s="27"/>
      <c r="MPL4" s="27"/>
      <c r="MPM4" s="27"/>
      <c r="MPN4" s="27"/>
      <c r="MPO4" s="27"/>
      <c r="MPP4" s="27"/>
      <c r="MPQ4" s="27"/>
      <c r="MPR4" s="27"/>
      <c r="MPS4" s="27"/>
      <c r="MPT4" s="27"/>
      <c r="MPU4" s="27"/>
      <c r="MPV4" s="27"/>
      <c r="MPW4" s="27"/>
      <c r="MPX4" s="27"/>
      <c r="MPY4" s="27"/>
      <c r="MPZ4" s="27"/>
      <c r="MQA4" s="27"/>
      <c r="MQB4" s="27"/>
      <c r="MQC4" s="27"/>
      <c r="MQD4" s="27"/>
      <c r="MQE4" s="27"/>
      <c r="MQF4" s="27"/>
      <c r="MQG4" s="27"/>
      <c r="MQH4" s="27"/>
      <c r="MQI4" s="27"/>
      <c r="MQJ4" s="27"/>
      <c r="MQK4" s="27"/>
      <c r="MQL4" s="27"/>
      <c r="MQM4" s="27"/>
      <c r="MQN4" s="27"/>
      <c r="MQO4" s="27"/>
      <c r="MQP4" s="27"/>
      <c r="MQQ4" s="27"/>
      <c r="MQR4" s="27"/>
      <c r="MQS4" s="27"/>
      <c r="MQT4" s="27"/>
      <c r="MQU4" s="27"/>
      <c r="MQV4" s="27"/>
      <c r="MQW4" s="27"/>
      <c r="MQX4" s="27"/>
      <c r="MQY4" s="27"/>
      <c r="MQZ4" s="27"/>
      <c r="MRA4" s="27"/>
      <c r="MRB4" s="27"/>
      <c r="MRC4" s="27"/>
      <c r="MRD4" s="27"/>
      <c r="MRE4" s="27"/>
      <c r="MRF4" s="27"/>
      <c r="MRG4" s="27"/>
      <c r="MRH4" s="27"/>
      <c r="MRI4" s="27"/>
      <c r="MRJ4" s="27"/>
      <c r="MRK4" s="27"/>
      <c r="MRL4" s="27"/>
      <c r="MRM4" s="27"/>
      <c r="MRN4" s="27"/>
      <c r="MRO4" s="27"/>
      <c r="MRP4" s="27"/>
      <c r="MRQ4" s="27"/>
      <c r="MRR4" s="27"/>
      <c r="MRS4" s="27"/>
      <c r="MRT4" s="27"/>
      <c r="MRU4" s="27"/>
      <c r="MRV4" s="27"/>
      <c r="MRW4" s="27"/>
      <c r="MRX4" s="27"/>
      <c r="MRY4" s="27"/>
      <c r="MRZ4" s="27"/>
      <c r="MSA4" s="27"/>
      <c r="MSB4" s="27"/>
      <c r="MSC4" s="27"/>
      <c r="MSD4" s="27"/>
      <c r="MSE4" s="27"/>
      <c r="MSF4" s="27"/>
      <c r="MSG4" s="27"/>
      <c r="MSH4" s="27"/>
      <c r="MSI4" s="27"/>
      <c r="MSJ4" s="27"/>
      <c r="MSK4" s="27"/>
      <c r="MSL4" s="27"/>
      <c r="MSM4" s="27"/>
      <c r="MSN4" s="27"/>
      <c r="MSO4" s="27"/>
      <c r="MSP4" s="27"/>
      <c r="MSQ4" s="27"/>
      <c r="MSR4" s="27"/>
      <c r="MSS4" s="27"/>
      <c r="MST4" s="27"/>
      <c r="MSU4" s="27"/>
      <c r="MSV4" s="27"/>
      <c r="MSW4" s="27"/>
      <c r="MSX4" s="27"/>
      <c r="MSY4" s="27"/>
      <c r="MSZ4" s="27"/>
      <c r="MTA4" s="27"/>
      <c r="MTB4" s="27"/>
      <c r="MTC4" s="27"/>
      <c r="MTD4" s="27"/>
      <c r="MTE4" s="27"/>
      <c r="MTF4" s="27"/>
      <c r="MTG4" s="27"/>
      <c r="MTH4" s="27"/>
      <c r="MTI4" s="27"/>
      <c r="MTJ4" s="27"/>
      <c r="MTK4" s="27"/>
      <c r="MTL4" s="27"/>
      <c r="MTM4" s="27"/>
      <c r="MTN4" s="27"/>
      <c r="MTO4" s="27"/>
      <c r="MTP4" s="27"/>
      <c r="MTQ4" s="27"/>
      <c r="MTR4" s="27"/>
      <c r="MTS4" s="27"/>
      <c r="MTT4" s="27"/>
      <c r="MTU4" s="27"/>
      <c r="MTV4" s="27"/>
      <c r="MTW4" s="27"/>
      <c r="MTX4" s="27"/>
      <c r="MTY4" s="27"/>
      <c r="MTZ4" s="27"/>
      <c r="MUA4" s="27"/>
      <c r="MUB4" s="27"/>
      <c r="MUC4" s="27"/>
      <c r="MUD4" s="27"/>
      <c r="MUE4" s="27"/>
      <c r="MUF4" s="27"/>
      <c r="MUG4" s="27"/>
      <c r="MUH4" s="27"/>
      <c r="MUI4" s="27"/>
      <c r="MUJ4" s="27"/>
      <c r="MUK4" s="27"/>
      <c r="MUL4" s="27"/>
      <c r="MUM4" s="27"/>
      <c r="MUN4" s="27"/>
      <c r="MUO4" s="27"/>
      <c r="MUP4" s="27"/>
      <c r="MUQ4" s="27"/>
      <c r="MUR4" s="27"/>
      <c r="MUS4" s="27"/>
      <c r="MUT4" s="27"/>
      <c r="MUU4" s="27"/>
      <c r="MUV4" s="27"/>
      <c r="MUW4" s="27"/>
      <c r="MUX4" s="27"/>
      <c r="MUY4" s="27"/>
      <c r="MUZ4" s="27"/>
      <c r="MVA4" s="27"/>
      <c r="MVB4" s="27"/>
      <c r="MVC4" s="27"/>
      <c r="MVD4" s="27"/>
      <c r="MVE4" s="27"/>
      <c r="MVF4" s="27"/>
      <c r="MVG4" s="27"/>
      <c r="MVH4" s="27"/>
      <c r="MVI4" s="27"/>
      <c r="MVJ4" s="27"/>
      <c r="MVK4" s="27"/>
      <c r="MVL4" s="27"/>
      <c r="MVM4" s="27"/>
      <c r="MVN4" s="27"/>
      <c r="MVO4" s="27"/>
      <c r="MVP4" s="27"/>
      <c r="MVQ4" s="27"/>
      <c r="MVR4" s="27"/>
      <c r="MVS4" s="27"/>
      <c r="MVT4" s="27"/>
      <c r="MVU4" s="27"/>
      <c r="MVV4" s="27"/>
      <c r="MVW4" s="27"/>
      <c r="MVX4" s="27"/>
      <c r="MVY4" s="27"/>
      <c r="MVZ4" s="27"/>
      <c r="MWA4" s="27"/>
      <c r="MWB4" s="27"/>
      <c r="MWC4" s="27"/>
      <c r="MWD4" s="27"/>
      <c r="MWE4" s="27"/>
      <c r="MWF4" s="27"/>
      <c r="MWG4" s="27"/>
      <c r="MWH4" s="27"/>
      <c r="MWI4" s="27"/>
      <c r="MWJ4" s="27"/>
      <c r="MWK4" s="27"/>
      <c r="MWL4" s="27"/>
      <c r="MWM4" s="27"/>
      <c r="MWN4" s="27"/>
      <c r="MWO4" s="27"/>
      <c r="MWP4" s="27"/>
      <c r="MWQ4" s="27"/>
      <c r="MWR4" s="27"/>
      <c r="MWS4" s="27"/>
      <c r="MWT4" s="27"/>
      <c r="MWU4" s="27"/>
      <c r="MWV4" s="27"/>
      <c r="MWW4" s="27"/>
      <c r="MWX4" s="27"/>
      <c r="MWY4" s="27"/>
      <c r="MWZ4" s="27"/>
      <c r="MXA4" s="27"/>
      <c r="MXB4" s="27"/>
      <c r="MXC4" s="27"/>
      <c r="MXD4" s="27"/>
      <c r="MXE4" s="27"/>
      <c r="MXF4" s="27"/>
      <c r="MXG4" s="27"/>
      <c r="MXH4" s="27"/>
      <c r="MXI4" s="27"/>
      <c r="MXJ4" s="27"/>
      <c r="MXK4" s="27"/>
      <c r="MXL4" s="27"/>
      <c r="MXM4" s="27"/>
      <c r="MXN4" s="27"/>
      <c r="MXO4" s="27"/>
      <c r="MXP4" s="27"/>
      <c r="MXQ4" s="27"/>
      <c r="MXR4" s="27"/>
      <c r="MXS4" s="27"/>
      <c r="MXT4" s="27"/>
      <c r="MXU4" s="27"/>
      <c r="MXV4" s="27"/>
      <c r="MXW4" s="27"/>
      <c r="MXX4" s="27"/>
      <c r="MXY4" s="27"/>
      <c r="MXZ4" s="27"/>
      <c r="MYA4" s="27"/>
      <c r="MYB4" s="27"/>
      <c r="MYC4" s="27"/>
      <c r="MYD4" s="27"/>
      <c r="MYE4" s="27"/>
      <c r="MYF4" s="27"/>
      <c r="MYG4" s="27"/>
      <c r="MYH4" s="27"/>
      <c r="MYI4" s="27"/>
      <c r="MYJ4" s="27"/>
      <c r="MYK4" s="27"/>
      <c r="MYL4" s="27"/>
      <c r="MYM4" s="27"/>
      <c r="MYN4" s="27"/>
      <c r="MYO4" s="27"/>
      <c r="MYP4" s="27"/>
      <c r="MYQ4" s="27"/>
      <c r="MYR4" s="27"/>
      <c r="MYS4" s="27"/>
      <c r="MYT4" s="27"/>
      <c r="MYU4" s="27"/>
      <c r="MYV4" s="27"/>
      <c r="MYW4" s="27"/>
      <c r="MYX4" s="27"/>
      <c r="MYY4" s="27"/>
      <c r="MYZ4" s="27"/>
      <c r="MZA4" s="27"/>
      <c r="MZB4" s="27"/>
      <c r="MZC4" s="27"/>
      <c r="MZD4" s="27"/>
      <c r="MZE4" s="27"/>
      <c r="MZF4" s="27"/>
      <c r="MZG4" s="27"/>
      <c r="MZH4" s="27"/>
      <c r="MZI4" s="27"/>
      <c r="MZJ4" s="27"/>
      <c r="MZK4" s="27"/>
      <c r="MZL4" s="27"/>
      <c r="MZM4" s="27"/>
      <c r="MZN4" s="27"/>
      <c r="MZO4" s="27"/>
      <c r="MZP4" s="27"/>
      <c r="MZQ4" s="27"/>
      <c r="MZR4" s="27"/>
      <c r="MZS4" s="27"/>
      <c r="MZT4" s="27"/>
      <c r="MZU4" s="27"/>
      <c r="MZV4" s="27"/>
      <c r="MZW4" s="27"/>
      <c r="MZX4" s="27"/>
      <c r="MZY4" s="27"/>
      <c r="MZZ4" s="27"/>
      <c r="NAA4" s="27"/>
      <c r="NAB4" s="27"/>
      <c r="NAC4" s="27"/>
      <c r="NAD4" s="27"/>
      <c r="NAE4" s="27"/>
      <c r="NAF4" s="27"/>
      <c r="NAG4" s="27"/>
      <c r="NAH4" s="27"/>
      <c r="NAI4" s="27"/>
      <c r="NAJ4" s="27"/>
      <c r="NAK4" s="27"/>
      <c r="NAL4" s="27"/>
      <c r="NAM4" s="27"/>
      <c r="NAN4" s="27"/>
      <c r="NAO4" s="27"/>
      <c r="NAP4" s="27"/>
      <c r="NAQ4" s="27"/>
      <c r="NAR4" s="27"/>
      <c r="NAS4" s="27"/>
      <c r="NAT4" s="27"/>
      <c r="NAU4" s="27"/>
      <c r="NAV4" s="27"/>
      <c r="NAW4" s="27"/>
      <c r="NAX4" s="27"/>
      <c r="NAY4" s="27"/>
      <c r="NAZ4" s="27"/>
      <c r="NBA4" s="27"/>
      <c r="NBB4" s="27"/>
      <c r="NBC4" s="27"/>
      <c r="NBD4" s="27"/>
      <c r="NBE4" s="27"/>
      <c r="NBF4" s="27"/>
      <c r="NBG4" s="27"/>
      <c r="NBH4" s="27"/>
      <c r="NBI4" s="27"/>
      <c r="NBJ4" s="27"/>
      <c r="NBK4" s="27"/>
      <c r="NBL4" s="27"/>
      <c r="NBM4" s="27"/>
      <c r="NBN4" s="27"/>
      <c r="NBO4" s="27"/>
      <c r="NBP4" s="27"/>
      <c r="NBQ4" s="27"/>
      <c r="NBR4" s="27"/>
      <c r="NBS4" s="27"/>
      <c r="NBT4" s="27"/>
      <c r="NBU4" s="27"/>
      <c r="NBV4" s="27"/>
      <c r="NBW4" s="27"/>
      <c r="NBX4" s="27"/>
      <c r="NBY4" s="27"/>
      <c r="NBZ4" s="27"/>
      <c r="NCA4" s="27"/>
      <c r="NCB4" s="27"/>
      <c r="NCC4" s="27"/>
      <c r="NCD4" s="27"/>
      <c r="NCE4" s="27"/>
      <c r="NCF4" s="27"/>
      <c r="NCG4" s="27"/>
      <c r="NCH4" s="27"/>
      <c r="NCI4" s="27"/>
      <c r="NCJ4" s="27"/>
      <c r="NCK4" s="27"/>
      <c r="NCL4" s="27"/>
      <c r="NCM4" s="27"/>
      <c r="NCN4" s="27"/>
      <c r="NCO4" s="27"/>
      <c r="NCP4" s="27"/>
      <c r="NCQ4" s="27"/>
      <c r="NCR4" s="27"/>
      <c r="NCS4" s="27"/>
      <c r="NCT4" s="27"/>
      <c r="NCU4" s="27"/>
      <c r="NCV4" s="27"/>
      <c r="NCW4" s="27"/>
      <c r="NCX4" s="27"/>
      <c r="NCY4" s="27"/>
      <c r="NCZ4" s="27"/>
      <c r="NDA4" s="27"/>
      <c r="NDB4" s="27"/>
      <c r="NDC4" s="27"/>
      <c r="NDD4" s="27"/>
      <c r="NDE4" s="27"/>
      <c r="NDF4" s="27"/>
      <c r="NDG4" s="27"/>
      <c r="NDH4" s="27"/>
      <c r="NDI4" s="27"/>
      <c r="NDJ4" s="27"/>
      <c r="NDK4" s="27"/>
      <c r="NDL4" s="27"/>
      <c r="NDM4" s="27"/>
      <c r="NDN4" s="27"/>
      <c r="NDO4" s="27"/>
      <c r="NDP4" s="27"/>
      <c r="NDQ4" s="27"/>
      <c r="NDR4" s="27"/>
      <c r="NDS4" s="27"/>
      <c r="NDT4" s="27"/>
      <c r="NDU4" s="27"/>
      <c r="NDV4" s="27"/>
      <c r="NDW4" s="27"/>
      <c r="NDX4" s="27"/>
      <c r="NDY4" s="27"/>
      <c r="NDZ4" s="27"/>
      <c r="NEA4" s="27"/>
      <c r="NEB4" s="27"/>
      <c r="NEC4" s="27"/>
      <c r="NED4" s="27"/>
      <c r="NEE4" s="27"/>
      <c r="NEF4" s="27"/>
      <c r="NEG4" s="27"/>
      <c r="NEH4" s="27"/>
      <c r="NEI4" s="27"/>
      <c r="NEJ4" s="27"/>
      <c r="NEK4" s="27"/>
      <c r="NEL4" s="27"/>
      <c r="NEM4" s="27"/>
      <c r="NEN4" s="27"/>
      <c r="NEO4" s="27"/>
      <c r="NEP4" s="27"/>
      <c r="NEQ4" s="27"/>
      <c r="NER4" s="27"/>
      <c r="NES4" s="27"/>
      <c r="NET4" s="27"/>
      <c r="NEU4" s="27"/>
      <c r="NEV4" s="27"/>
      <c r="NEW4" s="27"/>
      <c r="NEX4" s="27"/>
      <c r="NEY4" s="27"/>
      <c r="NEZ4" s="27"/>
      <c r="NFA4" s="27"/>
      <c r="NFB4" s="27"/>
      <c r="NFC4" s="27"/>
      <c r="NFD4" s="27"/>
      <c r="NFE4" s="27"/>
      <c r="NFF4" s="27"/>
      <c r="NFG4" s="27"/>
      <c r="NFH4" s="27"/>
      <c r="NFI4" s="27"/>
      <c r="NFJ4" s="27"/>
      <c r="NFK4" s="27"/>
      <c r="NFL4" s="27"/>
      <c r="NFM4" s="27"/>
      <c r="NFN4" s="27"/>
      <c r="NFO4" s="27"/>
      <c r="NFP4" s="27"/>
      <c r="NFQ4" s="27"/>
      <c r="NFR4" s="27"/>
      <c r="NFS4" s="27"/>
      <c r="NFT4" s="27"/>
      <c r="NFU4" s="27"/>
      <c r="NFV4" s="27"/>
      <c r="NFW4" s="27"/>
      <c r="NFX4" s="27"/>
      <c r="NFY4" s="27"/>
      <c r="NFZ4" s="27"/>
      <c r="NGA4" s="27"/>
      <c r="NGB4" s="27"/>
      <c r="NGC4" s="27"/>
      <c r="NGD4" s="27"/>
      <c r="NGE4" s="27"/>
      <c r="NGF4" s="27"/>
      <c r="NGG4" s="27"/>
      <c r="NGH4" s="27"/>
      <c r="NGI4" s="27"/>
      <c r="NGJ4" s="27"/>
      <c r="NGK4" s="27"/>
      <c r="NGL4" s="27"/>
      <c r="NGM4" s="27"/>
      <c r="NGN4" s="27"/>
      <c r="NGO4" s="27"/>
      <c r="NGP4" s="27"/>
      <c r="NGQ4" s="27"/>
      <c r="NGR4" s="27"/>
      <c r="NGS4" s="27"/>
      <c r="NGT4" s="27"/>
      <c r="NGU4" s="27"/>
      <c r="NGV4" s="27"/>
      <c r="NGW4" s="27"/>
      <c r="NGX4" s="27"/>
      <c r="NGY4" s="27"/>
      <c r="NGZ4" s="27"/>
      <c r="NHA4" s="27"/>
      <c r="NHB4" s="27"/>
      <c r="NHC4" s="27"/>
      <c r="NHD4" s="27"/>
      <c r="NHE4" s="27"/>
      <c r="NHF4" s="27"/>
      <c r="NHG4" s="27"/>
      <c r="NHH4" s="27"/>
      <c r="NHI4" s="27"/>
      <c r="NHJ4" s="27"/>
      <c r="NHK4" s="27"/>
      <c r="NHL4" s="27"/>
      <c r="NHM4" s="27"/>
      <c r="NHN4" s="27"/>
      <c r="NHO4" s="27"/>
      <c r="NHP4" s="27"/>
      <c r="NHQ4" s="27"/>
      <c r="NHR4" s="27"/>
      <c r="NHS4" s="27"/>
      <c r="NHT4" s="27"/>
      <c r="NHU4" s="27"/>
      <c r="NHV4" s="27"/>
      <c r="NHW4" s="27"/>
      <c r="NHX4" s="27"/>
      <c r="NHY4" s="27"/>
      <c r="NHZ4" s="27"/>
      <c r="NIA4" s="27"/>
      <c r="NIB4" s="27"/>
      <c r="NIC4" s="27"/>
      <c r="NID4" s="27"/>
      <c r="NIE4" s="27"/>
      <c r="NIF4" s="27"/>
      <c r="NIG4" s="27"/>
      <c r="NIH4" s="27"/>
      <c r="NII4" s="27"/>
      <c r="NIJ4" s="27"/>
      <c r="NIK4" s="27"/>
      <c r="NIL4" s="27"/>
      <c r="NIM4" s="27"/>
      <c r="NIN4" s="27"/>
      <c r="NIO4" s="27"/>
      <c r="NIP4" s="27"/>
      <c r="NIQ4" s="27"/>
      <c r="NIR4" s="27"/>
      <c r="NIS4" s="27"/>
      <c r="NIT4" s="27"/>
      <c r="NIU4" s="27"/>
      <c r="NIV4" s="27"/>
      <c r="NIW4" s="27"/>
      <c r="NIX4" s="27"/>
      <c r="NIY4" s="27"/>
      <c r="NIZ4" s="27"/>
      <c r="NJA4" s="27"/>
      <c r="NJB4" s="27"/>
      <c r="NJC4" s="27"/>
      <c r="NJD4" s="27"/>
      <c r="NJE4" s="27"/>
      <c r="NJF4" s="27"/>
      <c r="NJG4" s="27"/>
      <c r="NJH4" s="27"/>
      <c r="NJI4" s="27"/>
      <c r="NJJ4" s="27"/>
      <c r="NJK4" s="27"/>
      <c r="NJL4" s="27"/>
      <c r="NJM4" s="27"/>
      <c r="NJN4" s="27"/>
      <c r="NJO4" s="27"/>
      <c r="NJP4" s="27"/>
      <c r="NJQ4" s="27"/>
      <c r="NJR4" s="27"/>
      <c r="NJS4" s="27"/>
      <c r="NJT4" s="27"/>
      <c r="NJU4" s="27"/>
      <c r="NJV4" s="27"/>
      <c r="NJW4" s="27"/>
      <c r="NJX4" s="27"/>
      <c r="NJY4" s="27"/>
      <c r="NJZ4" s="27"/>
      <c r="NKA4" s="27"/>
      <c r="NKB4" s="27"/>
      <c r="NKC4" s="27"/>
      <c r="NKD4" s="27"/>
      <c r="NKE4" s="27"/>
      <c r="NKF4" s="27"/>
      <c r="NKG4" s="27"/>
      <c r="NKH4" s="27"/>
      <c r="NKI4" s="27"/>
      <c r="NKJ4" s="27"/>
      <c r="NKK4" s="27"/>
      <c r="NKL4" s="27"/>
      <c r="NKM4" s="27"/>
      <c r="NKN4" s="27"/>
      <c r="NKO4" s="27"/>
      <c r="NKP4" s="27"/>
      <c r="NKQ4" s="27"/>
      <c r="NKR4" s="27"/>
      <c r="NKS4" s="27"/>
      <c r="NKT4" s="27"/>
      <c r="NKU4" s="27"/>
      <c r="NKV4" s="27"/>
      <c r="NKW4" s="27"/>
      <c r="NKX4" s="27"/>
      <c r="NKY4" s="27"/>
      <c r="NKZ4" s="27"/>
      <c r="NLA4" s="27"/>
      <c r="NLB4" s="27"/>
      <c r="NLC4" s="27"/>
      <c r="NLD4" s="27"/>
      <c r="NLE4" s="27"/>
      <c r="NLF4" s="27"/>
      <c r="NLG4" s="27"/>
      <c r="NLH4" s="27"/>
      <c r="NLI4" s="27"/>
      <c r="NLJ4" s="27"/>
      <c r="NLK4" s="27"/>
      <c r="NLL4" s="27"/>
      <c r="NLM4" s="27"/>
      <c r="NLN4" s="27"/>
      <c r="NLO4" s="27"/>
      <c r="NLP4" s="27"/>
      <c r="NLQ4" s="27"/>
      <c r="NLR4" s="27"/>
      <c r="NLS4" s="27"/>
      <c r="NLT4" s="27"/>
      <c r="NLU4" s="27"/>
      <c r="NLV4" s="27"/>
      <c r="NLW4" s="27"/>
      <c r="NLX4" s="27"/>
      <c r="NLY4" s="27"/>
      <c r="NLZ4" s="27"/>
      <c r="NMA4" s="27"/>
      <c r="NMB4" s="27"/>
      <c r="NMC4" s="27"/>
      <c r="NMD4" s="27"/>
      <c r="NME4" s="27"/>
      <c r="NMF4" s="27"/>
      <c r="NMG4" s="27"/>
      <c r="NMH4" s="27"/>
      <c r="NMI4" s="27"/>
      <c r="NMJ4" s="27"/>
      <c r="NMK4" s="27"/>
      <c r="NML4" s="27"/>
      <c r="NMM4" s="27"/>
      <c r="NMN4" s="27"/>
      <c r="NMO4" s="27"/>
      <c r="NMP4" s="27"/>
      <c r="NMQ4" s="27"/>
      <c r="NMR4" s="27"/>
      <c r="NMS4" s="27"/>
      <c r="NMT4" s="27"/>
      <c r="NMU4" s="27"/>
      <c r="NMV4" s="27"/>
      <c r="NMW4" s="27"/>
      <c r="NMX4" s="27"/>
      <c r="NMY4" s="27"/>
      <c r="NMZ4" s="27"/>
      <c r="NNA4" s="27"/>
      <c r="NNB4" s="27"/>
      <c r="NNC4" s="27"/>
      <c r="NND4" s="27"/>
      <c r="NNE4" s="27"/>
      <c r="NNF4" s="27"/>
      <c r="NNG4" s="27"/>
      <c r="NNH4" s="27"/>
      <c r="NNI4" s="27"/>
      <c r="NNJ4" s="27"/>
      <c r="NNK4" s="27"/>
      <c r="NNL4" s="27"/>
      <c r="NNM4" s="27"/>
      <c r="NNN4" s="27"/>
      <c r="NNO4" s="27"/>
      <c r="NNP4" s="27"/>
      <c r="NNQ4" s="27"/>
      <c r="NNR4" s="27"/>
      <c r="NNS4" s="27"/>
      <c r="NNT4" s="27"/>
      <c r="NNU4" s="27"/>
      <c r="NNV4" s="27"/>
      <c r="NNW4" s="27"/>
      <c r="NNX4" s="27"/>
      <c r="NNY4" s="27"/>
      <c r="NNZ4" s="27"/>
      <c r="NOA4" s="27"/>
      <c r="NOB4" s="27"/>
      <c r="NOC4" s="27"/>
      <c r="NOD4" s="27"/>
      <c r="NOE4" s="27"/>
      <c r="NOF4" s="27"/>
      <c r="NOG4" s="27"/>
      <c r="NOH4" s="27"/>
      <c r="NOI4" s="27"/>
      <c r="NOJ4" s="27"/>
      <c r="NOK4" s="27"/>
      <c r="NOL4" s="27"/>
      <c r="NOM4" s="27"/>
      <c r="NON4" s="27"/>
      <c r="NOO4" s="27"/>
      <c r="NOP4" s="27"/>
      <c r="NOQ4" s="27"/>
      <c r="NOR4" s="27"/>
      <c r="NOS4" s="27"/>
      <c r="NOT4" s="27"/>
      <c r="NOU4" s="27"/>
      <c r="NOV4" s="27"/>
      <c r="NOW4" s="27"/>
      <c r="NOX4" s="27"/>
      <c r="NOY4" s="27"/>
      <c r="NOZ4" s="27"/>
      <c r="NPA4" s="27"/>
      <c r="NPB4" s="27"/>
      <c r="NPC4" s="27"/>
      <c r="NPD4" s="27"/>
      <c r="NPE4" s="27"/>
      <c r="NPF4" s="27"/>
      <c r="NPG4" s="27"/>
      <c r="NPH4" s="27"/>
      <c r="NPI4" s="27"/>
      <c r="NPJ4" s="27"/>
      <c r="NPK4" s="27"/>
      <c r="NPL4" s="27"/>
      <c r="NPM4" s="27"/>
      <c r="NPN4" s="27"/>
      <c r="NPO4" s="27"/>
      <c r="NPP4" s="27"/>
      <c r="NPQ4" s="27"/>
      <c r="NPR4" s="27"/>
      <c r="NPS4" s="27"/>
      <c r="NPT4" s="27"/>
      <c r="NPU4" s="27"/>
      <c r="NPV4" s="27"/>
      <c r="NPW4" s="27"/>
      <c r="NPX4" s="27"/>
      <c r="NPY4" s="27"/>
      <c r="NPZ4" s="27"/>
      <c r="NQA4" s="27"/>
      <c r="NQB4" s="27"/>
      <c r="NQC4" s="27"/>
      <c r="NQD4" s="27"/>
      <c r="NQE4" s="27"/>
      <c r="NQF4" s="27"/>
      <c r="NQG4" s="27"/>
      <c r="NQH4" s="27"/>
      <c r="NQI4" s="27"/>
      <c r="NQJ4" s="27"/>
      <c r="NQK4" s="27"/>
      <c r="NQL4" s="27"/>
      <c r="NQM4" s="27"/>
      <c r="NQN4" s="27"/>
      <c r="NQO4" s="27"/>
      <c r="NQP4" s="27"/>
      <c r="NQQ4" s="27"/>
      <c r="NQR4" s="27"/>
      <c r="NQS4" s="27"/>
      <c r="NQT4" s="27"/>
      <c r="NQU4" s="27"/>
      <c r="NQV4" s="27"/>
      <c r="NQW4" s="27"/>
      <c r="NQX4" s="27"/>
      <c r="NQY4" s="27"/>
      <c r="NQZ4" s="27"/>
      <c r="NRA4" s="27"/>
      <c r="NRB4" s="27"/>
      <c r="NRC4" s="27"/>
      <c r="NRD4" s="27"/>
      <c r="NRE4" s="27"/>
      <c r="NRF4" s="27"/>
      <c r="NRG4" s="27"/>
      <c r="NRH4" s="27"/>
      <c r="NRI4" s="27"/>
      <c r="NRJ4" s="27"/>
      <c r="NRK4" s="27"/>
      <c r="NRL4" s="27"/>
      <c r="NRM4" s="27"/>
      <c r="NRN4" s="27"/>
      <c r="NRO4" s="27"/>
      <c r="NRP4" s="27"/>
      <c r="NRQ4" s="27"/>
      <c r="NRR4" s="27"/>
      <c r="NRS4" s="27"/>
      <c r="NRT4" s="27"/>
      <c r="NRU4" s="27"/>
      <c r="NRV4" s="27"/>
      <c r="NRW4" s="27"/>
      <c r="NRX4" s="27"/>
      <c r="NRY4" s="27"/>
      <c r="NRZ4" s="27"/>
      <c r="NSA4" s="27"/>
      <c r="NSB4" s="27"/>
      <c r="NSC4" s="27"/>
      <c r="NSD4" s="27"/>
      <c r="NSE4" s="27"/>
      <c r="NSF4" s="27"/>
      <c r="NSG4" s="27"/>
      <c r="NSH4" s="27"/>
      <c r="NSI4" s="27"/>
      <c r="NSJ4" s="27"/>
      <c r="NSK4" s="27"/>
      <c r="NSL4" s="27"/>
      <c r="NSM4" s="27"/>
      <c r="NSN4" s="27"/>
      <c r="NSO4" s="27"/>
      <c r="NSP4" s="27"/>
      <c r="NSQ4" s="27"/>
      <c r="NSR4" s="27"/>
      <c r="NSS4" s="27"/>
      <c r="NST4" s="27"/>
      <c r="NSU4" s="27"/>
      <c r="NSV4" s="27"/>
      <c r="NSW4" s="27"/>
      <c r="NSX4" s="27"/>
      <c r="NSY4" s="27"/>
      <c r="NSZ4" s="27"/>
      <c r="NTA4" s="27"/>
      <c r="NTB4" s="27"/>
      <c r="NTC4" s="27"/>
      <c r="NTD4" s="27"/>
      <c r="NTE4" s="27"/>
      <c r="NTF4" s="27"/>
      <c r="NTG4" s="27"/>
      <c r="NTH4" s="27"/>
      <c r="NTI4" s="27"/>
      <c r="NTJ4" s="27"/>
      <c r="NTK4" s="27"/>
      <c r="NTL4" s="27"/>
      <c r="NTM4" s="27"/>
      <c r="NTN4" s="27"/>
      <c r="NTO4" s="27"/>
      <c r="NTP4" s="27"/>
      <c r="NTQ4" s="27"/>
      <c r="NTR4" s="27"/>
      <c r="NTS4" s="27"/>
      <c r="NTT4" s="27"/>
      <c r="NTU4" s="27"/>
      <c r="NTV4" s="27"/>
      <c r="NTW4" s="27"/>
      <c r="NTX4" s="27"/>
      <c r="NTY4" s="27"/>
      <c r="NTZ4" s="27"/>
      <c r="NUA4" s="27"/>
      <c r="NUB4" s="27"/>
      <c r="NUC4" s="27"/>
      <c r="NUD4" s="27"/>
      <c r="NUE4" s="27"/>
      <c r="NUF4" s="27"/>
      <c r="NUG4" s="27"/>
      <c r="NUH4" s="27"/>
      <c r="NUI4" s="27"/>
      <c r="NUJ4" s="27"/>
      <c r="NUK4" s="27"/>
      <c r="NUL4" s="27"/>
      <c r="NUM4" s="27"/>
      <c r="NUN4" s="27"/>
      <c r="NUO4" s="27"/>
      <c r="NUP4" s="27"/>
      <c r="NUQ4" s="27"/>
      <c r="NUR4" s="27"/>
      <c r="NUS4" s="27"/>
      <c r="NUT4" s="27"/>
      <c r="NUU4" s="27"/>
      <c r="NUV4" s="27"/>
      <c r="NUW4" s="27"/>
      <c r="NUX4" s="27"/>
      <c r="NUY4" s="27"/>
      <c r="NUZ4" s="27"/>
      <c r="NVA4" s="27"/>
      <c r="NVB4" s="27"/>
      <c r="NVC4" s="27"/>
      <c r="NVD4" s="27"/>
      <c r="NVE4" s="27"/>
      <c r="NVF4" s="27"/>
      <c r="NVG4" s="27"/>
      <c r="NVH4" s="27"/>
      <c r="NVI4" s="27"/>
      <c r="NVJ4" s="27"/>
      <c r="NVK4" s="27"/>
      <c r="NVL4" s="27"/>
      <c r="NVM4" s="27"/>
      <c r="NVN4" s="27"/>
      <c r="NVO4" s="27"/>
      <c r="NVP4" s="27"/>
      <c r="NVQ4" s="27"/>
      <c r="NVR4" s="27"/>
      <c r="NVS4" s="27"/>
      <c r="NVT4" s="27"/>
      <c r="NVU4" s="27"/>
      <c r="NVV4" s="27"/>
      <c r="NVW4" s="27"/>
      <c r="NVX4" s="27"/>
      <c r="NVY4" s="27"/>
      <c r="NVZ4" s="27"/>
      <c r="NWA4" s="27"/>
      <c r="NWB4" s="27"/>
      <c r="NWC4" s="27"/>
      <c r="NWD4" s="27"/>
      <c r="NWE4" s="27"/>
      <c r="NWF4" s="27"/>
      <c r="NWG4" s="27"/>
      <c r="NWH4" s="27"/>
      <c r="NWI4" s="27"/>
      <c r="NWJ4" s="27"/>
      <c r="NWK4" s="27"/>
      <c r="NWL4" s="27"/>
      <c r="NWM4" s="27"/>
      <c r="NWN4" s="27"/>
      <c r="NWO4" s="27"/>
      <c r="NWP4" s="27"/>
      <c r="NWQ4" s="27"/>
      <c r="NWR4" s="27"/>
      <c r="NWS4" s="27"/>
      <c r="NWT4" s="27"/>
      <c r="NWU4" s="27"/>
      <c r="NWV4" s="27"/>
      <c r="NWW4" s="27"/>
      <c r="NWX4" s="27"/>
      <c r="NWY4" s="27"/>
      <c r="NWZ4" s="27"/>
      <c r="NXA4" s="27"/>
      <c r="NXB4" s="27"/>
      <c r="NXC4" s="27"/>
      <c r="NXD4" s="27"/>
      <c r="NXE4" s="27"/>
      <c r="NXF4" s="27"/>
      <c r="NXG4" s="27"/>
      <c r="NXH4" s="27"/>
      <c r="NXI4" s="27"/>
      <c r="NXJ4" s="27"/>
      <c r="NXK4" s="27"/>
      <c r="NXL4" s="27"/>
      <c r="NXM4" s="27"/>
      <c r="NXN4" s="27"/>
      <c r="NXO4" s="27"/>
      <c r="NXP4" s="27"/>
      <c r="NXQ4" s="27"/>
      <c r="NXR4" s="27"/>
      <c r="NXS4" s="27"/>
      <c r="NXT4" s="27"/>
      <c r="NXU4" s="27"/>
      <c r="NXV4" s="27"/>
      <c r="NXW4" s="27"/>
      <c r="NXX4" s="27"/>
      <c r="NXY4" s="27"/>
      <c r="NXZ4" s="27"/>
      <c r="NYA4" s="27"/>
      <c r="NYB4" s="27"/>
      <c r="NYC4" s="27"/>
      <c r="NYD4" s="27"/>
      <c r="NYE4" s="27"/>
      <c r="NYF4" s="27"/>
      <c r="NYG4" s="27"/>
      <c r="NYH4" s="27"/>
      <c r="NYI4" s="27"/>
      <c r="NYJ4" s="27"/>
      <c r="NYK4" s="27"/>
      <c r="NYL4" s="27"/>
      <c r="NYM4" s="27"/>
      <c r="NYN4" s="27"/>
      <c r="NYO4" s="27"/>
      <c r="NYP4" s="27"/>
      <c r="NYQ4" s="27"/>
      <c r="NYR4" s="27"/>
      <c r="NYS4" s="27"/>
      <c r="NYT4" s="27"/>
      <c r="NYU4" s="27"/>
      <c r="NYV4" s="27"/>
      <c r="NYW4" s="27"/>
      <c r="NYX4" s="27"/>
      <c r="NYY4" s="27"/>
      <c r="NYZ4" s="27"/>
      <c r="NZA4" s="27"/>
      <c r="NZB4" s="27"/>
      <c r="NZC4" s="27"/>
      <c r="NZD4" s="27"/>
      <c r="NZE4" s="27"/>
      <c r="NZF4" s="27"/>
      <c r="NZG4" s="27"/>
      <c r="NZH4" s="27"/>
      <c r="NZI4" s="27"/>
      <c r="NZJ4" s="27"/>
      <c r="NZK4" s="27"/>
      <c r="NZL4" s="27"/>
      <c r="NZM4" s="27"/>
      <c r="NZN4" s="27"/>
      <c r="NZO4" s="27"/>
      <c r="NZP4" s="27"/>
      <c r="NZQ4" s="27"/>
      <c r="NZR4" s="27"/>
      <c r="NZS4" s="27"/>
      <c r="NZT4" s="27"/>
      <c r="NZU4" s="27"/>
      <c r="NZV4" s="27"/>
      <c r="NZW4" s="27"/>
      <c r="NZX4" s="27"/>
      <c r="NZY4" s="27"/>
      <c r="NZZ4" s="27"/>
      <c r="OAA4" s="27"/>
      <c r="OAB4" s="27"/>
      <c r="OAC4" s="27"/>
      <c r="OAD4" s="27"/>
      <c r="OAE4" s="27"/>
      <c r="OAF4" s="27"/>
      <c r="OAG4" s="27"/>
      <c r="OAH4" s="27"/>
      <c r="OAI4" s="27"/>
      <c r="OAJ4" s="27"/>
      <c r="OAK4" s="27"/>
      <c r="OAL4" s="27"/>
      <c r="OAM4" s="27"/>
      <c r="OAN4" s="27"/>
      <c r="OAO4" s="27"/>
      <c r="OAP4" s="27"/>
      <c r="OAQ4" s="27"/>
      <c r="OAR4" s="27"/>
      <c r="OAS4" s="27"/>
      <c r="OAT4" s="27"/>
      <c r="OAU4" s="27"/>
      <c r="OAV4" s="27"/>
      <c r="OAW4" s="27"/>
      <c r="OAX4" s="27"/>
      <c r="OAY4" s="27"/>
      <c r="OAZ4" s="27"/>
      <c r="OBA4" s="27"/>
      <c r="OBB4" s="27"/>
      <c r="OBC4" s="27"/>
      <c r="OBD4" s="27"/>
      <c r="OBE4" s="27"/>
      <c r="OBF4" s="27"/>
      <c r="OBG4" s="27"/>
      <c r="OBH4" s="27"/>
      <c r="OBI4" s="27"/>
      <c r="OBJ4" s="27"/>
      <c r="OBK4" s="27"/>
      <c r="OBL4" s="27"/>
      <c r="OBM4" s="27"/>
      <c r="OBN4" s="27"/>
      <c r="OBO4" s="27"/>
      <c r="OBP4" s="27"/>
      <c r="OBQ4" s="27"/>
      <c r="OBR4" s="27"/>
      <c r="OBS4" s="27"/>
      <c r="OBT4" s="27"/>
      <c r="OBU4" s="27"/>
      <c r="OBV4" s="27"/>
      <c r="OBW4" s="27"/>
      <c r="OBX4" s="27"/>
      <c r="OBY4" s="27"/>
      <c r="OBZ4" s="27"/>
      <c r="OCA4" s="27"/>
      <c r="OCB4" s="27"/>
      <c r="OCC4" s="27"/>
      <c r="OCD4" s="27"/>
      <c r="OCE4" s="27"/>
      <c r="OCF4" s="27"/>
      <c r="OCG4" s="27"/>
      <c r="OCH4" s="27"/>
      <c r="OCI4" s="27"/>
      <c r="OCJ4" s="27"/>
      <c r="OCK4" s="27"/>
      <c r="OCL4" s="27"/>
      <c r="OCM4" s="27"/>
      <c r="OCN4" s="27"/>
      <c r="OCO4" s="27"/>
      <c r="OCP4" s="27"/>
      <c r="OCQ4" s="27"/>
      <c r="OCR4" s="27"/>
      <c r="OCS4" s="27"/>
      <c r="OCT4" s="27"/>
      <c r="OCU4" s="27"/>
      <c r="OCV4" s="27"/>
      <c r="OCW4" s="27"/>
      <c r="OCX4" s="27"/>
      <c r="OCY4" s="27"/>
      <c r="OCZ4" s="27"/>
      <c r="ODA4" s="27"/>
      <c r="ODB4" s="27"/>
      <c r="ODC4" s="27"/>
      <c r="ODD4" s="27"/>
      <c r="ODE4" s="27"/>
      <c r="ODF4" s="27"/>
      <c r="ODG4" s="27"/>
      <c r="ODH4" s="27"/>
      <c r="ODI4" s="27"/>
      <c r="ODJ4" s="27"/>
      <c r="ODK4" s="27"/>
      <c r="ODL4" s="27"/>
      <c r="ODM4" s="27"/>
      <c r="ODN4" s="27"/>
      <c r="ODO4" s="27"/>
      <c r="ODP4" s="27"/>
      <c r="ODQ4" s="27"/>
      <c r="ODR4" s="27"/>
      <c r="ODS4" s="27"/>
      <c r="ODT4" s="27"/>
      <c r="ODU4" s="27"/>
      <c r="ODV4" s="27"/>
      <c r="ODW4" s="27"/>
      <c r="ODX4" s="27"/>
      <c r="ODY4" s="27"/>
      <c r="ODZ4" s="27"/>
      <c r="OEA4" s="27"/>
      <c r="OEB4" s="27"/>
      <c r="OEC4" s="27"/>
      <c r="OED4" s="27"/>
      <c r="OEE4" s="27"/>
      <c r="OEF4" s="27"/>
      <c r="OEG4" s="27"/>
      <c r="OEH4" s="27"/>
      <c r="OEI4" s="27"/>
      <c r="OEJ4" s="27"/>
      <c r="OEK4" s="27"/>
      <c r="OEL4" s="27"/>
      <c r="OEM4" s="27"/>
      <c r="OEN4" s="27"/>
      <c r="OEO4" s="27"/>
      <c r="OEP4" s="27"/>
      <c r="OEQ4" s="27"/>
      <c r="OER4" s="27"/>
      <c r="OES4" s="27"/>
      <c r="OET4" s="27"/>
      <c r="OEU4" s="27"/>
      <c r="OEV4" s="27"/>
      <c r="OEW4" s="27"/>
      <c r="OEX4" s="27"/>
      <c r="OEY4" s="27"/>
      <c r="OEZ4" s="27"/>
      <c r="OFA4" s="27"/>
      <c r="OFB4" s="27"/>
      <c r="OFC4" s="27"/>
      <c r="OFD4" s="27"/>
      <c r="OFE4" s="27"/>
      <c r="OFF4" s="27"/>
      <c r="OFG4" s="27"/>
      <c r="OFH4" s="27"/>
      <c r="OFI4" s="27"/>
      <c r="OFJ4" s="27"/>
      <c r="OFK4" s="27"/>
      <c r="OFL4" s="27"/>
      <c r="OFM4" s="27"/>
      <c r="OFN4" s="27"/>
      <c r="OFO4" s="27"/>
      <c r="OFP4" s="27"/>
      <c r="OFQ4" s="27"/>
      <c r="OFR4" s="27"/>
      <c r="OFS4" s="27"/>
      <c r="OFT4" s="27"/>
      <c r="OFU4" s="27"/>
      <c r="OFV4" s="27"/>
      <c r="OFW4" s="27"/>
      <c r="OFX4" s="27"/>
      <c r="OFY4" s="27"/>
      <c r="OFZ4" s="27"/>
      <c r="OGA4" s="27"/>
      <c r="OGB4" s="27"/>
      <c r="OGC4" s="27"/>
      <c r="OGD4" s="27"/>
      <c r="OGE4" s="27"/>
      <c r="OGF4" s="27"/>
      <c r="OGG4" s="27"/>
      <c r="OGH4" s="27"/>
      <c r="OGI4" s="27"/>
      <c r="OGJ4" s="27"/>
      <c r="OGK4" s="27"/>
      <c r="OGL4" s="27"/>
      <c r="OGM4" s="27"/>
      <c r="OGN4" s="27"/>
      <c r="OGO4" s="27"/>
      <c r="OGP4" s="27"/>
      <c r="OGQ4" s="27"/>
      <c r="OGR4" s="27"/>
      <c r="OGS4" s="27"/>
      <c r="OGT4" s="27"/>
      <c r="OGU4" s="27"/>
      <c r="OGV4" s="27"/>
      <c r="OGW4" s="27"/>
      <c r="OGX4" s="27"/>
      <c r="OGY4" s="27"/>
      <c r="OGZ4" s="27"/>
      <c r="OHA4" s="27"/>
      <c r="OHB4" s="27"/>
      <c r="OHC4" s="27"/>
      <c r="OHD4" s="27"/>
      <c r="OHE4" s="27"/>
      <c r="OHF4" s="27"/>
      <c r="OHG4" s="27"/>
      <c r="OHH4" s="27"/>
      <c r="OHI4" s="27"/>
      <c r="OHJ4" s="27"/>
      <c r="OHK4" s="27"/>
      <c r="OHL4" s="27"/>
      <c r="OHM4" s="27"/>
      <c r="OHN4" s="27"/>
      <c r="OHO4" s="27"/>
      <c r="OHP4" s="27"/>
      <c r="OHQ4" s="27"/>
      <c r="OHR4" s="27"/>
      <c r="OHS4" s="27"/>
      <c r="OHT4" s="27"/>
      <c r="OHU4" s="27"/>
      <c r="OHV4" s="27"/>
      <c r="OHW4" s="27"/>
      <c r="OHX4" s="27"/>
      <c r="OHY4" s="27"/>
      <c r="OHZ4" s="27"/>
      <c r="OIA4" s="27"/>
      <c r="OIB4" s="27"/>
      <c r="OIC4" s="27"/>
      <c r="OID4" s="27"/>
      <c r="OIE4" s="27"/>
      <c r="OIF4" s="27"/>
      <c r="OIG4" s="27"/>
      <c r="OIH4" s="27"/>
      <c r="OII4" s="27"/>
      <c r="OIJ4" s="27"/>
      <c r="OIK4" s="27"/>
      <c r="OIL4" s="27"/>
      <c r="OIM4" s="27"/>
      <c r="OIN4" s="27"/>
      <c r="OIO4" s="27"/>
      <c r="OIP4" s="27"/>
      <c r="OIQ4" s="27"/>
      <c r="OIR4" s="27"/>
      <c r="OIS4" s="27"/>
      <c r="OIT4" s="27"/>
      <c r="OIU4" s="27"/>
      <c r="OIV4" s="27"/>
      <c r="OIW4" s="27"/>
      <c r="OIX4" s="27"/>
      <c r="OIY4" s="27"/>
      <c r="OIZ4" s="27"/>
      <c r="OJA4" s="27"/>
      <c r="OJB4" s="27"/>
      <c r="OJC4" s="27"/>
      <c r="OJD4" s="27"/>
      <c r="OJE4" s="27"/>
      <c r="OJF4" s="27"/>
      <c r="OJG4" s="27"/>
      <c r="OJH4" s="27"/>
      <c r="OJI4" s="27"/>
      <c r="OJJ4" s="27"/>
      <c r="OJK4" s="27"/>
      <c r="OJL4" s="27"/>
      <c r="OJM4" s="27"/>
      <c r="OJN4" s="27"/>
      <c r="OJO4" s="27"/>
      <c r="OJP4" s="27"/>
      <c r="OJQ4" s="27"/>
      <c r="OJR4" s="27"/>
      <c r="OJS4" s="27"/>
      <c r="OJT4" s="27"/>
      <c r="OJU4" s="27"/>
      <c r="OJV4" s="27"/>
      <c r="OJW4" s="27"/>
      <c r="OJX4" s="27"/>
      <c r="OJY4" s="27"/>
      <c r="OJZ4" s="27"/>
      <c r="OKA4" s="27"/>
      <c r="OKB4" s="27"/>
      <c r="OKC4" s="27"/>
      <c r="OKD4" s="27"/>
      <c r="OKE4" s="27"/>
      <c r="OKF4" s="27"/>
      <c r="OKG4" s="27"/>
      <c r="OKH4" s="27"/>
      <c r="OKI4" s="27"/>
      <c r="OKJ4" s="27"/>
      <c r="OKK4" s="27"/>
      <c r="OKL4" s="27"/>
      <c r="OKM4" s="27"/>
      <c r="OKN4" s="27"/>
      <c r="OKO4" s="27"/>
      <c r="OKP4" s="27"/>
      <c r="OKQ4" s="27"/>
      <c r="OKR4" s="27"/>
      <c r="OKS4" s="27"/>
      <c r="OKT4" s="27"/>
      <c r="OKU4" s="27"/>
      <c r="OKV4" s="27"/>
      <c r="OKW4" s="27"/>
      <c r="OKX4" s="27"/>
      <c r="OKY4" s="27"/>
      <c r="OKZ4" s="27"/>
      <c r="OLA4" s="27"/>
      <c r="OLB4" s="27"/>
      <c r="OLC4" s="27"/>
      <c r="OLD4" s="27"/>
      <c r="OLE4" s="27"/>
      <c r="OLF4" s="27"/>
      <c r="OLG4" s="27"/>
      <c r="OLH4" s="27"/>
      <c r="OLI4" s="27"/>
      <c r="OLJ4" s="27"/>
      <c r="OLK4" s="27"/>
      <c r="OLL4" s="27"/>
      <c r="OLM4" s="27"/>
      <c r="OLN4" s="27"/>
      <c r="OLO4" s="27"/>
      <c r="OLP4" s="27"/>
      <c r="OLQ4" s="27"/>
      <c r="OLR4" s="27"/>
      <c r="OLS4" s="27"/>
      <c r="OLT4" s="27"/>
      <c r="OLU4" s="27"/>
      <c r="OLV4" s="27"/>
      <c r="OLW4" s="27"/>
      <c r="OLX4" s="27"/>
      <c r="OLY4" s="27"/>
      <c r="OLZ4" s="27"/>
      <c r="OMA4" s="27"/>
      <c r="OMB4" s="27"/>
      <c r="OMC4" s="27"/>
      <c r="OMD4" s="27"/>
      <c r="OME4" s="27"/>
      <c r="OMF4" s="27"/>
      <c r="OMG4" s="27"/>
      <c r="OMH4" s="27"/>
      <c r="OMI4" s="27"/>
      <c r="OMJ4" s="27"/>
      <c r="OMK4" s="27"/>
      <c r="OML4" s="27"/>
      <c r="OMM4" s="27"/>
      <c r="OMN4" s="27"/>
      <c r="OMO4" s="27"/>
      <c r="OMP4" s="27"/>
      <c r="OMQ4" s="27"/>
      <c r="OMR4" s="27"/>
      <c r="OMS4" s="27"/>
      <c r="OMT4" s="27"/>
      <c r="OMU4" s="27"/>
      <c r="OMV4" s="27"/>
      <c r="OMW4" s="27"/>
      <c r="OMX4" s="27"/>
      <c r="OMY4" s="27"/>
      <c r="OMZ4" s="27"/>
      <c r="ONA4" s="27"/>
      <c r="ONB4" s="27"/>
      <c r="ONC4" s="27"/>
      <c r="OND4" s="27"/>
      <c r="ONE4" s="27"/>
      <c r="ONF4" s="27"/>
      <c r="ONG4" s="27"/>
      <c r="ONH4" s="27"/>
      <c r="ONI4" s="27"/>
      <c r="ONJ4" s="27"/>
      <c r="ONK4" s="27"/>
      <c r="ONL4" s="27"/>
      <c r="ONM4" s="27"/>
      <c r="ONN4" s="27"/>
      <c r="ONO4" s="27"/>
      <c r="ONP4" s="27"/>
      <c r="ONQ4" s="27"/>
      <c r="ONR4" s="27"/>
      <c r="ONS4" s="27"/>
      <c r="ONT4" s="27"/>
      <c r="ONU4" s="27"/>
      <c r="ONV4" s="27"/>
      <c r="ONW4" s="27"/>
      <c r="ONX4" s="27"/>
      <c r="ONY4" s="27"/>
      <c r="ONZ4" s="27"/>
      <c r="OOA4" s="27"/>
      <c r="OOB4" s="27"/>
      <c r="OOC4" s="27"/>
      <c r="OOD4" s="27"/>
      <c r="OOE4" s="27"/>
      <c r="OOF4" s="27"/>
      <c r="OOG4" s="27"/>
      <c r="OOH4" s="27"/>
      <c r="OOI4" s="27"/>
      <c r="OOJ4" s="27"/>
      <c r="OOK4" s="27"/>
      <c r="OOL4" s="27"/>
      <c r="OOM4" s="27"/>
      <c r="OON4" s="27"/>
      <c r="OOO4" s="27"/>
      <c r="OOP4" s="27"/>
      <c r="OOQ4" s="27"/>
      <c r="OOR4" s="27"/>
      <c r="OOS4" s="27"/>
      <c r="OOT4" s="27"/>
      <c r="OOU4" s="27"/>
      <c r="OOV4" s="27"/>
      <c r="OOW4" s="27"/>
      <c r="OOX4" s="27"/>
      <c r="OOY4" s="27"/>
      <c r="OOZ4" s="27"/>
      <c r="OPA4" s="27"/>
      <c r="OPB4" s="27"/>
      <c r="OPC4" s="27"/>
      <c r="OPD4" s="27"/>
      <c r="OPE4" s="27"/>
      <c r="OPF4" s="27"/>
      <c r="OPG4" s="27"/>
      <c r="OPH4" s="27"/>
      <c r="OPI4" s="27"/>
      <c r="OPJ4" s="27"/>
      <c r="OPK4" s="27"/>
      <c r="OPL4" s="27"/>
      <c r="OPM4" s="27"/>
      <c r="OPN4" s="27"/>
      <c r="OPO4" s="27"/>
      <c r="OPP4" s="27"/>
      <c r="OPQ4" s="27"/>
      <c r="OPR4" s="27"/>
      <c r="OPS4" s="27"/>
      <c r="OPT4" s="27"/>
      <c r="OPU4" s="27"/>
      <c r="OPV4" s="27"/>
      <c r="OPW4" s="27"/>
      <c r="OPX4" s="27"/>
      <c r="OPY4" s="27"/>
      <c r="OPZ4" s="27"/>
      <c r="OQA4" s="27"/>
      <c r="OQB4" s="27"/>
      <c r="OQC4" s="27"/>
      <c r="OQD4" s="27"/>
      <c r="OQE4" s="27"/>
      <c r="OQF4" s="27"/>
      <c r="OQG4" s="27"/>
      <c r="OQH4" s="27"/>
      <c r="OQI4" s="27"/>
      <c r="OQJ4" s="27"/>
      <c r="OQK4" s="27"/>
      <c r="OQL4" s="27"/>
      <c r="OQM4" s="27"/>
      <c r="OQN4" s="27"/>
      <c r="OQO4" s="27"/>
      <c r="OQP4" s="27"/>
      <c r="OQQ4" s="27"/>
      <c r="OQR4" s="27"/>
      <c r="OQS4" s="27"/>
      <c r="OQT4" s="27"/>
      <c r="OQU4" s="27"/>
      <c r="OQV4" s="27"/>
      <c r="OQW4" s="27"/>
      <c r="OQX4" s="27"/>
      <c r="OQY4" s="27"/>
      <c r="OQZ4" s="27"/>
      <c r="ORA4" s="27"/>
      <c r="ORB4" s="27"/>
      <c r="ORC4" s="27"/>
      <c r="ORD4" s="27"/>
      <c r="ORE4" s="27"/>
      <c r="ORF4" s="27"/>
      <c r="ORG4" s="27"/>
      <c r="ORH4" s="27"/>
      <c r="ORI4" s="27"/>
      <c r="ORJ4" s="27"/>
      <c r="ORK4" s="27"/>
      <c r="ORL4" s="27"/>
      <c r="ORM4" s="27"/>
      <c r="ORN4" s="27"/>
      <c r="ORO4" s="27"/>
      <c r="ORP4" s="27"/>
      <c r="ORQ4" s="27"/>
      <c r="ORR4" s="27"/>
      <c r="ORS4" s="27"/>
      <c r="ORT4" s="27"/>
      <c r="ORU4" s="27"/>
      <c r="ORV4" s="27"/>
      <c r="ORW4" s="27"/>
      <c r="ORX4" s="27"/>
      <c r="ORY4" s="27"/>
      <c r="ORZ4" s="27"/>
      <c r="OSA4" s="27"/>
      <c r="OSB4" s="27"/>
      <c r="OSC4" s="27"/>
      <c r="OSD4" s="27"/>
      <c r="OSE4" s="27"/>
      <c r="OSF4" s="27"/>
      <c r="OSG4" s="27"/>
      <c r="OSH4" s="27"/>
      <c r="OSI4" s="27"/>
      <c r="OSJ4" s="27"/>
      <c r="OSK4" s="27"/>
      <c r="OSL4" s="27"/>
      <c r="OSM4" s="27"/>
      <c r="OSN4" s="27"/>
      <c r="OSO4" s="27"/>
      <c r="OSP4" s="27"/>
      <c r="OSQ4" s="27"/>
      <c r="OSR4" s="27"/>
      <c r="OSS4" s="27"/>
      <c r="OST4" s="27"/>
      <c r="OSU4" s="27"/>
      <c r="OSV4" s="27"/>
      <c r="OSW4" s="27"/>
      <c r="OSX4" s="27"/>
      <c r="OSY4" s="27"/>
      <c r="OSZ4" s="27"/>
      <c r="OTA4" s="27"/>
      <c r="OTB4" s="27"/>
      <c r="OTC4" s="27"/>
      <c r="OTD4" s="27"/>
      <c r="OTE4" s="27"/>
      <c r="OTF4" s="27"/>
      <c r="OTG4" s="27"/>
      <c r="OTH4" s="27"/>
      <c r="OTI4" s="27"/>
      <c r="OTJ4" s="27"/>
      <c r="OTK4" s="27"/>
      <c r="OTL4" s="27"/>
      <c r="OTM4" s="27"/>
      <c r="OTN4" s="27"/>
      <c r="OTO4" s="27"/>
      <c r="OTP4" s="27"/>
      <c r="OTQ4" s="27"/>
      <c r="OTR4" s="27"/>
      <c r="OTS4" s="27"/>
      <c r="OTT4" s="27"/>
      <c r="OTU4" s="27"/>
      <c r="OTV4" s="27"/>
      <c r="OTW4" s="27"/>
      <c r="OTX4" s="27"/>
      <c r="OTY4" s="27"/>
      <c r="OTZ4" s="27"/>
      <c r="OUA4" s="27"/>
      <c r="OUB4" s="27"/>
      <c r="OUC4" s="27"/>
      <c r="OUD4" s="27"/>
      <c r="OUE4" s="27"/>
      <c r="OUF4" s="27"/>
      <c r="OUG4" s="27"/>
      <c r="OUH4" s="27"/>
      <c r="OUI4" s="27"/>
      <c r="OUJ4" s="27"/>
      <c r="OUK4" s="27"/>
      <c r="OUL4" s="27"/>
      <c r="OUM4" s="27"/>
      <c r="OUN4" s="27"/>
      <c r="OUO4" s="27"/>
      <c r="OUP4" s="27"/>
      <c r="OUQ4" s="27"/>
      <c r="OUR4" s="27"/>
      <c r="OUS4" s="27"/>
      <c r="OUT4" s="27"/>
      <c r="OUU4" s="27"/>
      <c r="OUV4" s="27"/>
      <c r="OUW4" s="27"/>
      <c r="OUX4" s="27"/>
      <c r="OUY4" s="27"/>
      <c r="OUZ4" s="27"/>
      <c r="OVA4" s="27"/>
      <c r="OVB4" s="27"/>
      <c r="OVC4" s="27"/>
      <c r="OVD4" s="27"/>
      <c r="OVE4" s="27"/>
      <c r="OVF4" s="27"/>
      <c r="OVG4" s="27"/>
      <c r="OVH4" s="27"/>
      <c r="OVI4" s="27"/>
      <c r="OVJ4" s="27"/>
      <c r="OVK4" s="27"/>
      <c r="OVL4" s="27"/>
      <c r="OVM4" s="27"/>
      <c r="OVN4" s="27"/>
      <c r="OVO4" s="27"/>
      <c r="OVP4" s="27"/>
      <c r="OVQ4" s="27"/>
      <c r="OVR4" s="27"/>
      <c r="OVS4" s="27"/>
      <c r="OVT4" s="27"/>
      <c r="OVU4" s="27"/>
      <c r="OVV4" s="27"/>
      <c r="OVW4" s="27"/>
      <c r="OVX4" s="27"/>
      <c r="OVY4" s="27"/>
      <c r="OVZ4" s="27"/>
      <c r="OWA4" s="27"/>
      <c r="OWB4" s="27"/>
      <c r="OWC4" s="27"/>
      <c r="OWD4" s="27"/>
      <c r="OWE4" s="27"/>
      <c r="OWF4" s="27"/>
      <c r="OWG4" s="27"/>
      <c r="OWH4" s="27"/>
      <c r="OWI4" s="27"/>
      <c r="OWJ4" s="27"/>
      <c r="OWK4" s="27"/>
      <c r="OWL4" s="27"/>
      <c r="OWM4" s="27"/>
      <c r="OWN4" s="27"/>
      <c r="OWO4" s="27"/>
      <c r="OWP4" s="27"/>
      <c r="OWQ4" s="27"/>
      <c r="OWR4" s="27"/>
      <c r="OWS4" s="27"/>
      <c r="OWT4" s="27"/>
      <c r="OWU4" s="27"/>
      <c r="OWV4" s="27"/>
      <c r="OWW4" s="27"/>
      <c r="OWX4" s="27"/>
      <c r="OWY4" s="27"/>
      <c r="OWZ4" s="27"/>
      <c r="OXA4" s="27"/>
      <c r="OXB4" s="27"/>
      <c r="OXC4" s="27"/>
      <c r="OXD4" s="27"/>
      <c r="OXE4" s="27"/>
      <c r="OXF4" s="27"/>
      <c r="OXG4" s="27"/>
      <c r="OXH4" s="27"/>
      <c r="OXI4" s="27"/>
      <c r="OXJ4" s="27"/>
      <c r="OXK4" s="27"/>
      <c r="OXL4" s="27"/>
      <c r="OXM4" s="27"/>
      <c r="OXN4" s="27"/>
      <c r="OXO4" s="27"/>
      <c r="OXP4" s="27"/>
      <c r="OXQ4" s="27"/>
      <c r="OXR4" s="27"/>
      <c r="OXS4" s="27"/>
      <c r="OXT4" s="27"/>
      <c r="OXU4" s="27"/>
      <c r="OXV4" s="27"/>
      <c r="OXW4" s="27"/>
      <c r="OXX4" s="27"/>
      <c r="OXY4" s="27"/>
      <c r="OXZ4" s="27"/>
      <c r="OYA4" s="27"/>
      <c r="OYB4" s="27"/>
      <c r="OYC4" s="27"/>
      <c r="OYD4" s="27"/>
      <c r="OYE4" s="27"/>
      <c r="OYF4" s="27"/>
      <c r="OYG4" s="27"/>
      <c r="OYH4" s="27"/>
      <c r="OYI4" s="27"/>
      <c r="OYJ4" s="27"/>
      <c r="OYK4" s="27"/>
      <c r="OYL4" s="27"/>
      <c r="OYM4" s="27"/>
      <c r="OYN4" s="27"/>
      <c r="OYO4" s="27"/>
      <c r="OYP4" s="27"/>
      <c r="OYQ4" s="27"/>
      <c r="OYR4" s="27"/>
      <c r="OYS4" s="27"/>
      <c r="OYT4" s="27"/>
      <c r="OYU4" s="27"/>
      <c r="OYV4" s="27"/>
      <c r="OYW4" s="27"/>
      <c r="OYX4" s="27"/>
      <c r="OYY4" s="27"/>
      <c r="OYZ4" s="27"/>
      <c r="OZA4" s="27"/>
      <c r="OZB4" s="27"/>
      <c r="OZC4" s="27"/>
      <c r="OZD4" s="27"/>
      <c r="OZE4" s="27"/>
      <c r="OZF4" s="27"/>
      <c r="OZG4" s="27"/>
      <c r="OZH4" s="27"/>
      <c r="OZI4" s="27"/>
      <c r="OZJ4" s="27"/>
      <c r="OZK4" s="27"/>
      <c r="OZL4" s="27"/>
      <c r="OZM4" s="27"/>
      <c r="OZN4" s="27"/>
      <c r="OZO4" s="27"/>
      <c r="OZP4" s="27"/>
      <c r="OZQ4" s="27"/>
      <c r="OZR4" s="27"/>
      <c r="OZS4" s="27"/>
      <c r="OZT4" s="27"/>
      <c r="OZU4" s="27"/>
      <c r="OZV4" s="27"/>
      <c r="OZW4" s="27"/>
      <c r="OZX4" s="27"/>
      <c r="OZY4" s="27"/>
      <c r="OZZ4" s="27"/>
      <c r="PAA4" s="27"/>
      <c r="PAB4" s="27"/>
      <c r="PAC4" s="27"/>
      <c r="PAD4" s="27"/>
      <c r="PAE4" s="27"/>
      <c r="PAF4" s="27"/>
      <c r="PAG4" s="27"/>
      <c r="PAH4" s="27"/>
      <c r="PAI4" s="27"/>
      <c r="PAJ4" s="27"/>
      <c r="PAK4" s="27"/>
      <c r="PAL4" s="27"/>
      <c r="PAM4" s="27"/>
      <c r="PAN4" s="27"/>
      <c r="PAO4" s="27"/>
      <c r="PAP4" s="27"/>
      <c r="PAQ4" s="27"/>
      <c r="PAR4" s="27"/>
      <c r="PAS4" s="27"/>
      <c r="PAT4" s="27"/>
      <c r="PAU4" s="27"/>
      <c r="PAV4" s="27"/>
      <c r="PAW4" s="27"/>
      <c r="PAX4" s="27"/>
      <c r="PAY4" s="27"/>
      <c r="PAZ4" s="27"/>
      <c r="PBA4" s="27"/>
      <c r="PBB4" s="27"/>
      <c r="PBC4" s="27"/>
      <c r="PBD4" s="27"/>
      <c r="PBE4" s="27"/>
      <c r="PBF4" s="27"/>
      <c r="PBG4" s="27"/>
      <c r="PBH4" s="27"/>
      <c r="PBI4" s="27"/>
      <c r="PBJ4" s="27"/>
      <c r="PBK4" s="27"/>
      <c r="PBL4" s="27"/>
      <c r="PBM4" s="27"/>
      <c r="PBN4" s="27"/>
      <c r="PBO4" s="27"/>
      <c r="PBP4" s="27"/>
      <c r="PBQ4" s="27"/>
      <c r="PBR4" s="27"/>
      <c r="PBS4" s="27"/>
      <c r="PBT4" s="27"/>
      <c r="PBU4" s="27"/>
      <c r="PBV4" s="27"/>
      <c r="PBW4" s="27"/>
      <c r="PBX4" s="27"/>
      <c r="PBY4" s="27"/>
      <c r="PBZ4" s="27"/>
      <c r="PCA4" s="27"/>
      <c r="PCB4" s="27"/>
      <c r="PCC4" s="27"/>
      <c r="PCD4" s="27"/>
      <c r="PCE4" s="27"/>
      <c r="PCF4" s="27"/>
      <c r="PCG4" s="27"/>
      <c r="PCH4" s="27"/>
      <c r="PCI4" s="27"/>
      <c r="PCJ4" s="27"/>
      <c r="PCK4" s="27"/>
      <c r="PCL4" s="27"/>
      <c r="PCM4" s="27"/>
      <c r="PCN4" s="27"/>
      <c r="PCO4" s="27"/>
      <c r="PCP4" s="27"/>
      <c r="PCQ4" s="27"/>
      <c r="PCR4" s="27"/>
      <c r="PCS4" s="27"/>
      <c r="PCT4" s="27"/>
      <c r="PCU4" s="27"/>
      <c r="PCV4" s="27"/>
      <c r="PCW4" s="27"/>
      <c r="PCX4" s="27"/>
      <c r="PCY4" s="27"/>
      <c r="PCZ4" s="27"/>
      <c r="PDA4" s="27"/>
      <c r="PDB4" s="27"/>
      <c r="PDC4" s="27"/>
      <c r="PDD4" s="27"/>
      <c r="PDE4" s="27"/>
      <c r="PDF4" s="27"/>
      <c r="PDG4" s="27"/>
      <c r="PDH4" s="27"/>
      <c r="PDI4" s="27"/>
      <c r="PDJ4" s="27"/>
      <c r="PDK4" s="27"/>
      <c r="PDL4" s="27"/>
      <c r="PDM4" s="27"/>
      <c r="PDN4" s="27"/>
      <c r="PDO4" s="27"/>
      <c r="PDP4" s="27"/>
      <c r="PDQ4" s="27"/>
      <c r="PDR4" s="27"/>
      <c r="PDS4" s="27"/>
      <c r="PDT4" s="27"/>
      <c r="PDU4" s="27"/>
      <c r="PDV4" s="27"/>
      <c r="PDW4" s="27"/>
      <c r="PDX4" s="27"/>
      <c r="PDY4" s="27"/>
      <c r="PDZ4" s="27"/>
      <c r="PEA4" s="27"/>
      <c r="PEB4" s="27"/>
      <c r="PEC4" s="27"/>
      <c r="PED4" s="27"/>
      <c r="PEE4" s="27"/>
      <c r="PEF4" s="27"/>
      <c r="PEG4" s="27"/>
      <c r="PEH4" s="27"/>
      <c r="PEI4" s="27"/>
      <c r="PEJ4" s="27"/>
      <c r="PEK4" s="27"/>
      <c r="PEL4" s="27"/>
      <c r="PEM4" s="27"/>
      <c r="PEN4" s="27"/>
      <c r="PEO4" s="27"/>
      <c r="PEP4" s="27"/>
      <c r="PEQ4" s="27"/>
      <c r="PER4" s="27"/>
      <c r="PES4" s="27"/>
      <c r="PET4" s="27"/>
      <c r="PEU4" s="27"/>
      <c r="PEV4" s="27"/>
      <c r="PEW4" s="27"/>
      <c r="PEX4" s="27"/>
      <c r="PEY4" s="27"/>
      <c r="PEZ4" s="27"/>
      <c r="PFA4" s="27"/>
      <c r="PFB4" s="27"/>
      <c r="PFC4" s="27"/>
      <c r="PFD4" s="27"/>
      <c r="PFE4" s="27"/>
      <c r="PFF4" s="27"/>
      <c r="PFG4" s="27"/>
      <c r="PFH4" s="27"/>
      <c r="PFI4" s="27"/>
      <c r="PFJ4" s="27"/>
      <c r="PFK4" s="27"/>
      <c r="PFL4" s="27"/>
      <c r="PFM4" s="27"/>
      <c r="PFN4" s="27"/>
      <c r="PFO4" s="27"/>
      <c r="PFP4" s="27"/>
      <c r="PFQ4" s="27"/>
      <c r="PFR4" s="27"/>
      <c r="PFS4" s="27"/>
      <c r="PFT4" s="27"/>
      <c r="PFU4" s="27"/>
      <c r="PFV4" s="27"/>
      <c r="PFW4" s="27"/>
      <c r="PFX4" s="27"/>
      <c r="PFY4" s="27"/>
      <c r="PFZ4" s="27"/>
      <c r="PGA4" s="27"/>
      <c r="PGB4" s="27"/>
      <c r="PGC4" s="27"/>
      <c r="PGD4" s="27"/>
      <c r="PGE4" s="27"/>
      <c r="PGF4" s="27"/>
      <c r="PGG4" s="27"/>
      <c r="PGH4" s="27"/>
      <c r="PGI4" s="27"/>
      <c r="PGJ4" s="27"/>
      <c r="PGK4" s="27"/>
      <c r="PGL4" s="27"/>
      <c r="PGM4" s="27"/>
      <c r="PGN4" s="27"/>
      <c r="PGO4" s="27"/>
      <c r="PGP4" s="27"/>
      <c r="PGQ4" s="27"/>
      <c r="PGR4" s="27"/>
      <c r="PGS4" s="27"/>
      <c r="PGT4" s="27"/>
      <c r="PGU4" s="27"/>
      <c r="PGV4" s="27"/>
      <c r="PGW4" s="27"/>
      <c r="PGX4" s="27"/>
      <c r="PGY4" s="27"/>
      <c r="PGZ4" s="27"/>
      <c r="PHA4" s="27"/>
      <c r="PHB4" s="27"/>
      <c r="PHC4" s="27"/>
      <c r="PHD4" s="27"/>
      <c r="PHE4" s="27"/>
      <c r="PHF4" s="27"/>
      <c r="PHG4" s="27"/>
      <c r="PHH4" s="27"/>
      <c r="PHI4" s="27"/>
      <c r="PHJ4" s="27"/>
      <c r="PHK4" s="27"/>
      <c r="PHL4" s="27"/>
      <c r="PHM4" s="27"/>
      <c r="PHN4" s="27"/>
      <c r="PHO4" s="27"/>
      <c r="PHP4" s="27"/>
      <c r="PHQ4" s="27"/>
      <c r="PHR4" s="27"/>
      <c r="PHS4" s="27"/>
      <c r="PHT4" s="27"/>
      <c r="PHU4" s="27"/>
      <c r="PHV4" s="27"/>
      <c r="PHW4" s="27"/>
      <c r="PHX4" s="27"/>
      <c r="PHY4" s="27"/>
      <c r="PHZ4" s="27"/>
      <c r="PIA4" s="27"/>
      <c r="PIB4" s="27"/>
      <c r="PIC4" s="27"/>
      <c r="PID4" s="27"/>
      <c r="PIE4" s="27"/>
      <c r="PIF4" s="27"/>
      <c r="PIG4" s="27"/>
      <c r="PIH4" s="27"/>
      <c r="PII4" s="27"/>
      <c r="PIJ4" s="27"/>
      <c r="PIK4" s="27"/>
      <c r="PIL4" s="27"/>
      <c r="PIM4" s="27"/>
      <c r="PIN4" s="27"/>
      <c r="PIO4" s="27"/>
      <c r="PIP4" s="27"/>
      <c r="PIQ4" s="27"/>
      <c r="PIR4" s="27"/>
      <c r="PIS4" s="27"/>
      <c r="PIT4" s="27"/>
      <c r="PIU4" s="27"/>
      <c r="PIV4" s="27"/>
      <c r="PIW4" s="27"/>
      <c r="PIX4" s="27"/>
      <c r="PIY4" s="27"/>
      <c r="PIZ4" s="27"/>
      <c r="PJA4" s="27"/>
      <c r="PJB4" s="27"/>
      <c r="PJC4" s="27"/>
      <c r="PJD4" s="27"/>
      <c r="PJE4" s="27"/>
      <c r="PJF4" s="27"/>
      <c r="PJG4" s="27"/>
      <c r="PJH4" s="27"/>
      <c r="PJI4" s="27"/>
      <c r="PJJ4" s="27"/>
      <c r="PJK4" s="27"/>
      <c r="PJL4" s="27"/>
      <c r="PJM4" s="27"/>
      <c r="PJN4" s="27"/>
      <c r="PJO4" s="27"/>
      <c r="PJP4" s="27"/>
      <c r="PJQ4" s="27"/>
      <c r="PJR4" s="27"/>
      <c r="PJS4" s="27"/>
      <c r="PJT4" s="27"/>
      <c r="PJU4" s="27"/>
      <c r="PJV4" s="27"/>
      <c r="PJW4" s="27"/>
      <c r="PJX4" s="27"/>
      <c r="PJY4" s="27"/>
      <c r="PJZ4" s="27"/>
      <c r="PKA4" s="27"/>
      <c r="PKB4" s="27"/>
      <c r="PKC4" s="27"/>
      <c r="PKD4" s="27"/>
      <c r="PKE4" s="27"/>
      <c r="PKF4" s="27"/>
      <c r="PKG4" s="27"/>
      <c r="PKH4" s="27"/>
      <c r="PKI4" s="27"/>
      <c r="PKJ4" s="27"/>
      <c r="PKK4" s="27"/>
      <c r="PKL4" s="27"/>
      <c r="PKM4" s="27"/>
      <c r="PKN4" s="27"/>
      <c r="PKO4" s="27"/>
      <c r="PKP4" s="27"/>
      <c r="PKQ4" s="27"/>
      <c r="PKR4" s="27"/>
      <c r="PKS4" s="27"/>
      <c r="PKT4" s="27"/>
      <c r="PKU4" s="27"/>
      <c r="PKV4" s="27"/>
      <c r="PKW4" s="27"/>
      <c r="PKX4" s="27"/>
      <c r="PKY4" s="27"/>
      <c r="PKZ4" s="27"/>
      <c r="PLA4" s="27"/>
      <c r="PLB4" s="27"/>
      <c r="PLC4" s="27"/>
      <c r="PLD4" s="27"/>
      <c r="PLE4" s="27"/>
      <c r="PLF4" s="27"/>
      <c r="PLG4" s="27"/>
      <c r="PLH4" s="27"/>
      <c r="PLI4" s="27"/>
      <c r="PLJ4" s="27"/>
      <c r="PLK4" s="27"/>
      <c r="PLL4" s="27"/>
      <c r="PLM4" s="27"/>
      <c r="PLN4" s="27"/>
      <c r="PLO4" s="27"/>
      <c r="PLP4" s="27"/>
      <c r="PLQ4" s="27"/>
      <c r="PLR4" s="27"/>
      <c r="PLS4" s="27"/>
      <c r="PLT4" s="27"/>
      <c r="PLU4" s="27"/>
      <c r="PLV4" s="27"/>
      <c r="PLW4" s="27"/>
      <c r="PLX4" s="27"/>
      <c r="PLY4" s="27"/>
      <c r="PLZ4" s="27"/>
      <c r="PMA4" s="27"/>
      <c r="PMB4" s="27"/>
      <c r="PMC4" s="27"/>
      <c r="PMD4" s="27"/>
      <c r="PME4" s="27"/>
      <c r="PMF4" s="27"/>
      <c r="PMG4" s="27"/>
      <c r="PMH4" s="27"/>
      <c r="PMI4" s="27"/>
      <c r="PMJ4" s="27"/>
      <c r="PMK4" s="27"/>
      <c r="PML4" s="27"/>
      <c r="PMM4" s="27"/>
      <c r="PMN4" s="27"/>
      <c r="PMO4" s="27"/>
      <c r="PMP4" s="27"/>
      <c r="PMQ4" s="27"/>
      <c r="PMR4" s="27"/>
      <c r="PMS4" s="27"/>
      <c r="PMT4" s="27"/>
      <c r="PMU4" s="27"/>
      <c r="PMV4" s="27"/>
      <c r="PMW4" s="27"/>
      <c r="PMX4" s="27"/>
      <c r="PMY4" s="27"/>
      <c r="PMZ4" s="27"/>
      <c r="PNA4" s="27"/>
      <c r="PNB4" s="27"/>
      <c r="PNC4" s="27"/>
      <c r="PND4" s="27"/>
      <c r="PNE4" s="27"/>
      <c r="PNF4" s="27"/>
      <c r="PNG4" s="27"/>
      <c r="PNH4" s="27"/>
      <c r="PNI4" s="27"/>
      <c r="PNJ4" s="27"/>
      <c r="PNK4" s="27"/>
      <c r="PNL4" s="27"/>
      <c r="PNM4" s="27"/>
      <c r="PNN4" s="27"/>
      <c r="PNO4" s="27"/>
      <c r="PNP4" s="27"/>
      <c r="PNQ4" s="27"/>
      <c r="PNR4" s="27"/>
      <c r="PNS4" s="27"/>
      <c r="PNT4" s="27"/>
      <c r="PNU4" s="27"/>
      <c r="PNV4" s="27"/>
      <c r="PNW4" s="27"/>
      <c r="PNX4" s="27"/>
      <c r="PNY4" s="27"/>
      <c r="PNZ4" s="27"/>
      <c r="POA4" s="27"/>
      <c r="POB4" s="27"/>
      <c r="POC4" s="27"/>
      <c r="POD4" s="27"/>
      <c r="POE4" s="27"/>
      <c r="POF4" s="27"/>
      <c r="POG4" s="27"/>
      <c r="POH4" s="27"/>
      <c r="POI4" s="27"/>
      <c r="POJ4" s="27"/>
      <c r="POK4" s="27"/>
      <c r="POL4" s="27"/>
      <c r="POM4" s="27"/>
      <c r="PON4" s="27"/>
      <c r="POO4" s="27"/>
      <c r="POP4" s="27"/>
      <c r="POQ4" s="27"/>
      <c r="POR4" s="27"/>
      <c r="POS4" s="27"/>
      <c r="POT4" s="27"/>
      <c r="POU4" s="27"/>
      <c r="POV4" s="27"/>
      <c r="POW4" s="27"/>
      <c r="POX4" s="27"/>
      <c r="POY4" s="27"/>
      <c r="POZ4" s="27"/>
      <c r="PPA4" s="27"/>
      <c r="PPB4" s="27"/>
      <c r="PPC4" s="27"/>
      <c r="PPD4" s="27"/>
      <c r="PPE4" s="27"/>
      <c r="PPF4" s="27"/>
      <c r="PPG4" s="27"/>
      <c r="PPH4" s="27"/>
      <c r="PPI4" s="27"/>
      <c r="PPJ4" s="27"/>
      <c r="PPK4" s="27"/>
      <c r="PPL4" s="27"/>
      <c r="PPM4" s="27"/>
      <c r="PPN4" s="27"/>
      <c r="PPO4" s="27"/>
      <c r="PPP4" s="27"/>
      <c r="PPQ4" s="27"/>
      <c r="PPR4" s="27"/>
      <c r="PPS4" s="27"/>
      <c r="PPT4" s="27"/>
      <c r="PPU4" s="27"/>
      <c r="PPV4" s="27"/>
      <c r="PPW4" s="27"/>
      <c r="PPX4" s="27"/>
      <c r="PPY4" s="27"/>
      <c r="PPZ4" s="27"/>
      <c r="PQA4" s="27"/>
      <c r="PQB4" s="27"/>
      <c r="PQC4" s="27"/>
      <c r="PQD4" s="27"/>
      <c r="PQE4" s="27"/>
      <c r="PQF4" s="27"/>
      <c r="PQG4" s="27"/>
      <c r="PQH4" s="27"/>
      <c r="PQI4" s="27"/>
      <c r="PQJ4" s="27"/>
      <c r="PQK4" s="27"/>
      <c r="PQL4" s="27"/>
      <c r="PQM4" s="27"/>
      <c r="PQN4" s="27"/>
      <c r="PQO4" s="27"/>
      <c r="PQP4" s="27"/>
      <c r="PQQ4" s="27"/>
      <c r="PQR4" s="27"/>
      <c r="PQS4" s="27"/>
      <c r="PQT4" s="27"/>
      <c r="PQU4" s="27"/>
      <c r="PQV4" s="27"/>
      <c r="PQW4" s="27"/>
      <c r="PQX4" s="27"/>
      <c r="PQY4" s="27"/>
      <c r="PQZ4" s="27"/>
      <c r="PRA4" s="27"/>
      <c r="PRB4" s="27"/>
      <c r="PRC4" s="27"/>
      <c r="PRD4" s="27"/>
      <c r="PRE4" s="27"/>
      <c r="PRF4" s="27"/>
      <c r="PRG4" s="27"/>
      <c r="PRH4" s="27"/>
      <c r="PRI4" s="27"/>
      <c r="PRJ4" s="27"/>
      <c r="PRK4" s="27"/>
      <c r="PRL4" s="27"/>
      <c r="PRM4" s="27"/>
      <c r="PRN4" s="27"/>
      <c r="PRO4" s="27"/>
      <c r="PRP4" s="27"/>
      <c r="PRQ4" s="27"/>
      <c r="PRR4" s="27"/>
      <c r="PRS4" s="27"/>
      <c r="PRT4" s="27"/>
      <c r="PRU4" s="27"/>
      <c r="PRV4" s="27"/>
      <c r="PRW4" s="27"/>
      <c r="PRX4" s="27"/>
      <c r="PRY4" s="27"/>
      <c r="PRZ4" s="27"/>
      <c r="PSA4" s="27"/>
      <c r="PSB4" s="27"/>
      <c r="PSC4" s="27"/>
      <c r="PSD4" s="27"/>
      <c r="PSE4" s="27"/>
      <c r="PSF4" s="27"/>
      <c r="PSG4" s="27"/>
      <c r="PSH4" s="27"/>
      <c r="PSI4" s="27"/>
      <c r="PSJ4" s="27"/>
      <c r="PSK4" s="27"/>
      <c r="PSL4" s="27"/>
      <c r="PSM4" s="27"/>
      <c r="PSN4" s="27"/>
      <c r="PSO4" s="27"/>
      <c r="PSP4" s="27"/>
      <c r="PSQ4" s="27"/>
      <c r="PSR4" s="27"/>
      <c r="PSS4" s="27"/>
      <c r="PST4" s="27"/>
      <c r="PSU4" s="27"/>
      <c r="PSV4" s="27"/>
      <c r="PSW4" s="27"/>
      <c r="PSX4" s="27"/>
      <c r="PSY4" s="27"/>
      <c r="PSZ4" s="27"/>
      <c r="PTA4" s="27"/>
      <c r="PTB4" s="27"/>
      <c r="PTC4" s="27"/>
      <c r="PTD4" s="27"/>
      <c r="PTE4" s="27"/>
      <c r="PTF4" s="27"/>
      <c r="PTG4" s="27"/>
      <c r="PTH4" s="27"/>
      <c r="PTI4" s="27"/>
      <c r="PTJ4" s="27"/>
      <c r="PTK4" s="27"/>
      <c r="PTL4" s="27"/>
      <c r="PTM4" s="27"/>
      <c r="PTN4" s="27"/>
      <c r="PTO4" s="27"/>
      <c r="PTP4" s="27"/>
      <c r="PTQ4" s="27"/>
      <c r="PTR4" s="27"/>
      <c r="PTS4" s="27"/>
      <c r="PTT4" s="27"/>
      <c r="PTU4" s="27"/>
      <c r="PTV4" s="27"/>
      <c r="PTW4" s="27"/>
      <c r="PTX4" s="27"/>
      <c r="PTY4" s="27"/>
      <c r="PTZ4" s="27"/>
      <c r="PUA4" s="27"/>
      <c r="PUB4" s="27"/>
      <c r="PUC4" s="27"/>
      <c r="PUD4" s="27"/>
      <c r="PUE4" s="27"/>
      <c r="PUF4" s="27"/>
      <c r="PUG4" s="27"/>
      <c r="PUH4" s="27"/>
      <c r="PUI4" s="27"/>
      <c r="PUJ4" s="27"/>
      <c r="PUK4" s="27"/>
      <c r="PUL4" s="27"/>
      <c r="PUM4" s="27"/>
      <c r="PUN4" s="27"/>
      <c r="PUO4" s="27"/>
      <c r="PUP4" s="27"/>
      <c r="PUQ4" s="27"/>
      <c r="PUR4" s="27"/>
      <c r="PUS4" s="27"/>
      <c r="PUT4" s="27"/>
      <c r="PUU4" s="27"/>
      <c r="PUV4" s="27"/>
      <c r="PUW4" s="27"/>
      <c r="PUX4" s="27"/>
      <c r="PUY4" s="27"/>
      <c r="PUZ4" s="27"/>
      <c r="PVA4" s="27"/>
      <c r="PVB4" s="27"/>
      <c r="PVC4" s="27"/>
      <c r="PVD4" s="27"/>
      <c r="PVE4" s="27"/>
      <c r="PVF4" s="27"/>
      <c r="PVG4" s="27"/>
      <c r="PVH4" s="27"/>
      <c r="PVI4" s="27"/>
      <c r="PVJ4" s="27"/>
      <c r="PVK4" s="27"/>
      <c r="PVL4" s="27"/>
      <c r="PVM4" s="27"/>
      <c r="PVN4" s="27"/>
      <c r="PVO4" s="27"/>
      <c r="PVP4" s="27"/>
      <c r="PVQ4" s="27"/>
      <c r="PVR4" s="27"/>
      <c r="PVS4" s="27"/>
      <c r="PVT4" s="27"/>
      <c r="PVU4" s="27"/>
      <c r="PVV4" s="27"/>
      <c r="PVW4" s="27"/>
      <c r="PVX4" s="27"/>
      <c r="PVY4" s="27"/>
      <c r="PVZ4" s="27"/>
      <c r="PWA4" s="27"/>
      <c r="PWB4" s="27"/>
      <c r="PWC4" s="27"/>
      <c r="PWD4" s="27"/>
      <c r="PWE4" s="27"/>
      <c r="PWF4" s="27"/>
      <c r="PWG4" s="27"/>
      <c r="PWH4" s="27"/>
      <c r="PWI4" s="27"/>
      <c r="PWJ4" s="27"/>
      <c r="PWK4" s="27"/>
      <c r="PWL4" s="27"/>
      <c r="PWM4" s="27"/>
      <c r="PWN4" s="27"/>
      <c r="PWO4" s="27"/>
      <c r="PWP4" s="27"/>
      <c r="PWQ4" s="27"/>
      <c r="PWR4" s="27"/>
      <c r="PWS4" s="27"/>
      <c r="PWT4" s="27"/>
      <c r="PWU4" s="27"/>
      <c r="PWV4" s="27"/>
      <c r="PWW4" s="27"/>
      <c r="PWX4" s="27"/>
      <c r="PWY4" s="27"/>
      <c r="PWZ4" s="27"/>
      <c r="PXA4" s="27"/>
      <c r="PXB4" s="27"/>
      <c r="PXC4" s="27"/>
      <c r="PXD4" s="27"/>
      <c r="PXE4" s="27"/>
      <c r="PXF4" s="27"/>
      <c r="PXG4" s="27"/>
      <c r="PXH4" s="27"/>
      <c r="PXI4" s="27"/>
      <c r="PXJ4" s="27"/>
      <c r="PXK4" s="27"/>
      <c r="PXL4" s="27"/>
      <c r="PXM4" s="27"/>
      <c r="PXN4" s="27"/>
      <c r="PXO4" s="27"/>
      <c r="PXP4" s="27"/>
      <c r="PXQ4" s="27"/>
      <c r="PXR4" s="27"/>
      <c r="PXS4" s="27"/>
      <c r="PXT4" s="27"/>
      <c r="PXU4" s="27"/>
      <c r="PXV4" s="27"/>
      <c r="PXW4" s="27"/>
      <c r="PXX4" s="27"/>
      <c r="PXY4" s="27"/>
      <c r="PXZ4" s="27"/>
      <c r="PYA4" s="27"/>
      <c r="PYB4" s="27"/>
      <c r="PYC4" s="27"/>
      <c r="PYD4" s="27"/>
      <c r="PYE4" s="27"/>
      <c r="PYF4" s="27"/>
      <c r="PYG4" s="27"/>
      <c r="PYH4" s="27"/>
      <c r="PYI4" s="27"/>
      <c r="PYJ4" s="27"/>
      <c r="PYK4" s="27"/>
      <c r="PYL4" s="27"/>
      <c r="PYM4" s="27"/>
      <c r="PYN4" s="27"/>
      <c r="PYO4" s="27"/>
      <c r="PYP4" s="27"/>
      <c r="PYQ4" s="27"/>
      <c r="PYR4" s="27"/>
      <c r="PYS4" s="27"/>
      <c r="PYT4" s="27"/>
      <c r="PYU4" s="27"/>
      <c r="PYV4" s="27"/>
      <c r="PYW4" s="27"/>
      <c r="PYX4" s="27"/>
      <c r="PYY4" s="27"/>
      <c r="PYZ4" s="27"/>
      <c r="PZA4" s="27"/>
      <c r="PZB4" s="27"/>
      <c r="PZC4" s="27"/>
      <c r="PZD4" s="27"/>
      <c r="PZE4" s="27"/>
      <c r="PZF4" s="27"/>
      <c r="PZG4" s="27"/>
      <c r="PZH4" s="27"/>
      <c r="PZI4" s="27"/>
      <c r="PZJ4" s="27"/>
      <c r="PZK4" s="27"/>
      <c r="PZL4" s="27"/>
      <c r="PZM4" s="27"/>
      <c r="PZN4" s="27"/>
      <c r="PZO4" s="27"/>
      <c r="PZP4" s="27"/>
      <c r="PZQ4" s="27"/>
      <c r="PZR4" s="27"/>
      <c r="PZS4" s="27"/>
      <c r="PZT4" s="27"/>
      <c r="PZU4" s="27"/>
      <c r="PZV4" s="27"/>
      <c r="PZW4" s="27"/>
      <c r="PZX4" s="27"/>
      <c r="PZY4" s="27"/>
      <c r="PZZ4" s="27"/>
      <c r="QAA4" s="27"/>
      <c r="QAB4" s="27"/>
      <c r="QAC4" s="27"/>
      <c r="QAD4" s="27"/>
      <c r="QAE4" s="27"/>
      <c r="QAF4" s="27"/>
      <c r="QAG4" s="27"/>
      <c r="QAH4" s="27"/>
      <c r="QAI4" s="27"/>
      <c r="QAJ4" s="27"/>
      <c r="QAK4" s="27"/>
      <c r="QAL4" s="27"/>
      <c r="QAM4" s="27"/>
      <c r="QAN4" s="27"/>
      <c r="QAO4" s="27"/>
      <c r="QAP4" s="27"/>
      <c r="QAQ4" s="27"/>
      <c r="QAR4" s="27"/>
      <c r="QAS4" s="27"/>
      <c r="QAT4" s="27"/>
      <c r="QAU4" s="27"/>
      <c r="QAV4" s="27"/>
      <c r="QAW4" s="27"/>
      <c r="QAX4" s="27"/>
      <c r="QAY4" s="27"/>
      <c r="QAZ4" s="27"/>
      <c r="QBA4" s="27"/>
      <c r="QBB4" s="27"/>
      <c r="QBC4" s="27"/>
      <c r="QBD4" s="27"/>
      <c r="QBE4" s="27"/>
      <c r="QBF4" s="27"/>
      <c r="QBG4" s="27"/>
      <c r="QBH4" s="27"/>
      <c r="QBI4" s="27"/>
      <c r="QBJ4" s="27"/>
      <c r="QBK4" s="27"/>
      <c r="QBL4" s="27"/>
      <c r="QBM4" s="27"/>
      <c r="QBN4" s="27"/>
      <c r="QBO4" s="27"/>
      <c r="QBP4" s="27"/>
      <c r="QBQ4" s="27"/>
      <c r="QBR4" s="27"/>
      <c r="QBS4" s="27"/>
      <c r="QBT4" s="27"/>
      <c r="QBU4" s="27"/>
      <c r="QBV4" s="27"/>
      <c r="QBW4" s="27"/>
      <c r="QBX4" s="27"/>
      <c r="QBY4" s="27"/>
      <c r="QBZ4" s="27"/>
      <c r="QCA4" s="27"/>
      <c r="QCB4" s="27"/>
      <c r="QCC4" s="27"/>
      <c r="QCD4" s="27"/>
      <c r="QCE4" s="27"/>
      <c r="QCF4" s="27"/>
      <c r="QCG4" s="27"/>
      <c r="QCH4" s="27"/>
      <c r="QCI4" s="27"/>
      <c r="QCJ4" s="27"/>
      <c r="QCK4" s="27"/>
      <c r="QCL4" s="27"/>
      <c r="QCM4" s="27"/>
      <c r="QCN4" s="27"/>
      <c r="QCO4" s="27"/>
      <c r="QCP4" s="27"/>
      <c r="QCQ4" s="27"/>
      <c r="QCR4" s="27"/>
      <c r="QCS4" s="27"/>
      <c r="QCT4" s="27"/>
      <c r="QCU4" s="27"/>
      <c r="QCV4" s="27"/>
      <c r="QCW4" s="27"/>
      <c r="QCX4" s="27"/>
      <c r="QCY4" s="27"/>
      <c r="QCZ4" s="27"/>
      <c r="QDA4" s="27"/>
      <c r="QDB4" s="27"/>
      <c r="QDC4" s="27"/>
      <c r="QDD4" s="27"/>
      <c r="QDE4" s="27"/>
      <c r="QDF4" s="27"/>
      <c r="QDG4" s="27"/>
      <c r="QDH4" s="27"/>
      <c r="QDI4" s="27"/>
      <c r="QDJ4" s="27"/>
      <c r="QDK4" s="27"/>
      <c r="QDL4" s="27"/>
      <c r="QDM4" s="27"/>
      <c r="QDN4" s="27"/>
      <c r="QDO4" s="27"/>
      <c r="QDP4" s="27"/>
      <c r="QDQ4" s="27"/>
      <c r="QDR4" s="27"/>
      <c r="QDS4" s="27"/>
      <c r="QDT4" s="27"/>
      <c r="QDU4" s="27"/>
      <c r="QDV4" s="27"/>
      <c r="QDW4" s="27"/>
      <c r="QDX4" s="27"/>
      <c r="QDY4" s="27"/>
      <c r="QDZ4" s="27"/>
      <c r="QEA4" s="27"/>
      <c r="QEB4" s="27"/>
      <c r="QEC4" s="27"/>
      <c r="QED4" s="27"/>
      <c r="QEE4" s="27"/>
      <c r="QEF4" s="27"/>
      <c r="QEG4" s="27"/>
      <c r="QEH4" s="27"/>
      <c r="QEI4" s="27"/>
      <c r="QEJ4" s="27"/>
      <c r="QEK4" s="27"/>
      <c r="QEL4" s="27"/>
      <c r="QEM4" s="27"/>
      <c r="QEN4" s="27"/>
      <c r="QEO4" s="27"/>
      <c r="QEP4" s="27"/>
      <c r="QEQ4" s="27"/>
      <c r="QER4" s="27"/>
      <c r="QES4" s="27"/>
      <c r="QET4" s="27"/>
      <c r="QEU4" s="27"/>
      <c r="QEV4" s="27"/>
      <c r="QEW4" s="27"/>
      <c r="QEX4" s="27"/>
      <c r="QEY4" s="27"/>
      <c r="QEZ4" s="27"/>
      <c r="QFA4" s="27"/>
      <c r="QFB4" s="27"/>
      <c r="QFC4" s="27"/>
      <c r="QFD4" s="27"/>
      <c r="QFE4" s="27"/>
      <c r="QFF4" s="27"/>
      <c r="QFG4" s="27"/>
      <c r="QFH4" s="27"/>
      <c r="QFI4" s="27"/>
      <c r="QFJ4" s="27"/>
      <c r="QFK4" s="27"/>
      <c r="QFL4" s="27"/>
      <c r="QFM4" s="27"/>
      <c r="QFN4" s="27"/>
      <c r="QFO4" s="27"/>
      <c r="QFP4" s="27"/>
      <c r="QFQ4" s="27"/>
      <c r="QFR4" s="27"/>
      <c r="QFS4" s="27"/>
      <c r="QFT4" s="27"/>
      <c r="QFU4" s="27"/>
      <c r="QFV4" s="27"/>
      <c r="QFW4" s="27"/>
      <c r="QFX4" s="27"/>
      <c r="QFY4" s="27"/>
      <c r="QFZ4" s="27"/>
      <c r="QGA4" s="27"/>
      <c r="QGB4" s="27"/>
      <c r="QGC4" s="27"/>
      <c r="QGD4" s="27"/>
      <c r="QGE4" s="27"/>
      <c r="QGF4" s="27"/>
      <c r="QGG4" s="27"/>
      <c r="QGH4" s="27"/>
      <c r="QGI4" s="27"/>
      <c r="QGJ4" s="27"/>
      <c r="QGK4" s="27"/>
      <c r="QGL4" s="27"/>
      <c r="QGM4" s="27"/>
      <c r="QGN4" s="27"/>
      <c r="QGO4" s="27"/>
      <c r="QGP4" s="27"/>
      <c r="QGQ4" s="27"/>
      <c r="QGR4" s="27"/>
      <c r="QGS4" s="27"/>
      <c r="QGT4" s="27"/>
      <c r="QGU4" s="27"/>
      <c r="QGV4" s="27"/>
      <c r="QGW4" s="27"/>
      <c r="QGX4" s="27"/>
      <c r="QGY4" s="27"/>
      <c r="QGZ4" s="27"/>
      <c r="QHA4" s="27"/>
      <c r="QHB4" s="27"/>
      <c r="QHC4" s="27"/>
      <c r="QHD4" s="27"/>
      <c r="QHE4" s="27"/>
      <c r="QHF4" s="27"/>
      <c r="QHG4" s="27"/>
      <c r="QHH4" s="27"/>
      <c r="QHI4" s="27"/>
      <c r="QHJ4" s="27"/>
      <c r="QHK4" s="27"/>
      <c r="QHL4" s="27"/>
      <c r="QHM4" s="27"/>
      <c r="QHN4" s="27"/>
      <c r="QHO4" s="27"/>
      <c r="QHP4" s="27"/>
      <c r="QHQ4" s="27"/>
      <c r="QHR4" s="27"/>
      <c r="QHS4" s="27"/>
      <c r="QHT4" s="27"/>
      <c r="QHU4" s="27"/>
      <c r="QHV4" s="27"/>
      <c r="QHW4" s="27"/>
      <c r="QHX4" s="27"/>
      <c r="QHY4" s="27"/>
      <c r="QHZ4" s="27"/>
      <c r="QIA4" s="27"/>
      <c r="QIB4" s="27"/>
      <c r="QIC4" s="27"/>
      <c r="QID4" s="27"/>
      <c r="QIE4" s="27"/>
      <c r="QIF4" s="27"/>
      <c r="QIG4" s="27"/>
      <c r="QIH4" s="27"/>
      <c r="QII4" s="27"/>
      <c r="QIJ4" s="27"/>
      <c r="QIK4" s="27"/>
      <c r="QIL4" s="27"/>
      <c r="QIM4" s="27"/>
      <c r="QIN4" s="27"/>
      <c r="QIO4" s="27"/>
      <c r="QIP4" s="27"/>
      <c r="QIQ4" s="27"/>
      <c r="QIR4" s="27"/>
      <c r="QIS4" s="27"/>
      <c r="QIT4" s="27"/>
      <c r="QIU4" s="27"/>
      <c r="QIV4" s="27"/>
      <c r="QIW4" s="27"/>
      <c r="QIX4" s="27"/>
      <c r="QIY4" s="27"/>
      <c r="QIZ4" s="27"/>
      <c r="QJA4" s="27"/>
      <c r="QJB4" s="27"/>
      <c r="QJC4" s="27"/>
      <c r="QJD4" s="27"/>
      <c r="QJE4" s="27"/>
      <c r="QJF4" s="27"/>
      <c r="QJG4" s="27"/>
      <c r="QJH4" s="27"/>
      <c r="QJI4" s="27"/>
      <c r="QJJ4" s="27"/>
      <c r="QJK4" s="27"/>
      <c r="QJL4" s="27"/>
      <c r="QJM4" s="27"/>
      <c r="QJN4" s="27"/>
      <c r="QJO4" s="27"/>
      <c r="QJP4" s="27"/>
      <c r="QJQ4" s="27"/>
      <c r="QJR4" s="27"/>
      <c r="QJS4" s="27"/>
      <c r="QJT4" s="27"/>
      <c r="QJU4" s="27"/>
      <c r="QJV4" s="27"/>
      <c r="QJW4" s="27"/>
      <c r="QJX4" s="27"/>
      <c r="QJY4" s="27"/>
      <c r="QJZ4" s="27"/>
      <c r="QKA4" s="27"/>
      <c r="QKB4" s="27"/>
      <c r="QKC4" s="27"/>
      <c r="QKD4" s="27"/>
      <c r="QKE4" s="27"/>
      <c r="QKF4" s="27"/>
      <c r="QKG4" s="27"/>
      <c r="QKH4" s="27"/>
      <c r="QKI4" s="27"/>
      <c r="QKJ4" s="27"/>
      <c r="QKK4" s="27"/>
      <c r="QKL4" s="27"/>
      <c r="QKM4" s="27"/>
      <c r="QKN4" s="27"/>
      <c r="QKO4" s="27"/>
      <c r="QKP4" s="27"/>
      <c r="QKQ4" s="27"/>
      <c r="QKR4" s="27"/>
      <c r="QKS4" s="27"/>
      <c r="QKT4" s="27"/>
      <c r="QKU4" s="27"/>
      <c r="QKV4" s="27"/>
      <c r="QKW4" s="27"/>
      <c r="QKX4" s="27"/>
      <c r="QKY4" s="27"/>
      <c r="QKZ4" s="27"/>
      <c r="QLA4" s="27"/>
      <c r="QLB4" s="27"/>
      <c r="QLC4" s="27"/>
      <c r="QLD4" s="27"/>
      <c r="QLE4" s="27"/>
      <c r="QLF4" s="27"/>
      <c r="QLG4" s="27"/>
      <c r="QLH4" s="27"/>
      <c r="QLI4" s="27"/>
      <c r="QLJ4" s="27"/>
      <c r="QLK4" s="27"/>
      <c r="QLL4" s="27"/>
      <c r="QLM4" s="27"/>
      <c r="QLN4" s="27"/>
      <c r="QLO4" s="27"/>
      <c r="QLP4" s="27"/>
      <c r="QLQ4" s="27"/>
      <c r="QLR4" s="27"/>
      <c r="QLS4" s="27"/>
      <c r="QLT4" s="27"/>
      <c r="QLU4" s="27"/>
      <c r="QLV4" s="27"/>
      <c r="QLW4" s="27"/>
      <c r="QLX4" s="27"/>
      <c r="QLY4" s="27"/>
      <c r="QLZ4" s="27"/>
      <c r="QMA4" s="27"/>
      <c r="QMB4" s="27"/>
      <c r="QMC4" s="27"/>
      <c r="QMD4" s="27"/>
      <c r="QME4" s="27"/>
      <c r="QMF4" s="27"/>
      <c r="QMG4" s="27"/>
      <c r="QMH4" s="27"/>
      <c r="QMI4" s="27"/>
      <c r="QMJ4" s="27"/>
      <c r="QMK4" s="27"/>
      <c r="QML4" s="27"/>
      <c r="QMM4" s="27"/>
      <c r="QMN4" s="27"/>
      <c r="QMO4" s="27"/>
      <c r="QMP4" s="27"/>
      <c r="QMQ4" s="27"/>
      <c r="QMR4" s="27"/>
      <c r="QMS4" s="27"/>
      <c r="QMT4" s="27"/>
      <c r="QMU4" s="27"/>
      <c r="QMV4" s="27"/>
      <c r="QMW4" s="27"/>
      <c r="QMX4" s="27"/>
      <c r="QMY4" s="27"/>
      <c r="QMZ4" s="27"/>
      <c r="QNA4" s="27"/>
      <c r="QNB4" s="27"/>
      <c r="QNC4" s="27"/>
      <c r="QND4" s="27"/>
      <c r="QNE4" s="27"/>
      <c r="QNF4" s="27"/>
      <c r="QNG4" s="27"/>
      <c r="QNH4" s="27"/>
      <c r="QNI4" s="27"/>
      <c r="QNJ4" s="27"/>
      <c r="QNK4" s="27"/>
      <c r="QNL4" s="27"/>
      <c r="QNM4" s="27"/>
      <c r="QNN4" s="27"/>
      <c r="QNO4" s="27"/>
      <c r="QNP4" s="27"/>
      <c r="QNQ4" s="27"/>
      <c r="QNR4" s="27"/>
      <c r="QNS4" s="27"/>
      <c r="QNT4" s="27"/>
      <c r="QNU4" s="27"/>
      <c r="QNV4" s="27"/>
      <c r="QNW4" s="27"/>
      <c r="QNX4" s="27"/>
      <c r="QNY4" s="27"/>
      <c r="QNZ4" s="27"/>
      <c r="QOA4" s="27"/>
      <c r="QOB4" s="27"/>
      <c r="QOC4" s="27"/>
      <c r="QOD4" s="27"/>
      <c r="QOE4" s="27"/>
      <c r="QOF4" s="27"/>
      <c r="QOG4" s="27"/>
      <c r="QOH4" s="27"/>
      <c r="QOI4" s="27"/>
      <c r="QOJ4" s="27"/>
      <c r="QOK4" s="27"/>
      <c r="QOL4" s="27"/>
      <c r="QOM4" s="27"/>
      <c r="QON4" s="27"/>
      <c r="QOO4" s="27"/>
      <c r="QOP4" s="27"/>
      <c r="QOQ4" s="27"/>
      <c r="QOR4" s="27"/>
      <c r="QOS4" s="27"/>
      <c r="QOT4" s="27"/>
      <c r="QOU4" s="27"/>
      <c r="QOV4" s="27"/>
      <c r="QOW4" s="27"/>
      <c r="QOX4" s="27"/>
      <c r="QOY4" s="27"/>
      <c r="QOZ4" s="27"/>
      <c r="QPA4" s="27"/>
      <c r="QPB4" s="27"/>
      <c r="QPC4" s="27"/>
      <c r="QPD4" s="27"/>
      <c r="QPE4" s="27"/>
      <c r="QPF4" s="27"/>
      <c r="QPG4" s="27"/>
      <c r="QPH4" s="27"/>
      <c r="QPI4" s="27"/>
      <c r="QPJ4" s="27"/>
      <c r="QPK4" s="27"/>
      <c r="QPL4" s="27"/>
      <c r="QPM4" s="27"/>
      <c r="QPN4" s="27"/>
      <c r="QPO4" s="27"/>
      <c r="QPP4" s="27"/>
      <c r="QPQ4" s="27"/>
      <c r="QPR4" s="27"/>
      <c r="QPS4" s="27"/>
      <c r="QPT4" s="27"/>
      <c r="QPU4" s="27"/>
      <c r="QPV4" s="27"/>
      <c r="QPW4" s="27"/>
      <c r="QPX4" s="27"/>
      <c r="QPY4" s="27"/>
      <c r="QPZ4" s="27"/>
      <c r="QQA4" s="27"/>
      <c r="QQB4" s="27"/>
      <c r="QQC4" s="27"/>
      <c r="QQD4" s="27"/>
      <c r="QQE4" s="27"/>
      <c r="QQF4" s="27"/>
      <c r="QQG4" s="27"/>
      <c r="QQH4" s="27"/>
      <c r="QQI4" s="27"/>
      <c r="QQJ4" s="27"/>
      <c r="QQK4" s="27"/>
      <c r="QQL4" s="27"/>
      <c r="QQM4" s="27"/>
      <c r="QQN4" s="27"/>
      <c r="QQO4" s="27"/>
      <c r="QQP4" s="27"/>
      <c r="QQQ4" s="27"/>
      <c r="QQR4" s="27"/>
      <c r="QQS4" s="27"/>
      <c r="QQT4" s="27"/>
      <c r="QQU4" s="27"/>
      <c r="QQV4" s="27"/>
      <c r="QQW4" s="27"/>
      <c r="QQX4" s="27"/>
      <c r="QQY4" s="27"/>
      <c r="QQZ4" s="27"/>
      <c r="QRA4" s="27"/>
      <c r="QRB4" s="27"/>
      <c r="QRC4" s="27"/>
      <c r="QRD4" s="27"/>
      <c r="QRE4" s="27"/>
      <c r="QRF4" s="27"/>
      <c r="QRG4" s="27"/>
      <c r="QRH4" s="27"/>
      <c r="QRI4" s="27"/>
      <c r="QRJ4" s="27"/>
      <c r="QRK4" s="27"/>
      <c r="QRL4" s="27"/>
      <c r="QRM4" s="27"/>
      <c r="QRN4" s="27"/>
      <c r="QRO4" s="27"/>
      <c r="QRP4" s="27"/>
      <c r="QRQ4" s="27"/>
      <c r="QRR4" s="27"/>
      <c r="QRS4" s="27"/>
      <c r="QRT4" s="27"/>
      <c r="QRU4" s="27"/>
      <c r="QRV4" s="27"/>
      <c r="QRW4" s="27"/>
      <c r="QRX4" s="27"/>
      <c r="QRY4" s="27"/>
      <c r="QRZ4" s="27"/>
      <c r="QSA4" s="27"/>
      <c r="QSB4" s="27"/>
      <c r="QSC4" s="27"/>
      <c r="QSD4" s="27"/>
      <c r="QSE4" s="27"/>
      <c r="QSF4" s="27"/>
      <c r="QSG4" s="27"/>
      <c r="QSH4" s="27"/>
      <c r="QSI4" s="27"/>
      <c r="QSJ4" s="27"/>
      <c r="QSK4" s="27"/>
      <c r="QSL4" s="27"/>
      <c r="QSM4" s="27"/>
      <c r="QSN4" s="27"/>
      <c r="QSO4" s="27"/>
      <c r="QSP4" s="27"/>
      <c r="QSQ4" s="27"/>
      <c r="QSR4" s="27"/>
      <c r="QSS4" s="27"/>
      <c r="QST4" s="27"/>
      <c r="QSU4" s="27"/>
      <c r="QSV4" s="27"/>
      <c r="QSW4" s="27"/>
      <c r="QSX4" s="27"/>
      <c r="QSY4" s="27"/>
      <c r="QSZ4" s="27"/>
      <c r="QTA4" s="27"/>
      <c r="QTB4" s="27"/>
      <c r="QTC4" s="27"/>
      <c r="QTD4" s="27"/>
      <c r="QTE4" s="27"/>
      <c r="QTF4" s="27"/>
      <c r="QTG4" s="27"/>
      <c r="QTH4" s="27"/>
      <c r="QTI4" s="27"/>
      <c r="QTJ4" s="27"/>
      <c r="QTK4" s="27"/>
      <c r="QTL4" s="27"/>
      <c r="QTM4" s="27"/>
      <c r="QTN4" s="27"/>
      <c r="QTO4" s="27"/>
      <c r="QTP4" s="27"/>
      <c r="QTQ4" s="27"/>
      <c r="QTR4" s="27"/>
      <c r="QTS4" s="27"/>
      <c r="QTT4" s="27"/>
      <c r="QTU4" s="27"/>
      <c r="QTV4" s="27"/>
      <c r="QTW4" s="27"/>
      <c r="QTX4" s="27"/>
      <c r="QTY4" s="27"/>
      <c r="QTZ4" s="27"/>
      <c r="QUA4" s="27"/>
      <c r="QUB4" s="27"/>
      <c r="QUC4" s="27"/>
      <c r="QUD4" s="27"/>
      <c r="QUE4" s="27"/>
      <c r="QUF4" s="27"/>
      <c r="QUG4" s="27"/>
      <c r="QUH4" s="27"/>
      <c r="QUI4" s="27"/>
      <c r="QUJ4" s="27"/>
      <c r="QUK4" s="27"/>
      <c r="QUL4" s="27"/>
      <c r="QUM4" s="27"/>
      <c r="QUN4" s="27"/>
      <c r="QUO4" s="27"/>
      <c r="QUP4" s="27"/>
      <c r="QUQ4" s="27"/>
      <c r="QUR4" s="27"/>
      <c r="QUS4" s="27"/>
      <c r="QUT4" s="27"/>
      <c r="QUU4" s="27"/>
      <c r="QUV4" s="27"/>
      <c r="QUW4" s="27"/>
      <c r="QUX4" s="27"/>
      <c r="QUY4" s="27"/>
      <c r="QUZ4" s="27"/>
      <c r="QVA4" s="27"/>
      <c r="QVB4" s="27"/>
      <c r="QVC4" s="27"/>
      <c r="QVD4" s="27"/>
      <c r="QVE4" s="27"/>
      <c r="QVF4" s="27"/>
      <c r="QVG4" s="27"/>
      <c r="QVH4" s="27"/>
      <c r="QVI4" s="27"/>
      <c r="QVJ4" s="27"/>
      <c r="QVK4" s="27"/>
      <c r="QVL4" s="27"/>
      <c r="QVM4" s="27"/>
      <c r="QVN4" s="27"/>
      <c r="QVO4" s="27"/>
      <c r="QVP4" s="27"/>
      <c r="QVQ4" s="27"/>
      <c r="QVR4" s="27"/>
      <c r="QVS4" s="27"/>
      <c r="QVT4" s="27"/>
      <c r="QVU4" s="27"/>
      <c r="QVV4" s="27"/>
      <c r="QVW4" s="27"/>
      <c r="QVX4" s="27"/>
      <c r="QVY4" s="27"/>
      <c r="QVZ4" s="27"/>
      <c r="QWA4" s="27"/>
      <c r="QWB4" s="27"/>
      <c r="QWC4" s="27"/>
      <c r="QWD4" s="27"/>
      <c r="QWE4" s="27"/>
      <c r="QWF4" s="27"/>
      <c r="QWG4" s="27"/>
      <c r="QWH4" s="27"/>
      <c r="QWI4" s="27"/>
      <c r="QWJ4" s="27"/>
      <c r="QWK4" s="27"/>
      <c r="QWL4" s="27"/>
      <c r="QWM4" s="27"/>
      <c r="QWN4" s="27"/>
      <c r="QWO4" s="27"/>
      <c r="QWP4" s="27"/>
      <c r="QWQ4" s="27"/>
      <c r="QWR4" s="27"/>
      <c r="QWS4" s="27"/>
      <c r="QWT4" s="27"/>
      <c r="QWU4" s="27"/>
      <c r="QWV4" s="27"/>
      <c r="QWW4" s="27"/>
      <c r="QWX4" s="27"/>
      <c r="QWY4" s="27"/>
      <c r="QWZ4" s="27"/>
      <c r="QXA4" s="27"/>
      <c r="QXB4" s="27"/>
      <c r="QXC4" s="27"/>
      <c r="QXD4" s="27"/>
      <c r="QXE4" s="27"/>
      <c r="QXF4" s="27"/>
      <c r="QXG4" s="27"/>
      <c r="QXH4" s="27"/>
      <c r="QXI4" s="27"/>
      <c r="QXJ4" s="27"/>
      <c r="QXK4" s="27"/>
      <c r="QXL4" s="27"/>
      <c r="QXM4" s="27"/>
      <c r="QXN4" s="27"/>
      <c r="QXO4" s="27"/>
      <c r="QXP4" s="27"/>
      <c r="QXQ4" s="27"/>
      <c r="QXR4" s="27"/>
      <c r="QXS4" s="27"/>
      <c r="QXT4" s="27"/>
      <c r="QXU4" s="27"/>
      <c r="QXV4" s="27"/>
      <c r="QXW4" s="27"/>
      <c r="QXX4" s="27"/>
      <c r="QXY4" s="27"/>
      <c r="QXZ4" s="27"/>
      <c r="QYA4" s="27"/>
      <c r="QYB4" s="27"/>
      <c r="QYC4" s="27"/>
      <c r="QYD4" s="27"/>
      <c r="QYE4" s="27"/>
      <c r="QYF4" s="27"/>
      <c r="QYG4" s="27"/>
      <c r="QYH4" s="27"/>
      <c r="QYI4" s="27"/>
      <c r="QYJ4" s="27"/>
      <c r="QYK4" s="27"/>
      <c r="QYL4" s="27"/>
      <c r="QYM4" s="27"/>
      <c r="QYN4" s="27"/>
      <c r="QYO4" s="27"/>
      <c r="QYP4" s="27"/>
      <c r="QYQ4" s="27"/>
      <c r="QYR4" s="27"/>
      <c r="QYS4" s="27"/>
      <c r="QYT4" s="27"/>
      <c r="QYU4" s="27"/>
      <c r="QYV4" s="27"/>
      <c r="QYW4" s="27"/>
      <c r="QYX4" s="27"/>
      <c r="QYY4" s="27"/>
      <c r="QYZ4" s="27"/>
      <c r="QZA4" s="27"/>
      <c r="QZB4" s="27"/>
      <c r="QZC4" s="27"/>
      <c r="QZD4" s="27"/>
      <c r="QZE4" s="27"/>
      <c r="QZF4" s="27"/>
      <c r="QZG4" s="27"/>
      <c r="QZH4" s="27"/>
      <c r="QZI4" s="27"/>
      <c r="QZJ4" s="27"/>
      <c r="QZK4" s="27"/>
      <c r="QZL4" s="27"/>
      <c r="QZM4" s="27"/>
      <c r="QZN4" s="27"/>
      <c r="QZO4" s="27"/>
      <c r="QZP4" s="27"/>
      <c r="QZQ4" s="27"/>
      <c r="QZR4" s="27"/>
      <c r="QZS4" s="27"/>
      <c r="QZT4" s="27"/>
      <c r="QZU4" s="27"/>
      <c r="QZV4" s="27"/>
      <c r="QZW4" s="27"/>
      <c r="QZX4" s="27"/>
      <c r="QZY4" s="27"/>
      <c r="QZZ4" s="27"/>
      <c r="RAA4" s="27"/>
      <c r="RAB4" s="27"/>
      <c r="RAC4" s="27"/>
      <c r="RAD4" s="27"/>
      <c r="RAE4" s="27"/>
      <c r="RAF4" s="27"/>
      <c r="RAG4" s="27"/>
      <c r="RAH4" s="27"/>
      <c r="RAI4" s="27"/>
      <c r="RAJ4" s="27"/>
      <c r="RAK4" s="27"/>
      <c r="RAL4" s="27"/>
      <c r="RAM4" s="27"/>
      <c r="RAN4" s="27"/>
      <c r="RAO4" s="27"/>
      <c r="RAP4" s="27"/>
      <c r="RAQ4" s="27"/>
      <c r="RAR4" s="27"/>
      <c r="RAS4" s="27"/>
      <c r="RAT4" s="27"/>
      <c r="RAU4" s="27"/>
      <c r="RAV4" s="27"/>
      <c r="RAW4" s="27"/>
      <c r="RAX4" s="27"/>
      <c r="RAY4" s="27"/>
      <c r="RAZ4" s="27"/>
      <c r="RBA4" s="27"/>
      <c r="RBB4" s="27"/>
      <c r="RBC4" s="27"/>
      <c r="RBD4" s="27"/>
      <c r="RBE4" s="27"/>
      <c r="RBF4" s="27"/>
      <c r="RBG4" s="27"/>
      <c r="RBH4" s="27"/>
      <c r="RBI4" s="27"/>
      <c r="RBJ4" s="27"/>
      <c r="RBK4" s="27"/>
      <c r="RBL4" s="27"/>
      <c r="RBM4" s="27"/>
      <c r="RBN4" s="27"/>
      <c r="RBO4" s="27"/>
      <c r="RBP4" s="27"/>
      <c r="RBQ4" s="27"/>
      <c r="RBR4" s="27"/>
      <c r="RBS4" s="27"/>
      <c r="RBT4" s="27"/>
      <c r="RBU4" s="27"/>
      <c r="RBV4" s="27"/>
      <c r="RBW4" s="27"/>
      <c r="RBX4" s="27"/>
      <c r="RBY4" s="27"/>
      <c r="RBZ4" s="27"/>
      <c r="RCA4" s="27"/>
      <c r="RCB4" s="27"/>
      <c r="RCC4" s="27"/>
      <c r="RCD4" s="27"/>
      <c r="RCE4" s="27"/>
      <c r="RCF4" s="27"/>
      <c r="RCG4" s="27"/>
      <c r="RCH4" s="27"/>
      <c r="RCI4" s="27"/>
      <c r="RCJ4" s="27"/>
      <c r="RCK4" s="27"/>
      <c r="RCL4" s="27"/>
      <c r="RCM4" s="27"/>
      <c r="RCN4" s="27"/>
      <c r="RCO4" s="27"/>
      <c r="RCP4" s="27"/>
      <c r="RCQ4" s="27"/>
      <c r="RCR4" s="27"/>
      <c r="RCS4" s="27"/>
      <c r="RCT4" s="27"/>
      <c r="RCU4" s="27"/>
      <c r="RCV4" s="27"/>
      <c r="RCW4" s="27"/>
      <c r="RCX4" s="27"/>
      <c r="RCY4" s="27"/>
      <c r="RCZ4" s="27"/>
      <c r="RDA4" s="27"/>
      <c r="RDB4" s="27"/>
      <c r="RDC4" s="27"/>
      <c r="RDD4" s="27"/>
      <c r="RDE4" s="27"/>
      <c r="RDF4" s="27"/>
      <c r="RDG4" s="27"/>
      <c r="RDH4" s="27"/>
      <c r="RDI4" s="27"/>
      <c r="RDJ4" s="27"/>
      <c r="RDK4" s="27"/>
      <c r="RDL4" s="27"/>
      <c r="RDM4" s="27"/>
      <c r="RDN4" s="27"/>
      <c r="RDO4" s="27"/>
      <c r="RDP4" s="27"/>
      <c r="RDQ4" s="27"/>
      <c r="RDR4" s="27"/>
      <c r="RDS4" s="27"/>
      <c r="RDT4" s="27"/>
      <c r="RDU4" s="27"/>
      <c r="RDV4" s="27"/>
      <c r="RDW4" s="27"/>
      <c r="RDX4" s="27"/>
      <c r="RDY4" s="27"/>
      <c r="RDZ4" s="27"/>
      <c r="REA4" s="27"/>
      <c r="REB4" s="27"/>
      <c r="REC4" s="27"/>
      <c r="RED4" s="27"/>
      <c r="REE4" s="27"/>
      <c r="REF4" s="27"/>
      <c r="REG4" s="27"/>
      <c r="REH4" s="27"/>
      <c r="REI4" s="27"/>
      <c r="REJ4" s="27"/>
      <c r="REK4" s="27"/>
      <c r="REL4" s="27"/>
      <c r="REM4" s="27"/>
      <c r="REN4" s="27"/>
      <c r="REO4" s="27"/>
      <c r="REP4" s="27"/>
      <c r="REQ4" s="27"/>
      <c r="RER4" s="27"/>
      <c r="RES4" s="27"/>
      <c r="RET4" s="27"/>
      <c r="REU4" s="27"/>
      <c r="REV4" s="27"/>
      <c r="REW4" s="27"/>
      <c r="REX4" s="27"/>
      <c r="REY4" s="27"/>
      <c r="REZ4" s="27"/>
      <c r="RFA4" s="27"/>
      <c r="RFB4" s="27"/>
      <c r="RFC4" s="27"/>
      <c r="RFD4" s="27"/>
      <c r="RFE4" s="27"/>
      <c r="RFF4" s="27"/>
      <c r="RFG4" s="27"/>
      <c r="RFH4" s="27"/>
      <c r="RFI4" s="27"/>
      <c r="RFJ4" s="27"/>
      <c r="RFK4" s="27"/>
      <c r="RFL4" s="27"/>
      <c r="RFM4" s="27"/>
      <c r="RFN4" s="27"/>
      <c r="RFO4" s="27"/>
      <c r="RFP4" s="27"/>
      <c r="RFQ4" s="27"/>
      <c r="RFR4" s="27"/>
      <c r="RFS4" s="27"/>
      <c r="RFT4" s="27"/>
      <c r="RFU4" s="27"/>
      <c r="RFV4" s="27"/>
      <c r="RFW4" s="27"/>
      <c r="RFX4" s="27"/>
      <c r="RFY4" s="27"/>
      <c r="RFZ4" s="27"/>
      <c r="RGA4" s="27"/>
      <c r="RGB4" s="27"/>
      <c r="RGC4" s="27"/>
      <c r="RGD4" s="27"/>
      <c r="RGE4" s="27"/>
      <c r="RGF4" s="27"/>
      <c r="RGG4" s="27"/>
      <c r="RGH4" s="27"/>
      <c r="RGI4" s="27"/>
      <c r="RGJ4" s="27"/>
      <c r="RGK4" s="27"/>
      <c r="RGL4" s="27"/>
      <c r="RGM4" s="27"/>
      <c r="RGN4" s="27"/>
      <c r="RGO4" s="27"/>
      <c r="RGP4" s="27"/>
      <c r="RGQ4" s="27"/>
      <c r="RGR4" s="27"/>
      <c r="RGS4" s="27"/>
      <c r="RGT4" s="27"/>
      <c r="RGU4" s="27"/>
      <c r="RGV4" s="27"/>
      <c r="RGW4" s="27"/>
      <c r="RGX4" s="27"/>
      <c r="RGY4" s="27"/>
      <c r="RGZ4" s="27"/>
      <c r="RHA4" s="27"/>
      <c r="RHB4" s="27"/>
      <c r="RHC4" s="27"/>
      <c r="RHD4" s="27"/>
      <c r="RHE4" s="27"/>
      <c r="RHF4" s="27"/>
      <c r="RHG4" s="27"/>
      <c r="RHH4" s="27"/>
      <c r="RHI4" s="27"/>
      <c r="RHJ4" s="27"/>
      <c r="RHK4" s="27"/>
      <c r="RHL4" s="27"/>
      <c r="RHM4" s="27"/>
      <c r="RHN4" s="27"/>
      <c r="RHO4" s="27"/>
      <c r="RHP4" s="27"/>
      <c r="RHQ4" s="27"/>
      <c r="RHR4" s="27"/>
      <c r="RHS4" s="27"/>
      <c r="RHT4" s="27"/>
      <c r="RHU4" s="27"/>
      <c r="RHV4" s="27"/>
      <c r="RHW4" s="27"/>
      <c r="RHX4" s="27"/>
      <c r="RHY4" s="27"/>
      <c r="RHZ4" s="27"/>
      <c r="RIA4" s="27"/>
      <c r="RIB4" s="27"/>
      <c r="RIC4" s="27"/>
      <c r="RID4" s="27"/>
      <c r="RIE4" s="27"/>
      <c r="RIF4" s="27"/>
      <c r="RIG4" s="27"/>
      <c r="RIH4" s="27"/>
      <c r="RII4" s="27"/>
      <c r="RIJ4" s="27"/>
      <c r="RIK4" s="27"/>
      <c r="RIL4" s="27"/>
      <c r="RIM4" s="27"/>
      <c r="RIN4" s="27"/>
      <c r="RIO4" s="27"/>
      <c r="RIP4" s="27"/>
      <c r="RIQ4" s="27"/>
      <c r="RIR4" s="27"/>
      <c r="RIS4" s="27"/>
      <c r="RIT4" s="27"/>
      <c r="RIU4" s="27"/>
      <c r="RIV4" s="27"/>
      <c r="RIW4" s="27"/>
      <c r="RIX4" s="27"/>
      <c r="RIY4" s="27"/>
      <c r="RIZ4" s="27"/>
      <c r="RJA4" s="27"/>
      <c r="RJB4" s="27"/>
      <c r="RJC4" s="27"/>
      <c r="RJD4" s="27"/>
      <c r="RJE4" s="27"/>
      <c r="RJF4" s="27"/>
      <c r="RJG4" s="27"/>
      <c r="RJH4" s="27"/>
      <c r="RJI4" s="27"/>
      <c r="RJJ4" s="27"/>
      <c r="RJK4" s="27"/>
      <c r="RJL4" s="27"/>
      <c r="RJM4" s="27"/>
      <c r="RJN4" s="27"/>
      <c r="RJO4" s="27"/>
      <c r="RJP4" s="27"/>
      <c r="RJQ4" s="27"/>
      <c r="RJR4" s="27"/>
      <c r="RJS4" s="27"/>
      <c r="RJT4" s="27"/>
      <c r="RJU4" s="27"/>
      <c r="RJV4" s="27"/>
      <c r="RJW4" s="27"/>
      <c r="RJX4" s="27"/>
      <c r="RJY4" s="27"/>
      <c r="RJZ4" s="27"/>
      <c r="RKA4" s="27"/>
      <c r="RKB4" s="27"/>
      <c r="RKC4" s="27"/>
      <c r="RKD4" s="27"/>
      <c r="RKE4" s="27"/>
      <c r="RKF4" s="27"/>
      <c r="RKG4" s="27"/>
      <c r="RKH4" s="27"/>
      <c r="RKI4" s="27"/>
      <c r="RKJ4" s="27"/>
      <c r="RKK4" s="27"/>
      <c r="RKL4" s="27"/>
      <c r="RKM4" s="27"/>
      <c r="RKN4" s="27"/>
      <c r="RKO4" s="27"/>
      <c r="RKP4" s="27"/>
      <c r="RKQ4" s="27"/>
      <c r="RKR4" s="27"/>
      <c r="RKS4" s="27"/>
      <c r="RKT4" s="27"/>
      <c r="RKU4" s="27"/>
      <c r="RKV4" s="27"/>
      <c r="RKW4" s="27"/>
      <c r="RKX4" s="27"/>
      <c r="RKY4" s="27"/>
      <c r="RKZ4" s="27"/>
      <c r="RLA4" s="27"/>
      <c r="RLB4" s="27"/>
      <c r="RLC4" s="27"/>
      <c r="RLD4" s="27"/>
      <c r="RLE4" s="27"/>
      <c r="RLF4" s="27"/>
      <c r="RLG4" s="27"/>
      <c r="RLH4" s="27"/>
      <c r="RLI4" s="27"/>
      <c r="RLJ4" s="27"/>
      <c r="RLK4" s="27"/>
      <c r="RLL4" s="27"/>
      <c r="RLM4" s="27"/>
      <c r="RLN4" s="27"/>
      <c r="RLO4" s="27"/>
      <c r="RLP4" s="27"/>
      <c r="RLQ4" s="27"/>
      <c r="RLR4" s="27"/>
      <c r="RLS4" s="27"/>
      <c r="RLT4" s="27"/>
      <c r="RLU4" s="27"/>
      <c r="RLV4" s="27"/>
      <c r="RLW4" s="27"/>
      <c r="RLX4" s="27"/>
      <c r="RLY4" s="27"/>
      <c r="RLZ4" s="27"/>
      <c r="RMA4" s="27"/>
      <c r="RMB4" s="27"/>
      <c r="RMC4" s="27"/>
      <c r="RMD4" s="27"/>
      <c r="RME4" s="27"/>
      <c r="RMF4" s="27"/>
      <c r="RMG4" s="27"/>
      <c r="RMH4" s="27"/>
      <c r="RMI4" s="27"/>
      <c r="RMJ4" s="27"/>
      <c r="RMK4" s="27"/>
      <c r="RML4" s="27"/>
      <c r="RMM4" s="27"/>
      <c r="RMN4" s="27"/>
      <c r="RMO4" s="27"/>
      <c r="RMP4" s="27"/>
      <c r="RMQ4" s="27"/>
      <c r="RMR4" s="27"/>
      <c r="RMS4" s="27"/>
      <c r="RMT4" s="27"/>
      <c r="RMU4" s="27"/>
      <c r="RMV4" s="27"/>
      <c r="RMW4" s="27"/>
      <c r="RMX4" s="27"/>
      <c r="RMY4" s="27"/>
      <c r="RMZ4" s="27"/>
      <c r="RNA4" s="27"/>
      <c r="RNB4" s="27"/>
      <c r="RNC4" s="27"/>
      <c r="RND4" s="27"/>
      <c r="RNE4" s="27"/>
      <c r="RNF4" s="27"/>
      <c r="RNG4" s="27"/>
      <c r="RNH4" s="27"/>
      <c r="RNI4" s="27"/>
      <c r="RNJ4" s="27"/>
      <c r="RNK4" s="27"/>
      <c r="RNL4" s="27"/>
      <c r="RNM4" s="27"/>
      <c r="RNN4" s="27"/>
      <c r="RNO4" s="27"/>
      <c r="RNP4" s="27"/>
      <c r="RNQ4" s="27"/>
      <c r="RNR4" s="27"/>
      <c r="RNS4" s="27"/>
      <c r="RNT4" s="27"/>
      <c r="RNU4" s="27"/>
      <c r="RNV4" s="27"/>
      <c r="RNW4" s="27"/>
      <c r="RNX4" s="27"/>
      <c r="RNY4" s="27"/>
      <c r="RNZ4" s="27"/>
      <c r="ROA4" s="27"/>
      <c r="ROB4" s="27"/>
      <c r="ROC4" s="27"/>
      <c r="ROD4" s="27"/>
      <c r="ROE4" s="27"/>
      <c r="ROF4" s="27"/>
      <c r="ROG4" s="27"/>
      <c r="ROH4" s="27"/>
      <c r="ROI4" s="27"/>
      <c r="ROJ4" s="27"/>
      <c r="ROK4" s="27"/>
      <c r="ROL4" s="27"/>
      <c r="ROM4" s="27"/>
      <c r="RON4" s="27"/>
      <c r="ROO4" s="27"/>
      <c r="ROP4" s="27"/>
      <c r="ROQ4" s="27"/>
      <c r="ROR4" s="27"/>
      <c r="ROS4" s="27"/>
      <c r="ROT4" s="27"/>
      <c r="ROU4" s="27"/>
      <c r="ROV4" s="27"/>
      <c r="ROW4" s="27"/>
      <c r="ROX4" s="27"/>
      <c r="ROY4" s="27"/>
      <c r="ROZ4" s="27"/>
      <c r="RPA4" s="27"/>
      <c r="RPB4" s="27"/>
      <c r="RPC4" s="27"/>
      <c r="RPD4" s="27"/>
      <c r="RPE4" s="27"/>
      <c r="RPF4" s="27"/>
      <c r="RPG4" s="27"/>
      <c r="RPH4" s="27"/>
      <c r="RPI4" s="27"/>
      <c r="RPJ4" s="27"/>
      <c r="RPK4" s="27"/>
      <c r="RPL4" s="27"/>
      <c r="RPM4" s="27"/>
      <c r="RPN4" s="27"/>
      <c r="RPO4" s="27"/>
      <c r="RPP4" s="27"/>
      <c r="RPQ4" s="27"/>
      <c r="RPR4" s="27"/>
      <c r="RPS4" s="27"/>
      <c r="RPT4" s="27"/>
      <c r="RPU4" s="27"/>
      <c r="RPV4" s="27"/>
      <c r="RPW4" s="27"/>
      <c r="RPX4" s="27"/>
      <c r="RPY4" s="27"/>
      <c r="RPZ4" s="27"/>
      <c r="RQA4" s="27"/>
      <c r="RQB4" s="27"/>
      <c r="RQC4" s="27"/>
      <c r="RQD4" s="27"/>
      <c r="RQE4" s="27"/>
      <c r="RQF4" s="27"/>
      <c r="RQG4" s="27"/>
      <c r="RQH4" s="27"/>
      <c r="RQI4" s="27"/>
      <c r="RQJ4" s="27"/>
      <c r="RQK4" s="27"/>
      <c r="RQL4" s="27"/>
      <c r="RQM4" s="27"/>
      <c r="RQN4" s="27"/>
      <c r="RQO4" s="27"/>
      <c r="RQP4" s="27"/>
      <c r="RQQ4" s="27"/>
      <c r="RQR4" s="27"/>
      <c r="RQS4" s="27"/>
      <c r="RQT4" s="27"/>
      <c r="RQU4" s="27"/>
      <c r="RQV4" s="27"/>
      <c r="RQW4" s="27"/>
      <c r="RQX4" s="27"/>
      <c r="RQY4" s="27"/>
      <c r="RQZ4" s="27"/>
      <c r="RRA4" s="27"/>
      <c r="RRB4" s="27"/>
      <c r="RRC4" s="27"/>
      <c r="RRD4" s="27"/>
      <c r="RRE4" s="27"/>
      <c r="RRF4" s="27"/>
      <c r="RRG4" s="27"/>
      <c r="RRH4" s="27"/>
      <c r="RRI4" s="27"/>
      <c r="RRJ4" s="27"/>
      <c r="RRK4" s="27"/>
      <c r="RRL4" s="27"/>
      <c r="RRM4" s="27"/>
      <c r="RRN4" s="27"/>
      <c r="RRO4" s="27"/>
      <c r="RRP4" s="27"/>
      <c r="RRQ4" s="27"/>
      <c r="RRR4" s="27"/>
      <c r="RRS4" s="27"/>
      <c r="RRT4" s="27"/>
      <c r="RRU4" s="27"/>
      <c r="RRV4" s="27"/>
      <c r="RRW4" s="27"/>
      <c r="RRX4" s="27"/>
      <c r="RRY4" s="27"/>
      <c r="RRZ4" s="27"/>
      <c r="RSA4" s="27"/>
      <c r="RSB4" s="27"/>
      <c r="RSC4" s="27"/>
      <c r="RSD4" s="27"/>
      <c r="RSE4" s="27"/>
      <c r="RSF4" s="27"/>
      <c r="RSG4" s="27"/>
      <c r="RSH4" s="27"/>
      <c r="RSI4" s="27"/>
      <c r="RSJ4" s="27"/>
      <c r="RSK4" s="27"/>
      <c r="RSL4" s="27"/>
      <c r="RSM4" s="27"/>
      <c r="RSN4" s="27"/>
      <c r="RSO4" s="27"/>
      <c r="RSP4" s="27"/>
      <c r="RSQ4" s="27"/>
      <c r="RSR4" s="27"/>
      <c r="RSS4" s="27"/>
      <c r="RST4" s="27"/>
      <c r="RSU4" s="27"/>
      <c r="RSV4" s="27"/>
      <c r="RSW4" s="27"/>
      <c r="RSX4" s="27"/>
      <c r="RSY4" s="27"/>
      <c r="RSZ4" s="27"/>
      <c r="RTA4" s="27"/>
      <c r="RTB4" s="27"/>
      <c r="RTC4" s="27"/>
      <c r="RTD4" s="27"/>
      <c r="RTE4" s="27"/>
      <c r="RTF4" s="27"/>
      <c r="RTG4" s="27"/>
      <c r="RTH4" s="27"/>
      <c r="RTI4" s="27"/>
      <c r="RTJ4" s="27"/>
      <c r="RTK4" s="27"/>
      <c r="RTL4" s="27"/>
      <c r="RTM4" s="27"/>
      <c r="RTN4" s="27"/>
      <c r="RTO4" s="27"/>
      <c r="RTP4" s="27"/>
      <c r="RTQ4" s="27"/>
      <c r="RTR4" s="27"/>
      <c r="RTS4" s="27"/>
      <c r="RTT4" s="27"/>
      <c r="RTU4" s="27"/>
      <c r="RTV4" s="27"/>
      <c r="RTW4" s="27"/>
      <c r="RTX4" s="27"/>
      <c r="RTY4" s="27"/>
      <c r="RTZ4" s="27"/>
      <c r="RUA4" s="27"/>
      <c r="RUB4" s="27"/>
      <c r="RUC4" s="27"/>
      <c r="RUD4" s="27"/>
      <c r="RUE4" s="27"/>
      <c r="RUF4" s="27"/>
      <c r="RUG4" s="27"/>
      <c r="RUH4" s="27"/>
      <c r="RUI4" s="27"/>
      <c r="RUJ4" s="27"/>
      <c r="RUK4" s="27"/>
      <c r="RUL4" s="27"/>
      <c r="RUM4" s="27"/>
      <c r="RUN4" s="27"/>
      <c r="RUO4" s="27"/>
      <c r="RUP4" s="27"/>
      <c r="RUQ4" s="27"/>
      <c r="RUR4" s="27"/>
      <c r="RUS4" s="27"/>
      <c r="RUT4" s="27"/>
      <c r="RUU4" s="27"/>
      <c r="RUV4" s="27"/>
      <c r="RUW4" s="27"/>
      <c r="RUX4" s="27"/>
      <c r="RUY4" s="27"/>
      <c r="RUZ4" s="27"/>
      <c r="RVA4" s="27"/>
      <c r="RVB4" s="27"/>
      <c r="RVC4" s="27"/>
      <c r="RVD4" s="27"/>
      <c r="RVE4" s="27"/>
      <c r="RVF4" s="27"/>
      <c r="RVG4" s="27"/>
      <c r="RVH4" s="27"/>
      <c r="RVI4" s="27"/>
      <c r="RVJ4" s="27"/>
      <c r="RVK4" s="27"/>
      <c r="RVL4" s="27"/>
      <c r="RVM4" s="27"/>
      <c r="RVN4" s="27"/>
      <c r="RVO4" s="27"/>
      <c r="RVP4" s="27"/>
      <c r="RVQ4" s="27"/>
      <c r="RVR4" s="27"/>
      <c r="RVS4" s="27"/>
      <c r="RVT4" s="27"/>
      <c r="RVU4" s="27"/>
      <c r="RVV4" s="27"/>
      <c r="RVW4" s="27"/>
      <c r="RVX4" s="27"/>
      <c r="RVY4" s="27"/>
      <c r="RVZ4" s="27"/>
      <c r="RWA4" s="27"/>
      <c r="RWB4" s="27"/>
      <c r="RWC4" s="27"/>
      <c r="RWD4" s="27"/>
      <c r="RWE4" s="27"/>
      <c r="RWF4" s="27"/>
      <c r="RWG4" s="27"/>
      <c r="RWH4" s="27"/>
      <c r="RWI4" s="27"/>
      <c r="RWJ4" s="27"/>
      <c r="RWK4" s="27"/>
      <c r="RWL4" s="27"/>
      <c r="RWM4" s="27"/>
      <c r="RWN4" s="27"/>
      <c r="RWO4" s="27"/>
      <c r="RWP4" s="27"/>
      <c r="RWQ4" s="27"/>
      <c r="RWR4" s="27"/>
      <c r="RWS4" s="27"/>
      <c r="RWT4" s="27"/>
      <c r="RWU4" s="27"/>
      <c r="RWV4" s="27"/>
      <c r="RWW4" s="27"/>
      <c r="RWX4" s="27"/>
      <c r="RWY4" s="27"/>
      <c r="RWZ4" s="27"/>
      <c r="RXA4" s="27"/>
      <c r="RXB4" s="27"/>
      <c r="RXC4" s="27"/>
      <c r="RXD4" s="27"/>
      <c r="RXE4" s="27"/>
      <c r="RXF4" s="27"/>
      <c r="RXG4" s="27"/>
      <c r="RXH4" s="27"/>
      <c r="RXI4" s="27"/>
      <c r="RXJ4" s="27"/>
      <c r="RXK4" s="27"/>
      <c r="RXL4" s="27"/>
      <c r="RXM4" s="27"/>
      <c r="RXN4" s="27"/>
      <c r="RXO4" s="27"/>
      <c r="RXP4" s="27"/>
      <c r="RXQ4" s="27"/>
      <c r="RXR4" s="27"/>
      <c r="RXS4" s="27"/>
      <c r="RXT4" s="27"/>
      <c r="RXU4" s="27"/>
      <c r="RXV4" s="27"/>
      <c r="RXW4" s="27"/>
      <c r="RXX4" s="27"/>
      <c r="RXY4" s="27"/>
      <c r="RXZ4" s="27"/>
      <c r="RYA4" s="27"/>
      <c r="RYB4" s="27"/>
      <c r="RYC4" s="27"/>
      <c r="RYD4" s="27"/>
      <c r="RYE4" s="27"/>
      <c r="RYF4" s="27"/>
      <c r="RYG4" s="27"/>
      <c r="RYH4" s="27"/>
      <c r="RYI4" s="27"/>
      <c r="RYJ4" s="27"/>
      <c r="RYK4" s="27"/>
      <c r="RYL4" s="27"/>
      <c r="RYM4" s="27"/>
      <c r="RYN4" s="27"/>
      <c r="RYO4" s="27"/>
      <c r="RYP4" s="27"/>
      <c r="RYQ4" s="27"/>
      <c r="RYR4" s="27"/>
      <c r="RYS4" s="27"/>
      <c r="RYT4" s="27"/>
      <c r="RYU4" s="27"/>
      <c r="RYV4" s="27"/>
      <c r="RYW4" s="27"/>
      <c r="RYX4" s="27"/>
      <c r="RYY4" s="27"/>
      <c r="RYZ4" s="27"/>
      <c r="RZA4" s="27"/>
      <c r="RZB4" s="27"/>
      <c r="RZC4" s="27"/>
      <c r="RZD4" s="27"/>
      <c r="RZE4" s="27"/>
      <c r="RZF4" s="27"/>
      <c r="RZG4" s="27"/>
      <c r="RZH4" s="27"/>
      <c r="RZI4" s="27"/>
      <c r="RZJ4" s="27"/>
      <c r="RZK4" s="27"/>
      <c r="RZL4" s="27"/>
      <c r="RZM4" s="27"/>
      <c r="RZN4" s="27"/>
      <c r="RZO4" s="27"/>
      <c r="RZP4" s="27"/>
      <c r="RZQ4" s="27"/>
      <c r="RZR4" s="27"/>
      <c r="RZS4" s="27"/>
      <c r="RZT4" s="27"/>
      <c r="RZU4" s="27"/>
      <c r="RZV4" s="27"/>
      <c r="RZW4" s="27"/>
      <c r="RZX4" s="27"/>
      <c r="RZY4" s="27"/>
      <c r="RZZ4" s="27"/>
      <c r="SAA4" s="27"/>
      <c r="SAB4" s="27"/>
      <c r="SAC4" s="27"/>
      <c r="SAD4" s="27"/>
      <c r="SAE4" s="27"/>
      <c r="SAF4" s="27"/>
      <c r="SAG4" s="27"/>
      <c r="SAH4" s="27"/>
      <c r="SAI4" s="27"/>
      <c r="SAJ4" s="27"/>
      <c r="SAK4" s="27"/>
      <c r="SAL4" s="27"/>
      <c r="SAM4" s="27"/>
      <c r="SAN4" s="27"/>
      <c r="SAO4" s="27"/>
      <c r="SAP4" s="27"/>
      <c r="SAQ4" s="27"/>
      <c r="SAR4" s="27"/>
      <c r="SAS4" s="27"/>
      <c r="SAT4" s="27"/>
      <c r="SAU4" s="27"/>
      <c r="SAV4" s="27"/>
      <c r="SAW4" s="27"/>
      <c r="SAX4" s="27"/>
      <c r="SAY4" s="27"/>
      <c r="SAZ4" s="27"/>
      <c r="SBA4" s="27"/>
      <c r="SBB4" s="27"/>
      <c r="SBC4" s="27"/>
      <c r="SBD4" s="27"/>
      <c r="SBE4" s="27"/>
      <c r="SBF4" s="27"/>
      <c r="SBG4" s="27"/>
      <c r="SBH4" s="27"/>
      <c r="SBI4" s="27"/>
      <c r="SBJ4" s="27"/>
      <c r="SBK4" s="27"/>
      <c r="SBL4" s="27"/>
      <c r="SBM4" s="27"/>
      <c r="SBN4" s="27"/>
      <c r="SBO4" s="27"/>
      <c r="SBP4" s="27"/>
      <c r="SBQ4" s="27"/>
      <c r="SBR4" s="27"/>
      <c r="SBS4" s="27"/>
      <c r="SBT4" s="27"/>
      <c r="SBU4" s="27"/>
      <c r="SBV4" s="27"/>
      <c r="SBW4" s="27"/>
      <c r="SBX4" s="27"/>
      <c r="SBY4" s="27"/>
      <c r="SBZ4" s="27"/>
      <c r="SCA4" s="27"/>
      <c r="SCB4" s="27"/>
      <c r="SCC4" s="27"/>
      <c r="SCD4" s="27"/>
      <c r="SCE4" s="27"/>
      <c r="SCF4" s="27"/>
      <c r="SCG4" s="27"/>
      <c r="SCH4" s="27"/>
      <c r="SCI4" s="27"/>
      <c r="SCJ4" s="27"/>
      <c r="SCK4" s="27"/>
      <c r="SCL4" s="27"/>
      <c r="SCM4" s="27"/>
      <c r="SCN4" s="27"/>
      <c r="SCO4" s="27"/>
      <c r="SCP4" s="27"/>
      <c r="SCQ4" s="27"/>
      <c r="SCR4" s="27"/>
      <c r="SCS4" s="27"/>
      <c r="SCT4" s="27"/>
      <c r="SCU4" s="27"/>
      <c r="SCV4" s="27"/>
      <c r="SCW4" s="27"/>
      <c r="SCX4" s="27"/>
      <c r="SCY4" s="27"/>
      <c r="SCZ4" s="27"/>
      <c r="SDA4" s="27"/>
      <c r="SDB4" s="27"/>
      <c r="SDC4" s="27"/>
      <c r="SDD4" s="27"/>
      <c r="SDE4" s="27"/>
      <c r="SDF4" s="27"/>
      <c r="SDG4" s="27"/>
      <c r="SDH4" s="27"/>
      <c r="SDI4" s="27"/>
      <c r="SDJ4" s="27"/>
      <c r="SDK4" s="27"/>
      <c r="SDL4" s="27"/>
      <c r="SDM4" s="27"/>
      <c r="SDN4" s="27"/>
      <c r="SDO4" s="27"/>
      <c r="SDP4" s="27"/>
      <c r="SDQ4" s="27"/>
      <c r="SDR4" s="27"/>
      <c r="SDS4" s="27"/>
      <c r="SDT4" s="27"/>
      <c r="SDU4" s="27"/>
      <c r="SDV4" s="27"/>
      <c r="SDW4" s="27"/>
      <c r="SDX4" s="27"/>
      <c r="SDY4" s="27"/>
      <c r="SDZ4" s="27"/>
      <c r="SEA4" s="27"/>
      <c r="SEB4" s="27"/>
      <c r="SEC4" s="27"/>
      <c r="SED4" s="27"/>
      <c r="SEE4" s="27"/>
      <c r="SEF4" s="27"/>
      <c r="SEG4" s="27"/>
      <c r="SEH4" s="27"/>
      <c r="SEI4" s="27"/>
      <c r="SEJ4" s="27"/>
      <c r="SEK4" s="27"/>
      <c r="SEL4" s="27"/>
      <c r="SEM4" s="27"/>
      <c r="SEN4" s="27"/>
      <c r="SEO4" s="27"/>
      <c r="SEP4" s="27"/>
      <c r="SEQ4" s="27"/>
      <c r="SER4" s="27"/>
      <c r="SES4" s="27"/>
      <c r="SET4" s="27"/>
      <c r="SEU4" s="27"/>
      <c r="SEV4" s="27"/>
      <c r="SEW4" s="27"/>
      <c r="SEX4" s="27"/>
      <c r="SEY4" s="27"/>
      <c r="SEZ4" s="27"/>
      <c r="SFA4" s="27"/>
      <c r="SFB4" s="27"/>
      <c r="SFC4" s="27"/>
      <c r="SFD4" s="27"/>
      <c r="SFE4" s="27"/>
      <c r="SFF4" s="27"/>
      <c r="SFG4" s="27"/>
      <c r="SFH4" s="27"/>
      <c r="SFI4" s="27"/>
      <c r="SFJ4" s="27"/>
      <c r="SFK4" s="27"/>
      <c r="SFL4" s="27"/>
      <c r="SFM4" s="27"/>
      <c r="SFN4" s="27"/>
      <c r="SFO4" s="27"/>
      <c r="SFP4" s="27"/>
      <c r="SFQ4" s="27"/>
      <c r="SFR4" s="27"/>
      <c r="SFS4" s="27"/>
      <c r="SFT4" s="27"/>
      <c r="SFU4" s="27"/>
      <c r="SFV4" s="27"/>
      <c r="SFW4" s="27"/>
      <c r="SFX4" s="27"/>
      <c r="SFY4" s="27"/>
      <c r="SFZ4" s="27"/>
      <c r="SGA4" s="27"/>
      <c r="SGB4" s="27"/>
      <c r="SGC4" s="27"/>
      <c r="SGD4" s="27"/>
      <c r="SGE4" s="27"/>
      <c r="SGF4" s="27"/>
      <c r="SGG4" s="27"/>
      <c r="SGH4" s="27"/>
      <c r="SGI4" s="27"/>
      <c r="SGJ4" s="27"/>
      <c r="SGK4" s="27"/>
      <c r="SGL4" s="27"/>
      <c r="SGM4" s="27"/>
      <c r="SGN4" s="27"/>
      <c r="SGO4" s="27"/>
      <c r="SGP4" s="27"/>
      <c r="SGQ4" s="27"/>
      <c r="SGR4" s="27"/>
      <c r="SGS4" s="27"/>
      <c r="SGT4" s="27"/>
      <c r="SGU4" s="27"/>
      <c r="SGV4" s="27"/>
      <c r="SGW4" s="27"/>
      <c r="SGX4" s="27"/>
      <c r="SGY4" s="27"/>
      <c r="SGZ4" s="27"/>
      <c r="SHA4" s="27"/>
      <c r="SHB4" s="27"/>
      <c r="SHC4" s="27"/>
      <c r="SHD4" s="27"/>
      <c r="SHE4" s="27"/>
      <c r="SHF4" s="27"/>
      <c r="SHG4" s="27"/>
      <c r="SHH4" s="27"/>
      <c r="SHI4" s="27"/>
      <c r="SHJ4" s="27"/>
      <c r="SHK4" s="27"/>
      <c r="SHL4" s="27"/>
      <c r="SHM4" s="27"/>
      <c r="SHN4" s="27"/>
      <c r="SHO4" s="27"/>
      <c r="SHP4" s="27"/>
      <c r="SHQ4" s="27"/>
      <c r="SHR4" s="27"/>
      <c r="SHS4" s="27"/>
      <c r="SHT4" s="27"/>
      <c r="SHU4" s="27"/>
      <c r="SHV4" s="27"/>
      <c r="SHW4" s="27"/>
      <c r="SHX4" s="27"/>
      <c r="SHY4" s="27"/>
      <c r="SHZ4" s="27"/>
      <c r="SIA4" s="27"/>
      <c r="SIB4" s="27"/>
      <c r="SIC4" s="27"/>
      <c r="SID4" s="27"/>
      <c r="SIE4" s="27"/>
      <c r="SIF4" s="27"/>
      <c r="SIG4" s="27"/>
      <c r="SIH4" s="27"/>
      <c r="SII4" s="27"/>
      <c r="SIJ4" s="27"/>
      <c r="SIK4" s="27"/>
      <c r="SIL4" s="27"/>
      <c r="SIM4" s="27"/>
      <c r="SIN4" s="27"/>
      <c r="SIO4" s="27"/>
      <c r="SIP4" s="27"/>
      <c r="SIQ4" s="27"/>
      <c r="SIR4" s="27"/>
      <c r="SIS4" s="27"/>
      <c r="SIT4" s="27"/>
      <c r="SIU4" s="27"/>
      <c r="SIV4" s="27"/>
      <c r="SIW4" s="27"/>
      <c r="SIX4" s="27"/>
      <c r="SIY4" s="27"/>
      <c r="SIZ4" s="27"/>
      <c r="SJA4" s="27"/>
      <c r="SJB4" s="27"/>
      <c r="SJC4" s="27"/>
      <c r="SJD4" s="27"/>
      <c r="SJE4" s="27"/>
      <c r="SJF4" s="27"/>
      <c r="SJG4" s="27"/>
      <c r="SJH4" s="27"/>
      <c r="SJI4" s="27"/>
      <c r="SJJ4" s="27"/>
      <c r="SJK4" s="27"/>
      <c r="SJL4" s="27"/>
      <c r="SJM4" s="27"/>
      <c r="SJN4" s="27"/>
      <c r="SJO4" s="27"/>
      <c r="SJP4" s="27"/>
      <c r="SJQ4" s="27"/>
      <c r="SJR4" s="27"/>
      <c r="SJS4" s="27"/>
      <c r="SJT4" s="27"/>
      <c r="SJU4" s="27"/>
      <c r="SJV4" s="27"/>
      <c r="SJW4" s="27"/>
      <c r="SJX4" s="27"/>
      <c r="SJY4" s="27"/>
      <c r="SJZ4" s="27"/>
      <c r="SKA4" s="27"/>
      <c r="SKB4" s="27"/>
      <c r="SKC4" s="27"/>
      <c r="SKD4" s="27"/>
      <c r="SKE4" s="27"/>
      <c r="SKF4" s="27"/>
      <c r="SKG4" s="27"/>
      <c r="SKH4" s="27"/>
      <c r="SKI4" s="27"/>
      <c r="SKJ4" s="27"/>
      <c r="SKK4" s="27"/>
      <c r="SKL4" s="27"/>
      <c r="SKM4" s="27"/>
      <c r="SKN4" s="27"/>
      <c r="SKO4" s="27"/>
      <c r="SKP4" s="27"/>
      <c r="SKQ4" s="27"/>
      <c r="SKR4" s="27"/>
      <c r="SKS4" s="27"/>
      <c r="SKT4" s="27"/>
      <c r="SKU4" s="27"/>
      <c r="SKV4" s="27"/>
      <c r="SKW4" s="27"/>
      <c r="SKX4" s="27"/>
      <c r="SKY4" s="27"/>
      <c r="SKZ4" s="27"/>
      <c r="SLA4" s="27"/>
      <c r="SLB4" s="27"/>
      <c r="SLC4" s="27"/>
      <c r="SLD4" s="27"/>
      <c r="SLE4" s="27"/>
      <c r="SLF4" s="27"/>
      <c r="SLG4" s="27"/>
      <c r="SLH4" s="27"/>
      <c r="SLI4" s="27"/>
      <c r="SLJ4" s="27"/>
      <c r="SLK4" s="27"/>
      <c r="SLL4" s="27"/>
      <c r="SLM4" s="27"/>
      <c r="SLN4" s="27"/>
      <c r="SLO4" s="27"/>
      <c r="SLP4" s="27"/>
      <c r="SLQ4" s="27"/>
      <c r="SLR4" s="27"/>
      <c r="SLS4" s="27"/>
      <c r="SLT4" s="27"/>
      <c r="SLU4" s="27"/>
      <c r="SLV4" s="27"/>
      <c r="SLW4" s="27"/>
      <c r="SLX4" s="27"/>
      <c r="SLY4" s="27"/>
      <c r="SLZ4" s="27"/>
      <c r="SMA4" s="27"/>
      <c r="SMB4" s="27"/>
      <c r="SMC4" s="27"/>
      <c r="SMD4" s="27"/>
      <c r="SME4" s="27"/>
      <c r="SMF4" s="27"/>
      <c r="SMG4" s="27"/>
      <c r="SMH4" s="27"/>
      <c r="SMI4" s="27"/>
      <c r="SMJ4" s="27"/>
      <c r="SMK4" s="27"/>
      <c r="SML4" s="27"/>
      <c r="SMM4" s="27"/>
      <c r="SMN4" s="27"/>
      <c r="SMO4" s="27"/>
      <c r="SMP4" s="27"/>
      <c r="SMQ4" s="27"/>
      <c r="SMR4" s="27"/>
      <c r="SMS4" s="27"/>
      <c r="SMT4" s="27"/>
      <c r="SMU4" s="27"/>
      <c r="SMV4" s="27"/>
      <c r="SMW4" s="27"/>
      <c r="SMX4" s="27"/>
      <c r="SMY4" s="27"/>
      <c r="SMZ4" s="27"/>
      <c r="SNA4" s="27"/>
      <c r="SNB4" s="27"/>
      <c r="SNC4" s="27"/>
      <c r="SND4" s="27"/>
      <c r="SNE4" s="27"/>
      <c r="SNF4" s="27"/>
      <c r="SNG4" s="27"/>
      <c r="SNH4" s="27"/>
      <c r="SNI4" s="27"/>
      <c r="SNJ4" s="27"/>
      <c r="SNK4" s="27"/>
      <c r="SNL4" s="27"/>
      <c r="SNM4" s="27"/>
      <c r="SNN4" s="27"/>
      <c r="SNO4" s="27"/>
      <c r="SNP4" s="27"/>
      <c r="SNQ4" s="27"/>
      <c r="SNR4" s="27"/>
      <c r="SNS4" s="27"/>
      <c r="SNT4" s="27"/>
      <c r="SNU4" s="27"/>
      <c r="SNV4" s="27"/>
      <c r="SNW4" s="27"/>
      <c r="SNX4" s="27"/>
      <c r="SNY4" s="27"/>
      <c r="SNZ4" s="27"/>
      <c r="SOA4" s="27"/>
      <c r="SOB4" s="27"/>
      <c r="SOC4" s="27"/>
      <c r="SOD4" s="27"/>
      <c r="SOE4" s="27"/>
      <c r="SOF4" s="27"/>
      <c r="SOG4" s="27"/>
      <c r="SOH4" s="27"/>
      <c r="SOI4" s="27"/>
      <c r="SOJ4" s="27"/>
      <c r="SOK4" s="27"/>
      <c r="SOL4" s="27"/>
      <c r="SOM4" s="27"/>
      <c r="SON4" s="27"/>
      <c r="SOO4" s="27"/>
      <c r="SOP4" s="27"/>
      <c r="SOQ4" s="27"/>
      <c r="SOR4" s="27"/>
      <c r="SOS4" s="27"/>
      <c r="SOT4" s="27"/>
      <c r="SOU4" s="27"/>
      <c r="SOV4" s="27"/>
      <c r="SOW4" s="27"/>
      <c r="SOX4" s="27"/>
      <c r="SOY4" s="27"/>
      <c r="SOZ4" s="27"/>
      <c r="SPA4" s="27"/>
      <c r="SPB4" s="27"/>
      <c r="SPC4" s="27"/>
      <c r="SPD4" s="27"/>
      <c r="SPE4" s="27"/>
      <c r="SPF4" s="27"/>
      <c r="SPG4" s="27"/>
      <c r="SPH4" s="27"/>
      <c r="SPI4" s="27"/>
      <c r="SPJ4" s="27"/>
      <c r="SPK4" s="27"/>
      <c r="SPL4" s="27"/>
      <c r="SPM4" s="27"/>
      <c r="SPN4" s="27"/>
      <c r="SPO4" s="27"/>
      <c r="SPP4" s="27"/>
      <c r="SPQ4" s="27"/>
      <c r="SPR4" s="27"/>
      <c r="SPS4" s="27"/>
      <c r="SPT4" s="27"/>
      <c r="SPU4" s="27"/>
      <c r="SPV4" s="27"/>
      <c r="SPW4" s="27"/>
      <c r="SPX4" s="27"/>
      <c r="SPY4" s="27"/>
      <c r="SPZ4" s="27"/>
      <c r="SQA4" s="27"/>
      <c r="SQB4" s="27"/>
      <c r="SQC4" s="27"/>
      <c r="SQD4" s="27"/>
      <c r="SQE4" s="27"/>
      <c r="SQF4" s="27"/>
      <c r="SQG4" s="27"/>
      <c r="SQH4" s="27"/>
      <c r="SQI4" s="27"/>
      <c r="SQJ4" s="27"/>
      <c r="SQK4" s="27"/>
      <c r="SQL4" s="27"/>
      <c r="SQM4" s="27"/>
      <c r="SQN4" s="27"/>
      <c r="SQO4" s="27"/>
      <c r="SQP4" s="27"/>
      <c r="SQQ4" s="27"/>
      <c r="SQR4" s="27"/>
      <c r="SQS4" s="27"/>
      <c r="SQT4" s="27"/>
      <c r="SQU4" s="27"/>
      <c r="SQV4" s="27"/>
      <c r="SQW4" s="27"/>
      <c r="SQX4" s="27"/>
      <c r="SQY4" s="27"/>
      <c r="SQZ4" s="27"/>
      <c r="SRA4" s="27"/>
      <c r="SRB4" s="27"/>
      <c r="SRC4" s="27"/>
      <c r="SRD4" s="27"/>
      <c r="SRE4" s="27"/>
      <c r="SRF4" s="27"/>
      <c r="SRG4" s="27"/>
      <c r="SRH4" s="27"/>
      <c r="SRI4" s="27"/>
      <c r="SRJ4" s="27"/>
      <c r="SRK4" s="27"/>
      <c r="SRL4" s="27"/>
      <c r="SRM4" s="27"/>
      <c r="SRN4" s="27"/>
      <c r="SRO4" s="27"/>
      <c r="SRP4" s="27"/>
      <c r="SRQ4" s="27"/>
      <c r="SRR4" s="27"/>
      <c r="SRS4" s="27"/>
      <c r="SRT4" s="27"/>
      <c r="SRU4" s="27"/>
      <c r="SRV4" s="27"/>
      <c r="SRW4" s="27"/>
      <c r="SRX4" s="27"/>
      <c r="SRY4" s="27"/>
      <c r="SRZ4" s="27"/>
      <c r="SSA4" s="27"/>
      <c r="SSB4" s="27"/>
      <c r="SSC4" s="27"/>
      <c r="SSD4" s="27"/>
      <c r="SSE4" s="27"/>
      <c r="SSF4" s="27"/>
      <c r="SSG4" s="27"/>
      <c r="SSH4" s="27"/>
      <c r="SSI4" s="27"/>
      <c r="SSJ4" s="27"/>
      <c r="SSK4" s="27"/>
      <c r="SSL4" s="27"/>
      <c r="SSM4" s="27"/>
      <c r="SSN4" s="27"/>
      <c r="SSO4" s="27"/>
      <c r="SSP4" s="27"/>
      <c r="SSQ4" s="27"/>
      <c r="SSR4" s="27"/>
      <c r="SSS4" s="27"/>
      <c r="SST4" s="27"/>
      <c r="SSU4" s="27"/>
      <c r="SSV4" s="27"/>
      <c r="SSW4" s="27"/>
      <c r="SSX4" s="27"/>
      <c r="SSY4" s="27"/>
      <c r="SSZ4" s="27"/>
      <c r="STA4" s="27"/>
      <c r="STB4" s="27"/>
      <c r="STC4" s="27"/>
      <c r="STD4" s="27"/>
      <c r="STE4" s="27"/>
      <c r="STF4" s="27"/>
      <c r="STG4" s="27"/>
      <c r="STH4" s="27"/>
      <c r="STI4" s="27"/>
      <c r="STJ4" s="27"/>
      <c r="STK4" s="27"/>
      <c r="STL4" s="27"/>
      <c r="STM4" s="27"/>
      <c r="STN4" s="27"/>
      <c r="STO4" s="27"/>
      <c r="STP4" s="27"/>
      <c r="STQ4" s="27"/>
      <c r="STR4" s="27"/>
      <c r="STS4" s="27"/>
      <c r="STT4" s="27"/>
      <c r="STU4" s="27"/>
      <c r="STV4" s="27"/>
      <c r="STW4" s="27"/>
      <c r="STX4" s="27"/>
      <c r="STY4" s="27"/>
      <c r="STZ4" s="27"/>
      <c r="SUA4" s="27"/>
      <c r="SUB4" s="27"/>
      <c r="SUC4" s="27"/>
      <c r="SUD4" s="27"/>
      <c r="SUE4" s="27"/>
      <c r="SUF4" s="27"/>
      <c r="SUG4" s="27"/>
      <c r="SUH4" s="27"/>
      <c r="SUI4" s="27"/>
      <c r="SUJ4" s="27"/>
      <c r="SUK4" s="27"/>
      <c r="SUL4" s="27"/>
      <c r="SUM4" s="27"/>
      <c r="SUN4" s="27"/>
      <c r="SUO4" s="27"/>
      <c r="SUP4" s="27"/>
      <c r="SUQ4" s="27"/>
      <c r="SUR4" s="27"/>
      <c r="SUS4" s="27"/>
      <c r="SUT4" s="27"/>
      <c r="SUU4" s="27"/>
      <c r="SUV4" s="27"/>
      <c r="SUW4" s="27"/>
      <c r="SUX4" s="27"/>
      <c r="SUY4" s="27"/>
      <c r="SUZ4" s="27"/>
      <c r="SVA4" s="27"/>
      <c r="SVB4" s="27"/>
      <c r="SVC4" s="27"/>
      <c r="SVD4" s="27"/>
      <c r="SVE4" s="27"/>
      <c r="SVF4" s="27"/>
      <c r="SVG4" s="27"/>
      <c r="SVH4" s="27"/>
      <c r="SVI4" s="27"/>
      <c r="SVJ4" s="27"/>
      <c r="SVK4" s="27"/>
      <c r="SVL4" s="27"/>
      <c r="SVM4" s="27"/>
      <c r="SVN4" s="27"/>
      <c r="SVO4" s="27"/>
      <c r="SVP4" s="27"/>
      <c r="SVQ4" s="27"/>
      <c r="SVR4" s="27"/>
      <c r="SVS4" s="27"/>
      <c r="SVT4" s="27"/>
      <c r="SVU4" s="27"/>
      <c r="SVV4" s="27"/>
      <c r="SVW4" s="27"/>
      <c r="SVX4" s="27"/>
      <c r="SVY4" s="27"/>
      <c r="SVZ4" s="27"/>
      <c r="SWA4" s="27"/>
      <c r="SWB4" s="27"/>
      <c r="SWC4" s="27"/>
      <c r="SWD4" s="27"/>
      <c r="SWE4" s="27"/>
      <c r="SWF4" s="27"/>
      <c r="SWG4" s="27"/>
      <c r="SWH4" s="27"/>
      <c r="SWI4" s="27"/>
      <c r="SWJ4" s="27"/>
      <c r="SWK4" s="27"/>
      <c r="SWL4" s="27"/>
      <c r="SWM4" s="27"/>
      <c r="SWN4" s="27"/>
      <c r="SWO4" s="27"/>
      <c r="SWP4" s="27"/>
      <c r="SWQ4" s="27"/>
      <c r="SWR4" s="27"/>
      <c r="SWS4" s="27"/>
      <c r="SWT4" s="27"/>
      <c r="SWU4" s="27"/>
      <c r="SWV4" s="27"/>
      <c r="SWW4" s="27"/>
      <c r="SWX4" s="27"/>
      <c r="SWY4" s="27"/>
      <c r="SWZ4" s="27"/>
      <c r="SXA4" s="27"/>
      <c r="SXB4" s="27"/>
      <c r="SXC4" s="27"/>
      <c r="SXD4" s="27"/>
      <c r="SXE4" s="27"/>
      <c r="SXF4" s="27"/>
      <c r="SXG4" s="27"/>
      <c r="SXH4" s="27"/>
      <c r="SXI4" s="27"/>
      <c r="SXJ4" s="27"/>
      <c r="SXK4" s="27"/>
      <c r="SXL4" s="27"/>
      <c r="SXM4" s="27"/>
      <c r="SXN4" s="27"/>
      <c r="SXO4" s="27"/>
      <c r="SXP4" s="27"/>
      <c r="SXQ4" s="27"/>
      <c r="SXR4" s="27"/>
      <c r="SXS4" s="27"/>
      <c r="SXT4" s="27"/>
      <c r="SXU4" s="27"/>
      <c r="SXV4" s="27"/>
      <c r="SXW4" s="27"/>
      <c r="SXX4" s="27"/>
      <c r="SXY4" s="27"/>
      <c r="SXZ4" s="27"/>
      <c r="SYA4" s="27"/>
      <c r="SYB4" s="27"/>
      <c r="SYC4" s="27"/>
      <c r="SYD4" s="27"/>
      <c r="SYE4" s="27"/>
      <c r="SYF4" s="27"/>
      <c r="SYG4" s="27"/>
      <c r="SYH4" s="27"/>
      <c r="SYI4" s="27"/>
      <c r="SYJ4" s="27"/>
      <c r="SYK4" s="27"/>
      <c r="SYL4" s="27"/>
      <c r="SYM4" s="27"/>
      <c r="SYN4" s="27"/>
      <c r="SYO4" s="27"/>
      <c r="SYP4" s="27"/>
      <c r="SYQ4" s="27"/>
      <c r="SYR4" s="27"/>
      <c r="SYS4" s="27"/>
      <c r="SYT4" s="27"/>
      <c r="SYU4" s="27"/>
      <c r="SYV4" s="27"/>
      <c r="SYW4" s="27"/>
      <c r="SYX4" s="27"/>
      <c r="SYY4" s="27"/>
      <c r="SYZ4" s="27"/>
      <c r="SZA4" s="27"/>
      <c r="SZB4" s="27"/>
      <c r="SZC4" s="27"/>
      <c r="SZD4" s="27"/>
      <c r="SZE4" s="27"/>
      <c r="SZF4" s="27"/>
      <c r="SZG4" s="27"/>
      <c r="SZH4" s="27"/>
      <c r="SZI4" s="27"/>
      <c r="SZJ4" s="27"/>
      <c r="SZK4" s="27"/>
      <c r="SZL4" s="27"/>
      <c r="SZM4" s="27"/>
      <c r="SZN4" s="27"/>
      <c r="SZO4" s="27"/>
      <c r="SZP4" s="27"/>
      <c r="SZQ4" s="27"/>
      <c r="SZR4" s="27"/>
      <c r="SZS4" s="27"/>
      <c r="SZT4" s="27"/>
      <c r="SZU4" s="27"/>
      <c r="SZV4" s="27"/>
      <c r="SZW4" s="27"/>
      <c r="SZX4" s="27"/>
      <c r="SZY4" s="27"/>
      <c r="SZZ4" s="27"/>
      <c r="TAA4" s="27"/>
      <c r="TAB4" s="27"/>
      <c r="TAC4" s="27"/>
      <c r="TAD4" s="27"/>
      <c r="TAE4" s="27"/>
      <c r="TAF4" s="27"/>
      <c r="TAG4" s="27"/>
      <c r="TAH4" s="27"/>
      <c r="TAI4" s="27"/>
      <c r="TAJ4" s="27"/>
      <c r="TAK4" s="27"/>
      <c r="TAL4" s="27"/>
      <c r="TAM4" s="27"/>
      <c r="TAN4" s="27"/>
      <c r="TAO4" s="27"/>
      <c r="TAP4" s="27"/>
      <c r="TAQ4" s="27"/>
      <c r="TAR4" s="27"/>
      <c r="TAS4" s="27"/>
      <c r="TAT4" s="27"/>
      <c r="TAU4" s="27"/>
      <c r="TAV4" s="27"/>
      <c r="TAW4" s="27"/>
      <c r="TAX4" s="27"/>
      <c r="TAY4" s="27"/>
      <c r="TAZ4" s="27"/>
      <c r="TBA4" s="27"/>
      <c r="TBB4" s="27"/>
      <c r="TBC4" s="27"/>
      <c r="TBD4" s="27"/>
      <c r="TBE4" s="27"/>
      <c r="TBF4" s="27"/>
      <c r="TBG4" s="27"/>
      <c r="TBH4" s="27"/>
      <c r="TBI4" s="27"/>
      <c r="TBJ4" s="27"/>
      <c r="TBK4" s="27"/>
      <c r="TBL4" s="27"/>
      <c r="TBM4" s="27"/>
      <c r="TBN4" s="27"/>
      <c r="TBO4" s="27"/>
      <c r="TBP4" s="27"/>
      <c r="TBQ4" s="27"/>
      <c r="TBR4" s="27"/>
      <c r="TBS4" s="27"/>
      <c r="TBT4" s="27"/>
      <c r="TBU4" s="27"/>
      <c r="TBV4" s="27"/>
      <c r="TBW4" s="27"/>
      <c r="TBX4" s="27"/>
      <c r="TBY4" s="27"/>
      <c r="TBZ4" s="27"/>
      <c r="TCA4" s="27"/>
      <c r="TCB4" s="27"/>
      <c r="TCC4" s="27"/>
      <c r="TCD4" s="27"/>
      <c r="TCE4" s="27"/>
      <c r="TCF4" s="27"/>
      <c r="TCG4" s="27"/>
      <c r="TCH4" s="27"/>
      <c r="TCI4" s="27"/>
      <c r="TCJ4" s="27"/>
      <c r="TCK4" s="27"/>
      <c r="TCL4" s="27"/>
      <c r="TCM4" s="27"/>
      <c r="TCN4" s="27"/>
      <c r="TCO4" s="27"/>
      <c r="TCP4" s="27"/>
      <c r="TCQ4" s="27"/>
      <c r="TCR4" s="27"/>
      <c r="TCS4" s="27"/>
      <c r="TCT4" s="27"/>
      <c r="TCU4" s="27"/>
      <c r="TCV4" s="27"/>
      <c r="TCW4" s="27"/>
      <c r="TCX4" s="27"/>
      <c r="TCY4" s="27"/>
      <c r="TCZ4" s="27"/>
      <c r="TDA4" s="27"/>
      <c r="TDB4" s="27"/>
      <c r="TDC4" s="27"/>
      <c r="TDD4" s="27"/>
      <c r="TDE4" s="27"/>
      <c r="TDF4" s="27"/>
      <c r="TDG4" s="27"/>
      <c r="TDH4" s="27"/>
      <c r="TDI4" s="27"/>
      <c r="TDJ4" s="27"/>
      <c r="TDK4" s="27"/>
      <c r="TDL4" s="27"/>
      <c r="TDM4" s="27"/>
      <c r="TDN4" s="27"/>
      <c r="TDO4" s="27"/>
      <c r="TDP4" s="27"/>
      <c r="TDQ4" s="27"/>
      <c r="TDR4" s="27"/>
      <c r="TDS4" s="27"/>
      <c r="TDT4" s="27"/>
      <c r="TDU4" s="27"/>
      <c r="TDV4" s="27"/>
      <c r="TDW4" s="27"/>
      <c r="TDX4" s="27"/>
      <c r="TDY4" s="27"/>
      <c r="TDZ4" s="27"/>
      <c r="TEA4" s="27"/>
      <c r="TEB4" s="27"/>
      <c r="TEC4" s="27"/>
      <c r="TED4" s="27"/>
      <c r="TEE4" s="27"/>
      <c r="TEF4" s="27"/>
      <c r="TEG4" s="27"/>
      <c r="TEH4" s="27"/>
      <c r="TEI4" s="27"/>
      <c r="TEJ4" s="27"/>
      <c r="TEK4" s="27"/>
      <c r="TEL4" s="27"/>
      <c r="TEM4" s="27"/>
      <c r="TEN4" s="27"/>
      <c r="TEO4" s="27"/>
      <c r="TEP4" s="27"/>
      <c r="TEQ4" s="27"/>
      <c r="TER4" s="27"/>
      <c r="TES4" s="27"/>
      <c r="TET4" s="27"/>
      <c r="TEU4" s="27"/>
      <c r="TEV4" s="27"/>
      <c r="TEW4" s="27"/>
      <c r="TEX4" s="27"/>
      <c r="TEY4" s="27"/>
      <c r="TEZ4" s="27"/>
      <c r="TFA4" s="27"/>
      <c r="TFB4" s="27"/>
      <c r="TFC4" s="27"/>
      <c r="TFD4" s="27"/>
      <c r="TFE4" s="27"/>
      <c r="TFF4" s="27"/>
      <c r="TFG4" s="27"/>
      <c r="TFH4" s="27"/>
      <c r="TFI4" s="27"/>
      <c r="TFJ4" s="27"/>
      <c r="TFK4" s="27"/>
      <c r="TFL4" s="27"/>
      <c r="TFM4" s="27"/>
      <c r="TFN4" s="27"/>
      <c r="TFO4" s="27"/>
      <c r="TFP4" s="27"/>
      <c r="TFQ4" s="27"/>
      <c r="TFR4" s="27"/>
      <c r="TFS4" s="27"/>
      <c r="TFT4" s="27"/>
      <c r="TFU4" s="27"/>
      <c r="TFV4" s="27"/>
      <c r="TFW4" s="27"/>
      <c r="TFX4" s="27"/>
      <c r="TFY4" s="27"/>
      <c r="TFZ4" s="27"/>
      <c r="TGA4" s="27"/>
      <c r="TGB4" s="27"/>
      <c r="TGC4" s="27"/>
      <c r="TGD4" s="27"/>
      <c r="TGE4" s="27"/>
      <c r="TGF4" s="27"/>
      <c r="TGG4" s="27"/>
      <c r="TGH4" s="27"/>
      <c r="TGI4" s="27"/>
      <c r="TGJ4" s="27"/>
      <c r="TGK4" s="27"/>
      <c r="TGL4" s="27"/>
      <c r="TGM4" s="27"/>
      <c r="TGN4" s="27"/>
      <c r="TGO4" s="27"/>
      <c r="TGP4" s="27"/>
      <c r="TGQ4" s="27"/>
      <c r="TGR4" s="27"/>
      <c r="TGS4" s="27"/>
      <c r="TGT4" s="27"/>
      <c r="TGU4" s="27"/>
      <c r="TGV4" s="27"/>
      <c r="TGW4" s="27"/>
      <c r="TGX4" s="27"/>
      <c r="TGY4" s="27"/>
      <c r="TGZ4" s="27"/>
      <c r="THA4" s="27"/>
      <c r="THB4" s="27"/>
      <c r="THC4" s="27"/>
      <c r="THD4" s="27"/>
      <c r="THE4" s="27"/>
      <c r="THF4" s="27"/>
      <c r="THG4" s="27"/>
      <c r="THH4" s="27"/>
      <c r="THI4" s="27"/>
      <c r="THJ4" s="27"/>
      <c r="THK4" s="27"/>
      <c r="THL4" s="27"/>
      <c r="THM4" s="27"/>
      <c r="THN4" s="27"/>
      <c r="THO4" s="27"/>
      <c r="THP4" s="27"/>
      <c r="THQ4" s="27"/>
      <c r="THR4" s="27"/>
      <c r="THS4" s="27"/>
      <c r="THT4" s="27"/>
      <c r="THU4" s="27"/>
      <c r="THV4" s="27"/>
      <c r="THW4" s="27"/>
      <c r="THX4" s="27"/>
      <c r="THY4" s="27"/>
      <c r="THZ4" s="27"/>
      <c r="TIA4" s="27"/>
      <c r="TIB4" s="27"/>
      <c r="TIC4" s="27"/>
      <c r="TID4" s="27"/>
      <c r="TIE4" s="27"/>
      <c r="TIF4" s="27"/>
      <c r="TIG4" s="27"/>
      <c r="TIH4" s="27"/>
      <c r="TII4" s="27"/>
      <c r="TIJ4" s="27"/>
      <c r="TIK4" s="27"/>
      <c r="TIL4" s="27"/>
      <c r="TIM4" s="27"/>
      <c r="TIN4" s="27"/>
      <c r="TIO4" s="27"/>
      <c r="TIP4" s="27"/>
      <c r="TIQ4" s="27"/>
      <c r="TIR4" s="27"/>
      <c r="TIS4" s="27"/>
      <c r="TIT4" s="27"/>
      <c r="TIU4" s="27"/>
      <c r="TIV4" s="27"/>
      <c r="TIW4" s="27"/>
      <c r="TIX4" s="27"/>
      <c r="TIY4" s="27"/>
      <c r="TIZ4" s="27"/>
      <c r="TJA4" s="27"/>
      <c r="TJB4" s="27"/>
      <c r="TJC4" s="27"/>
      <c r="TJD4" s="27"/>
      <c r="TJE4" s="27"/>
      <c r="TJF4" s="27"/>
      <c r="TJG4" s="27"/>
      <c r="TJH4" s="27"/>
      <c r="TJI4" s="27"/>
      <c r="TJJ4" s="27"/>
      <c r="TJK4" s="27"/>
      <c r="TJL4" s="27"/>
      <c r="TJM4" s="27"/>
      <c r="TJN4" s="27"/>
      <c r="TJO4" s="27"/>
      <c r="TJP4" s="27"/>
      <c r="TJQ4" s="27"/>
      <c r="TJR4" s="27"/>
      <c r="TJS4" s="27"/>
      <c r="TJT4" s="27"/>
      <c r="TJU4" s="27"/>
      <c r="TJV4" s="27"/>
      <c r="TJW4" s="27"/>
      <c r="TJX4" s="27"/>
      <c r="TJY4" s="27"/>
      <c r="TJZ4" s="27"/>
      <c r="TKA4" s="27"/>
      <c r="TKB4" s="27"/>
      <c r="TKC4" s="27"/>
      <c r="TKD4" s="27"/>
      <c r="TKE4" s="27"/>
      <c r="TKF4" s="27"/>
      <c r="TKG4" s="27"/>
      <c r="TKH4" s="27"/>
      <c r="TKI4" s="27"/>
      <c r="TKJ4" s="27"/>
      <c r="TKK4" s="27"/>
      <c r="TKL4" s="27"/>
      <c r="TKM4" s="27"/>
      <c r="TKN4" s="27"/>
      <c r="TKO4" s="27"/>
      <c r="TKP4" s="27"/>
      <c r="TKQ4" s="27"/>
      <c r="TKR4" s="27"/>
      <c r="TKS4" s="27"/>
      <c r="TKT4" s="27"/>
      <c r="TKU4" s="27"/>
      <c r="TKV4" s="27"/>
      <c r="TKW4" s="27"/>
      <c r="TKX4" s="27"/>
      <c r="TKY4" s="27"/>
      <c r="TKZ4" s="27"/>
      <c r="TLA4" s="27"/>
      <c r="TLB4" s="27"/>
      <c r="TLC4" s="27"/>
      <c r="TLD4" s="27"/>
      <c r="TLE4" s="27"/>
      <c r="TLF4" s="27"/>
      <c r="TLG4" s="27"/>
      <c r="TLH4" s="27"/>
      <c r="TLI4" s="27"/>
      <c r="TLJ4" s="27"/>
      <c r="TLK4" s="27"/>
      <c r="TLL4" s="27"/>
      <c r="TLM4" s="27"/>
      <c r="TLN4" s="27"/>
      <c r="TLO4" s="27"/>
      <c r="TLP4" s="27"/>
      <c r="TLQ4" s="27"/>
      <c r="TLR4" s="27"/>
      <c r="TLS4" s="27"/>
      <c r="TLT4" s="27"/>
      <c r="TLU4" s="27"/>
      <c r="TLV4" s="27"/>
      <c r="TLW4" s="27"/>
      <c r="TLX4" s="27"/>
      <c r="TLY4" s="27"/>
      <c r="TLZ4" s="27"/>
      <c r="TMA4" s="27"/>
      <c r="TMB4" s="27"/>
      <c r="TMC4" s="27"/>
      <c r="TMD4" s="27"/>
      <c r="TME4" s="27"/>
      <c r="TMF4" s="27"/>
      <c r="TMG4" s="27"/>
      <c r="TMH4" s="27"/>
      <c r="TMI4" s="27"/>
      <c r="TMJ4" s="27"/>
      <c r="TMK4" s="27"/>
      <c r="TML4" s="27"/>
      <c r="TMM4" s="27"/>
      <c r="TMN4" s="27"/>
      <c r="TMO4" s="27"/>
      <c r="TMP4" s="27"/>
      <c r="TMQ4" s="27"/>
      <c r="TMR4" s="27"/>
      <c r="TMS4" s="27"/>
      <c r="TMT4" s="27"/>
      <c r="TMU4" s="27"/>
      <c r="TMV4" s="27"/>
      <c r="TMW4" s="27"/>
      <c r="TMX4" s="27"/>
      <c r="TMY4" s="27"/>
      <c r="TMZ4" s="27"/>
      <c r="TNA4" s="27"/>
      <c r="TNB4" s="27"/>
      <c r="TNC4" s="27"/>
      <c r="TND4" s="27"/>
      <c r="TNE4" s="27"/>
      <c r="TNF4" s="27"/>
      <c r="TNG4" s="27"/>
      <c r="TNH4" s="27"/>
      <c r="TNI4" s="27"/>
      <c r="TNJ4" s="27"/>
      <c r="TNK4" s="27"/>
      <c r="TNL4" s="27"/>
      <c r="TNM4" s="27"/>
      <c r="TNN4" s="27"/>
      <c r="TNO4" s="27"/>
      <c r="TNP4" s="27"/>
      <c r="TNQ4" s="27"/>
      <c r="TNR4" s="27"/>
      <c r="TNS4" s="27"/>
      <c r="TNT4" s="27"/>
      <c r="TNU4" s="27"/>
      <c r="TNV4" s="27"/>
      <c r="TNW4" s="27"/>
      <c r="TNX4" s="27"/>
      <c r="TNY4" s="27"/>
      <c r="TNZ4" s="27"/>
      <c r="TOA4" s="27"/>
      <c r="TOB4" s="27"/>
      <c r="TOC4" s="27"/>
      <c r="TOD4" s="27"/>
      <c r="TOE4" s="27"/>
      <c r="TOF4" s="27"/>
      <c r="TOG4" s="27"/>
      <c r="TOH4" s="27"/>
      <c r="TOI4" s="27"/>
      <c r="TOJ4" s="27"/>
      <c r="TOK4" s="27"/>
      <c r="TOL4" s="27"/>
      <c r="TOM4" s="27"/>
      <c r="TON4" s="27"/>
      <c r="TOO4" s="27"/>
      <c r="TOP4" s="27"/>
      <c r="TOQ4" s="27"/>
      <c r="TOR4" s="27"/>
      <c r="TOS4" s="27"/>
      <c r="TOT4" s="27"/>
      <c r="TOU4" s="27"/>
      <c r="TOV4" s="27"/>
      <c r="TOW4" s="27"/>
      <c r="TOX4" s="27"/>
      <c r="TOY4" s="27"/>
      <c r="TOZ4" s="27"/>
      <c r="TPA4" s="27"/>
      <c r="TPB4" s="27"/>
      <c r="TPC4" s="27"/>
      <c r="TPD4" s="27"/>
      <c r="TPE4" s="27"/>
      <c r="TPF4" s="27"/>
      <c r="TPG4" s="27"/>
      <c r="TPH4" s="27"/>
      <c r="TPI4" s="27"/>
      <c r="TPJ4" s="27"/>
      <c r="TPK4" s="27"/>
      <c r="TPL4" s="27"/>
      <c r="TPM4" s="27"/>
      <c r="TPN4" s="27"/>
      <c r="TPO4" s="27"/>
      <c r="TPP4" s="27"/>
      <c r="TPQ4" s="27"/>
      <c r="TPR4" s="27"/>
      <c r="TPS4" s="27"/>
      <c r="TPT4" s="27"/>
      <c r="TPU4" s="27"/>
      <c r="TPV4" s="27"/>
      <c r="TPW4" s="27"/>
      <c r="TPX4" s="27"/>
      <c r="TPY4" s="27"/>
      <c r="TPZ4" s="27"/>
      <c r="TQA4" s="27"/>
      <c r="TQB4" s="27"/>
      <c r="TQC4" s="27"/>
      <c r="TQD4" s="27"/>
      <c r="TQE4" s="27"/>
      <c r="TQF4" s="27"/>
      <c r="TQG4" s="27"/>
      <c r="TQH4" s="27"/>
      <c r="TQI4" s="27"/>
      <c r="TQJ4" s="27"/>
      <c r="TQK4" s="27"/>
      <c r="TQL4" s="27"/>
      <c r="TQM4" s="27"/>
      <c r="TQN4" s="27"/>
      <c r="TQO4" s="27"/>
      <c r="TQP4" s="27"/>
      <c r="TQQ4" s="27"/>
      <c r="TQR4" s="27"/>
      <c r="TQS4" s="27"/>
      <c r="TQT4" s="27"/>
      <c r="TQU4" s="27"/>
      <c r="TQV4" s="27"/>
      <c r="TQW4" s="27"/>
      <c r="TQX4" s="27"/>
      <c r="TQY4" s="27"/>
      <c r="TQZ4" s="27"/>
      <c r="TRA4" s="27"/>
      <c r="TRB4" s="27"/>
      <c r="TRC4" s="27"/>
      <c r="TRD4" s="27"/>
      <c r="TRE4" s="27"/>
      <c r="TRF4" s="27"/>
      <c r="TRG4" s="27"/>
      <c r="TRH4" s="27"/>
      <c r="TRI4" s="27"/>
      <c r="TRJ4" s="27"/>
      <c r="TRK4" s="27"/>
      <c r="TRL4" s="27"/>
      <c r="TRM4" s="27"/>
      <c r="TRN4" s="27"/>
      <c r="TRO4" s="27"/>
      <c r="TRP4" s="27"/>
      <c r="TRQ4" s="27"/>
      <c r="TRR4" s="27"/>
      <c r="TRS4" s="27"/>
      <c r="TRT4" s="27"/>
      <c r="TRU4" s="27"/>
      <c r="TRV4" s="27"/>
      <c r="TRW4" s="27"/>
      <c r="TRX4" s="27"/>
      <c r="TRY4" s="27"/>
      <c r="TRZ4" s="27"/>
      <c r="TSA4" s="27"/>
      <c r="TSB4" s="27"/>
      <c r="TSC4" s="27"/>
      <c r="TSD4" s="27"/>
      <c r="TSE4" s="27"/>
      <c r="TSF4" s="27"/>
      <c r="TSG4" s="27"/>
      <c r="TSH4" s="27"/>
      <c r="TSI4" s="27"/>
      <c r="TSJ4" s="27"/>
      <c r="TSK4" s="27"/>
      <c r="TSL4" s="27"/>
      <c r="TSM4" s="27"/>
      <c r="TSN4" s="27"/>
      <c r="TSO4" s="27"/>
      <c r="TSP4" s="27"/>
      <c r="TSQ4" s="27"/>
      <c r="TSR4" s="27"/>
      <c r="TSS4" s="27"/>
      <c r="TST4" s="27"/>
      <c r="TSU4" s="27"/>
      <c r="TSV4" s="27"/>
      <c r="TSW4" s="27"/>
      <c r="TSX4" s="27"/>
      <c r="TSY4" s="27"/>
      <c r="TSZ4" s="27"/>
      <c r="TTA4" s="27"/>
      <c r="TTB4" s="27"/>
      <c r="TTC4" s="27"/>
      <c r="TTD4" s="27"/>
      <c r="TTE4" s="27"/>
      <c r="TTF4" s="27"/>
      <c r="TTG4" s="27"/>
      <c r="TTH4" s="27"/>
      <c r="TTI4" s="27"/>
      <c r="TTJ4" s="27"/>
      <c r="TTK4" s="27"/>
      <c r="TTL4" s="27"/>
      <c r="TTM4" s="27"/>
      <c r="TTN4" s="27"/>
      <c r="TTO4" s="27"/>
      <c r="TTP4" s="27"/>
      <c r="TTQ4" s="27"/>
      <c r="TTR4" s="27"/>
      <c r="TTS4" s="27"/>
      <c r="TTT4" s="27"/>
      <c r="TTU4" s="27"/>
      <c r="TTV4" s="27"/>
      <c r="TTW4" s="27"/>
      <c r="TTX4" s="27"/>
      <c r="TTY4" s="27"/>
      <c r="TTZ4" s="27"/>
      <c r="TUA4" s="27"/>
      <c r="TUB4" s="27"/>
      <c r="TUC4" s="27"/>
      <c r="TUD4" s="27"/>
      <c r="TUE4" s="27"/>
      <c r="TUF4" s="27"/>
      <c r="TUG4" s="27"/>
      <c r="TUH4" s="27"/>
      <c r="TUI4" s="27"/>
      <c r="TUJ4" s="27"/>
      <c r="TUK4" s="27"/>
      <c r="TUL4" s="27"/>
      <c r="TUM4" s="27"/>
      <c r="TUN4" s="27"/>
      <c r="TUO4" s="27"/>
      <c r="TUP4" s="27"/>
      <c r="TUQ4" s="27"/>
      <c r="TUR4" s="27"/>
      <c r="TUS4" s="27"/>
      <c r="TUT4" s="27"/>
      <c r="TUU4" s="27"/>
      <c r="TUV4" s="27"/>
      <c r="TUW4" s="27"/>
      <c r="TUX4" s="27"/>
      <c r="TUY4" s="27"/>
      <c r="TUZ4" s="27"/>
      <c r="TVA4" s="27"/>
      <c r="TVB4" s="27"/>
      <c r="TVC4" s="27"/>
      <c r="TVD4" s="27"/>
      <c r="TVE4" s="27"/>
      <c r="TVF4" s="27"/>
      <c r="TVG4" s="27"/>
      <c r="TVH4" s="27"/>
      <c r="TVI4" s="27"/>
      <c r="TVJ4" s="27"/>
      <c r="TVK4" s="27"/>
      <c r="TVL4" s="27"/>
      <c r="TVM4" s="27"/>
      <c r="TVN4" s="27"/>
      <c r="TVO4" s="27"/>
      <c r="TVP4" s="27"/>
      <c r="TVQ4" s="27"/>
      <c r="TVR4" s="27"/>
      <c r="TVS4" s="27"/>
      <c r="TVT4" s="27"/>
      <c r="TVU4" s="27"/>
      <c r="TVV4" s="27"/>
      <c r="TVW4" s="27"/>
      <c r="TVX4" s="27"/>
      <c r="TVY4" s="27"/>
      <c r="TVZ4" s="27"/>
      <c r="TWA4" s="27"/>
      <c r="TWB4" s="27"/>
      <c r="TWC4" s="27"/>
      <c r="TWD4" s="27"/>
      <c r="TWE4" s="27"/>
      <c r="TWF4" s="27"/>
      <c r="TWG4" s="27"/>
      <c r="TWH4" s="27"/>
      <c r="TWI4" s="27"/>
      <c r="TWJ4" s="27"/>
      <c r="TWK4" s="27"/>
      <c r="TWL4" s="27"/>
      <c r="TWM4" s="27"/>
      <c r="TWN4" s="27"/>
      <c r="TWO4" s="27"/>
      <c r="TWP4" s="27"/>
      <c r="TWQ4" s="27"/>
      <c r="TWR4" s="27"/>
      <c r="TWS4" s="27"/>
      <c r="TWT4" s="27"/>
      <c r="TWU4" s="27"/>
      <c r="TWV4" s="27"/>
      <c r="TWW4" s="27"/>
      <c r="TWX4" s="27"/>
      <c r="TWY4" s="27"/>
      <c r="TWZ4" s="27"/>
      <c r="TXA4" s="27"/>
      <c r="TXB4" s="27"/>
      <c r="TXC4" s="27"/>
      <c r="TXD4" s="27"/>
      <c r="TXE4" s="27"/>
      <c r="TXF4" s="27"/>
      <c r="TXG4" s="27"/>
      <c r="TXH4" s="27"/>
      <c r="TXI4" s="27"/>
      <c r="TXJ4" s="27"/>
      <c r="TXK4" s="27"/>
      <c r="TXL4" s="27"/>
      <c r="TXM4" s="27"/>
      <c r="TXN4" s="27"/>
      <c r="TXO4" s="27"/>
      <c r="TXP4" s="27"/>
      <c r="TXQ4" s="27"/>
      <c r="TXR4" s="27"/>
      <c r="TXS4" s="27"/>
      <c r="TXT4" s="27"/>
      <c r="TXU4" s="27"/>
      <c r="TXV4" s="27"/>
      <c r="TXW4" s="27"/>
      <c r="TXX4" s="27"/>
      <c r="TXY4" s="27"/>
      <c r="TXZ4" s="27"/>
      <c r="TYA4" s="27"/>
      <c r="TYB4" s="27"/>
      <c r="TYC4" s="27"/>
      <c r="TYD4" s="27"/>
      <c r="TYE4" s="27"/>
      <c r="TYF4" s="27"/>
      <c r="TYG4" s="27"/>
      <c r="TYH4" s="27"/>
      <c r="TYI4" s="27"/>
      <c r="TYJ4" s="27"/>
      <c r="TYK4" s="27"/>
      <c r="TYL4" s="27"/>
      <c r="TYM4" s="27"/>
      <c r="TYN4" s="27"/>
      <c r="TYO4" s="27"/>
      <c r="TYP4" s="27"/>
      <c r="TYQ4" s="27"/>
      <c r="TYR4" s="27"/>
      <c r="TYS4" s="27"/>
      <c r="TYT4" s="27"/>
      <c r="TYU4" s="27"/>
      <c r="TYV4" s="27"/>
      <c r="TYW4" s="27"/>
      <c r="TYX4" s="27"/>
      <c r="TYY4" s="27"/>
      <c r="TYZ4" s="27"/>
      <c r="TZA4" s="27"/>
      <c r="TZB4" s="27"/>
      <c r="TZC4" s="27"/>
      <c r="TZD4" s="27"/>
      <c r="TZE4" s="27"/>
      <c r="TZF4" s="27"/>
      <c r="TZG4" s="27"/>
      <c r="TZH4" s="27"/>
      <c r="TZI4" s="27"/>
      <c r="TZJ4" s="27"/>
      <c r="TZK4" s="27"/>
      <c r="TZL4" s="27"/>
      <c r="TZM4" s="27"/>
      <c r="TZN4" s="27"/>
      <c r="TZO4" s="27"/>
      <c r="TZP4" s="27"/>
      <c r="TZQ4" s="27"/>
      <c r="TZR4" s="27"/>
      <c r="TZS4" s="27"/>
      <c r="TZT4" s="27"/>
      <c r="TZU4" s="27"/>
      <c r="TZV4" s="27"/>
      <c r="TZW4" s="27"/>
      <c r="TZX4" s="27"/>
      <c r="TZY4" s="27"/>
      <c r="TZZ4" s="27"/>
      <c r="UAA4" s="27"/>
      <c r="UAB4" s="27"/>
      <c r="UAC4" s="27"/>
      <c r="UAD4" s="27"/>
      <c r="UAE4" s="27"/>
      <c r="UAF4" s="27"/>
      <c r="UAG4" s="27"/>
      <c r="UAH4" s="27"/>
      <c r="UAI4" s="27"/>
      <c r="UAJ4" s="27"/>
      <c r="UAK4" s="27"/>
      <c r="UAL4" s="27"/>
      <c r="UAM4" s="27"/>
      <c r="UAN4" s="27"/>
      <c r="UAO4" s="27"/>
      <c r="UAP4" s="27"/>
      <c r="UAQ4" s="27"/>
      <c r="UAR4" s="27"/>
      <c r="UAS4" s="27"/>
      <c r="UAT4" s="27"/>
      <c r="UAU4" s="27"/>
      <c r="UAV4" s="27"/>
      <c r="UAW4" s="27"/>
      <c r="UAX4" s="27"/>
      <c r="UAY4" s="27"/>
      <c r="UAZ4" s="27"/>
      <c r="UBA4" s="27"/>
      <c r="UBB4" s="27"/>
      <c r="UBC4" s="27"/>
      <c r="UBD4" s="27"/>
      <c r="UBE4" s="27"/>
      <c r="UBF4" s="27"/>
      <c r="UBG4" s="27"/>
      <c r="UBH4" s="27"/>
      <c r="UBI4" s="27"/>
      <c r="UBJ4" s="27"/>
      <c r="UBK4" s="27"/>
      <c r="UBL4" s="27"/>
      <c r="UBM4" s="27"/>
      <c r="UBN4" s="27"/>
      <c r="UBO4" s="27"/>
      <c r="UBP4" s="27"/>
      <c r="UBQ4" s="27"/>
      <c r="UBR4" s="27"/>
      <c r="UBS4" s="27"/>
      <c r="UBT4" s="27"/>
      <c r="UBU4" s="27"/>
      <c r="UBV4" s="27"/>
      <c r="UBW4" s="27"/>
      <c r="UBX4" s="27"/>
      <c r="UBY4" s="27"/>
      <c r="UBZ4" s="27"/>
      <c r="UCA4" s="27"/>
      <c r="UCB4" s="27"/>
      <c r="UCC4" s="27"/>
      <c r="UCD4" s="27"/>
      <c r="UCE4" s="27"/>
      <c r="UCF4" s="27"/>
      <c r="UCG4" s="27"/>
      <c r="UCH4" s="27"/>
      <c r="UCI4" s="27"/>
      <c r="UCJ4" s="27"/>
      <c r="UCK4" s="27"/>
      <c r="UCL4" s="27"/>
      <c r="UCM4" s="27"/>
      <c r="UCN4" s="27"/>
      <c r="UCO4" s="27"/>
      <c r="UCP4" s="27"/>
      <c r="UCQ4" s="27"/>
      <c r="UCR4" s="27"/>
      <c r="UCS4" s="27"/>
      <c r="UCT4" s="27"/>
      <c r="UCU4" s="27"/>
      <c r="UCV4" s="27"/>
      <c r="UCW4" s="27"/>
      <c r="UCX4" s="27"/>
      <c r="UCY4" s="27"/>
      <c r="UCZ4" s="27"/>
      <c r="UDA4" s="27"/>
      <c r="UDB4" s="27"/>
      <c r="UDC4" s="27"/>
      <c r="UDD4" s="27"/>
      <c r="UDE4" s="27"/>
      <c r="UDF4" s="27"/>
      <c r="UDG4" s="27"/>
      <c r="UDH4" s="27"/>
      <c r="UDI4" s="27"/>
      <c r="UDJ4" s="27"/>
      <c r="UDK4" s="27"/>
      <c r="UDL4" s="27"/>
      <c r="UDM4" s="27"/>
      <c r="UDN4" s="27"/>
      <c r="UDO4" s="27"/>
      <c r="UDP4" s="27"/>
      <c r="UDQ4" s="27"/>
      <c r="UDR4" s="27"/>
      <c r="UDS4" s="27"/>
      <c r="UDT4" s="27"/>
      <c r="UDU4" s="27"/>
      <c r="UDV4" s="27"/>
      <c r="UDW4" s="27"/>
      <c r="UDX4" s="27"/>
      <c r="UDY4" s="27"/>
      <c r="UDZ4" s="27"/>
      <c r="UEA4" s="27"/>
      <c r="UEB4" s="27"/>
      <c r="UEC4" s="27"/>
      <c r="UED4" s="27"/>
      <c r="UEE4" s="27"/>
      <c r="UEF4" s="27"/>
      <c r="UEG4" s="27"/>
      <c r="UEH4" s="27"/>
      <c r="UEI4" s="27"/>
      <c r="UEJ4" s="27"/>
      <c r="UEK4" s="27"/>
      <c r="UEL4" s="27"/>
      <c r="UEM4" s="27"/>
      <c r="UEN4" s="27"/>
      <c r="UEO4" s="27"/>
      <c r="UEP4" s="27"/>
      <c r="UEQ4" s="27"/>
      <c r="UER4" s="27"/>
      <c r="UES4" s="27"/>
      <c r="UET4" s="27"/>
      <c r="UEU4" s="27"/>
      <c r="UEV4" s="27"/>
      <c r="UEW4" s="27"/>
      <c r="UEX4" s="27"/>
      <c r="UEY4" s="27"/>
      <c r="UEZ4" s="27"/>
      <c r="UFA4" s="27"/>
      <c r="UFB4" s="27"/>
      <c r="UFC4" s="27"/>
      <c r="UFD4" s="27"/>
      <c r="UFE4" s="27"/>
      <c r="UFF4" s="27"/>
      <c r="UFG4" s="27"/>
      <c r="UFH4" s="27"/>
      <c r="UFI4" s="27"/>
      <c r="UFJ4" s="27"/>
      <c r="UFK4" s="27"/>
      <c r="UFL4" s="27"/>
      <c r="UFM4" s="27"/>
      <c r="UFN4" s="27"/>
      <c r="UFO4" s="27"/>
      <c r="UFP4" s="27"/>
      <c r="UFQ4" s="27"/>
      <c r="UFR4" s="27"/>
      <c r="UFS4" s="27"/>
      <c r="UFT4" s="27"/>
      <c r="UFU4" s="27"/>
      <c r="UFV4" s="27"/>
      <c r="UFW4" s="27"/>
      <c r="UFX4" s="27"/>
      <c r="UFY4" s="27"/>
      <c r="UFZ4" s="27"/>
      <c r="UGA4" s="27"/>
      <c r="UGB4" s="27"/>
      <c r="UGC4" s="27"/>
      <c r="UGD4" s="27"/>
      <c r="UGE4" s="27"/>
      <c r="UGF4" s="27"/>
      <c r="UGG4" s="27"/>
      <c r="UGH4" s="27"/>
      <c r="UGI4" s="27"/>
      <c r="UGJ4" s="27"/>
      <c r="UGK4" s="27"/>
      <c r="UGL4" s="27"/>
      <c r="UGM4" s="27"/>
      <c r="UGN4" s="27"/>
      <c r="UGO4" s="27"/>
      <c r="UGP4" s="27"/>
      <c r="UGQ4" s="27"/>
      <c r="UGR4" s="27"/>
      <c r="UGS4" s="27"/>
      <c r="UGT4" s="27"/>
      <c r="UGU4" s="27"/>
      <c r="UGV4" s="27"/>
      <c r="UGW4" s="27"/>
      <c r="UGX4" s="27"/>
      <c r="UGY4" s="27"/>
      <c r="UGZ4" s="27"/>
      <c r="UHA4" s="27"/>
      <c r="UHB4" s="27"/>
      <c r="UHC4" s="27"/>
      <c r="UHD4" s="27"/>
      <c r="UHE4" s="27"/>
      <c r="UHF4" s="27"/>
      <c r="UHG4" s="27"/>
      <c r="UHH4" s="27"/>
      <c r="UHI4" s="27"/>
      <c r="UHJ4" s="27"/>
      <c r="UHK4" s="27"/>
      <c r="UHL4" s="27"/>
      <c r="UHM4" s="27"/>
      <c r="UHN4" s="27"/>
      <c r="UHO4" s="27"/>
      <c r="UHP4" s="27"/>
      <c r="UHQ4" s="27"/>
      <c r="UHR4" s="27"/>
      <c r="UHS4" s="27"/>
      <c r="UHT4" s="27"/>
      <c r="UHU4" s="27"/>
      <c r="UHV4" s="27"/>
      <c r="UHW4" s="27"/>
      <c r="UHX4" s="27"/>
      <c r="UHY4" s="27"/>
      <c r="UHZ4" s="27"/>
      <c r="UIA4" s="27"/>
      <c r="UIB4" s="27"/>
      <c r="UIC4" s="27"/>
      <c r="UID4" s="27"/>
      <c r="UIE4" s="27"/>
      <c r="UIF4" s="27"/>
      <c r="UIG4" s="27"/>
      <c r="UIH4" s="27"/>
      <c r="UII4" s="27"/>
      <c r="UIJ4" s="27"/>
      <c r="UIK4" s="27"/>
      <c r="UIL4" s="27"/>
      <c r="UIM4" s="27"/>
      <c r="UIN4" s="27"/>
      <c r="UIO4" s="27"/>
      <c r="UIP4" s="27"/>
      <c r="UIQ4" s="27"/>
      <c r="UIR4" s="27"/>
      <c r="UIS4" s="27"/>
      <c r="UIT4" s="27"/>
      <c r="UIU4" s="27"/>
      <c r="UIV4" s="27"/>
      <c r="UIW4" s="27"/>
      <c r="UIX4" s="27"/>
      <c r="UIY4" s="27"/>
      <c r="UIZ4" s="27"/>
      <c r="UJA4" s="27"/>
      <c r="UJB4" s="27"/>
      <c r="UJC4" s="27"/>
      <c r="UJD4" s="27"/>
      <c r="UJE4" s="27"/>
      <c r="UJF4" s="27"/>
      <c r="UJG4" s="27"/>
      <c r="UJH4" s="27"/>
      <c r="UJI4" s="27"/>
      <c r="UJJ4" s="27"/>
      <c r="UJK4" s="27"/>
      <c r="UJL4" s="27"/>
      <c r="UJM4" s="27"/>
      <c r="UJN4" s="27"/>
      <c r="UJO4" s="27"/>
      <c r="UJP4" s="27"/>
      <c r="UJQ4" s="27"/>
      <c r="UJR4" s="27"/>
      <c r="UJS4" s="27"/>
      <c r="UJT4" s="27"/>
      <c r="UJU4" s="27"/>
      <c r="UJV4" s="27"/>
      <c r="UJW4" s="27"/>
      <c r="UJX4" s="27"/>
      <c r="UJY4" s="27"/>
      <c r="UJZ4" s="27"/>
      <c r="UKA4" s="27"/>
      <c r="UKB4" s="27"/>
      <c r="UKC4" s="27"/>
      <c r="UKD4" s="27"/>
      <c r="UKE4" s="27"/>
      <c r="UKF4" s="27"/>
      <c r="UKG4" s="27"/>
      <c r="UKH4" s="27"/>
      <c r="UKI4" s="27"/>
      <c r="UKJ4" s="27"/>
      <c r="UKK4" s="27"/>
      <c r="UKL4" s="27"/>
      <c r="UKM4" s="27"/>
      <c r="UKN4" s="27"/>
      <c r="UKO4" s="27"/>
      <c r="UKP4" s="27"/>
      <c r="UKQ4" s="27"/>
      <c r="UKR4" s="27"/>
      <c r="UKS4" s="27"/>
      <c r="UKT4" s="27"/>
      <c r="UKU4" s="27"/>
      <c r="UKV4" s="27"/>
      <c r="UKW4" s="27"/>
      <c r="UKX4" s="27"/>
      <c r="UKY4" s="27"/>
      <c r="UKZ4" s="27"/>
      <c r="ULA4" s="27"/>
      <c r="ULB4" s="27"/>
      <c r="ULC4" s="27"/>
      <c r="ULD4" s="27"/>
      <c r="ULE4" s="27"/>
      <c r="ULF4" s="27"/>
      <c r="ULG4" s="27"/>
      <c r="ULH4" s="27"/>
      <c r="ULI4" s="27"/>
      <c r="ULJ4" s="27"/>
      <c r="ULK4" s="27"/>
      <c r="ULL4" s="27"/>
      <c r="ULM4" s="27"/>
      <c r="ULN4" s="27"/>
      <c r="ULO4" s="27"/>
      <c r="ULP4" s="27"/>
      <c r="ULQ4" s="27"/>
      <c r="ULR4" s="27"/>
      <c r="ULS4" s="27"/>
      <c r="ULT4" s="27"/>
      <c r="ULU4" s="27"/>
      <c r="ULV4" s="27"/>
      <c r="ULW4" s="27"/>
      <c r="ULX4" s="27"/>
      <c r="ULY4" s="27"/>
      <c r="ULZ4" s="27"/>
      <c r="UMA4" s="27"/>
      <c r="UMB4" s="27"/>
      <c r="UMC4" s="27"/>
      <c r="UMD4" s="27"/>
      <c r="UME4" s="27"/>
      <c r="UMF4" s="27"/>
      <c r="UMG4" s="27"/>
      <c r="UMH4" s="27"/>
      <c r="UMI4" s="27"/>
      <c r="UMJ4" s="27"/>
      <c r="UMK4" s="27"/>
      <c r="UML4" s="27"/>
      <c r="UMM4" s="27"/>
      <c r="UMN4" s="27"/>
      <c r="UMO4" s="27"/>
      <c r="UMP4" s="27"/>
      <c r="UMQ4" s="27"/>
      <c r="UMR4" s="27"/>
      <c r="UMS4" s="27"/>
      <c r="UMT4" s="27"/>
      <c r="UMU4" s="27"/>
      <c r="UMV4" s="27"/>
      <c r="UMW4" s="27"/>
      <c r="UMX4" s="27"/>
      <c r="UMY4" s="27"/>
      <c r="UMZ4" s="27"/>
      <c r="UNA4" s="27"/>
      <c r="UNB4" s="27"/>
      <c r="UNC4" s="27"/>
      <c r="UND4" s="27"/>
      <c r="UNE4" s="27"/>
      <c r="UNF4" s="27"/>
      <c r="UNG4" s="27"/>
      <c r="UNH4" s="27"/>
      <c r="UNI4" s="27"/>
      <c r="UNJ4" s="27"/>
      <c r="UNK4" s="27"/>
      <c r="UNL4" s="27"/>
      <c r="UNM4" s="27"/>
      <c r="UNN4" s="27"/>
      <c r="UNO4" s="27"/>
      <c r="UNP4" s="27"/>
      <c r="UNQ4" s="27"/>
      <c r="UNR4" s="27"/>
      <c r="UNS4" s="27"/>
      <c r="UNT4" s="27"/>
      <c r="UNU4" s="27"/>
      <c r="UNV4" s="27"/>
      <c r="UNW4" s="27"/>
      <c r="UNX4" s="27"/>
      <c r="UNY4" s="27"/>
      <c r="UNZ4" s="27"/>
      <c r="UOA4" s="27"/>
      <c r="UOB4" s="27"/>
      <c r="UOC4" s="27"/>
      <c r="UOD4" s="27"/>
      <c r="UOE4" s="27"/>
      <c r="UOF4" s="27"/>
      <c r="UOG4" s="27"/>
      <c r="UOH4" s="27"/>
      <c r="UOI4" s="27"/>
      <c r="UOJ4" s="27"/>
      <c r="UOK4" s="27"/>
      <c r="UOL4" s="27"/>
      <c r="UOM4" s="27"/>
      <c r="UON4" s="27"/>
      <c r="UOO4" s="27"/>
      <c r="UOP4" s="27"/>
      <c r="UOQ4" s="27"/>
      <c r="UOR4" s="27"/>
      <c r="UOS4" s="27"/>
      <c r="UOT4" s="27"/>
      <c r="UOU4" s="27"/>
      <c r="UOV4" s="27"/>
      <c r="UOW4" s="27"/>
      <c r="UOX4" s="27"/>
      <c r="UOY4" s="27"/>
      <c r="UOZ4" s="27"/>
      <c r="UPA4" s="27"/>
      <c r="UPB4" s="27"/>
      <c r="UPC4" s="27"/>
      <c r="UPD4" s="27"/>
      <c r="UPE4" s="27"/>
      <c r="UPF4" s="27"/>
      <c r="UPG4" s="27"/>
      <c r="UPH4" s="27"/>
      <c r="UPI4" s="27"/>
      <c r="UPJ4" s="27"/>
      <c r="UPK4" s="27"/>
      <c r="UPL4" s="27"/>
      <c r="UPM4" s="27"/>
      <c r="UPN4" s="27"/>
      <c r="UPO4" s="27"/>
      <c r="UPP4" s="27"/>
      <c r="UPQ4" s="27"/>
      <c r="UPR4" s="27"/>
      <c r="UPS4" s="27"/>
      <c r="UPT4" s="27"/>
      <c r="UPU4" s="27"/>
      <c r="UPV4" s="27"/>
      <c r="UPW4" s="27"/>
      <c r="UPX4" s="27"/>
      <c r="UPY4" s="27"/>
      <c r="UPZ4" s="27"/>
      <c r="UQA4" s="27"/>
      <c r="UQB4" s="27"/>
      <c r="UQC4" s="27"/>
      <c r="UQD4" s="27"/>
      <c r="UQE4" s="27"/>
      <c r="UQF4" s="27"/>
      <c r="UQG4" s="27"/>
      <c r="UQH4" s="27"/>
      <c r="UQI4" s="27"/>
      <c r="UQJ4" s="27"/>
      <c r="UQK4" s="27"/>
      <c r="UQL4" s="27"/>
      <c r="UQM4" s="27"/>
      <c r="UQN4" s="27"/>
      <c r="UQO4" s="27"/>
      <c r="UQP4" s="27"/>
      <c r="UQQ4" s="27"/>
      <c r="UQR4" s="27"/>
      <c r="UQS4" s="27"/>
      <c r="UQT4" s="27"/>
      <c r="UQU4" s="27"/>
      <c r="UQV4" s="27"/>
      <c r="UQW4" s="27"/>
      <c r="UQX4" s="27"/>
      <c r="UQY4" s="27"/>
      <c r="UQZ4" s="27"/>
      <c r="URA4" s="27"/>
      <c r="URB4" s="27"/>
      <c r="URC4" s="27"/>
      <c r="URD4" s="27"/>
      <c r="URE4" s="27"/>
      <c r="URF4" s="27"/>
      <c r="URG4" s="27"/>
      <c r="URH4" s="27"/>
      <c r="URI4" s="27"/>
      <c r="URJ4" s="27"/>
      <c r="URK4" s="27"/>
      <c r="URL4" s="27"/>
      <c r="URM4" s="27"/>
      <c r="URN4" s="27"/>
      <c r="URO4" s="27"/>
      <c r="URP4" s="27"/>
      <c r="URQ4" s="27"/>
      <c r="URR4" s="27"/>
      <c r="URS4" s="27"/>
      <c r="URT4" s="27"/>
      <c r="URU4" s="27"/>
      <c r="URV4" s="27"/>
      <c r="URW4" s="27"/>
      <c r="URX4" s="27"/>
      <c r="URY4" s="27"/>
      <c r="URZ4" s="27"/>
      <c r="USA4" s="27"/>
      <c r="USB4" s="27"/>
      <c r="USC4" s="27"/>
      <c r="USD4" s="27"/>
      <c r="USE4" s="27"/>
      <c r="USF4" s="27"/>
      <c r="USG4" s="27"/>
      <c r="USH4" s="27"/>
      <c r="USI4" s="27"/>
      <c r="USJ4" s="27"/>
      <c r="USK4" s="27"/>
      <c r="USL4" s="27"/>
      <c r="USM4" s="27"/>
      <c r="USN4" s="27"/>
      <c r="USO4" s="27"/>
      <c r="USP4" s="27"/>
      <c r="USQ4" s="27"/>
      <c r="USR4" s="27"/>
      <c r="USS4" s="27"/>
      <c r="UST4" s="27"/>
      <c r="USU4" s="27"/>
      <c r="USV4" s="27"/>
      <c r="USW4" s="27"/>
      <c r="USX4" s="27"/>
      <c r="USY4" s="27"/>
      <c r="USZ4" s="27"/>
      <c r="UTA4" s="27"/>
      <c r="UTB4" s="27"/>
      <c r="UTC4" s="27"/>
      <c r="UTD4" s="27"/>
      <c r="UTE4" s="27"/>
      <c r="UTF4" s="27"/>
      <c r="UTG4" s="27"/>
      <c r="UTH4" s="27"/>
      <c r="UTI4" s="27"/>
      <c r="UTJ4" s="27"/>
      <c r="UTK4" s="27"/>
      <c r="UTL4" s="27"/>
      <c r="UTM4" s="27"/>
      <c r="UTN4" s="27"/>
      <c r="UTO4" s="27"/>
      <c r="UTP4" s="27"/>
      <c r="UTQ4" s="27"/>
      <c r="UTR4" s="27"/>
      <c r="UTS4" s="27"/>
      <c r="UTT4" s="27"/>
      <c r="UTU4" s="27"/>
      <c r="UTV4" s="27"/>
      <c r="UTW4" s="27"/>
      <c r="UTX4" s="27"/>
      <c r="UTY4" s="27"/>
      <c r="UTZ4" s="27"/>
      <c r="UUA4" s="27"/>
      <c r="UUB4" s="27"/>
      <c r="UUC4" s="27"/>
      <c r="UUD4" s="27"/>
      <c r="UUE4" s="27"/>
      <c r="UUF4" s="27"/>
      <c r="UUG4" s="27"/>
      <c r="UUH4" s="27"/>
      <c r="UUI4" s="27"/>
      <c r="UUJ4" s="27"/>
      <c r="UUK4" s="27"/>
      <c r="UUL4" s="27"/>
      <c r="UUM4" s="27"/>
      <c r="UUN4" s="27"/>
      <c r="UUO4" s="27"/>
      <c r="UUP4" s="27"/>
      <c r="UUQ4" s="27"/>
      <c r="UUR4" s="27"/>
      <c r="UUS4" s="27"/>
      <c r="UUT4" s="27"/>
      <c r="UUU4" s="27"/>
      <c r="UUV4" s="27"/>
      <c r="UUW4" s="27"/>
      <c r="UUX4" s="27"/>
      <c r="UUY4" s="27"/>
      <c r="UUZ4" s="27"/>
      <c r="UVA4" s="27"/>
      <c r="UVB4" s="27"/>
      <c r="UVC4" s="27"/>
      <c r="UVD4" s="27"/>
      <c r="UVE4" s="27"/>
      <c r="UVF4" s="27"/>
      <c r="UVG4" s="27"/>
      <c r="UVH4" s="27"/>
      <c r="UVI4" s="27"/>
      <c r="UVJ4" s="27"/>
      <c r="UVK4" s="27"/>
      <c r="UVL4" s="27"/>
      <c r="UVM4" s="27"/>
      <c r="UVN4" s="27"/>
      <c r="UVO4" s="27"/>
      <c r="UVP4" s="27"/>
      <c r="UVQ4" s="27"/>
      <c r="UVR4" s="27"/>
      <c r="UVS4" s="27"/>
      <c r="UVT4" s="27"/>
      <c r="UVU4" s="27"/>
      <c r="UVV4" s="27"/>
      <c r="UVW4" s="27"/>
      <c r="UVX4" s="27"/>
      <c r="UVY4" s="27"/>
      <c r="UVZ4" s="27"/>
      <c r="UWA4" s="27"/>
      <c r="UWB4" s="27"/>
      <c r="UWC4" s="27"/>
      <c r="UWD4" s="27"/>
      <c r="UWE4" s="27"/>
      <c r="UWF4" s="27"/>
      <c r="UWG4" s="27"/>
      <c r="UWH4" s="27"/>
      <c r="UWI4" s="27"/>
      <c r="UWJ4" s="27"/>
      <c r="UWK4" s="27"/>
      <c r="UWL4" s="27"/>
      <c r="UWM4" s="27"/>
      <c r="UWN4" s="27"/>
      <c r="UWO4" s="27"/>
      <c r="UWP4" s="27"/>
      <c r="UWQ4" s="27"/>
      <c r="UWR4" s="27"/>
      <c r="UWS4" s="27"/>
      <c r="UWT4" s="27"/>
      <c r="UWU4" s="27"/>
      <c r="UWV4" s="27"/>
      <c r="UWW4" s="27"/>
      <c r="UWX4" s="27"/>
      <c r="UWY4" s="27"/>
      <c r="UWZ4" s="27"/>
      <c r="UXA4" s="27"/>
      <c r="UXB4" s="27"/>
      <c r="UXC4" s="27"/>
      <c r="UXD4" s="27"/>
      <c r="UXE4" s="27"/>
      <c r="UXF4" s="27"/>
      <c r="UXG4" s="27"/>
      <c r="UXH4" s="27"/>
      <c r="UXI4" s="27"/>
      <c r="UXJ4" s="27"/>
      <c r="UXK4" s="27"/>
      <c r="UXL4" s="27"/>
      <c r="UXM4" s="27"/>
      <c r="UXN4" s="27"/>
      <c r="UXO4" s="27"/>
      <c r="UXP4" s="27"/>
      <c r="UXQ4" s="27"/>
      <c r="UXR4" s="27"/>
      <c r="UXS4" s="27"/>
      <c r="UXT4" s="27"/>
      <c r="UXU4" s="27"/>
      <c r="UXV4" s="27"/>
      <c r="UXW4" s="27"/>
      <c r="UXX4" s="27"/>
      <c r="UXY4" s="27"/>
      <c r="UXZ4" s="27"/>
      <c r="UYA4" s="27"/>
      <c r="UYB4" s="27"/>
      <c r="UYC4" s="27"/>
      <c r="UYD4" s="27"/>
      <c r="UYE4" s="27"/>
      <c r="UYF4" s="27"/>
      <c r="UYG4" s="27"/>
      <c r="UYH4" s="27"/>
      <c r="UYI4" s="27"/>
      <c r="UYJ4" s="27"/>
      <c r="UYK4" s="27"/>
      <c r="UYL4" s="27"/>
      <c r="UYM4" s="27"/>
      <c r="UYN4" s="27"/>
      <c r="UYO4" s="27"/>
      <c r="UYP4" s="27"/>
      <c r="UYQ4" s="27"/>
      <c r="UYR4" s="27"/>
      <c r="UYS4" s="27"/>
      <c r="UYT4" s="27"/>
      <c r="UYU4" s="27"/>
      <c r="UYV4" s="27"/>
      <c r="UYW4" s="27"/>
      <c r="UYX4" s="27"/>
      <c r="UYY4" s="27"/>
      <c r="UYZ4" s="27"/>
      <c r="UZA4" s="27"/>
      <c r="UZB4" s="27"/>
      <c r="UZC4" s="27"/>
      <c r="UZD4" s="27"/>
      <c r="UZE4" s="27"/>
      <c r="UZF4" s="27"/>
      <c r="UZG4" s="27"/>
      <c r="UZH4" s="27"/>
      <c r="UZI4" s="27"/>
      <c r="UZJ4" s="27"/>
      <c r="UZK4" s="27"/>
      <c r="UZL4" s="27"/>
      <c r="UZM4" s="27"/>
      <c r="UZN4" s="27"/>
      <c r="UZO4" s="27"/>
      <c r="UZP4" s="27"/>
      <c r="UZQ4" s="27"/>
      <c r="UZR4" s="27"/>
      <c r="UZS4" s="27"/>
      <c r="UZT4" s="27"/>
      <c r="UZU4" s="27"/>
      <c r="UZV4" s="27"/>
      <c r="UZW4" s="27"/>
      <c r="UZX4" s="27"/>
      <c r="UZY4" s="27"/>
      <c r="UZZ4" s="27"/>
      <c r="VAA4" s="27"/>
      <c r="VAB4" s="27"/>
      <c r="VAC4" s="27"/>
      <c r="VAD4" s="27"/>
      <c r="VAE4" s="27"/>
      <c r="VAF4" s="27"/>
      <c r="VAG4" s="27"/>
      <c r="VAH4" s="27"/>
      <c r="VAI4" s="27"/>
      <c r="VAJ4" s="27"/>
      <c r="VAK4" s="27"/>
      <c r="VAL4" s="27"/>
      <c r="VAM4" s="27"/>
      <c r="VAN4" s="27"/>
      <c r="VAO4" s="27"/>
      <c r="VAP4" s="27"/>
      <c r="VAQ4" s="27"/>
      <c r="VAR4" s="27"/>
      <c r="VAS4" s="27"/>
      <c r="VAT4" s="27"/>
      <c r="VAU4" s="27"/>
      <c r="VAV4" s="27"/>
      <c r="VAW4" s="27"/>
      <c r="VAX4" s="27"/>
      <c r="VAY4" s="27"/>
      <c r="VAZ4" s="27"/>
      <c r="VBA4" s="27"/>
      <c r="VBB4" s="27"/>
      <c r="VBC4" s="27"/>
      <c r="VBD4" s="27"/>
      <c r="VBE4" s="27"/>
      <c r="VBF4" s="27"/>
      <c r="VBG4" s="27"/>
      <c r="VBH4" s="27"/>
      <c r="VBI4" s="27"/>
      <c r="VBJ4" s="27"/>
      <c r="VBK4" s="27"/>
      <c r="VBL4" s="27"/>
      <c r="VBM4" s="27"/>
      <c r="VBN4" s="27"/>
      <c r="VBO4" s="27"/>
      <c r="VBP4" s="27"/>
      <c r="VBQ4" s="27"/>
      <c r="VBR4" s="27"/>
      <c r="VBS4" s="27"/>
      <c r="VBT4" s="27"/>
      <c r="VBU4" s="27"/>
      <c r="VBV4" s="27"/>
      <c r="VBW4" s="27"/>
      <c r="VBX4" s="27"/>
      <c r="VBY4" s="27"/>
      <c r="VBZ4" s="27"/>
      <c r="VCA4" s="27"/>
      <c r="VCB4" s="27"/>
      <c r="VCC4" s="27"/>
      <c r="VCD4" s="27"/>
      <c r="VCE4" s="27"/>
      <c r="VCF4" s="27"/>
      <c r="VCG4" s="27"/>
      <c r="VCH4" s="27"/>
      <c r="VCI4" s="27"/>
      <c r="VCJ4" s="27"/>
      <c r="VCK4" s="27"/>
      <c r="VCL4" s="27"/>
      <c r="VCM4" s="27"/>
      <c r="VCN4" s="27"/>
      <c r="VCO4" s="27"/>
      <c r="VCP4" s="27"/>
      <c r="VCQ4" s="27"/>
      <c r="VCR4" s="27"/>
      <c r="VCS4" s="27"/>
      <c r="VCT4" s="27"/>
      <c r="VCU4" s="27"/>
      <c r="VCV4" s="27"/>
      <c r="VCW4" s="27"/>
      <c r="VCX4" s="27"/>
      <c r="VCY4" s="27"/>
      <c r="VCZ4" s="27"/>
      <c r="VDA4" s="27"/>
      <c r="VDB4" s="27"/>
      <c r="VDC4" s="27"/>
      <c r="VDD4" s="27"/>
      <c r="VDE4" s="27"/>
      <c r="VDF4" s="27"/>
      <c r="VDG4" s="27"/>
      <c r="VDH4" s="27"/>
      <c r="VDI4" s="27"/>
      <c r="VDJ4" s="27"/>
      <c r="VDK4" s="27"/>
      <c r="VDL4" s="27"/>
      <c r="VDM4" s="27"/>
      <c r="VDN4" s="27"/>
      <c r="VDO4" s="27"/>
      <c r="VDP4" s="27"/>
      <c r="VDQ4" s="27"/>
      <c r="VDR4" s="27"/>
      <c r="VDS4" s="27"/>
      <c r="VDT4" s="27"/>
      <c r="VDU4" s="27"/>
      <c r="VDV4" s="27"/>
      <c r="VDW4" s="27"/>
      <c r="VDX4" s="27"/>
      <c r="VDY4" s="27"/>
      <c r="VDZ4" s="27"/>
      <c r="VEA4" s="27"/>
      <c r="VEB4" s="27"/>
      <c r="VEC4" s="27"/>
      <c r="VED4" s="27"/>
      <c r="VEE4" s="27"/>
      <c r="VEF4" s="27"/>
      <c r="VEG4" s="27"/>
      <c r="VEH4" s="27"/>
      <c r="VEI4" s="27"/>
      <c r="VEJ4" s="27"/>
      <c r="VEK4" s="27"/>
      <c r="VEL4" s="27"/>
      <c r="VEM4" s="27"/>
      <c r="VEN4" s="27"/>
      <c r="VEO4" s="27"/>
      <c r="VEP4" s="27"/>
      <c r="VEQ4" s="27"/>
      <c r="VER4" s="27"/>
      <c r="VES4" s="27"/>
      <c r="VET4" s="27"/>
      <c r="VEU4" s="27"/>
      <c r="VEV4" s="27"/>
      <c r="VEW4" s="27"/>
      <c r="VEX4" s="27"/>
      <c r="VEY4" s="27"/>
      <c r="VEZ4" s="27"/>
      <c r="VFA4" s="27"/>
      <c r="VFB4" s="27"/>
      <c r="VFC4" s="27"/>
      <c r="VFD4" s="27"/>
      <c r="VFE4" s="27"/>
      <c r="VFF4" s="27"/>
      <c r="VFG4" s="27"/>
      <c r="VFH4" s="27"/>
      <c r="VFI4" s="27"/>
      <c r="VFJ4" s="27"/>
      <c r="VFK4" s="27"/>
      <c r="VFL4" s="27"/>
      <c r="VFM4" s="27"/>
      <c r="VFN4" s="27"/>
      <c r="VFO4" s="27"/>
      <c r="VFP4" s="27"/>
      <c r="VFQ4" s="27"/>
      <c r="VFR4" s="27"/>
      <c r="VFS4" s="27"/>
      <c r="VFT4" s="27"/>
      <c r="VFU4" s="27"/>
      <c r="VFV4" s="27"/>
      <c r="VFW4" s="27"/>
      <c r="VFX4" s="27"/>
      <c r="VFY4" s="27"/>
      <c r="VFZ4" s="27"/>
      <c r="VGA4" s="27"/>
      <c r="VGB4" s="27"/>
      <c r="VGC4" s="27"/>
      <c r="VGD4" s="27"/>
      <c r="VGE4" s="27"/>
      <c r="VGF4" s="27"/>
      <c r="VGG4" s="27"/>
      <c r="VGH4" s="27"/>
      <c r="VGI4" s="27"/>
      <c r="VGJ4" s="27"/>
      <c r="VGK4" s="27"/>
      <c r="VGL4" s="27"/>
      <c r="VGM4" s="27"/>
      <c r="VGN4" s="27"/>
      <c r="VGO4" s="27"/>
      <c r="VGP4" s="27"/>
      <c r="VGQ4" s="27"/>
      <c r="VGR4" s="27"/>
      <c r="VGS4" s="27"/>
      <c r="VGT4" s="27"/>
      <c r="VGU4" s="27"/>
      <c r="VGV4" s="27"/>
      <c r="VGW4" s="27"/>
      <c r="VGX4" s="27"/>
      <c r="VGY4" s="27"/>
      <c r="VGZ4" s="27"/>
      <c r="VHA4" s="27"/>
      <c r="VHB4" s="27"/>
      <c r="VHC4" s="27"/>
      <c r="VHD4" s="27"/>
      <c r="VHE4" s="27"/>
      <c r="VHF4" s="27"/>
      <c r="VHG4" s="27"/>
      <c r="VHH4" s="27"/>
      <c r="VHI4" s="27"/>
      <c r="VHJ4" s="27"/>
      <c r="VHK4" s="27"/>
      <c r="VHL4" s="27"/>
      <c r="VHM4" s="27"/>
      <c r="VHN4" s="27"/>
      <c r="VHO4" s="27"/>
      <c r="VHP4" s="27"/>
      <c r="VHQ4" s="27"/>
      <c r="VHR4" s="27"/>
      <c r="VHS4" s="27"/>
      <c r="VHT4" s="27"/>
      <c r="VHU4" s="27"/>
      <c r="VHV4" s="27"/>
      <c r="VHW4" s="27"/>
      <c r="VHX4" s="27"/>
      <c r="VHY4" s="27"/>
      <c r="VHZ4" s="27"/>
      <c r="VIA4" s="27"/>
      <c r="VIB4" s="27"/>
      <c r="VIC4" s="27"/>
      <c r="VID4" s="27"/>
      <c r="VIE4" s="27"/>
      <c r="VIF4" s="27"/>
      <c r="VIG4" s="27"/>
      <c r="VIH4" s="27"/>
      <c r="VII4" s="27"/>
      <c r="VIJ4" s="27"/>
      <c r="VIK4" s="27"/>
      <c r="VIL4" s="27"/>
      <c r="VIM4" s="27"/>
      <c r="VIN4" s="27"/>
      <c r="VIO4" s="27"/>
      <c r="VIP4" s="27"/>
      <c r="VIQ4" s="27"/>
      <c r="VIR4" s="27"/>
      <c r="VIS4" s="27"/>
      <c r="VIT4" s="27"/>
      <c r="VIU4" s="27"/>
      <c r="VIV4" s="27"/>
      <c r="VIW4" s="27"/>
      <c r="VIX4" s="27"/>
      <c r="VIY4" s="27"/>
      <c r="VIZ4" s="27"/>
      <c r="VJA4" s="27"/>
      <c r="VJB4" s="27"/>
      <c r="VJC4" s="27"/>
      <c r="VJD4" s="27"/>
      <c r="VJE4" s="27"/>
      <c r="VJF4" s="27"/>
      <c r="VJG4" s="27"/>
      <c r="VJH4" s="27"/>
      <c r="VJI4" s="27"/>
      <c r="VJJ4" s="27"/>
      <c r="VJK4" s="27"/>
      <c r="VJL4" s="27"/>
      <c r="VJM4" s="27"/>
      <c r="VJN4" s="27"/>
      <c r="VJO4" s="27"/>
      <c r="VJP4" s="27"/>
      <c r="VJQ4" s="27"/>
      <c r="VJR4" s="27"/>
      <c r="VJS4" s="27"/>
      <c r="VJT4" s="27"/>
      <c r="VJU4" s="27"/>
      <c r="VJV4" s="27"/>
      <c r="VJW4" s="27"/>
      <c r="VJX4" s="27"/>
      <c r="VJY4" s="27"/>
      <c r="VJZ4" s="27"/>
      <c r="VKA4" s="27"/>
      <c r="VKB4" s="27"/>
      <c r="VKC4" s="27"/>
      <c r="VKD4" s="27"/>
      <c r="VKE4" s="27"/>
      <c r="VKF4" s="27"/>
      <c r="VKG4" s="27"/>
      <c r="VKH4" s="27"/>
      <c r="VKI4" s="27"/>
      <c r="VKJ4" s="27"/>
      <c r="VKK4" s="27"/>
      <c r="VKL4" s="27"/>
      <c r="VKM4" s="27"/>
      <c r="VKN4" s="27"/>
      <c r="VKO4" s="27"/>
      <c r="VKP4" s="27"/>
      <c r="VKQ4" s="27"/>
      <c r="VKR4" s="27"/>
      <c r="VKS4" s="27"/>
      <c r="VKT4" s="27"/>
      <c r="VKU4" s="27"/>
      <c r="VKV4" s="27"/>
      <c r="VKW4" s="27"/>
      <c r="VKX4" s="27"/>
      <c r="VKY4" s="27"/>
      <c r="VKZ4" s="27"/>
      <c r="VLA4" s="27"/>
      <c r="VLB4" s="27"/>
      <c r="VLC4" s="27"/>
      <c r="VLD4" s="27"/>
      <c r="VLE4" s="27"/>
      <c r="VLF4" s="27"/>
      <c r="VLG4" s="27"/>
      <c r="VLH4" s="27"/>
      <c r="VLI4" s="27"/>
      <c r="VLJ4" s="27"/>
      <c r="VLK4" s="27"/>
      <c r="VLL4" s="27"/>
      <c r="VLM4" s="27"/>
      <c r="VLN4" s="27"/>
      <c r="VLO4" s="27"/>
      <c r="VLP4" s="27"/>
      <c r="VLQ4" s="27"/>
      <c r="VLR4" s="27"/>
      <c r="VLS4" s="27"/>
      <c r="VLT4" s="27"/>
      <c r="VLU4" s="27"/>
      <c r="VLV4" s="27"/>
      <c r="VLW4" s="27"/>
      <c r="VLX4" s="27"/>
      <c r="VLY4" s="27"/>
      <c r="VLZ4" s="27"/>
      <c r="VMA4" s="27"/>
      <c r="VMB4" s="27"/>
      <c r="VMC4" s="27"/>
      <c r="VMD4" s="27"/>
      <c r="VME4" s="27"/>
      <c r="VMF4" s="27"/>
      <c r="VMG4" s="27"/>
      <c r="VMH4" s="27"/>
      <c r="VMI4" s="27"/>
      <c r="VMJ4" s="27"/>
      <c r="VMK4" s="27"/>
      <c r="VML4" s="27"/>
      <c r="VMM4" s="27"/>
      <c r="VMN4" s="27"/>
      <c r="VMO4" s="27"/>
      <c r="VMP4" s="27"/>
      <c r="VMQ4" s="27"/>
      <c r="VMR4" s="27"/>
      <c r="VMS4" s="27"/>
      <c r="VMT4" s="27"/>
      <c r="VMU4" s="27"/>
      <c r="VMV4" s="27"/>
      <c r="VMW4" s="27"/>
      <c r="VMX4" s="27"/>
      <c r="VMY4" s="27"/>
      <c r="VMZ4" s="27"/>
      <c r="VNA4" s="27"/>
      <c r="VNB4" s="27"/>
      <c r="VNC4" s="27"/>
      <c r="VND4" s="27"/>
      <c r="VNE4" s="27"/>
      <c r="VNF4" s="27"/>
      <c r="VNG4" s="27"/>
      <c r="VNH4" s="27"/>
      <c r="VNI4" s="27"/>
      <c r="VNJ4" s="27"/>
      <c r="VNK4" s="27"/>
      <c r="VNL4" s="27"/>
      <c r="VNM4" s="27"/>
      <c r="VNN4" s="27"/>
      <c r="VNO4" s="27"/>
      <c r="VNP4" s="27"/>
      <c r="VNQ4" s="27"/>
      <c r="VNR4" s="27"/>
      <c r="VNS4" s="27"/>
      <c r="VNT4" s="27"/>
      <c r="VNU4" s="27"/>
      <c r="VNV4" s="27"/>
      <c r="VNW4" s="27"/>
      <c r="VNX4" s="27"/>
      <c r="VNY4" s="27"/>
      <c r="VNZ4" s="27"/>
      <c r="VOA4" s="27"/>
      <c r="VOB4" s="27"/>
      <c r="VOC4" s="27"/>
      <c r="VOD4" s="27"/>
      <c r="VOE4" s="27"/>
      <c r="VOF4" s="27"/>
      <c r="VOG4" s="27"/>
      <c r="VOH4" s="27"/>
      <c r="VOI4" s="27"/>
      <c r="VOJ4" s="27"/>
      <c r="VOK4" s="27"/>
      <c r="VOL4" s="27"/>
      <c r="VOM4" s="27"/>
      <c r="VON4" s="27"/>
      <c r="VOO4" s="27"/>
      <c r="VOP4" s="27"/>
      <c r="VOQ4" s="27"/>
      <c r="VOR4" s="27"/>
      <c r="VOS4" s="27"/>
      <c r="VOT4" s="27"/>
      <c r="VOU4" s="27"/>
      <c r="VOV4" s="27"/>
      <c r="VOW4" s="27"/>
      <c r="VOX4" s="27"/>
      <c r="VOY4" s="27"/>
      <c r="VOZ4" s="27"/>
      <c r="VPA4" s="27"/>
      <c r="VPB4" s="27"/>
      <c r="VPC4" s="27"/>
      <c r="VPD4" s="27"/>
      <c r="VPE4" s="27"/>
      <c r="VPF4" s="27"/>
      <c r="VPG4" s="27"/>
      <c r="VPH4" s="27"/>
      <c r="VPI4" s="27"/>
      <c r="VPJ4" s="27"/>
      <c r="VPK4" s="27"/>
      <c r="VPL4" s="27"/>
      <c r="VPM4" s="27"/>
      <c r="VPN4" s="27"/>
      <c r="VPO4" s="27"/>
      <c r="VPP4" s="27"/>
      <c r="VPQ4" s="27"/>
      <c r="VPR4" s="27"/>
      <c r="VPS4" s="27"/>
      <c r="VPT4" s="27"/>
      <c r="VPU4" s="27"/>
      <c r="VPV4" s="27"/>
      <c r="VPW4" s="27"/>
      <c r="VPX4" s="27"/>
      <c r="VPY4" s="27"/>
      <c r="VPZ4" s="27"/>
      <c r="VQA4" s="27"/>
      <c r="VQB4" s="27"/>
      <c r="VQC4" s="27"/>
      <c r="VQD4" s="27"/>
      <c r="VQE4" s="27"/>
      <c r="VQF4" s="27"/>
      <c r="VQG4" s="27"/>
      <c r="VQH4" s="27"/>
      <c r="VQI4" s="27"/>
      <c r="VQJ4" s="27"/>
      <c r="VQK4" s="27"/>
      <c r="VQL4" s="27"/>
      <c r="VQM4" s="27"/>
      <c r="VQN4" s="27"/>
      <c r="VQO4" s="27"/>
      <c r="VQP4" s="27"/>
      <c r="VQQ4" s="27"/>
      <c r="VQR4" s="27"/>
      <c r="VQS4" s="27"/>
      <c r="VQT4" s="27"/>
      <c r="VQU4" s="27"/>
      <c r="VQV4" s="27"/>
      <c r="VQW4" s="27"/>
      <c r="VQX4" s="27"/>
      <c r="VQY4" s="27"/>
      <c r="VQZ4" s="27"/>
      <c r="VRA4" s="27"/>
      <c r="VRB4" s="27"/>
      <c r="VRC4" s="27"/>
      <c r="VRD4" s="27"/>
      <c r="VRE4" s="27"/>
      <c r="VRF4" s="27"/>
      <c r="VRG4" s="27"/>
      <c r="VRH4" s="27"/>
      <c r="VRI4" s="27"/>
      <c r="VRJ4" s="27"/>
      <c r="VRK4" s="27"/>
      <c r="VRL4" s="27"/>
      <c r="VRM4" s="27"/>
      <c r="VRN4" s="27"/>
      <c r="VRO4" s="27"/>
      <c r="VRP4" s="27"/>
      <c r="VRQ4" s="27"/>
      <c r="VRR4" s="27"/>
      <c r="VRS4" s="27"/>
      <c r="VRT4" s="27"/>
      <c r="VRU4" s="27"/>
      <c r="VRV4" s="27"/>
      <c r="VRW4" s="27"/>
      <c r="VRX4" s="27"/>
      <c r="VRY4" s="27"/>
      <c r="VRZ4" s="27"/>
      <c r="VSA4" s="27"/>
      <c r="VSB4" s="27"/>
      <c r="VSC4" s="27"/>
      <c r="VSD4" s="27"/>
      <c r="VSE4" s="27"/>
      <c r="VSF4" s="27"/>
      <c r="VSG4" s="27"/>
      <c r="VSH4" s="27"/>
      <c r="VSI4" s="27"/>
      <c r="VSJ4" s="27"/>
      <c r="VSK4" s="27"/>
      <c r="VSL4" s="27"/>
      <c r="VSM4" s="27"/>
      <c r="VSN4" s="27"/>
      <c r="VSO4" s="27"/>
      <c r="VSP4" s="27"/>
      <c r="VSQ4" s="27"/>
      <c r="VSR4" s="27"/>
      <c r="VSS4" s="27"/>
      <c r="VST4" s="27"/>
      <c r="VSU4" s="27"/>
      <c r="VSV4" s="27"/>
      <c r="VSW4" s="27"/>
      <c r="VSX4" s="27"/>
      <c r="VSY4" s="27"/>
      <c r="VSZ4" s="27"/>
      <c r="VTA4" s="27"/>
      <c r="VTB4" s="27"/>
      <c r="VTC4" s="27"/>
      <c r="VTD4" s="27"/>
      <c r="VTE4" s="27"/>
      <c r="VTF4" s="27"/>
      <c r="VTG4" s="27"/>
      <c r="VTH4" s="27"/>
      <c r="VTI4" s="27"/>
      <c r="VTJ4" s="27"/>
      <c r="VTK4" s="27"/>
      <c r="VTL4" s="27"/>
      <c r="VTM4" s="27"/>
      <c r="VTN4" s="27"/>
      <c r="VTO4" s="27"/>
      <c r="VTP4" s="27"/>
      <c r="VTQ4" s="27"/>
      <c r="VTR4" s="27"/>
      <c r="VTS4" s="27"/>
      <c r="VTT4" s="27"/>
      <c r="VTU4" s="27"/>
      <c r="VTV4" s="27"/>
      <c r="VTW4" s="27"/>
      <c r="VTX4" s="27"/>
      <c r="VTY4" s="27"/>
      <c r="VTZ4" s="27"/>
      <c r="VUA4" s="27"/>
      <c r="VUB4" s="27"/>
      <c r="VUC4" s="27"/>
      <c r="VUD4" s="27"/>
      <c r="VUE4" s="27"/>
      <c r="VUF4" s="27"/>
      <c r="VUG4" s="27"/>
      <c r="VUH4" s="27"/>
      <c r="VUI4" s="27"/>
      <c r="VUJ4" s="27"/>
      <c r="VUK4" s="27"/>
      <c r="VUL4" s="27"/>
      <c r="VUM4" s="27"/>
      <c r="VUN4" s="27"/>
      <c r="VUO4" s="27"/>
      <c r="VUP4" s="27"/>
      <c r="VUQ4" s="27"/>
      <c r="VUR4" s="27"/>
      <c r="VUS4" s="27"/>
      <c r="VUT4" s="27"/>
      <c r="VUU4" s="27"/>
      <c r="VUV4" s="27"/>
      <c r="VUW4" s="27"/>
      <c r="VUX4" s="27"/>
      <c r="VUY4" s="27"/>
      <c r="VUZ4" s="27"/>
      <c r="VVA4" s="27"/>
      <c r="VVB4" s="27"/>
      <c r="VVC4" s="27"/>
      <c r="VVD4" s="27"/>
      <c r="VVE4" s="27"/>
      <c r="VVF4" s="27"/>
      <c r="VVG4" s="27"/>
      <c r="VVH4" s="27"/>
      <c r="VVI4" s="27"/>
      <c r="VVJ4" s="27"/>
      <c r="VVK4" s="27"/>
      <c r="VVL4" s="27"/>
      <c r="VVM4" s="27"/>
      <c r="VVN4" s="27"/>
      <c r="VVO4" s="27"/>
      <c r="VVP4" s="27"/>
      <c r="VVQ4" s="27"/>
      <c r="VVR4" s="27"/>
      <c r="VVS4" s="27"/>
      <c r="VVT4" s="27"/>
      <c r="VVU4" s="27"/>
      <c r="VVV4" s="27"/>
      <c r="VVW4" s="27"/>
      <c r="VVX4" s="27"/>
      <c r="VVY4" s="27"/>
      <c r="VVZ4" s="27"/>
      <c r="VWA4" s="27"/>
      <c r="VWB4" s="27"/>
      <c r="VWC4" s="27"/>
      <c r="VWD4" s="27"/>
      <c r="VWE4" s="27"/>
      <c r="VWF4" s="27"/>
      <c r="VWG4" s="27"/>
      <c r="VWH4" s="27"/>
      <c r="VWI4" s="27"/>
      <c r="VWJ4" s="27"/>
      <c r="VWK4" s="27"/>
      <c r="VWL4" s="27"/>
      <c r="VWM4" s="27"/>
      <c r="VWN4" s="27"/>
      <c r="VWO4" s="27"/>
      <c r="VWP4" s="27"/>
      <c r="VWQ4" s="27"/>
      <c r="VWR4" s="27"/>
      <c r="VWS4" s="27"/>
      <c r="VWT4" s="27"/>
      <c r="VWU4" s="27"/>
      <c r="VWV4" s="27"/>
      <c r="VWW4" s="27"/>
      <c r="VWX4" s="27"/>
      <c r="VWY4" s="27"/>
      <c r="VWZ4" s="27"/>
      <c r="VXA4" s="27"/>
      <c r="VXB4" s="27"/>
      <c r="VXC4" s="27"/>
      <c r="VXD4" s="27"/>
      <c r="VXE4" s="27"/>
      <c r="VXF4" s="27"/>
      <c r="VXG4" s="27"/>
      <c r="VXH4" s="27"/>
      <c r="VXI4" s="27"/>
      <c r="VXJ4" s="27"/>
      <c r="VXK4" s="27"/>
      <c r="VXL4" s="27"/>
      <c r="VXM4" s="27"/>
      <c r="VXN4" s="27"/>
      <c r="VXO4" s="27"/>
      <c r="VXP4" s="27"/>
      <c r="VXQ4" s="27"/>
      <c r="VXR4" s="27"/>
      <c r="VXS4" s="27"/>
      <c r="VXT4" s="27"/>
      <c r="VXU4" s="27"/>
      <c r="VXV4" s="27"/>
      <c r="VXW4" s="27"/>
      <c r="VXX4" s="27"/>
      <c r="VXY4" s="27"/>
      <c r="VXZ4" s="27"/>
      <c r="VYA4" s="27"/>
      <c r="VYB4" s="27"/>
      <c r="VYC4" s="27"/>
      <c r="VYD4" s="27"/>
      <c r="VYE4" s="27"/>
      <c r="VYF4" s="27"/>
      <c r="VYG4" s="27"/>
      <c r="VYH4" s="27"/>
      <c r="VYI4" s="27"/>
      <c r="VYJ4" s="27"/>
      <c r="VYK4" s="27"/>
      <c r="VYL4" s="27"/>
      <c r="VYM4" s="27"/>
      <c r="VYN4" s="27"/>
      <c r="VYO4" s="27"/>
      <c r="VYP4" s="27"/>
      <c r="VYQ4" s="27"/>
      <c r="VYR4" s="27"/>
      <c r="VYS4" s="27"/>
      <c r="VYT4" s="27"/>
      <c r="VYU4" s="27"/>
      <c r="VYV4" s="27"/>
      <c r="VYW4" s="27"/>
      <c r="VYX4" s="27"/>
      <c r="VYY4" s="27"/>
      <c r="VYZ4" s="27"/>
      <c r="VZA4" s="27"/>
      <c r="VZB4" s="27"/>
      <c r="VZC4" s="27"/>
      <c r="VZD4" s="27"/>
      <c r="VZE4" s="27"/>
      <c r="VZF4" s="27"/>
      <c r="VZG4" s="27"/>
      <c r="VZH4" s="27"/>
      <c r="VZI4" s="27"/>
      <c r="VZJ4" s="27"/>
      <c r="VZK4" s="27"/>
      <c r="VZL4" s="27"/>
      <c r="VZM4" s="27"/>
      <c r="VZN4" s="27"/>
      <c r="VZO4" s="27"/>
      <c r="VZP4" s="27"/>
      <c r="VZQ4" s="27"/>
      <c r="VZR4" s="27"/>
      <c r="VZS4" s="27"/>
      <c r="VZT4" s="27"/>
      <c r="VZU4" s="27"/>
      <c r="VZV4" s="27"/>
      <c r="VZW4" s="27"/>
      <c r="VZX4" s="27"/>
      <c r="VZY4" s="27"/>
      <c r="VZZ4" s="27"/>
      <c r="WAA4" s="27"/>
      <c r="WAB4" s="27"/>
      <c r="WAC4" s="27"/>
      <c r="WAD4" s="27"/>
      <c r="WAE4" s="27"/>
      <c r="WAF4" s="27"/>
      <c r="WAG4" s="27"/>
      <c r="WAH4" s="27"/>
      <c r="WAI4" s="27"/>
      <c r="WAJ4" s="27"/>
      <c r="WAK4" s="27"/>
      <c r="WAL4" s="27"/>
      <c r="WAM4" s="27"/>
      <c r="WAN4" s="27"/>
      <c r="WAO4" s="27"/>
      <c r="WAP4" s="27"/>
      <c r="WAQ4" s="27"/>
      <c r="WAR4" s="27"/>
      <c r="WAS4" s="27"/>
      <c r="WAT4" s="27"/>
      <c r="WAU4" s="27"/>
      <c r="WAV4" s="27"/>
      <c r="WAW4" s="27"/>
      <c r="WAX4" s="27"/>
      <c r="WAY4" s="27"/>
      <c r="WAZ4" s="27"/>
      <c r="WBA4" s="27"/>
      <c r="WBB4" s="27"/>
      <c r="WBC4" s="27"/>
      <c r="WBD4" s="27"/>
      <c r="WBE4" s="27"/>
      <c r="WBF4" s="27"/>
      <c r="WBG4" s="27"/>
      <c r="WBH4" s="27"/>
      <c r="WBI4" s="27"/>
      <c r="WBJ4" s="27"/>
      <c r="WBK4" s="27"/>
      <c r="WBL4" s="27"/>
      <c r="WBM4" s="27"/>
      <c r="WBN4" s="27"/>
      <c r="WBO4" s="27"/>
      <c r="WBP4" s="27"/>
      <c r="WBQ4" s="27"/>
      <c r="WBR4" s="27"/>
      <c r="WBS4" s="27"/>
      <c r="WBT4" s="27"/>
      <c r="WBU4" s="27"/>
      <c r="WBV4" s="27"/>
      <c r="WBW4" s="27"/>
      <c r="WBX4" s="27"/>
      <c r="WBY4" s="27"/>
      <c r="WBZ4" s="27"/>
      <c r="WCA4" s="27"/>
      <c r="WCB4" s="27"/>
      <c r="WCC4" s="27"/>
      <c r="WCD4" s="27"/>
      <c r="WCE4" s="27"/>
      <c r="WCF4" s="27"/>
      <c r="WCG4" s="27"/>
      <c r="WCH4" s="27"/>
      <c r="WCI4" s="27"/>
      <c r="WCJ4" s="27"/>
      <c r="WCK4" s="27"/>
      <c r="WCL4" s="27"/>
      <c r="WCM4" s="27"/>
      <c r="WCN4" s="27"/>
      <c r="WCO4" s="27"/>
      <c r="WCP4" s="27"/>
      <c r="WCQ4" s="27"/>
      <c r="WCR4" s="27"/>
      <c r="WCS4" s="27"/>
      <c r="WCT4" s="27"/>
      <c r="WCU4" s="27"/>
      <c r="WCV4" s="27"/>
      <c r="WCW4" s="27"/>
      <c r="WCX4" s="27"/>
      <c r="WCY4" s="27"/>
      <c r="WCZ4" s="27"/>
      <c r="WDA4" s="27"/>
      <c r="WDB4" s="27"/>
      <c r="WDC4" s="27"/>
      <c r="WDD4" s="27"/>
      <c r="WDE4" s="27"/>
      <c r="WDF4" s="27"/>
      <c r="WDG4" s="27"/>
      <c r="WDH4" s="27"/>
      <c r="WDI4" s="27"/>
      <c r="WDJ4" s="27"/>
      <c r="WDK4" s="27"/>
      <c r="WDL4" s="27"/>
      <c r="WDM4" s="27"/>
      <c r="WDN4" s="27"/>
      <c r="WDO4" s="27"/>
      <c r="WDP4" s="27"/>
      <c r="WDQ4" s="27"/>
      <c r="WDR4" s="27"/>
      <c r="WDS4" s="27"/>
      <c r="WDT4" s="27"/>
      <c r="WDU4" s="27"/>
      <c r="WDV4" s="27"/>
      <c r="WDW4" s="27"/>
      <c r="WDX4" s="27"/>
      <c r="WDY4" s="27"/>
      <c r="WDZ4" s="27"/>
      <c r="WEA4" s="27"/>
      <c r="WEB4" s="27"/>
      <c r="WEC4" s="27"/>
      <c r="WED4" s="27"/>
      <c r="WEE4" s="27"/>
      <c r="WEF4" s="27"/>
      <c r="WEG4" s="27"/>
      <c r="WEH4" s="27"/>
      <c r="WEI4" s="27"/>
      <c r="WEJ4" s="27"/>
      <c r="WEK4" s="27"/>
      <c r="WEL4" s="27"/>
      <c r="WEM4" s="27"/>
      <c r="WEN4" s="27"/>
      <c r="WEO4" s="27"/>
      <c r="WEP4" s="27"/>
      <c r="WEQ4" s="27"/>
      <c r="WER4" s="27"/>
      <c r="WES4" s="27"/>
      <c r="WET4" s="27"/>
      <c r="WEU4" s="27"/>
      <c r="WEV4" s="27"/>
      <c r="WEW4" s="27"/>
      <c r="WEX4" s="27"/>
      <c r="WEY4" s="27"/>
      <c r="WEZ4" s="27"/>
      <c r="WFA4" s="27"/>
      <c r="WFB4" s="27"/>
      <c r="WFC4" s="27"/>
      <c r="WFD4" s="27"/>
      <c r="WFE4" s="27"/>
      <c r="WFF4" s="27"/>
      <c r="WFG4" s="27"/>
      <c r="WFH4" s="27"/>
      <c r="WFI4" s="27"/>
      <c r="WFJ4" s="27"/>
      <c r="WFK4" s="27"/>
      <c r="WFL4" s="27"/>
      <c r="WFM4" s="27"/>
      <c r="WFN4" s="27"/>
      <c r="WFO4" s="27"/>
      <c r="WFP4" s="27"/>
      <c r="WFQ4" s="27"/>
      <c r="WFR4" s="27"/>
      <c r="WFS4" s="27"/>
      <c r="WFT4" s="27"/>
      <c r="WFU4" s="27"/>
      <c r="WFV4" s="27"/>
      <c r="WFW4" s="27"/>
      <c r="WFX4" s="27"/>
      <c r="WFY4" s="27"/>
      <c r="WFZ4" s="27"/>
      <c r="WGA4" s="27"/>
      <c r="WGB4" s="27"/>
      <c r="WGC4" s="27"/>
      <c r="WGD4" s="27"/>
      <c r="WGE4" s="27"/>
      <c r="WGF4" s="27"/>
      <c r="WGG4" s="27"/>
      <c r="WGH4" s="27"/>
      <c r="WGI4" s="27"/>
      <c r="WGJ4" s="27"/>
      <c r="WGK4" s="27"/>
      <c r="WGL4" s="27"/>
      <c r="WGM4" s="27"/>
      <c r="WGN4" s="27"/>
      <c r="WGO4" s="27"/>
      <c r="WGP4" s="27"/>
      <c r="WGQ4" s="27"/>
      <c r="WGR4" s="27"/>
      <c r="WGS4" s="27"/>
      <c r="WGT4" s="27"/>
      <c r="WGU4" s="27"/>
      <c r="WGV4" s="27"/>
      <c r="WGW4" s="27"/>
      <c r="WGX4" s="27"/>
      <c r="WGY4" s="27"/>
      <c r="WGZ4" s="27"/>
      <c r="WHA4" s="27"/>
      <c r="WHB4" s="27"/>
      <c r="WHC4" s="27"/>
      <c r="WHD4" s="27"/>
      <c r="WHE4" s="27"/>
      <c r="WHF4" s="27"/>
      <c r="WHG4" s="27"/>
      <c r="WHH4" s="27"/>
      <c r="WHI4" s="27"/>
      <c r="WHJ4" s="27"/>
      <c r="WHK4" s="27"/>
      <c r="WHL4" s="27"/>
      <c r="WHM4" s="27"/>
      <c r="WHN4" s="27"/>
      <c r="WHO4" s="27"/>
      <c r="WHP4" s="27"/>
      <c r="WHQ4" s="27"/>
      <c r="WHR4" s="27"/>
      <c r="WHS4" s="27"/>
      <c r="WHT4" s="27"/>
      <c r="WHU4" s="27"/>
      <c r="WHV4" s="27"/>
      <c r="WHW4" s="27"/>
      <c r="WHX4" s="27"/>
      <c r="WHY4" s="27"/>
      <c r="WHZ4" s="27"/>
      <c r="WIA4" s="27"/>
      <c r="WIB4" s="27"/>
      <c r="WIC4" s="27"/>
      <c r="WID4" s="27"/>
      <c r="WIE4" s="27"/>
      <c r="WIF4" s="27"/>
      <c r="WIG4" s="27"/>
      <c r="WIH4" s="27"/>
      <c r="WII4" s="27"/>
      <c r="WIJ4" s="27"/>
      <c r="WIK4" s="27"/>
      <c r="WIL4" s="27"/>
      <c r="WIM4" s="27"/>
      <c r="WIN4" s="27"/>
      <c r="WIO4" s="27"/>
      <c r="WIP4" s="27"/>
      <c r="WIQ4" s="27"/>
      <c r="WIR4" s="27"/>
      <c r="WIS4" s="27"/>
      <c r="WIT4" s="27"/>
      <c r="WIU4" s="27"/>
      <c r="WIV4" s="27"/>
      <c r="WIW4" s="27"/>
      <c r="WIX4" s="27"/>
      <c r="WIY4" s="27"/>
      <c r="WIZ4" s="27"/>
      <c r="WJA4" s="27"/>
      <c r="WJB4" s="27"/>
      <c r="WJC4" s="27"/>
      <c r="WJD4" s="27"/>
      <c r="WJE4" s="27"/>
      <c r="WJF4" s="27"/>
      <c r="WJG4" s="27"/>
      <c r="WJH4" s="27"/>
      <c r="WJI4" s="27"/>
      <c r="WJJ4" s="27"/>
      <c r="WJK4" s="27"/>
      <c r="WJL4" s="27"/>
      <c r="WJM4" s="27"/>
      <c r="WJN4" s="27"/>
      <c r="WJO4" s="27"/>
      <c r="WJP4" s="27"/>
      <c r="WJQ4" s="27"/>
      <c r="WJR4" s="27"/>
      <c r="WJS4" s="27"/>
      <c r="WJT4" s="27"/>
      <c r="WJU4" s="27"/>
      <c r="WJV4" s="27"/>
      <c r="WJW4" s="27"/>
      <c r="WJX4" s="27"/>
      <c r="WJY4" s="27"/>
      <c r="WJZ4" s="27"/>
      <c r="WKA4" s="27"/>
      <c r="WKB4" s="27"/>
      <c r="WKC4" s="27"/>
      <c r="WKD4" s="27"/>
      <c r="WKE4" s="27"/>
      <c r="WKF4" s="27"/>
      <c r="WKG4" s="27"/>
      <c r="WKH4" s="27"/>
      <c r="WKI4" s="27"/>
      <c r="WKJ4" s="27"/>
      <c r="WKK4" s="27"/>
      <c r="WKL4" s="27"/>
      <c r="WKM4" s="27"/>
      <c r="WKN4" s="27"/>
      <c r="WKO4" s="27"/>
      <c r="WKP4" s="27"/>
      <c r="WKQ4" s="27"/>
      <c r="WKR4" s="27"/>
      <c r="WKS4" s="27"/>
      <c r="WKT4" s="27"/>
      <c r="WKU4" s="27"/>
      <c r="WKV4" s="27"/>
      <c r="WKW4" s="27"/>
      <c r="WKX4" s="27"/>
      <c r="WKY4" s="27"/>
      <c r="WKZ4" s="27"/>
      <c r="WLA4" s="27"/>
      <c r="WLB4" s="27"/>
      <c r="WLC4" s="27"/>
      <c r="WLD4" s="27"/>
      <c r="WLE4" s="27"/>
      <c r="WLF4" s="27"/>
      <c r="WLG4" s="27"/>
      <c r="WLH4" s="27"/>
      <c r="WLI4" s="27"/>
      <c r="WLJ4" s="27"/>
      <c r="WLK4" s="27"/>
      <c r="WLL4" s="27"/>
      <c r="WLM4" s="27"/>
      <c r="WLN4" s="27"/>
      <c r="WLO4" s="27"/>
      <c r="WLP4" s="27"/>
      <c r="WLQ4" s="27"/>
      <c r="WLR4" s="27"/>
      <c r="WLS4" s="27"/>
      <c r="WLT4" s="27"/>
      <c r="WLU4" s="27"/>
      <c r="WLV4" s="27"/>
      <c r="WLW4" s="27"/>
      <c r="WLX4" s="27"/>
      <c r="WLY4" s="27"/>
      <c r="WLZ4" s="27"/>
      <c r="WMA4" s="27"/>
      <c r="WMB4" s="27"/>
      <c r="WMC4" s="27"/>
      <c r="WMD4" s="27"/>
      <c r="WME4" s="27"/>
      <c r="WMF4" s="27"/>
      <c r="WMG4" s="27"/>
      <c r="WMH4" s="27"/>
      <c r="WMI4" s="27"/>
      <c r="WMJ4" s="27"/>
      <c r="WMK4" s="27"/>
      <c r="WML4" s="27"/>
      <c r="WMM4" s="27"/>
      <c r="WMN4" s="27"/>
      <c r="WMO4" s="27"/>
      <c r="WMP4" s="27"/>
      <c r="WMQ4" s="27"/>
      <c r="WMR4" s="27"/>
      <c r="WMS4" s="27"/>
      <c r="WMT4" s="27"/>
      <c r="WMU4" s="27"/>
      <c r="WMV4" s="27"/>
      <c r="WMW4" s="27"/>
      <c r="WMX4" s="27"/>
      <c r="WMY4" s="27"/>
      <c r="WMZ4" s="27"/>
      <c r="WNA4" s="27"/>
      <c r="WNB4" s="27"/>
      <c r="WNC4" s="27"/>
      <c r="WND4" s="27"/>
      <c r="WNE4" s="27"/>
      <c r="WNF4" s="27"/>
      <c r="WNG4" s="27"/>
      <c r="WNH4" s="27"/>
      <c r="WNI4" s="27"/>
      <c r="WNJ4" s="27"/>
      <c r="WNK4" s="27"/>
      <c r="WNL4" s="27"/>
      <c r="WNM4" s="27"/>
      <c r="WNN4" s="27"/>
      <c r="WNO4" s="27"/>
      <c r="WNP4" s="27"/>
      <c r="WNQ4" s="27"/>
      <c r="WNR4" s="27"/>
      <c r="WNS4" s="27"/>
      <c r="WNT4" s="27"/>
      <c r="WNU4" s="27"/>
      <c r="WNV4" s="27"/>
      <c r="WNW4" s="27"/>
      <c r="WNX4" s="27"/>
      <c r="WNY4" s="27"/>
      <c r="WNZ4" s="27"/>
      <c r="WOA4" s="27"/>
      <c r="WOB4" s="27"/>
      <c r="WOC4" s="27"/>
      <c r="WOD4" s="27"/>
      <c r="WOE4" s="27"/>
      <c r="WOF4" s="27"/>
      <c r="WOG4" s="27"/>
      <c r="WOH4" s="27"/>
      <c r="WOI4" s="27"/>
      <c r="WOJ4" s="27"/>
      <c r="WOK4" s="27"/>
      <c r="WOL4" s="27"/>
      <c r="WOM4" s="27"/>
      <c r="WON4" s="27"/>
      <c r="WOO4" s="27"/>
      <c r="WOP4" s="27"/>
      <c r="WOQ4" s="27"/>
      <c r="WOR4" s="27"/>
      <c r="WOS4" s="27"/>
      <c r="WOT4" s="27"/>
      <c r="WOU4" s="27"/>
      <c r="WOV4" s="27"/>
      <c r="WOW4" s="27"/>
      <c r="WOX4" s="27"/>
      <c r="WOY4" s="27"/>
      <c r="WOZ4" s="27"/>
      <c r="WPA4" s="27"/>
      <c r="WPB4" s="27"/>
      <c r="WPC4" s="27"/>
      <c r="WPD4" s="27"/>
      <c r="WPE4" s="27"/>
      <c r="WPF4" s="27"/>
      <c r="WPG4" s="27"/>
      <c r="WPH4" s="27"/>
      <c r="WPI4" s="27"/>
      <c r="WPJ4" s="27"/>
      <c r="WPK4" s="27"/>
      <c r="WPL4" s="27"/>
      <c r="WPM4" s="27"/>
      <c r="WPN4" s="27"/>
      <c r="WPO4" s="27"/>
      <c r="WPP4" s="27"/>
      <c r="WPQ4" s="27"/>
      <c r="WPR4" s="27"/>
      <c r="WPS4" s="27"/>
      <c r="WPT4" s="27"/>
      <c r="WPU4" s="27"/>
      <c r="WPV4" s="27"/>
      <c r="WPW4" s="27"/>
      <c r="WPX4" s="27"/>
      <c r="WPY4" s="27"/>
      <c r="WPZ4" s="27"/>
      <c r="WQA4" s="27"/>
      <c r="WQB4" s="27"/>
      <c r="WQC4" s="27"/>
      <c r="WQD4" s="27"/>
      <c r="WQE4" s="27"/>
      <c r="WQF4" s="27"/>
      <c r="WQG4" s="27"/>
      <c r="WQH4" s="27"/>
      <c r="WQI4" s="27"/>
      <c r="WQJ4" s="27"/>
      <c r="WQK4" s="27"/>
      <c r="WQL4" s="27"/>
      <c r="WQM4" s="27"/>
      <c r="WQN4" s="27"/>
      <c r="WQO4" s="27"/>
      <c r="WQP4" s="27"/>
      <c r="WQQ4" s="27"/>
      <c r="WQR4" s="27"/>
      <c r="WQS4" s="27"/>
      <c r="WQT4" s="27"/>
      <c r="WQU4" s="27"/>
      <c r="WQV4" s="27"/>
      <c r="WQW4" s="27"/>
      <c r="WQX4" s="27"/>
      <c r="WQY4" s="27"/>
      <c r="WQZ4" s="27"/>
      <c r="WRA4" s="27"/>
      <c r="WRB4" s="27"/>
      <c r="WRC4" s="27"/>
      <c r="WRD4" s="27"/>
      <c r="WRE4" s="27"/>
      <c r="WRF4" s="27"/>
      <c r="WRG4" s="27"/>
      <c r="WRH4" s="27"/>
      <c r="WRI4" s="27"/>
      <c r="WRJ4" s="27"/>
      <c r="WRK4" s="27"/>
      <c r="WRL4" s="27"/>
      <c r="WRM4" s="27"/>
      <c r="WRN4" s="27"/>
      <c r="WRO4" s="27"/>
      <c r="WRP4" s="27"/>
      <c r="WRQ4" s="27"/>
      <c r="WRR4" s="27"/>
      <c r="WRS4" s="27"/>
      <c r="WRT4" s="27"/>
      <c r="WRU4" s="27"/>
      <c r="WRV4" s="27"/>
      <c r="WRW4" s="27"/>
      <c r="WRX4" s="27"/>
      <c r="WRY4" s="27"/>
      <c r="WRZ4" s="27"/>
      <c r="WSA4" s="27"/>
      <c r="WSB4" s="27"/>
      <c r="WSC4" s="27"/>
      <c r="WSD4" s="27"/>
      <c r="WSE4" s="27"/>
      <c r="WSF4" s="27"/>
      <c r="WSG4" s="27"/>
      <c r="WSH4" s="27"/>
      <c r="WSI4" s="27"/>
      <c r="WSJ4" s="27"/>
      <c r="WSK4" s="27"/>
      <c r="WSL4" s="27"/>
      <c r="WSM4" s="27"/>
      <c r="WSN4" s="27"/>
      <c r="WSO4" s="27"/>
      <c r="WSP4" s="27"/>
      <c r="WSQ4" s="27"/>
      <c r="WSR4" s="27"/>
      <c r="WSS4" s="27"/>
      <c r="WST4" s="27"/>
      <c r="WSU4" s="27"/>
      <c r="WSV4" s="27"/>
      <c r="WSW4" s="27"/>
      <c r="WSX4" s="27"/>
      <c r="WSY4" s="27"/>
      <c r="WSZ4" s="27"/>
      <c r="WTA4" s="27"/>
      <c r="WTB4" s="27"/>
      <c r="WTC4" s="27"/>
      <c r="WTD4" s="27"/>
      <c r="WTE4" s="27"/>
      <c r="WTF4" s="27"/>
      <c r="WTG4" s="27"/>
      <c r="WTH4" s="27"/>
      <c r="WTI4" s="27"/>
      <c r="WTJ4" s="27"/>
      <c r="WTK4" s="27"/>
      <c r="WTL4" s="27"/>
      <c r="WTM4" s="27"/>
      <c r="WTN4" s="27"/>
      <c r="WTO4" s="27"/>
      <c r="WTP4" s="27"/>
      <c r="WTQ4" s="27"/>
      <c r="WTR4" s="27"/>
      <c r="WTS4" s="27"/>
      <c r="WTT4" s="27"/>
      <c r="WTU4" s="27"/>
      <c r="WTV4" s="27"/>
      <c r="WTW4" s="27"/>
      <c r="WTX4" s="27"/>
      <c r="WTY4" s="27"/>
      <c r="WTZ4" s="27"/>
      <c r="WUA4" s="27"/>
      <c r="WUB4" s="27"/>
      <c r="WUC4" s="27"/>
      <c r="WUD4" s="27"/>
      <c r="WUE4" s="27"/>
      <c r="WUF4" s="27"/>
      <c r="WUG4" s="27"/>
      <c r="WUH4" s="27"/>
      <c r="WUI4" s="27"/>
      <c r="WUJ4" s="27"/>
      <c r="WUK4" s="27"/>
      <c r="WUL4" s="27"/>
      <c r="WUM4" s="27"/>
      <c r="WUN4" s="27"/>
      <c r="WUO4" s="27"/>
      <c r="WUP4" s="27"/>
      <c r="WUQ4" s="27"/>
      <c r="WUR4" s="27"/>
      <c r="WUS4" s="27"/>
      <c r="WUT4" s="27"/>
      <c r="WUU4" s="27"/>
      <c r="WUV4" s="27"/>
      <c r="WUW4" s="27"/>
      <c r="WUX4" s="27"/>
      <c r="WUY4" s="27"/>
      <c r="WUZ4" s="27"/>
      <c r="WVA4" s="27"/>
      <c r="WVB4" s="27"/>
      <c r="WVC4" s="27"/>
      <c r="WVD4" s="27"/>
      <c r="WVE4" s="27"/>
      <c r="WVF4" s="27"/>
      <c r="WVG4" s="27"/>
      <c r="WVH4" s="27"/>
      <c r="WVI4" s="27"/>
      <c r="WVJ4" s="27"/>
      <c r="WVK4" s="27"/>
      <c r="WVL4" s="27"/>
      <c r="WVM4" s="27"/>
      <c r="WVN4" s="27"/>
      <c r="WVO4" s="27"/>
      <c r="WVP4" s="27"/>
      <c r="WVQ4" s="27"/>
      <c r="WVR4" s="27"/>
      <c r="WVS4" s="27"/>
      <c r="WVT4" s="27"/>
      <c r="WVU4" s="27"/>
      <c r="WVV4" s="27"/>
      <c r="WVW4" s="27"/>
      <c r="WVX4" s="27"/>
      <c r="WVY4" s="27"/>
      <c r="WVZ4" s="27"/>
      <c r="WWA4" s="27"/>
      <c r="WWB4" s="27"/>
      <c r="WWC4" s="27"/>
      <c r="WWD4" s="27"/>
      <c r="WWE4" s="27"/>
      <c r="WWF4" s="27"/>
      <c r="WWG4" s="27"/>
      <c r="WWH4" s="27"/>
      <c r="WWI4" s="27"/>
      <c r="WWJ4" s="27"/>
      <c r="WWK4" s="27"/>
      <c r="WWL4" s="27"/>
      <c r="WWM4" s="27"/>
      <c r="WWN4" s="27"/>
      <c r="WWO4" s="27"/>
      <c r="WWP4" s="27"/>
      <c r="WWQ4" s="27"/>
      <c r="WWR4" s="27"/>
      <c r="WWS4" s="27"/>
      <c r="WWT4" s="27"/>
      <c r="WWU4" s="27"/>
      <c r="WWV4" s="27"/>
      <c r="WWW4" s="27"/>
      <c r="WWX4" s="27"/>
      <c r="WWY4" s="27"/>
      <c r="WWZ4" s="27"/>
      <c r="WXA4" s="27"/>
      <c r="WXB4" s="27"/>
      <c r="WXC4" s="27"/>
      <c r="WXD4" s="27"/>
      <c r="WXE4" s="27"/>
      <c r="WXF4" s="27"/>
      <c r="WXG4" s="27"/>
      <c r="WXH4" s="27"/>
      <c r="WXI4" s="27"/>
      <c r="WXJ4" s="27"/>
      <c r="WXK4" s="27"/>
      <c r="WXL4" s="27"/>
      <c r="WXM4" s="27"/>
      <c r="WXN4" s="27"/>
      <c r="WXO4" s="27"/>
      <c r="WXP4" s="27"/>
      <c r="WXQ4" s="27"/>
      <c r="WXR4" s="27"/>
      <c r="WXS4" s="27"/>
      <c r="WXT4" s="27"/>
      <c r="WXU4" s="27"/>
      <c r="WXV4" s="27"/>
      <c r="WXW4" s="27"/>
      <c r="WXX4" s="27"/>
      <c r="WXY4" s="27"/>
      <c r="WXZ4" s="27"/>
      <c r="WYA4" s="27"/>
      <c r="WYB4" s="27"/>
      <c r="WYC4" s="27"/>
      <c r="WYD4" s="27"/>
      <c r="WYE4" s="27"/>
      <c r="WYF4" s="27"/>
      <c r="WYG4" s="27"/>
      <c r="WYH4" s="27"/>
      <c r="WYI4" s="27"/>
      <c r="WYJ4" s="27"/>
      <c r="WYK4" s="27"/>
      <c r="WYL4" s="27"/>
      <c r="WYM4" s="27"/>
      <c r="WYN4" s="27"/>
      <c r="WYO4" s="27"/>
      <c r="WYP4" s="27"/>
      <c r="WYQ4" s="27"/>
      <c r="WYR4" s="27"/>
      <c r="WYS4" s="27"/>
      <c r="WYT4" s="27"/>
      <c r="WYU4" s="27"/>
      <c r="WYV4" s="27"/>
      <c r="WYW4" s="27"/>
      <c r="WYX4" s="27"/>
      <c r="WYY4" s="27"/>
      <c r="WYZ4" s="27"/>
      <c r="WZA4" s="27"/>
      <c r="WZB4" s="27"/>
      <c r="WZC4" s="27"/>
      <c r="WZD4" s="27"/>
      <c r="WZE4" s="27"/>
      <c r="WZF4" s="27"/>
      <c r="WZG4" s="27"/>
      <c r="WZH4" s="27"/>
      <c r="WZI4" s="27"/>
      <c r="WZJ4" s="27"/>
      <c r="WZK4" s="27"/>
      <c r="WZL4" s="27"/>
      <c r="WZM4" s="27"/>
      <c r="WZN4" s="27"/>
      <c r="WZO4" s="27"/>
      <c r="WZP4" s="27"/>
      <c r="WZQ4" s="27"/>
      <c r="WZR4" s="27"/>
      <c r="WZS4" s="27"/>
      <c r="WZT4" s="27"/>
      <c r="WZU4" s="27"/>
      <c r="WZV4" s="27"/>
      <c r="WZW4" s="27"/>
      <c r="WZX4" s="27"/>
      <c r="WZY4" s="27"/>
      <c r="WZZ4" s="27"/>
      <c r="XAA4" s="27"/>
      <c r="XAB4" s="27"/>
      <c r="XAC4" s="27"/>
      <c r="XAD4" s="27"/>
      <c r="XAE4" s="27"/>
      <c r="XAF4" s="27"/>
      <c r="XAG4" s="27"/>
      <c r="XAH4" s="27"/>
      <c r="XAI4" s="27"/>
      <c r="XAJ4" s="27"/>
      <c r="XAK4" s="27"/>
      <c r="XAL4" s="27"/>
      <c r="XAM4" s="27"/>
      <c r="XAN4" s="27"/>
      <c r="XAO4" s="27"/>
      <c r="XAP4" s="27"/>
      <c r="XAQ4" s="27"/>
      <c r="XAR4" s="27"/>
      <c r="XAS4" s="27"/>
      <c r="XAT4" s="27"/>
      <c r="XAU4" s="27"/>
      <c r="XAV4" s="27"/>
      <c r="XAW4" s="27"/>
      <c r="XAX4" s="27"/>
      <c r="XAY4" s="27"/>
      <c r="XAZ4" s="27"/>
      <c r="XBA4" s="27"/>
      <c r="XBB4" s="27"/>
      <c r="XBC4" s="27"/>
      <c r="XBD4" s="27"/>
      <c r="XBE4" s="27"/>
      <c r="XBF4" s="27"/>
      <c r="XBG4" s="27"/>
      <c r="XBH4" s="27"/>
      <c r="XBI4" s="27"/>
      <c r="XBJ4" s="27"/>
      <c r="XBK4" s="27"/>
      <c r="XBL4" s="27"/>
      <c r="XBM4" s="27"/>
      <c r="XBN4" s="27"/>
      <c r="XBO4" s="27"/>
      <c r="XBP4" s="27"/>
      <c r="XBQ4" s="27"/>
      <c r="XBR4" s="27"/>
      <c r="XBS4" s="27"/>
      <c r="XBT4" s="27"/>
      <c r="XBU4" s="27"/>
      <c r="XBV4" s="27"/>
      <c r="XBW4" s="27"/>
      <c r="XBX4" s="27"/>
      <c r="XBY4" s="27"/>
      <c r="XBZ4" s="27"/>
      <c r="XCA4" s="27"/>
      <c r="XCB4" s="27"/>
      <c r="XCC4" s="27"/>
      <c r="XCD4" s="27"/>
      <c r="XCE4" s="27"/>
      <c r="XCF4" s="27"/>
      <c r="XCG4" s="27"/>
      <c r="XCH4" s="27"/>
      <c r="XCI4" s="27"/>
      <c r="XCJ4" s="27"/>
      <c r="XCK4" s="27"/>
      <c r="XCL4" s="27"/>
      <c r="XCM4" s="27"/>
      <c r="XCN4" s="27"/>
      <c r="XCO4" s="27"/>
      <c r="XCP4" s="27"/>
      <c r="XCQ4" s="27"/>
      <c r="XCR4" s="27"/>
      <c r="XCS4" s="27"/>
      <c r="XCT4" s="27"/>
      <c r="XCU4" s="27"/>
      <c r="XCV4" s="27"/>
      <c r="XCW4" s="27"/>
      <c r="XCX4" s="27"/>
      <c r="XCY4" s="27"/>
      <c r="XCZ4" s="27"/>
      <c r="XDA4" s="27"/>
      <c r="XDB4" s="27"/>
      <c r="XDC4" s="27"/>
      <c r="XDD4" s="27"/>
      <c r="XDE4" s="27"/>
      <c r="XDF4" s="27"/>
      <c r="XDG4" s="27"/>
      <c r="XDH4" s="27"/>
      <c r="XDI4" s="27"/>
      <c r="XDJ4" s="27"/>
      <c r="XDK4" s="27"/>
      <c r="XDL4" s="27"/>
      <c r="XDM4" s="27"/>
      <c r="XDN4" s="27"/>
      <c r="XDO4" s="27"/>
      <c r="XDP4" s="27"/>
      <c r="XDQ4" s="27"/>
      <c r="XDR4" s="27"/>
      <c r="XDS4" s="27"/>
      <c r="XDT4" s="27"/>
      <c r="XDU4" s="27"/>
      <c r="XDV4" s="27"/>
      <c r="XDW4" s="27"/>
      <c r="XDX4" s="27"/>
      <c r="XDY4" s="27"/>
      <c r="XDZ4" s="27"/>
      <c r="XEA4" s="27"/>
      <c r="XEB4" s="27"/>
      <c r="XEC4" s="27"/>
      <c r="XED4" s="27"/>
      <c r="XEE4" s="27"/>
      <c r="XEF4" s="27"/>
      <c r="XEG4" s="27"/>
      <c r="XEH4" s="27"/>
      <c r="XEI4" s="27"/>
      <c r="XEJ4" s="27"/>
      <c r="XEK4" s="27"/>
      <c r="XEL4" s="27"/>
      <c r="XEM4" s="27"/>
      <c r="XEN4" s="27"/>
      <c r="XEO4" s="27"/>
      <c r="XEP4" s="27"/>
      <c r="XEQ4" s="27"/>
      <c r="XER4" s="27"/>
      <c r="XES4" s="27"/>
      <c r="XET4" s="27"/>
      <c r="XEU4" s="27"/>
      <c r="XEV4" s="27"/>
      <c r="XEW4" s="27"/>
      <c r="XEX4" s="27"/>
      <c r="XEY4" s="27"/>
      <c r="XEZ4" s="27"/>
      <c r="XFA4" s="27"/>
      <c r="XFB4" s="27"/>
      <c r="XFC4" s="27"/>
      <c r="XFD4" s="27"/>
    </row>
    <row r="5" spans="2:16384" s="32" customFormat="1" ht="20.100000000000001" customHeight="1" x14ac:dyDescent="0.3">
      <c r="B5" s="29" t="s">
        <v>755</v>
      </c>
      <c r="C5" s="29"/>
      <c r="D5" s="29"/>
      <c r="E5" s="35"/>
      <c r="F5" s="30"/>
      <c r="G5" s="37"/>
      <c r="H5" s="31"/>
      <c r="I5" s="31"/>
      <c r="J5" s="31"/>
      <c r="K5" s="31" t="s">
        <v>243</v>
      </c>
      <c r="L5" s="31"/>
      <c r="M5" s="30"/>
      <c r="N5" s="30"/>
      <c r="O5" s="31"/>
      <c r="P5" s="31"/>
      <c r="Q5" s="31"/>
      <c r="R5" s="31"/>
      <c r="S5" s="31"/>
      <c r="T5" s="31"/>
      <c r="U5" s="30"/>
      <c r="V5" s="30"/>
      <c r="W5" s="31"/>
      <c r="X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  <c r="ATJ5" s="27"/>
      <c r="ATK5" s="27"/>
      <c r="ATL5" s="27"/>
      <c r="ATM5" s="27"/>
      <c r="ATN5" s="27"/>
      <c r="ATO5" s="27"/>
      <c r="ATP5" s="27"/>
      <c r="ATQ5" s="27"/>
      <c r="ATR5" s="27"/>
      <c r="ATS5" s="27"/>
      <c r="ATT5" s="27"/>
      <c r="ATU5" s="27"/>
      <c r="ATV5" s="27"/>
      <c r="ATW5" s="27"/>
      <c r="ATX5" s="27"/>
      <c r="ATY5" s="27"/>
      <c r="ATZ5" s="27"/>
      <c r="AUA5" s="27"/>
      <c r="AUB5" s="27"/>
      <c r="AUC5" s="27"/>
      <c r="AUD5" s="27"/>
      <c r="AUE5" s="27"/>
      <c r="AUF5" s="27"/>
      <c r="AUG5" s="27"/>
      <c r="AUH5" s="27"/>
      <c r="AUI5" s="27"/>
      <c r="AUJ5" s="27"/>
      <c r="AUK5" s="27"/>
      <c r="AUL5" s="27"/>
      <c r="AUM5" s="27"/>
      <c r="AUN5" s="27"/>
      <c r="AUO5" s="27"/>
      <c r="AUP5" s="27"/>
      <c r="AUQ5" s="27"/>
      <c r="AUR5" s="27"/>
      <c r="AUS5" s="27"/>
      <c r="AUT5" s="27"/>
      <c r="AUU5" s="27"/>
      <c r="AUV5" s="27"/>
      <c r="AUW5" s="27"/>
      <c r="AUX5" s="27"/>
      <c r="AUY5" s="27"/>
      <c r="AUZ5" s="27"/>
      <c r="AVA5" s="27"/>
      <c r="AVB5" s="27"/>
      <c r="AVC5" s="27"/>
      <c r="AVD5" s="27"/>
      <c r="AVE5" s="27"/>
      <c r="AVF5" s="27"/>
      <c r="AVG5" s="27"/>
      <c r="AVH5" s="27"/>
      <c r="AVI5" s="27"/>
      <c r="AVJ5" s="27"/>
      <c r="AVK5" s="27"/>
      <c r="AVL5" s="27"/>
      <c r="AVM5" s="27"/>
      <c r="AVN5" s="27"/>
      <c r="AVO5" s="27"/>
      <c r="AVP5" s="27"/>
      <c r="AVQ5" s="27"/>
      <c r="AVR5" s="27"/>
      <c r="AVS5" s="27"/>
      <c r="AVT5" s="27"/>
      <c r="AVU5" s="27"/>
      <c r="AVV5" s="27"/>
      <c r="AVW5" s="27"/>
      <c r="AVX5" s="27"/>
      <c r="AVY5" s="27"/>
      <c r="AVZ5" s="27"/>
      <c r="AWA5" s="27"/>
      <c r="AWB5" s="27"/>
      <c r="AWC5" s="27"/>
      <c r="AWD5" s="27"/>
      <c r="AWE5" s="27"/>
      <c r="AWF5" s="27"/>
      <c r="AWG5" s="27"/>
      <c r="AWH5" s="27"/>
      <c r="AWI5" s="27"/>
      <c r="AWJ5" s="27"/>
      <c r="AWK5" s="27"/>
      <c r="AWL5" s="27"/>
      <c r="AWM5" s="27"/>
      <c r="AWN5" s="27"/>
      <c r="AWO5" s="27"/>
      <c r="AWP5" s="27"/>
      <c r="AWQ5" s="27"/>
      <c r="AWR5" s="27"/>
      <c r="AWS5" s="27"/>
      <c r="AWT5" s="27"/>
      <c r="AWU5" s="27"/>
      <c r="AWV5" s="27"/>
      <c r="AWW5" s="27"/>
      <c r="AWX5" s="27"/>
      <c r="AWY5" s="27"/>
      <c r="AWZ5" s="27"/>
      <c r="AXA5" s="27"/>
      <c r="AXB5" s="27"/>
      <c r="AXC5" s="27"/>
      <c r="AXD5" s="27"/>
      <c r="AXE5" s="27"/>
      <c r="AXF5" s="27"/>
      <c r="AXG5" s="27"/>
      <c r="AXH5" s="27"/>
      <c r="AXI5" s="27"/>
      <c r="AXJ5" s="27"/>
      <c r="AXK5" s="27"/>
      <c r="AXL5" s="27"/>
      <c r="AXM5" s="27"/>
      <c r="AXN5" s="27"/>
      <c r="AXO5" s="27"/>
      <c r="AXP5" s="27"/>
      <c r="AXQ5" s="27"/>
      <c r="AXR5" s="27"/>
      <c r="AXS5" s="27"/>
      <c r="AXT5" s="27"/>
      <c r="AXU5" s="27"/>
      <c r="AXV5" s="27"/>
      <c r="AXW5" s="27"/>
      <c r="AXX5" s="27"/>
      <c r="AXY5" s="27"/>
      <c r="AXZ5" s="27"/>
      <c r="AYA5" s="27"/>
      <c r="AYB5" s="27"/>
      <c r="AYC5" s="27"/>
      <c r="AYD5" s="27"/>
      <c r="AYE5" s="27"/>
      <c r="AYF5" s="27"/>
      <c r="AYG5" s="27"/>
      <c r="AYH5" s="27"/>
      <c r="AYI5" s="27"/>
      <c r="AYJ5" s="27"/>
      <c r="AYK5" s="27"/>
      <c r="AYL5" s="27"/>
      <c r="AYM5" s="27"/>
      <c r="AYN5" s="27"/>
      <c r="AYO5" s="27"/>
      <c r="AYP5" s="27"/>
      <c r="AYQ5" s="27"/>
      <c r="AYR5" s="27"/>
      <c r="AYS5" s="27"/>
      <c r="AYT5" s="27"/>
      <c r="AYU5" s="27"/>
      <c r="AYV5" s="27"/>
      <c r="AYW5" s="27"/>
      <c r="AYX5" s="27"/>
      <c r="AYY5" s="27"/>
      <c r="AYZ5" s="27"/>
      <c r="AZA5" s="27"/>
      <c r="AZB5" s="27"/>
      <c r="AZC5" s="27"/>
      <c r="AZD5" s="27"/>
      <c r="AZE5" s="27"/>
      <c r="AZF5" s="27"/>
      <c r="AZG5" s="27"/>
      <c r="AZH5" s="27"/>
      <c r="AZI5" s="27"/>
      <c r="AZJ5" s="27"/>
      <c r="AZK5" s="27"/>
      <c r="AZL5" s="27"/>
      <c r="AZM5" s="27"/>
      <c r="AZN5" s="27"/>
      <c r="AZO5" s="27"/>
      <c r="AZP5" s="27"/>
      <c r="AZQ5" s="27"/>
      <c r="AZR5" s="27"/>
      <c r="AZS5" s="27"/>
      <c r="AZT5" s="27"/>
      <c r="AZU5" s="27"/>
      <c r="AZV5" s="27"/>
      <c r="AZW5" s="27"/>
      <c r="AZX5" s="27"/>
      <c r="AZY5" s="27"/>
      <c r="AZZ5" s="27"/>
      <c r="BAA5" s="27"/>
      <c r="BAB5" s="27"/>
      <c r="BAC5" s="27"/>
      <c r="BAD5" s="27"/>
      <c r="BAE5" s="27"/>
      <c r="BAF5" s="27"/>
      <c r="BAG5" s="27"/>
      <c r="BAH5" s="27"/>
      <c r="BAI5" s="27"/>
      <c r="BAJ5" s="27"/>
      <c r="BAK5" s="27"/>
      <c r="BAL5" s="27"/>
      <c r="BAM5" s="27"/>
      <c r="BAN5" s="27"/>
      <c r="BAO5" s="27"/>
      <c r="BAP5" s="27"/>
      <c r="BAQ5" s="27"/>
      <c r="BAR5" s="27"/>
      <c r="BAS5" s="27"/>
      <c r="BAT5" s="27"/>
      <c r="BAU5" s="27"/>
      <c r="BAV5" s="27"/>
      <c r="BAW5" s="27"/>
      <c r="BAX5" s="27"/>
      <c r="BAY5" s="27"/>
      <c r="BAZ5" s="27"/>
      <c r="BBA5" s="27"/>
      <c r="BBB5" s="27"/>
      <c r="BBC5" s="27"/>
      <c r="BBD5" s="27"/>
      <c r="BBE5" s="27"/>
      <c r="BBF5" s="27"/>
      <c r="BBG5" s="27"/>
      <c r="BBH5" s="27"/>
      <c r="BBI5" s="27"/>
      <c r="BBJ5" s="27"/>
      <c r="BBK5" s="27"/>
      <c r="BBL5" s="27"/>
      <c r="BBM5" s="27"/>
      <c r="BBN5" s="27"/>
      <c r="BBO5" s="27"/>
      <c r="BBP5" s="27"/>
      <c r="BBQ5" s="27"/>
      <c r="BBR5" s="27"/>
      <c r="BBS5" s="27"/>
      <c r="BBT5" s="27"/>
      <c r="BBU5" s="27"/>
      <c r="BBV5" s="27"/>
      <c r="BBW5" s="27"/>
      <c r="BBX5" s="27"/>
      <c r="BBY5" s="27"/>
      <c r="BBZ5" s="27"/>
      <c r="BCA5" s="27"/>
      <c r="BCB5" s="27"/>
      <c r="BCC5" s="27"/>
      <c r="BCD5" s="27"/>
      <c r="BCE5" s="27"/>
      <c r="BCF5" s="27"/>
      <c r="BCG5" s="27"/>
      <c r="BCH5" s="27"/>
      <c r="BCI5" s="27"/>
      <c r="BCJ5" s="27"/>
      <c r="BCK5" s="27"/>
      <c r="BCL5" s="27"/>
      <c r="BCM5" s="27"/>
      <c r="BCN5" s="27"/>
      <c r="BCO5" s="27"/>
      <c r="BCP5" s="27"/>
      <c r="BCQ5" s="27"/>
      <c r="BCR5" s="27"/>
      <c r="BCS5" s="27"/>
      <c r="BCT5" s="27"/>
      <c r="BCU5" s="27"/>
      <c r="BCV5" s="27"/>
      <c r="BCW5" s="27"/>
      <c r="BCX5" s="27"/>
      <c r="BCY5" s="27"/>
      <c r="BCZ5" s="27"/>
      <c r="BDA5" s="27"/>
      <c r="BDB5" s="27"/>
      <c r="BDC5" s="27"/>
      <c r="BDD5" s="27"/>
      <c r="BDE5" s="27"/>
      <c r="BDF5" s="27"/>
      <c r="BDG5" s="27"/>
      <c r="BDH5" s="27"/>
      <c r="BDI5" s="27"/>
      <c r="BDJ5" s="27"/>
      <c r="BDK5" s="27"/>
      <c r="BDL5" s="27"/>
      <c r="BDM5" s="27"/>
      <c r="BDN5" s="27"/>
      <c r="BDO5" s="27"/>
      <c r="BDP5" s="27"/>
      <c r="BDQ5" s="27"/>
      <c r="BDR5" s="27"/>
      <c r="BDS5" s="27"/>
      <c r="BDT5" s="27"/>
      <c r="BDU5" s="27"/>
      <c r="BDV5" s="27"/>
      <c r="BDW5" s="27"/>
      <c r="BDX5" s="27"/>
      <c r="BDY5" s="27"/>
      <c r="BDZ5" s="27"/>
      <c r="BEA5" s="27"/>
      <c r="BEB5" s="27"/>
      <c r="BEC5" s="27"/>
      <c r="BED5" s="27"/>
      <c r="BEE5" s="27"/>
      <c r="BEF5" s="27"/>
      <c r="BEG5" s="27"/>
      <c r="BEH5" s="27"/>
      <c r="BEI5" s="27"/>
      <c r="BEJ5" s="27"/>
      <c r="BEK5" s="27"/>
      <c r="BEL5" s="27"/>
      <c r="BEM5" s="27"/>
      <c r="BEN5" s="27"/>
      <c r="BEO5" s="27"/>
      <c r="BEP5" s="27"/>
      <c r="BEQ5" s="27"/>
      <c r="BER5" s="27"/>
      <c r="BES5" s="27"/>
      <c r="BET5" s="27"/>
      <c r="BEU5" s="27"/>
      <c r="BEV5" s="27"/>
      <c r="BEW5" s="27"/>
      <c r="BEX5" s="27"/>
      <c r="BEY5" s="27"/>
      <c r="BEZ5" s="27"/>
      <c r="BFA5" s="27"/>
      <c r="BFB5" s="27"/>
      <c r="BFC5" s="27"/>
      <c r="BFD5" s="27"/>
      <c r="BFE5" s="27"/>
      <c r="BFF5" s="27"/>
      <c r="BFG5" s="27"/>
      <c r="BFH5" s="27"/>
      <c r="BFI5" s="27"/>
      <c r="BFJ5" s="27"/>
      <c r="BFK5" s="27"/>
      <c r="BFL5" s="27"/>
      <c r="BFM5" s="27"/>
      <c r="BFN5" s="27"/>
      <c r="BFO5" s="27"/>
      <c r="BFP5" s="27"/>
      <c r="BFQ5" s="27"/>
      <c r="BFR5" s="27"/>
      <c r="BFS5" s="27"/>
      <c r="BFT5" s="27"/>
      <c r="BFU5" s="27"/>
      <c r="BFV5" s="27"/>
      <c r="BFW5" s="27"/>
      <c r="BFX5" s="27"/>
      <c r="BFY5" s="27"/>
      <c r="BFZ5" s="27"/>
      <c r="BGA5" s="27"/>
      <c r="BGB5" s="27"/>
      <c r="BGC5" s="27"/>
      <c r="BGD5" s="27"/>
      <c r="BGE5" s="27"/>
      <c r="BGF5" s="27"/>
      <c r="BGG5" s="27"/>
      <c r="BGH5" s="27"/>
      <c r="BGI5" s="27"/>
      <c r="BGJ5" s="27"/>
      <c r="BGK5" s="27"/>
      <c r="BGL5" s="27"/>
      <c r="BGM5" s="27"/>
      <c r="BGN5" s="27"/>
      <c r="BGO5" s="27"/>
      <c r="BGP5" s="27"/>
      <c r="BGQ5" s="27"/>
      <c r="BGR5" s="27"/>
      <c r="BGS5" s="27"/>
      <c r="BGT5" s="27"/>
      <c r="BGU5" s="27"/>
      <c r="BGV5" s="27"/>
      <c r="BGW5" s="27"/>
      <c r="BGX5" s="27"/>
      <c r="BGY5" s="27"/>
      <c r="BGZ5" s="27"/>
      <c r="BHA5" s="27"/>
      <c r="BHB5" s="27"/>
      <c r="BHC5" s="27"/>
      <c r="BHD5" s="27"/>
      <c r="BHE5" s="27"/>
      <c r="BHF5" s="27"/>
      <c r="BHG5" s="27"/>
      <c r="BHH5" s="27"/>
      <c r="BHI5" s="27"/>
      <c r="BHJ5" s="27"/>
      <c r="BHK5" s="27"/>
      <c r="BHL5" s="27"/>
      <c r="BHM5" s="27"/>
      <c r="BHN5" s="27"/>
      <c r="BHO5" s="27"/>
      <c r="BHP5" s="27"/>
      <c r="BHQ5" s="27"/>
      <c r="BHR5" s="27"/>
      <c r="BHS5" s="27"/>
      <c r="BHT5" s="27"/>
      <c r="BHU5" s="27"/>
      <c r="BHV5" s="27"/>
      <c r="BHW5" s="27"/>
      <c r="BHX5" s="27"/>
      <c r="BHY5" s="27"/>
      <c r="BHZ5" s="27"/>
      <c r="BIA5" s="27"/>
      <c r="BIB5" s="27"/>
      <c r="BIC5" s="27"/>
      <c r="BID5" s="27"/>
      <c r="BIE5" s="27"/>
      <c r="BIF5" s="27"/>
      <c r="BIG5" s="27"/>
      <c r="BIH5" s="27"/>
      <c r="BII5" s="27"/>
      <c r="BIJ5" s="27"/>
      <c r="BIK5" s="27"/>
      <c r="BIL5" s="27"/>
      <c r="BIM5" s="27"/>
      <c r="BIN5" s="27"/>
      <c r="BIO5" s="27"/>
      <c r="BIP5" s="27"/>
      <c r="BIQ5" s="27"/>
      <c r="BIR5" s="27"/>
      <c r="BIS5" s="27"/>
      <c r="BIT5" s="27"/>
      <c r="BIU5" s="27"/>
      <c r="BIV5" s="27"/>
      <c r="BIW5" s="27"/>
      <c r="BIX5" s="27"/>
      <c r="BIY5" s="27"/>
      <c r="BIZ5" s="27"/>
      <c r="BJA5" s="27"/>
      <c r="BJB5" s="27"/>
      <c r="BJC5" s="27"/>
      <c r="BJD5" s="27"/>
      <c r="BJE5" s="27"/>
      <c r="BJF5" s="27"/>
      <c r="BJG5" s="27"/>
      <c r="BJH5" s="27"/>
      <c r="BJI5" s="27"/>
      <c r="BJJ5" s="27"/>
      <c r="BJK5" s="27"/>
      <c r="BJL5" s="27"/>
      <c r="BJM5" s="27"/>
      <c r="BJN5" s="27"/>
      <c r="BJO5" s="27"/>
      <c r="BJP5" s="27"/>
      <c r="BJQ5" s="27"/>
      <c r="BJR5" s="27"/>
      <c r="BJS5" s="27"/>
      <c r="BJT5" s="27"/>
      <c r="BJU5" s="27"/>
      <c r="BJV5" s="27"/>
      <c r="BJW5" s="27"/>
      <c r="BJX5" s="27"/>
      <c r="BJY5" s="27"/>
      <c r="BJZ5" s="27"/>
      <c r="BKA5" s="27"/>
      <c r="BKB5" s="27"/>
      <c r="BKC5" s="27"/>
      <c r="BKD5" s="27"/>
      <c r="BKE5" s="27"/>
      <c r="BKF5" s="27"/>
      <c r="BKG5" s="27"/>
      <c r="BKH5" s="27"/>
      <c r="BKI5" s="27"/>
      <c r="BKJ5" s="27"/>
      <c r="BKK5" s="27"/>
      <c r="BKL5" s="27"/>
      <c r="BKM5" s="27"/>
      <c r="BKN5" s="27"/>
      <c r="BKO5" s="27"/>
      <c r="BKP5" s="27"/>
      <c r="BKQ5" s="27"/>
      <c r="BKR5" s="27"/>
      <c r="BKS5" s="27"/>
      <c r="BKT5" s="27"/>
      <c r="BKU5" s="27"/>
      <c r="BKV5" s="27"/>
      <c r="BKW5" s="27"/>
      <c r="BKX5" s="27"/>
      <c r="BKY5" s="27"/>
      <c r="BKZ5" s="27"/>
      <c r="BLA5" s="27"/>
      <c r="BLB5" s="27"/>
      <c r="BLC5" s="27"/>
      <c r="BLD5" s="27"/>
      <c r="BLE5" s="27"/>
      <c r="BLF5" s="27"/>
      <c r="BLG5" s="27"/>
      <c r="BLH5" s="27"/>
      <c r="BLI5" s="27"/>
      <c r="BLJ5" s="27"/>
      <c r="BLK5" s="27"/>
      <c r="BLL5" s="27"/>
      <c r="BLM5" s="27"/>
      <c r="BLN5" s="27"/>
      <c r="BLO5" s="27"/>
      <c r="BLP5" s="27"/>
      <c r="BLQ5" s="27"/>
      <c r="BLR5" s="27"/>
      <c r="BLS5" s="27"/>
      <c r="BLT5" s="27"/>
      <c r="BLU5" s="27"/>
      <c r="BLV5" s="27"/>
      <c r="BLW5" s="27"/>
      <c r="BLX5" s="27"/>
      <c r="BLY5" s="27"/>
      <c r="BLZ5" s="27"/>
      <c r="BMA5" s="27"/>
      <c r="BMB5" s="27"/>
      <c r="BMC5" s="27"/>
      <c r="BMD5" s="27"/>
      <c r="BME5" s="27"/>
      <c r="BMF5" s="27"/>
      <c r="BMG5" s="27"/>
      <c r="BMH5" s="27"/>
      <c r="BMI5" s="27"/>
      <c r="BMJ5" s="27"/>
      <c r="BMK5" s="27"/>
      <c r="BML5" s="27"/>
      <c r="BMM5" s="27"/>
      <c r="BMN5" s="27"/>
      <c r="BMO5" s="27"/>
      <c r="BMP5" s="27"/>
      <c r="BMQ5" s="27"/>
      <c r="BMR5" s="27"/>
      <c r="BMS5" s="27"/>
      <c r="BMT5" s="27"/>
      <c r="BMU5" s="27"/>
      <c r="BMV5" s="27"/>
      <c r="BMW5" s="27"/>
      <c r="BMX5" s="27"/>
      <c r="BMY5" s="27"/>
      <c r="BMZ5" s="27"/>
      <c r="BNA5" s="27"/>
      <c r="BNB5" s="27"/>
      <c r="BNC5" s="27"/>
      <c r="BND5" s="27"/>
      <c r="BNE5" s="27"/>
      <c r="BNF5" s="27"/>
      <c r="BNG5" s="27"/>
      <c r="BNH5" s="27"/>
      <c r="BNI5" s="27"/>
      <c r="BNJ5" s="27"/>
      <c r="BNK5" s="27"/>
      <c r="BNL5" s="27"/>
      <c r="BNM5" s="27"/>
      <c r="BNN5" s="27"/>
      <c r="BNO5" s="27"/>
      <c r="BNP5" s="27"/>
      <c r="BNQ5" s="27"/>
      <c r="BNR5" s="27"/>
      <c r="BNS5" s="27"/>
      <c r="BNT5" s="27"/>
      <c r="BNU5" s="27"/>
      <c r="BNV5" s="27"/>
      <c r="BNW5" s="27"/>
      <c r="BNX5" s="27"/>
      <c r="BNY5" s="27"/>
      <c r="BNZ5" s="27"/>
      <c r="BOA5" s="27"/>
      <c r="BOB5" s="27"/>
      <c r="BOC5" s="27"/>
      <c r="BOD5" s="27"/>
      <c r="BOE5" s="27"/>
      <c r="BOF5" s="27"/>
      <c r="BOG5" s="27"/>
      <c r="BOH5" s="27"/>
      <c r="BOI5" s="27"/>
      <c r="BOJ5" s="27"/>
      <c r="BOK5" s="27"/>
      <c r="BOL5" s="27"/>
      <c r="BOM5" s="27"/>
      <c r="BON5" s="27"/>
      <c r="BOO5" s="27"/>
      <c r="BOP5" s="27"/>
      <c r="BOQ5" s="27"/>
      <c r="BOR5" s="27"/>
      <c r="BOS5" s="27"/>
      <c r="BOT5" s="27"/>
      <c r="BOU5" s="27"/>
      <c r="BOV5" s="27"/>
      <c r="BOW5" s="27"/>
      <c r="BOX5" s="27"/>
      <c r="BOY5" s="27"/>
      <c r="BOZ5" s="27"/>
      <c r="BPA5" s="27"/>
      <c r="BPB5" s="27"/>
      <c r="BPC5" s="27"/>
      <c r="BPD5" s="27"/>
      <c r="BPE5" s="27"/>
      <c r="BPF5" s="27"/>
      <c r="BPG5" s="27"/>
      <c r="BPH5" s="27"/>
      <c r="BPI5" s="27"/>
      <c r="BPJ5" s="27"/>
      <c r="BPK5" s="27"/>
      <c r="BPL5" s="27"/>
      <c r="BPM5" s="27"/>
      <c r="BPN5" s="27"/>
      <c r="BPO5" s="27"/>
      <c r="BPP5" s="27"/>
      <c r="BPQ5" s="27"/>
      <c r="BPR5" s="27"/>
      <c r="BPS5" s="27"/>
      <c r="BPT5" s="27"/>
      <c r="BPU5" s="27"/>
      <c r="BPV5" s="27"/>
      <c r="BPW5" s="27"/>
      <c r="BPX5" s="27"/>
      <c r="BPY5" s="27"/>
      <c r="BPZ5" s="27"/>
      <c r="BQA5" s="27"/>
      <c r="BQB5" s="27"/>
      <c r="BQC5" s="27"/>
      <c r="BQD5" s="27"/>
      <c r="BQE5" s="27"/>
      <c r="BQF5" s="27"/>
      <c r="BQG5" s="27"/>
      <c r="BQH5" s="27"/>
      <c r="BQI5" s="27"/>
      <c r="BQJ5" s="27"/>
      <c r="BQK5" s="27"/>
      <c r="BQL5" s="27"/>
      <c r="BQM5" s="27"/>
      <c r="BQN5" s="27"/>
      <c r="BQO5" s="27"/>
      <c r="BQP5" s="27"/>
      <c r="BQQ5" s="27"/>
      <c r="BQR5" s="27"/>
      <c r="BQS5" s="27"/>
      <c r="BQT5" s="27"/>
      <c r="BQU5" s="27"/>
      <c r="BQV5" s="27"/>
      <c r="BQW5" s="27"/>
      <c r="BQX5" s="27"/>
      <c r="BQY5" s="27"/>
      <c r="BQZ5" s="27"/>
      <c r="BRA5" s="27"/>
      <c r="BRB5" s="27"/>
      <c r="BRC5" s="27"/>
      <c r="BRD5" s="27"/>
      <c r="BRE5" s="27"/>
      <c r="BRF5" s="27"/>
      <c r="BRG5" s="27"/>
      <c r="BRH5" s="27"/>
      <c r="BRI5" s="27"/>
      <c r="BRJ5" s="27"/>
      <c r="BRK5" s="27"/>
      <c r="BRL5" s="27"/>
      <c r="BRM5" s="27"/>
      <c r="BRN5" s="27"/>
      <c r="BRO5" s="27"/>
      <c r="BRP5" s="27"/>
      <c r="BRQ5" s="27"/>
      <c r="BRR5" s="27"/>
      <c r="BRS5" s="27"/>
      <c r="BRT5" s="27"/>
      <c r="BRU5" s="27"/>
      <c r="BRV5" s="27"/>
      <c r="BRW5" s="27"/>
      <c r="BRX5" s="27"/>
      <c r="BRY5" s="27"/>
      <c r="BRZ5" s="27"/>
      <c r="BSA5" s="27"/>
      <c r="BSB5" s="27"/>
      <c r="BSC5" s="27"/>
      <c r="BSD5" s="27"/>
      <c r="BSE5" s="27"/>
      <c r="BSF5" s="27"/>
      <c r="BSG5" s="27"/>
      <c r="BSH5" s="27"/>
      <c r="BSI5" s="27"/>
      <c r="BSJ5" s="27"/>
      <c r="BSK5" s="27"/>
      <c r="BSL5" s="27"/>
      <c r="BSM5" s="27"/>
      <c r="BSN5" s="27"/>
      <c r="BSO5" s="27"/>
      <c r="BSP5" s="27"/>
      <c r="BSQ5" s="27"/>
      <c r="BSR5" s="27"/>
      <c r="BSS5" s="27"/>
      <c r="BST5" s="27"/>
      <c r="BSU5" s="27"/>
      <c r="BSV5" s="27"/>
      <c r="BSW5" s="27"/>
      <c r="BSX5" s="27"/>
      <c r="BSY5" s="27"/>
      <c r="BSZ5" s="27"/>
      <c r="BTA5" s="27"/>
      <c r="BTB5" s="27"/>
      <c r="BTC5" s="27"/>
      <c r="BTD5" s="27"/>
      <c r="BTE5" s="27"/>
      <c r="BTF5" s="27"/>
      <c r="BTG5" s="27"/>
      <c r="BTH5" s="27"/>
      <c r="BTI5" s="27"/>
      <c r="BTJ5" s="27"/>
      <c r="BTK5" s="27"/>
      <c r="BTL5" s="27"/>
      <c r="BTM5" s="27"/>
      <c r="BTN5" s="27"/>
      <c r="BTO5" s="27"/>
      <c r="BTP5" s="27"/>
      <c r="BTQ5" s="27"/>
      <c r="BTR5" s="27"/>
      <c r="BTS5" s="27"/>
      <c r="BTT5" s="27"/>
      <c r="BTU5" s="27"/>
      <c r="BTV5" s="27"/>
      <c r="BTW5" s="27"/>
      <c r="BTX5" s="27"/>
      <c r="BTY5" s="27"/>
      <c r="BTZ5" s="27"/>
      <c r="BUA5" s="27"/>
      <c r="BUB5" s="27"/>
      <c r="BUC5" s="27"/>
      <c r="BUD5" s="27"/>
      <c r="BUE5" s="27"/>
      <c r="BUF5" s="27"/>
      <c r="BUG5" s="27"/>
      <c r="BUH5" s="27"/>
      <c r="BUI5" s="27"/>
      <c r="BUJ5" s="27"/>
      <c r="BUK5" s="27"/>
      <c r="BUL5" s="27"/>
      <c r="BUM5" s="27"/>
      <c r="BUN5" s="27"/>
      <c r="BUO5" s="27"/>
      <c r="BUP5" s="27"/>
      <c r="BUQ5" s="27"/>
      <c r="BUR5" s="27"/>
      <c r="BUS5" s="27"/>
      <c r="BUT5" s="27"/>
      <c r="BUU5" s="27"/>
      <c r="BUV5" s="27"/>
      <c r="BUW5" s="27"/>
      <c r="BUX5" s="27"/>
      <c r="BUY5" s="27"/>
      <c r="BUZ5" s="27"/>
      <c r="BVA5" s="27"/>
      <c r="BVB5" s="27"/>
      <c r="BVC5" s="27"/>
      <c r="BVD5" s="27"/>
      <c r="BVE5" s="27"/>
      <c r="BVF5" s="27"/>
      <c r="BVG5" s="27"/>
      <c r="BVH5" s="27"/>
      <c r="BVI5" s="27"/>
      <c r="BVJ5" s="27"/>
      <c r="BVK5" s="27"/>
      <c r="BVL5" s="27"/>
      <c r="BVM5" s="27"/>
      <c r="BVN5" s="27"/>
      <c r="BVO5" s="27"/>
      <c r="BVP5" s="27"/>
      <c r="BVQ5" s="27"/>
      <c r="BVR5" s="27"/>
      <c r="BVS5" s="27"/>
      <c r="BVT5" s="27"/>
      <c r="BVU5" s="27"/>
      <c r="BVV5" s="27"/>
      <c r="BVW5" s="27"/>
      <c r="BVX5" s="27"/>
      <c r="BVY5" s="27"/>
      <c r="BVZ5" s="27"/>
      <c r="BWA5" s="27"/>
      <c r="BWB5" s="27"/>
      <c r="BWC5" s="27"/>
      <c r="BWD5" s="27"/>
      <c r="BWE5" s="27"/>
      <c r="BWF5" s="27"/>
      <c r="BWG5" s="27"/>
      <c r="BWH5" s="27"/>
      <c r="BWI5" s="27"/>
      <c r="BWJ5" s="27"/>
      <c r="BWK5" s="27"/>
      <c r="BWL5" s="27"/>
      <c r="BWM5" s="27"/>
      <c r="BWN5" s="27"/>
      <c r="BWO5" s="27"/>
      <c r="BWP5" s="27"/>
      <c r="BWQ5" s="27"/>
      <c r="BWR5" s="27"/>
      <c r="BWS5" s="27"/>
      <c r="BWT5" s="27"/>
      <c r="BWU5" s="27"/>
      <c r="BWV5" s="27"/>
      <c r="BWW5" s="27"/>
      <c r="BWX5" s="27"/>
      <c r="BWY5" s="27"/>
      <c r="BWZ5" s="27"/>
      <c r="BXA5" s="27"/>
      <c r="BXB5" s="27"/>
      <c r="BXC5" s="27"/>
      <c r="BXD5" s="27"/>
      <c r="BXE5" s="27"/>
      <c r="BXF5" s="27"/>
      <c r="BXG5" s="27"/>
      <c r="BXH5" s="27"/>
      <c r="BXI5" s="27"/>
      <c r="BXJ5" s="27"/>
      <c r="BXK5" s="27"/>
      <c r="BXL5" s="27"/>
      <c r="BXM5" s="27"/>
      <c r="BXN5" s="27"/>
      <c r="BXO5" s="27"/>
      <c r="BXP5" s="27"/>
      <c r="BXQ5" s="27"/>
      <c r="BXR5" s="27"/>
      <c r="BXS5" s="27"/>
      <c r="BXT5" s="27"/>
      <c r="BXU5" s="27"/>
      <c r="BXV5" s="27"/>
      <c r="BXW5" s="27"/>
      <c r="BXX5" s="27"/>
      <c r="BXY5" s="27"/>
      <c r="BXZ5" s="27"/>
      <c r="BYA5" s="27"/>
      <c r="BYB5" s="27"/>
      <c r="BYC5" s="27"/>
      <c r="BYD5" s="27"/>
      <c r="BYE5" s="27"/>
      <c r="BYF5" s="27"/>
      <c r="BYG5" s="27"/>
      <c r="BYH5" s="27"/>
      <c r="BYI5" s="27"/>
      <c r="BYJ5" s="27"/>
      <c r="BYK5" s="27"/>
      <c r="BYL5" s="27"/>
      <c r="BYM5" s="27"/>
      <c r="BYN5" s="27"/>
      <c r="BYO5" s="27"/>
      <c r="BYP5" s="27"/>
      <c r="BYQ5" s="27"/>
      <c r="BYR5" s="27"/>
      <c r="BYS5" s="27"/>
      <c r="BYT5" s="27"/>
      <c r="BYU5" s="27"/>
      <c r="BYV5" s="27"/>
      <c r="BYW5" s="27"/>
      <c r="BYX5" s="27"/>
      <c r="BYY5" s="27"/>
      <c r="BYZ5" s="27"/>
      <c r="BZA5" s="27"/>
      <c r="BZB5" s="27"/>
      <c r="BZC5" s="27"/>
      <c r="BZD5" s="27"/>
      <c r="BZE5" s="27"/>
      <c r="BZF5" s="27"/>
      <c r="BZG5" s="27"/>
      <c r="BZH5" s="27"/>
      <c r="BZI5" s="27"/>
      <c r="BZJ5" s="27"/>
      <c r="BZK5" s="27"/>
      <c r="BZL5" s="27"/>
      <c r="BZM5" s="27"/>
      <c r="BZN5" s="27"/>
      <c r="BZO5" s="27"/>
      <c r="BZP5" s="27"/>
      <c r="BZQ5" s="27"/>
      <c r="BZR5" s="27"/>
      <c r="BZS5" s="27"/>
      <c r="BZT5" s="27"/>
      <c r="BZU5" s="27"/>
      <c r="BZV5" s="27"/>
      <c r="BZW5" s="27"/>
      <c r="BZX5" s="27"/>
      <c r="BZY5" s="27"/>
      <c r="BZZ5" s="27"/>
      <c r="CAA5" s="27"/>
      <c r="CAB5" s="27"/>
      <c r="CAC5" s="27"/>
      <c r="CAD5" s="27"/>
      <c r="CAE5" s="27"/>
      <c r="CAF5" s="27"/>
      <c r="CAG5" s="27"/>
      <c r="CAH5" s="27"/>
      <c r="CAI5" s="27"/>
      <c r="CAJ5" s="27"/>
      <c r="CAK5" s="27"/>
      <c r="CAL5" s="27"/>
      <c r="CAM5" s="27"/>
      <c r="CAN5" s="27"/>
      <c r="CAO5" s="27"/>
      <c r="CAP5" s="27"/>
      <c r="CAQ5" s="27"/>
      <c r="CAR5" s="27"/>
      <c r="CAS5" s="27"/>
      <c r="CAT5" s="27"/>
      <c r="CAU5" s="27"/>
      <c r="CAV5" s="27"/>
      <c r="CAW5" s="27"/>
      <c r="CAX5" s="27"/>
      <c r="CAY5" s="27"/>
      <c r="CAZ5" s="27"/>
      <c r="CBA5" s="27"/>
      <c r="CBB5" s="27"/>
      <c r="CBC5" s="27"/>
      <c r="CBD5" s="27"/>
      <c r="CBE5" s="27"/>
      <c r="CBF5" s="27"/>
      <c r="CBG5" s="27"/>
      <c r="CBH5" s="27"/>
      <c r="CBI5" s="27"/>
      <c r="CBJ5" s="27"/>
      <c r="CBK5" s="27"/>
      <c r="CBL5" s="27"/>
      <c r="CBM5" s="27"/>
      <c r="CBN5" s="27"/>
      <c r="CBO5" s="27"/>
      <c r="CBP5" s="27"/>
      <c r="CBQ5" s="27"/>
      <c r="CBR5" s="27"/>
      <c r="CBS5" s="27"/>
      <c r="CBT5" s="27"/>
      <c r="CBU5" s="27"/>
      <c r="CBV5" s="27"/>
      <c r="CBW5" s="27"/>
      <c r="CBX5" s="27"/>
      <c r="CBY5" s="27"/>
      <c r="CBZ5" s="27"/>
      <c r="CCA5" s="27"/>
      <c r="CCB5" s="27"/>
      <c r="CCC5" s="27"/>
      <c r="CCD5" s="27"/>
      <c r="CCE5" s="27"/>
      <c r="CCF5" s="27"/>
      <c r="CCG5" s="27"/>
      <c r="CCH5" s="27"/>
      <c r="CCI5" s="27"/>
      <c r="CCJ5" s="27"/>
      <c r="CCK5" s="27"/>
      <c r="CCL5" s="27"/>
      <c r="CCM5" s="27"/>
      <c r="CCN5" s="27"/>
      <c r="CCO5" s="27"/>
      <c r="CCP5" s="27"/>
      <c r="CCQ5" s="27"/>
      <c r="CCR5" s="27"/>
      <c r="CCS5" s="27"/>
      <c r="CCT5" s="27"/>
      <c r="CCU5" s="27"/>
      <c r="CCV5" s="27"/>
      <c r="CCW5" s="27"/>
      <c r="CCX5" s="27"/>
      <c r="CCY5" s="27"/>
      <c r="CCZ5" s="27"/>
      <c r="CDA5" s="27"/>
      <c r="CDB5" s="27"/>
      <c r="CDC5" s="27"/>
      <c r="CDD5" s="27"/>
      <c r="CDE5" s="27"/>
      <c r="CDF5" s="27"/>
      <c r="CDG5" s="27"/>
      <c r="CDH5" s="27"/>
      <c r="CDI5" s="27"/>
      <c r="CDJ5" s="27"/>
      <c r="CDK5" s="27"/>
      <c r="CDL5" s="27"/>
      <c r="CDM5" s="27"/>
      <c r="CDN5" s="27"/>
      <c r="CDO5" s="27"/>
      <c r="CDP5" s="27"/>
      <c r="CDQ5" s="27"/>
      <c r="CDR5" s="27"/>
      <c r="CDS5" s="27"/>
      <c r="CDT5" s="27"/>
      <c r="CDU5" s="27"/>
      <c r="CDV5" s="27"/>
      <c r="CDW5" s="27"/>
      <c r="CDX5" s="27"/>
      <c r="CDY5" s="27"/>
      <c r="CDZ5" s="27"/>
      <c r="CEA5" s="27"/>
      <c r="CEB5" s="27"/>
      <c r="CEC5" s="27"/>
      <c r="CED5" s="27"/>
      <c r="CEE5" s="27"/>
      <c r="CEF5" s="27"/>
      <c r="CEG5" s="27"/>
      <c r="CEH5" s="27"/>
      <c r="CEI5" s="27"/>
      <c r="CEJ5" s="27"/>
      <c r="CEK5" s="27"/>
      <c r="CEL5" s="27"/>
      <c r="CEM5" s="27"/>
      <c r="CEN5" s="27"/>
      <c r="CEO5" s="27"/>
      <c r="CEP5" s="27"/>
      <c r="CEQ5" s="27"/>
      <c r="CER5" s="27"/>
      <c r="CES5" s="27"/>
      <c r="CET5" s="27"/>
      <c r="CEU5" s="27"/>
      <c r="CEV5" s="27"/>
      <c r="CEW5" s="27"/>
      <c r="CEX5" s="27"/>
      <c r="CEY5" s="27"/>
      <c r="CEZ5" s="27"/>
      <c r="CFA5" s="27"/>
      <c r="CFB5" s="27"/>
      <c r="CFC5" s="27"/>
      <c r="CFD5" s="27"/>
      <c r="CFE5" s="27"/>
      <c r="CFF5" s="27"/>
      <c r="CFG5" s="27"/>
      <c r="CFH5" s="27"/>
      <c r="CFI5" s="27"/>
      <c r="CFJ5" s="27"/>
      <c r="CFK5" s="27"/>
      <c r="CFL5" s="27"/>
      <c r="CFM5" s="27"/>
      <c r="CFN5" s="27"/>
      <c r="CFO5" s="27"/>
      <c r="CFP5" s="27"/>
      <c r="CFQ5" s="27"/>
      <c r="CFR5" s="27"/>
      <c r="CFS5" s="27"/>
      <c r="CFT5" s="27"/>
      <c r="CFU5" s="27"/>
      <c r="CFV5" s="27"/>
      <c r="CFW5" s="27"/>
      <c r="CFX5" s="27"/>
      <c r="CFY5" s="27"/>
      <c r="CFZ5" s="27"/>
      <c r="CGA5" s="27"/>
      <c r="CGB5" s="27"/>
      <c r="CGC5" s="27"/>
      <c r="CGD5" s="27"/>
      <c r="CGE5" s="27"/>
      <c r="CGF5" s="27"/>
      <c r="CGG5" s="27"/>
      <c r="CGH5" s="27"/>
      <c r="CGI5" s="27"/>
      <c r="CGJ5" s="27"/>
      <c r="CGK5" s="27"/>
      <c r="CGL5" s="27"/>
      <c r="CGM5" s="27"/>
      <c r="CGN5" s="27"/>
      <c r="CGO5" s="27"/>
      <c r="CGP5" s="27"/>
      <c r="CGQ5" s="27"/>
      <c r="CGR5" s="27"/>
      <c r="CGS5" s="27"/>
      <c r="CGT5" s="27"/>
      <c r="CGU5" s="27"/>
      <c r="CGV5" s="27"/>
      <c r="CGW5" s="27"/>
      <c r="CGX5" s="27"/>
      <c r="CGY5" s="27"/>
      <c r="CGZ5" s="27"/>
      <c r="CHA5" s="27"/>
      <c r="CHB5" s="27"/>
      <c r="CHC5" s="27"/>
      <c r="CHD5" s="27"/>
      <c r="CHE5" s="27"/>
      <c r="CHF5" s="27"/>
      <c r="CHG5" s="27"/>
      <c r="CHH5" s="27"/>
      <c r="CHI5" s="27"/>
      <c r="CHJ5" s="27"/>
      <c r="CHK5" s="27"/>
      <c r="CHL5" s="27"/>
      <c r="CHM5" s="27"/>
      <c r="CHN5" s="27"/>
      <c r="CHO5" s="27"/>
      <c r="CHP5" s="27"/>
      <c r="CHQ5" s="27"/>
      <c r="CHR5" s="27"/>
      <c r="CHS5" s="27"/>
      <c r="CHT5" s="27"/>
      <c r="CHU5" s="27"/>
      <c r="CHV5" s="27"/>
      <c r="CHW5" s="27"/>
      <c r="CHX5" s="27"/>
      <c r="CHY5" s="27"/>
      <c r="CHZ5" s="27"/>
      <c r="CIA5" s="27"/>
      <c r="CIB5" s="27"/>
      <c r="CIC5" s="27"/>
      <c r="CID5" s="27"/>
      <c r="CIE5" s="27"/>
      <c r="CIF5" s="27"/>
      <c r="CIG5" s="27"/>
      <c r="CIH5" s="27"/>
      <c r="CII5" s="27"/>
      <c r="CIJ5" s="27"/>
      <c r="CIK5" s="27"/>
      <c r="CIL5" s="27"/>
      <c r="CIM5" s="27"/>
      <c r="CIN5" s="27"/>
      <c r="CIO5" s="27"/>
      <c r="CIP5" s="27"/>
      <c r="CIQ5" s="27"/>
      <c r="CIR5" s="27"/>
      <c r="CIS5" s="27"/>
      <c r="CIT5" s="27"/>
      <c r="CIU5" s="27"/>
      <c r="CIV5" s="27"/>
      <c r="CIW5" s="27"/>
      <c r="CIX5" s="27"/>
      <c r="CIY5" s="27"/>
      <c r="CIZ5" s="27"/>
      <c r="CJA5" s="27"/>
      <c r="CJB5" s="27"/>
      <c r="CJC5" s="27"/>
      <c r="CJD5" s="27"/>
      <c r="CJE5" s="27"/>
      <c r="CJF5" s="27"/>
      <c r="CJG5" s="27"/>
      <c r="CJH5" s="27"/>
      <c r="CJI5" s="27"/>
      <c r="CJJ5" s="27"/>
      <c r="CJK5" s="27"/>
      <c r="CJL5" s="27"/>
      <c r="CJM5" s="27"/>
      <c r="CJN5" s="27"/>
      <c r="CJO5" s="27"/>
      <c r="CJP5" s="27"/>
      <c r="CJQ5" s="27"/>
      <c r="CJR5" s="27"/>
      <c r="CJS5" s="27"/>
      <c r="CJT5" s="27"/>
      <c r="CJU5" s="27"/>
      <c r="CJV5" s="27"/>
      <c r="CJW5" s="27"/>
      <c r="CJX5" s="27"/>
      <c r="CJY5" s="27"/>
      <c r="CJZ5" s="27"/>
      <c r="CKA5" s="27"/>
      <c r="CKB5" s="27"/>
      <c r="CKC5" s="27"/>
      <c r="CKD5" s="27"/>
      <c r="CKE5" s="27"/>
      <c r="CKF5" s="27"/>
      <c r="CKG5" s="27"/>
      <c r="CKH5" s="27"/>
      <c r="CKI5" s="27"/>
      <c r="CKJ5" s="27"/>
      <c r="CKK5" s="27"/>
      <c r="CKL5" s="27"/>
      <c r="CKM5" s="27"/>
      <c r="CKN5" s="27"/>
      <c r="CKO5" s="27"/>
      <c r="CKP5" s="27"/>
      <c r="CKQ5" s="27"/>
      <c r="CKR5" s="27"/>
      <c r="CKS5" s="27"/>
      <c r="CKT5" s="27"/>
      <c r="CKU5" s="27"/>
      <c r="CKV5" s="27"/>
      <c r="CKW5" s="27"/>
      <c r="CKX5" s="27"/>
      <c r="CKY5" s="27"/>
      <c r="CKZ5" s="27"/>
      <c r="CLA5" s="27"/>
      <c r="CLB5" s="27"/>
      <c r="CLC5" s="27"/>
      <c r="CLD5" s="27"/>
      <c r="CLE5" s="27"/>
      <c r="CLF5" s="27"/>
      <c r="CLG5" s="27"/>
      <c r="CLH5" s="27"/>
      <c r="CLI5" s="27"/>
      <c r="CLJ5" s="27"/>
      <c r="CLK5" s="27"/>
      <c r="CLL5" s="27"/>
      <c r="CLM5" s="27"/>
      <c r="CLN5" s="27"/>
      <c r="CLO5" s="27"/>
      <c r="CLP5" s="27"/>
      <c r="CLQ5" s="27"/>
      <c r="CLR5" s="27"/>
      <c r="CLS5" s="27"/>
      <c r="CLT5" s="27"/>
      <c r="CLU5" s="27"/>
      <c r="CLV5" s="27"/>
      <c r="CLW5" s="27"/>
      <c r="CLX5" s="27"/>
      <c r="CLY5" s="27"/>
      <c r="CLZ5" s="27"/>
      <c r="CMA5" s="27"/>
      <c r="CMB5" s="27"/>
      <c r="CMC5" s="27"/>
      <c r="CMD5" s="27"/>
      <c r="CME5" s="27"/>
      <c r="CMF5" s="27"/>
      <c r="CMG5" s="27"/>
      <c r="CMH5" s="27"/>
      <c r="CMI5" s="27"/>
      <c r="CMJ5" s="27"/>
      <c r="CMK5" s="27"/>
      <c r="CML5" s="27"/>
      <c r="CMM5" s="27"/>
      <c r="CMN5" s="27"/>
      <c r="CMO5" s="27"/>
      <c r="CMP5" s="27"/>
      <c r="CMQ5" s="27"/>
      <c r="CMR5" s="27"/>
      <c r="CMS5" s="27"/>
      <c r="CMT5" s="27"/>
      <c r="CMU5" s="27"/>
      <c r="CMV5" s="27"/>
      <c r="CMW5" s="27"/>
      <c r="CMX5" s="27"/>
      <c r="CMY5" s="27"/>
      <c r="CMZ5" s="27"/>
      <c r="CNA5" s="27"/>
      <c r="CNB5" s="27"/>
      <c r="CNC5" s="27"/>
      <c r="CND5" s="27"/>
      <c r="CNE5" s="27"/>
      <c r="CNF5" s="27"/>
      <c r="CNG5" s="27"/>
      <c r="CNH5" s="27"/>
      <c r="CNI5" s="27"/>
      <c r="CNJ5" s="27"/>
      <c r="CNK5" s="27"/>
      <c r="CNL5" s="27"/>
      <c r="CNM5" s="27"/>
      <c r="CNN5" s="27"/>
      <c r="CNO5" s="27"/>
      <c r="CNP5" s="27"/>
      <c r="CNQ5" s="27"/>
      <c r="CNR5" s="27"/>
      <c r="CNS5" s="27"/>
      <c r="CNT5" s="27"/>
      <c r="CNU5" s="27"/>
      <c r="CNV5" s="27"/>
      <c r="CNW5" s="27"/>
      <c r="CNX5" s="27"/>
      <c r="CNY5" s="27"/>
      <c r="CNZ5" s="27"/>
      <c r="COA5" s="27"/>
      <c r="COB5" s="27"/>
      <c r="COC5" s="27"/>
      <c r="COD5" s="27"/>
      <c r="COE5" s="27"/>
      <c r="COF5" s="27"/>
      <c r="COG5" s="27"/>
      <c r="COH5" s="27"/>
      <c r="COI5" s="27"/>
      <c r="COJ5" s="27"/>
      <c r="COK5" s="27"/>
      <c r="COL5" s="27"/>
      <c r="COM5" s="27"/>
      <c r="CON5" s="27"/>
      <c r="COO5" s="27"/>
      <c r="COP5" s="27"/>
      <c r="COQ5" s="27"/>
      <c r="COR5" s="27"/>
      <c r="COS5" s="27"/>
      <c r="COT5" s="27"/>
      <c r="COU5" s="27"/>
      <c r="COV5" s="27"/>
      <c r="COW5" s="27"/>
      <c r="COX5" s="27"/>
      <c r="COY5" s="27"/>
      <c r="COZ5" s="27"/>
      <c r="CPA5" s="27"/>
      <c r="CPB5" s="27"/>
      <c r="CPC5" s="27"/>
      <c r="CPD5" s="27"/>
      <c r="CPE5" s="27"/>
      <c r="CPF5" s="27"/>
      <c r="CPG5" s="27"/>
      <c r="CPH5" s="27"/>
      <c r="CPI5" s="27"/>
      <c r="CPJ5" s="27"/>
      <c r="CPK5" s="27"/>
      <c r="CPL5" s="27"/>
      <c r="CPM5" s="27"/>
      <c r="CPN5" s="27"/>
      <c r="CPO5" s="27"/>
      <c r="CPP5" s="27"/>
      <c r="CPQ5" s="27"/>
      <c r="CPR5" s="27"/>
      <c r="CPS5" s="27"/>
      <c r="CPT5" s="27"/>
      <c r="CPU5" s="27"/>
      <c r="CPV5" s="27"/>
      <c r="CPW5" s="27"/>
      <c r="CPX5" s="27"/>
      <c r="CPY5" s="27"/>
      <c r="CPZ5" s="27"/>
      <c r="CQA5" s="27"/>
      <c r="CQB5" s="27"/>
      <c r="CQC5" s="27"/>
      <c r="CQD5" s="27"/>
      <c r="CQE5" s="27"/>
      <c r="CQF5" s="27"/>
      <c r="CQG5" s="27"/>
      <c r="CQH5" s="27"/>
      <c r="CQI5" s="27"/>
      <c r="CQJ5" s="27"/>
      <c r="CQK5" s="27"/>
      <c r="CQL5" s="27"/>
      <c r="CQM5" s="27"/>
      <c r="CQN5" s="27"/>
      <c r="CQO5" s="27"/>
      <c r="CQP5" s="27"/>
      <c r="CQQ5" s="27"/>
      <c r="CQR5" s="27"/>
      <c r="CQS5" s="27"/>
      <c r="CQT5" s="27"/>
      <c r="CQU5" s="27"/>
      <c r="CQV5" s="27"/>
      <c r="CQW5" s="27"/>
      <c r="CQX5" s="27"/>
      <c r="CQY5" s="27"/>
      <c r="CQZ5" s="27"/>
      <c r="CRA5" s="27"/>
      <c r="CRB5" s="27"/>
      <c r="CRC5" s="27"/>
      <c r="CRD5" s="27"/>
      <c r="CRE5" s="27"/>
      <c r="CRF5" s="27"/>
      <c r="CRG5" s="27"/>
      <c r="CRH5" s="27"/>
      <c r="CRI5" s="27"/>
      <c r="CRJ5" s="27"/>
      <c r="CRK5" s="27"/>
      <c r="CRL5" s="27"/>
      <c r="CRM5" s="27"/>
      <c r="CRN5" s="27"/>
      <c r="CRO5" s="27"/>
      <c r="CRP5" s="27"/>
      <c r="CRQ5" s="27"/>
      <c r="CRR5" s="27"/>
      <c r="CRS5" s="27"/>
      <c r="CRT5" s="27"/>
      <c r="CRU5" s="27"/>
      <c r="CRV5" s="27"/>
      <c r="CRW5" s="27"/>
      <c r="CRX5" s="27"/>
      <c r="CRY5" s="27"/>
      <c r="CRZ5" s="27"/>
      <c r="CSA5" s="27"/>
      <c r="CSB5" s="27"/>
      <c r="CSC5" s="27"/>
      <c r="CSD5" s="27"/>
      <c r="CSE5" s="27"/>
      <c r="CSF5" s="27"/>
      <c r="CSG5" s="27"/>
      <c r="CSH5" s="27"/>
      <c r="CSI5" s="27"/>
      <c r="CSJ5" s="27"/>
      <c r="CSK5" s="27"/>
      <c r="CSL5" s="27"/>
      <c r="CSM5" s="27"/>
      <c r="CSN5" s="27"/>
      <c r="CSO5" s="27"/>
      <c r="CSP5" s="27"/>
      <c r="CSQ5" s="27"/>
      <c r="CSR5" s="27"/>
      <c r="CSS5" s="27"/>
      <c r="CST5" s="27"/>
      <c r="CSU5" s="27"/>
      <c r="CSV5" s="27"/>
      <c r="CSW5" s="27"/>
      <c r="CSX5" s="27"/>
      <c r="CSY5" s="27"/>
      <c r="CSZ5" s="27"/>
      <c r="CTA5" s="27"/>
      <c r="CTB5" s="27"/>
      <c r="CTC5" s="27"/>
      <c r="CTD5" s="27"/>
      <c r="CTE5" s="27"/>
      <c r="CTF5" s="27"/>
      <c r="CTG5" s="27"/>
      <c r="CTH5" s="27"/>
      <c r="CTI5" s="27"/>
      <c r="CTJ5" s="27"/>
      <c r="CTK5" s="27"/>
      <c r="CTL5" s="27"/>
      <c r="CTM5" s="27"/>
      <c r="CTN5" s="27"/>
      <c r="CTO5" s="27"/>
      <c r="CTP5" s="27"/>
      <c r="CTQ5" s="27"/>
      <c r="CTR5" s="27"/>
      <c r="CTS5" s="27"/>
      <c r="CTT5" s="27"/>
      <c r="CTU5" s="27"/>
      <c r="CTV5" s="27"/>
      <c r="CTW5" s="27"/>
      <c r="CTX5" s="27"/>
      <c r="CTY5" s="27"/>
      <c r="CTZ5" s="27"/>
      <c r="CUA5" s="27"/>
      <c r="CUB5" s="27"/>
      <c r="CUC5" s="27"/>
      <c r="CUD5" s="27"/>
      <c r="CUE5" s="27"/>
      <c r="CUF5" s="27"/>
      <c r="CUG5" s="27"/>
      <c r="CUH5" s="27"/>
      <c r="CUI5" s="27"/>
      <c r="CUJ5" s="27"/>
      <c r="CUK5" s="27"/>
      <c r="CUL5" s="27"/>
      <c r="CUM5" s="27"/>
      <c r="CUN5" s="27"/>
      <c r="CUO5" s="27"/>
      <c r="CUP5" s="27"/>
      <c r="CUQ5" s="27"/>
      <c r="CUR5" s="27"/>
      <c r="CUS5" s="27"/>
      <c r="CUT5" s="27"/>
      <c r="CUU5" s="27"/>
      <c r="CUV5" s="27"/>
      <c r="CUW5" s="27"/>
      <c r="CUX5" s="27"/>
      <c r="CUY5" s="27"/>
      <c r="CUZ5" s="27"/>
      <c r="CVA5" s="27"/>
      <c r="CVB5" s="27"/>
      <c r="CVC5" s="27"/>
      <c r="CVD5" s="27"/>
      <c r="CVE5" s="27"/>
      <c r="CVF5" s="27"/>
      <c r="CVG5" s="27"/>
      <c r="CVH5" s="27"/>
      <c r="CVI5" s="27"/>
      <c r="CVJ5" s="27"/>
      <c r="CVK5" s="27"/>
      <c r="CVL5" s="27"/>
      <c r="CVM5" s="27"/>
      <c r="CVN5" s="27"/>
      <c r="CVO5" s="27"/>
      <c r="CVP5" s="27"/>
      <c r="CVQ5" s="27"/>
      <c r="CVR5" s="27"/>
      <c r="CVS5" s="27"/>
      <c r="CVT5" s="27"/>
      <c r="CVU5" s="27"/>
      <c r="CVV5" s="27"/>
      <c r="CVW5" s="27"/>
      <c r="CVX5" s="27"/>
      <c r="CVY5" s="27"/>
      <c r="CVZ5" s="27"/>
      <c r="CWA5" s="27"/>
      <c r="CWB5" s="27"/>
      <c r="CWC5" s="27"/>
      <c r="CWD5" s="27"/>
      <c r="CWE5" s="27"/>
      <c r="CWF5" s="27"/>
      <c r="CWG5" s="27"/>
      <c r="CWH5" s="27"/>
      <c r="CWI5" s="27"/>
      <c r="CWJ5" s="27"/>
      <c r="CWK5" s="27"/>
      <c r="CWL5" s="27"/>
      <c r="CWM5" s="27"/>
      <c r="CWN5" s="27"/>
      <c r="CWO5" s="27"/>
      <c r="CWP5" s="27"/>
      <c r="CWQ5" s="27"/>
      <c r="CWR5" s="27"/>
      <c r="CWS5" s="27"/>
      <c r="CWT5" s="27"/>
      <c r="CWU5" s="27"/>
      <c r="CWV5" s="27"/>
      <c r="CWW5" s="27"/>
      <c r="CWX5" s="27"/>
      <c r="CWY5" s="27"/>
      <c r="CWZ5" s="27"/>
      <c r="CXA5" s="27"/>
      <c r="CXB5" s="27"/>
      <c r="CXC5" s="27"/>
      <c r="CXD5" s="27"/>
      <c r="CXE5" s="27"/>
      <c r="CXF5" s="27"/>
      <c r="CXG5" s="27"/>
      <c r="CXH5" s="27"/>
      <c r="CXI5" s="27"/>
      <c r="CXJ5" s="27"/>
      <c r="CXK5" s="27"/>
      <c r="CXL5" s="27"/>
      <c r="CXM5" s="27"/>
      <c r="CXN5" s="27"/>
      <c r="CXO5" s="27"/>
      <c r="CXP5" s="27"/>
      <c r="CXQ5" s="27"/>
      <c r="CXR5" s="27"/>
      <c r="CXS5" s="27"/>
      <c r="CXT5" s="27"/>
      <c r="CXU5" s="27"/>
      <c r="CXV5" s="27"/>
      <c r="CXW5" s="27"/>
      <c r="CXX5" s="27"/>
      <c r="CXY5" s="27"/>
      <c r="CXZ5" s="27"/>
      <c r="CYA5" s="27"/>
      <c r="CYB5" s="27"/>
      <c r="CYC5" s="27"/>
      <c r="CYD5" s="27"/>
      <c r="CYE5" s="27"/>
      <c r="CYF5" s="27"/>
      <c r="CYG5" s="27"/>
      <c r="CYH5" s="27"/>
      <c r="CYI5" s="27"/>
      <c r="CYJ5" s="27"/>
      <c r="CYK5" s="27"/>
      <c r="CYL5" s="27"/>
      <c r="CYM5" s="27"/>
      <c r="CYN5" s="27"/>
      <c r="CYO5" s="27"/>
      <c r="CYP5" s="27"/>
      <c r="CYQ5" s="27"/>
      <c r="CYR5" s="27"/>
      <c r="CYS5" s="27"/>
      <c r="CYT5" s="27"/>
      <c r="CYU5" s="27"/>
      <c r="CYV5" s="27"/>
      <c r="CYW5" s="27"/>
      <c r="CYX5" s="27"/>
      <c r="CYY5" s="27"/>
      <c r="CYZ5" s="27"/>
      <c r="CZA5" s="27"/>
      <c r="CZB5" s="27"/>
      <c r="CZC5" s="27"/>
      <c r="CZD5" s="27"/>
      <c r="CZE5" s="27"/>
      <c r="CZF5" s="27"/>
      <c r="CZG5" s="27"/>
      <c r="CZH5" s="27"/>
      <c r="CZI5" s="27"/>
      <c r="CZJ5" s="27"/>
      <c r="CZK5" s="27"/>
      <c r="CZL5" s="27"/>
      <c r="CZM5" s="27"/>
      <c r="CZN5" s="27"/>
      <c r="CZO5" s="27"/>
      <c r="CZP5" s="27"/>
      <c r="CZQ5" s="27"/>
      <c r="CZR5" s="27"/>
      <c r="CZS5" s="27"/>
      <c r="CZT5" s="27"/>
      <c r="CZU5" s="27"/>
      <c r="CZV5" s="27"/>
      <c r="CZW5" s="27"/>
      <c r="CZX5" s="27"/>
      <c r="CZY5" s="27"/>
      <c r="CZZ5" s="27"/>
      <c r="DAA5" s="27"/>
      <c r="DAB5" s="27"/>
      <c r="DAC5" s="27"/>
      <c r="DAD5" s="27"/>
      <c r="DAE5" s="27"/>
      <c r="DAF5" s="27"/>
      <c r="DAG5" s="27"/>
      <c r="DAH5" s="27"/>
      <c r="DAI5" s="27"/>
      <c r="DAJ5" s="27"/>
      <c r="DAK5" s="27"/>
      <c r="DAL5" s="27"/>
      <c r="DAM5" s="27"/>
      <c r="DAN5" s="27"/>
      <c r="DAO5" s="27"/>
      <c r="DAP5" s="27"/>
      <c r="DAQ5" s="27"/>
      <c r="DAR5" s="27"/>
      <c r="DAS5" s="27"/>
      <c r="DAT5" s="27"/>
      <c r="DAU5" s="27"/>
      <c r="DAV5" s="27"/>
      <c r="DAW5" s="27"/>
      <c r="DAX5" s="27"/>
      <c r="DAY5" s="27"/>
      <c r="DAZ5" s="27"/>
      <c r="DBA5" s="27"/>
      <c r="DBB5" s="27"/>
      <c r="DBC5" s="27"/>
      <c r="DBD5" s="27"/>
      <c r="DBE5" s="27"/>
      <c r="DBF5" s="27"/>
      <c r="DBG5" s="27"/>
      <c r="DBH5" s="27"/>
      <c r="DBI5" s="27"/>
      <c r="DBJ5" s="27"/>
      <c r="DBK5" s="27"/>
      <c r="DBL5" s="27"/>
      <c r="DBM5" s="27"/>
      <c r="DBN5" s="27"/>
      <c r="DBO5" s="27"/>
      <c r="DBP5" s="27"/>
      <c r="DBQ5" s="27"/>
      <c r="DBR5" s="27"/>
      <c r="DBS5" s="27"/>
      <c r="DBT5" s="27"/>
      <c r="DBU5" s="27"/>
      <c r="DBV5" s="27"/>
      <c r="DBW5" s="27"/>
      <c r="DBX5" s="27"/>
      <c r="DBY5" s="27"/>
      <c r="DBZ5" s="27"/>
      <c r="DCA5" s="27"/>
      <c r="DCB5" s="27"/>
      <c r="DCC5" s="27"/>
      <c r="DCD5" s="27"/>
      <c r="DCE5" s="27"/>
      <c r="DCF5" s="27"/>
      <c r="DCG5" s="27"/>
      <c r="DCH5" s="27"/>
      <c r="DCI5" s="27"/>
      <c r="DCJ5" s="27"/>
      <c r="DCK5" s="27"/>
      <c r="DCL5" s="27"/>
      <c r="DCM5" s="27"/>
      <c r="DCN5" s="27"/>
      <c r="DCO5" s="27"/>
      <c r="DCP5" s="27"/>
      <c r="DCQ5" s="27"/>
      <c r="DCR5" s="27"/>
      <c r="DCS5" s="27"/>
      <c r="DCT5" s="27"/>
      <c r="DCU5" s="27"/>
      <c r="DCV5" s="27"/>
      <c r="DCW5" s="27"/>
      <c r="DCX5" s="27"/>
      <c r="DCY5" s="27"/>
      <c r="DCZ5" s="27"/>
      <c r="DDA5" s="27"/>
      <c r="DDB5" s="27"/>
      <c r="DDC5" s="27"/>
      <c r="DDD5" s="27"/>
      <c r="DDE5" s="27"/>
      <c r="DDF5" s="27"/>
      <c r="DDG5" s="27"/>
      <c r="DDH5" s="27"/>
      <c r="DDI5" s="27"/>
      <c r="DDJ5" s="27"/>
      <c r="DDK5" s="27"/>
      <c r="DDL5" s="27"/>
      <c r="DDM5" s="27"/>
      <c r="DDN5" s="27"/>
      <c r="DDO5" s="27"/>
      <c r="DDP5" s="27"/>
      <c r="DDQ5" s="27"/>
      <c r="DDR5" s="27"/>
      <c r="DDS5" s="27"/>
      <c r="DDT5" s="27"/>
      <c r="DDU5" s="27"/>
      <c r="DDV5" s="27"/>
      <c r="DDW5" s="27"/>
      <c r="DDX5" s="27"/>
      <c r="DDY5" s="27"/>
      <c r="DDZ5" s="27"/>
      <c r="DEA5" s="27"/>
      <c r="DEB5" s="27"/>
      <c r="DEC5" s="27"/>
      <c r="DED5" s="27"/>
      <c r="DEE5" s="27"/>
      <c r="DEF5" s="27"/>
      <c r="DEG5" s="27"/>
      <c r="DEH5" s="27"/>
      <c r="DEI5" s="27"/>
      <c r="DEJ5" s="27"/>
      <c r="DEK5" s="27"/>
      <c r="DEL5" s="27"/>
      <c r="DEM5" s="27"/>
      <c r="DEN5" s="27"/>
      <c r="DEO5" s="27"/>
      <c r="DEP5" s="27"/>
      <c r="DEQ5" s="27"/>
      <c r="DER5" s="27"/>
      <c r="DES5" s="27"/>
      <c r="DET5" s="27"/>
      <c r="DEU5" s="27"/>
      <c r="DEV5" s="27"/>
      <c r="DEW5" s="27"/>
      <c r="DEX5" s="27"/>
      <c r="DEY5" s="27"/>
      <c r="DEZ5" s="27"/>
      <c r="DFA5" s="27"/>
      <c r="DFB5" s="27"/>
      <c r="DFC5" s="27"/>
      <c r="DFD5" s="27"/>
      <c r="DFE5" s="27"/>
      <c r="DFF5" s="27"/>
      <c r="DFG5" s="27"/>
      <c r="DFH5" s="27"/>
      <c r="DFI5" s="27"/>
      <c r="DFJ5" s="27"/>
      <c r="DFK5" s="27"/>
      <c r="DFL5" s="27"/>
      <c r="DFM5" s="27"/>
      <c r="DFN5" s="27"/>
      <c r="DFO5" s="27"/>
      <c r="DFP5" s="27"/>
      <c r="DFQ5" s="27"/>
      <c r="DFR5" s="27"/>
      <c r="DFS5" s="27"/>
      <c r="DFT5" s="27"/>
      <c r="DFU5" s="27"/>
      <c r="DFV5" s="27"/>
      <c r="DFW5" s="27"/>
      <c r="DFX5" s="27"/>
      <c r="DFY5" s="27"/>
      <c r="DFZ5" s="27"/>
      <c r="DGA5" s="27"/>
      <c r="DGB5" s="27"/>
      <c r="DGC5" s="27"/>
      <c r="DGD5" s="27"/>
      <c r="DGE5" s="27"/>
      <c r="DGF5" s="27"/>
      <c r="DGG5" s="27"/>
      <c r="DGH5" s="27"/>
      <c r="DGI5" s="27"/>
      <c r="DGJ5" s="27"/>
      <c r="DGK5" s="27"/>
      <c r="DGL5" s="27"/>
      <c r="DGM5" s="27"/>
      <c r="DGN5" s="27"/>
      <c r="DGO5" s="27"/>
      <c r="DGP5" s="27"/>
      <c r="DGQ5" s="27"/>
      <c r="DGR5" s="27"/>
      <c r="DGS5" s="27"/>
      <c r="DGT5" s="27"/>
      <c r="DGU5" s="27"/>
      <c r="DGV5" s="27"/>
      <c r="DGW5" s="27"/>
      <c r="DGX5" s="27"/>
      <c r="DGY5" s="27"/>
      <c r="DGZ5" s="27"/>
      <c r="DHA5" s="27"/>
      <c r="DHB5" s="27"/>
      <c r="DHC5" s="27"/>
      <c r="DHD5" s="27"/>
      <c r="DHE5" s="27"/>
      <c r="DHF5" s="27"/>
      <c r="DHG5" s="27"/>
      <c r="DHH5" s="27"/>
      <c r="DHI5" s="27"/>
      <c r="DHJ5" s="27"/>
      <c r="DHK5" s="27"/>
      <c r="DHL5" s="27"/>
      <c r="DHM5" s="27"/>
      <c r="DHN5" s="27"/>
      <c r="DHO5" s="27"/>
      <c r="DHP5" s="27"/>
      <c r="DHQ5" s="27"/>
      <c r="DHR5" s="27"/>
      <c r="DHS5" s="27"/>
      <c r="DHT5" s="27"/>
      <c r="DHU5" s="27"/>
      <c r="DHV5" s="27"/>
      <c r="DHW5" s="27"/>
      <c r="DHX5" s="27"/>
      <c r="DHY5" s="27"/>
      <c r="DHZ5" s="27"/>
      <c r="DIA5" s="27"/>
      <c r="DIB5" s="27"/>
      <c r="DIC5" s="27"/>
      <c r="DID5" s="27"/>
      <c r="DIE5" s="27"/>
      <c r="DIF5" s="27"/>
      <c r="DIG5" s="27"/>
      <c r="DIH5" s="27"/>
      <c r="DII5" s="27"/>
      <c r="DIJ5" s="27"/>
      <c r="DIK5" s="27"/>
      <c r="DIL5" s="27"/>
      <c r="DIM5" s="27"/>
      <c r="DIN5" s="27"/>
      <c r="DIO5" s="27"/>
      <c r="DIP5" s="27"/>
      <c r="DIQ5" s="27"/>
      <c r="DIR5" s="27"/>
      <c r="DIS5" s="27"/>
      <c r="DIT5" s="27"/>
      <c r="DIU5" s="27"/>
      <c r="DIV5" s="27"/>
      <c r="DIW5" s="27"/>
      <c r="DIX5" s="27"/>
      <c r="DIY5" s="27"/>
      <c r="DIZ5" s="27"/>
      <c r="DJA5" s="27"/>
      <c r="DJB5" s="27"/>
      <c r="DJC5" s="27"/>
      <c r="DJD5" s="27"/>
      <c r="DJE5" s="27"/>
      <c r="DJF5" s="27"/>
      <c r="DJG5" s="27"/>
      <c r="DJH5" s="27"/>
      <c r="DJI5" s="27"/>
      <c r="DJJ5" s="27"/>
      <c r="DJK5" s="27"/>
      <c r="DJL5" s="27"/>
      <c r="DJM5" s="27"/>
      <c r="DJN5" s="27"/>
      <c r="DJO5" s="27"/>
      <c r="DJP5" s="27"/>
      <c r="DJQ5" s="27"/>
      <c r="DJR5" s="27"/>
      <c r="DJS5" s="27"/>
      <c r="DJT5" s="27"/>
      <c r="DJU5" s="27"/>
      <c r="DJV5" s="27"/>
      <c r="DJW5" s="27"/>
      <c r="DJX5" s="27"/>
      <c r="DJY5" s="27"/>
      <c r="DJZ5" s="27"/>
      <c r="DKA5" s="27"/>
      <c r="DKB5" s="27"/>
      <c r="DKC5" s="27"/>
      <c r="DKD5" s="27"/>
      <c r="DKE5" s="27"/>
      <c r="DKF5" s="27"/>
      <c r="DKG5" s="27"/>
      <c r="DKH5" s="27"/>
      <c r="DKI5" s="27"/>
      <c r="DKJ5" s="27"/>
      <c r="DKK5" s="27"/>
      <c r="DKL5" s="27"/>
      <c r="DKM5" s="27"/>
      <c r="DKN5" s="27"/>
      <c r="DKO5" s="27"/>
      <c r="DKP5" s="27"/>
      <c r="DKQ5" s="27"/>
      <c r="DKR5" s="27"/>
      <c r="DKS5" s="27"/>
      <c r="DKT5" s="27"/>
      <c r="DKU5" s="27"/>
      <c r="DKV5" s="27"/>
      <c r="DKW5" s="27"/>
      <c r="DKX5" s="27"/>
      <c r="DKY5" s="27"/>
      <c r="DKZ5" s="27"/>
      <c r="DLA5" s="27"/>
      <c r="DLB5" s="27"/>
      <c r="DLC5" s="27"/>
      <c r="DLD5" s="27"/>
      <c r="DLE5" s="27"/>
      <c r="DLF5" s="27"/>
      <c r="DLG5" s="27"/>
      <c r="DLH5" s="27"/>
      <c r="DLI5" s="27"/>
      <c r="DLJ5" s="27"/>
      <c r="DLK5" s="27"/>
      <c r="DLL5" s="27"/>
      <c r="DLM5" s="27"/>
      <c r="DLN5" s="27"/>
      <c r="DLO5" s="27"/>
      <c r="DLP5" s="27"/>
      <c r="DLQ5" s="27"/>
      <c r="DLR5" s="27"/>
      <c r="DLS5" s="27"/>
      <c r="DLT5" s="27"/>
      <c r="DLU5" s="27"/>
      <c r="DLV5" s="27"/>
      <c r="DLW5" s="27"/>
      <c r="DLX5" s="27"/>
      <c r="DLY5" s="27"/>
      <c r="DLZ5" s="27"/>
      <c r="DMA5" s="27"/>
      <c r="DMB5" s="27"/>
      <c r="DMC5" s="27"/>
      <c r="DMD5" s="27"/>
      <c r="DME5" s="27"/>
      <c r="DMF5" s="27"/>
      <c r="DMG5" s="27"/>
      <c r="DMH5" s="27"/>
      <c r="DMI5" s="27"/>
      <c r="DMJ5" s="27"/>
      <c r="DMK5" s="27"/>
      <c r="DML5" s="27"/>
      <c r="DMM5" s="27"/>
      <c r="DMN5" s="27"/>
      <c r="DMO5" s="27"/>
      <c r="DMP5" s="27"/>
      <c r="DMQ5" s="27"/>
      <c r="DMR5" s="27"/>
      <c r="DMS5" s="27"/>
      <c r="DMT5" s="27"/>
      <c r="DMU5" s="27"/>
      <c r="DMV5" s="27"/>
      <c r="DMW5" s="27"/>
      <c r="DMX5" s="27"/>
      <c r="DMY5" s="27"/>
      <c r="DMZ5" s="27"/>
      <c r="DNA5" s="27"/>
      <c r="DNB5" s="27"/>
      <c r="DNC5" s="27"/>
      <c r="DND5" s="27"/>
      <c r="DNE5" s="27"/>
      <c r="DNF5" s="27"/>
      <c r="DNG5" s="27"/>
      <c r="DNH5" s="27"/>
      <c r="DNI5" s="27"/>
      <c r="DNJ5" s="27"/>
      <c r="DNK5" s="27"/>
      <c r="DNL5" s="27"/>
      <c r="DNM5" s="27"/>
      <c r="DNN5" s="27"/>
      <c r="DNO5" s="27"/>
      <c r="DNP5" s="27"/>
      <c r="DNQ5" s="27"/>
      <c r="DNR5" s="27"/>
      <c r="DNS5" s="27"/>
      <c r="DNT5" s="27"/>
      <c r="DNU5" s="27"/>
      <c r="DNV5" s="27"/>
      <c r="DNW5" s="27"/>
      <c r="DNX5" s="27"/>
      <c r="DNY5" s="27"/>
      <c r="DNZ5" s="27"/>
      <c r="DOA5" s="27"/>
      <c r="DOB5" s="27"/>
      <c r="DOC5" s="27"/>
      <c r="DOD5" s="27"/>
      <c r="DOE5" s="27"/>
      <c r="DOF5" s="27"/>
      <c r="DOG5" s="27"/>
      <c r="DOH5" s="27"/>
      <c r="DOI5" s="27"/>
      <c r="DOJ5" s="27"/>
      <c r="DOK5" s="27"/>
      <c r="DOL5" s="27"/>
      <c r="DOM5" s="27"/>
      <c r="DON5" s="27"/>
      <c r="DOO5" s="27"/>
      <c r="DOP5" s="27"/>
      <c r="DOQ5" s="27"/>
      <c r="DOR5" s="27"/>
      <c r="DOS5" s="27"/>
      <c r="DOT5" s="27"/>
      <c r="DOU5" s="27"/>
      <c r="DOV5" s="27"/>
      <c r="DOW5" s="27"/>
      <c r="DOX5" s="27"/>
      <c r="DOY5" s="27"/>
      <c r="DOZ5" s="27"/>
      <c r="DPA5" s="27"/>
      <c r="DPB5" s="27"/>
      <c r="DPC5" s="27"/>
      <c r="DPD5" s="27"/>
      <c r="DPE5" s="27"/>
      <c r="DPF5" s="27"/>
      <c r="DPG5" s="27"/>
      <c r="DPH5" s="27"/>
      <c r="DPI5" s="27"/>
      <c r="DPJ5" s="27"/>
      <c r="DPK5" s="27"/>
      <c r="DPL5" s="27"/>
      <c r="DPM5" s="27"/>
      <c r="DPN5" s="27"/>
      <c r="DPO5" s="27"/>
      <c r="DPP5" s="27"/>
      <c r="DPQ5" s="27"/>
      <c r="DPR5" s="27"/>
      <c r="DPS5" s="27"/>
      <c r="DPT5" s="27"/>
      <c r="DPU5" s="27"/>
      <c r="DPV5" s="27"/>
      <c r="DPW5" s="27"/>
      <c r="DPX5" s="27"/>
      <c r="DPY5" s="27"/>
      <c r="DPZ5" s="27"/>
      <c r="DQA5" s="27"/>
      <c r="DQB5" s="27"/>
      <c r="DQC5" s="27"/>
      <c r="DQD5" s="27"/>
      <c r="DQE5" s="27"/>
      <c r="DQF5" s="27"/>
      <c r="DQG5" s="27"/>
      <c r="DQH5" s="27"/>
      <c r="DQI5" s="27"/>
      <c r="DQJ5" s="27"/>
      <c r="DQK5" s="27"/>
      <c r="DQL5" s="27"/>
      <c r="DQM5" s="27"/>
      <c r="DQN5" s="27"/>
      <c r="DQO5" s="27"/>
      <c r="DQP5" s="27"/>
      <c r="DQQ5" s="27"/>
      <c r="DQR5" s="27"/>
      <c r="DQS5" s="27"/>
      <c r="DQT5" s="27"/>
      <c r="DQU5" s="27"/>
      <c r="DQV5" s="27"/>
      <c r="DQW5" s="27"/>
      <c r="DQX5" s="27"/>
      <c r="DQY5" s="27"/>
      <c r="DQZ5" s="27"/>
      <c r="DRA5" s="27"/>
      <c r="DRB5" s="27"/>
      <c r="DRC5" s="27"/>
      <c r="DRD5" s="27"/>
      <c r="DRE5" s="27"/>
      <c r="DRF5" s="27"/>
      <c r="DRG5" s="27"/>
      <c r="DRH5" s="27"/>
      <c r="DRI5" s="27"/>
      <c r="DRJ5" s="27"/>
      <c r="DRK5" s="27"/>
      <c r="DRL5" s="27"/>
      <c r="DRM5" s="27"/>
      <c r="DRN5" s="27"/>
      <c r="DRO5" s="27"/>
      <c r="DRP5" s="27"/>
      <c r="DRQ5" s="27"/>
      <c r="DRR5" s="27"/>
      <c r="DRS5" s="27"/>
      <c r="DRT5" s="27"/>
      <c r="DRU5" s="27"/>
      <c r="DRV5" s="27"/>
      <c r="DRW5" s="27"/>
      <c r="DRX5" s="27"/>
      <c r="DRY5" s="27"/>
      <c r="DRZ5" s="27"/>
      <c r="DSA5" s="27"/>
      <c r="DSB5" s="27"/>
      <c r="DSC5" s="27"/>
      <c r="DSD5" s="27"/>
      <c r="DSE5" s="27"/>
      <c r="DSF5" s="27"/>
      <c r="DSG5" s="27"/>
      <c r="DSH5" s="27"/>
      <c r="DSI5" s="27"/>
      <c r="DSJ5" s="27"/>
      <c r="DSK5" s="27"/>
      <c r="DSL5" s="27"/>
      <c r="DSM5" s="27"/>
      <c r="DSN5" s="27"/>
      <c r="DSO5" s="27"/>
      <c r="DSP5" s="27"/>
      <c r="DSQ5" s="27"/>
      <c r="DSR5" s="27"/>
      <c r="DSS5" s="27"/>
      <c r="DST5" s="27"/>
      <c r="DSU5" s="27"/>
      <c r="DSV5" s="27"/>
      <c r="DSW5" s="27"/>
      <c r="DSX5" s="27"/>
      <c r="DSY5" s="27"/>
      <c r="DSZ5" s="27"/>
      <c r="DTA5" s="27"/>
      <c r="DTB5" s="27"/>
      <c r="DTC5" s="27"/>
      <c r="DTD5" s="27"/>
      <c r="DTE5" s="27"/>
      <c r="DTF5" s="27"/>
      <c r="DTG5" s="27"/>
      <c r="DTH5" s="27"/>
      <c r="DTI5" s="27"/>
      <c r="DTJ5" s="27"/>
      <c r="DTK5" s="27"/>
      <c r="DTL5" s="27"/>
      <c r="DTM5" s="27"/>
      <c r="DTN5" s="27"/>
      <c r="DTO5" s="27"/>
      <c r="DTP5" s="27"/>
      <c r="DTQ5" s="27"/>
      <c r="DTR5" s="27"/>
      <c r="DTS5" s="27"/>
      <c r="DTT5" s="27"/>
      <c r="DTU5" s="27"/>
      <c r="DTV5" s="27"/>
      <c r="DTW5" s="27"/>
      <c r="DTX5" s="27"/>
      <c r="DTY5" s="27"/>
      <c r="DTZ5" s="27"/>
      <c r="DUA5" s="27"/>
      <c r="DUB5" s="27"/>
      <c r="DUC5" s="27"/>
      <c r="DUD5" s="27"/>
      <c r="DUE5" s="27"/>
      <c r="DUF5" s="27"/>
      <c r="DUG5" s="27"/>
      <c r="DUH5" s="27"/>
      <c r="DUI5" s="27"/>
      <c r="DUJ5" s="27"/>
      <c r="DUK5" s="27"/>
      <c r="DUL5" s="27"/>
      <c r="DUM5" s="27"/>
      <c r="DUN5" s="27"/>
      <c r="DUO5" s="27"/>
      <c r="DUP5" s="27"/>
      <c r="DUQ5" s="27"/>
      <c r="DUR5" s="27"/>
      <c r="DUS5" s="27"/>
      <c r="DUT5" s="27"/>
      <c r="DUU5" s="27"/>
      <c r="DUV5" s="27"/>
      <c r="DUW5" s="27"/>
      <c r="DUX5" s="27"/>
      <c r="DUY5" s="27"/>
      <c r="DUZ5" s="27"/>
      <c r="DVA5" s="27"/>
      <c r="DVB5" s="27"/>
      <c r="DVC5" s="27"/>
      <c r="DVD5" s="27"/>
      <c r="DVE5" s="27"/>
      <c r="DVF5" s="27"/>
      <c r="DVG5" s="27"/>
      <c r="DVH5" s="27"/>
      <c r="DVI5" s="27"/>
      <c r="DVJ5" s="27"/>
      <c r="DVK5" s="27"/>
      <c r="DVL5" s="27"/>
      <c r="DVM5" s="27"/>
      <c r="DVN5" s="27"/>
      <c r="DVO5" s="27"/>
      <c r="DVP5" s="27"/>
      <c r="DVQ5" s="27"/>
      <c r="DVR5" s="27"/>
      <c r="DVS5" s="27"/>
      <c r="DVT5" s="27"/>
      <c r="DVU5" s="27"/>
      <c r="DVV5" s="27"/>
      <c r="DVW5" s="27"/>
      <c r="DVX5" s="27"/>
      <c r="DVY5" s="27"/>
      <c r="DVZ5" s="27"/>
      <c r="DWA5" s="27"/>
      <c r="DWB5" s="27"/>
      <c r="DWC5" s="27"/>
      <c r="DWD5" s="27"/>
      <c r="DWE5" s="27"/>
      <c r="DWF5" s="27"/>
      <c r="DWG5" s="27"/>
      <c r="DWH5" s="27"/>
      <c r="DWI5" s="27"/>
      <c r="DWJ5" s="27"/>
      <c r="DWK5" s="27"/>
      <c r="DWL5" s="27"/>
      <c r="DWM5" s="27"/>
      <c r="DWN5" s="27"/>
      <c r="DWO5" s="27"/>
      <c r="DWP5" s="27"/>
      <c r="DWQ5" s="27"/>
      <c r="DWR5" s="27"/>
      <c r="DWS5" s="27"/>
      <c r="DWT5" s="27"/>
      <c r="DWU5" s="27"/>
      <c r="DWV5" s="27"/>
      <c r="DWW5" s="27"/>
      <c r="DWX5" s="27"/>
      <c r="DWY5" s="27"/>
      <c r="DWZ5" s="27"/>
      <c r="DXA5" s="27"/>
      <c r="DXB5" s="27"/>
      <c r="DXC5" s="27"/>
      <c r="DXD5" s="27"/>
      <c r="DXE5" s="27"/>
      <c r="DXF5" s="27"/>
      <c r="DXG5" s="27"/>
      <c r="DXH5" s="27"/>
      <c r="DXI5" s="27"/>
      <c r="DXJ5" s="27"/>
      <c r="DXK5" s="27"/>
      <c r="DXL5" s="27"/>
      <c r="DXM5" s="27"/>
      <c r="DXN5" s="27"/>
      <c r="DXO5" s="27"/>
      <c r="DXP5" s="27"/>
      <c r="DXQ5" s="27"/>
      <c r="DXR5" s="27"/>
      <c r="DXS5" s="27"/>
      <c r="DXT5" s="27"/>
      <c r="DXU5" s="27"/>
      <c r="DXV5" s="27"/>
      <c r="DXW5" s="27"/>
      <c r="DXX5" s="27"/>
      <c r="DXY5" s="27"/>
      <c r="DXZ5" s="27"/>
      <c r="DYA5" s="27"/>
      <c r="DYB5" s="27"/>
      <c r="DYC5" s="27"/>
      <c r="DYD5" s="27"/>
      <c r="DYE5" s="27"/>
      <c r="DYF5" s="27"/>
      <c r="DYG5" s="27"/>
      <c r="DYH5" s="27"/>
      <c r="DYI5" s="27"/>
      <c r="DYJ5" s="27"/>
      <c r="DYK5" s="27"/>
      <c r="DYL5" s="27"/>
      <c r="DYM5" s="27"/>
      <c r="DYN5" s="27"/>
      <c r="DYO5" s="27"/>
      <c r="DYP5" s="27"/>
      <c r="DYQ5" s="27"/>
      <c r="DYR5" s="27"/>
      <c r="DYS5" s="27"/>
      <c r="DYT5" s="27"/>
      <c r="DYU5" s="27"/>
      <c r="DYV5" s="27"/>
      <c r="DYW5" s="27"/>
      <c r="DYX5" s="27"/>
      <c r="DYY5" s="27"/>
      <c r="DYZ5" s="27"/>
      <c r="DZA5" s="27"/>
      <c r="DZB5" s="27"/>
      <c r="DZC5" s="27"/>
      <c r="DZD5" s="27"/>
      <c r="DZE5" s="27"/>
      <c r="DZF5" s="27"/>
      <c r="DZG5" s="27"/>
      <c r="DZH5" s="27"/>
      <c r="DZI5" s="27"/>
      <c r="DZJ5" s="27"/>
      <c r="DZK5" s="27"/>
      <c r="DZL5" s="27"/>
      <c r="DZM5" s="27"/>
      <c r="DZN5" s="27"/>
      <c r="DZO5" s="27"/>
      <c r="DZP5" s="27"/>
      <c r="DZQ5" s="27"/>
      <c r="DZR5" s="27"/>
      <c r="DZS5" s="27"/>
      <c r="DZT5" s="27"/>
      <c r="DZU5" s="27"/>
      <c r="DZV5" s="27"/>
      <c r="DZW5" s="27"/>
      <c r="DZX5" s="27"/>
      <c r="DZY5" s="27"/>
      <c r="DZZ5" s="27"/>
      <c r="EAA5" s="27"/>
      <c r="EAB5" s="27"/>
      <c r="EAC5" s="27"/>
      <c r="EAD5" s="27"/>
      <c r="EAE5" s="27"/>
      <c r="EAF5" s="27"/>
      <c r="EAG5" s="27"/>
      <c r="EAH5" s="27"/>
      <c r="EAI5" s="27"/>
      <c r="EAJ5" s="27"/>
      <c r="EAK5" s="27"/>
      <c r="EAL5" s="27"/>
      <c r="EAM5" s="27"/>
      <c r="EAN5" s="27"/>
      <c r="EAO5" s="27"/>
      <c r="EAP5" s="27"/>
      <c r="EAQ5" s="27"/>
      <c r="EAR5" s="27"/>
      <c r="EAS5" s="27"/>
      <c r="EAT5" s="27"/>
      <c r="EAU5" s="27"/>
      <c r="EAV5" s="27"/>
      <c r="EAW5" s="27"/>
      <c r="EAX5" s="27"/>
      <c r="EAY5" s="27"/>
      <c r="EAZ5" s="27"/>
      <c r="EBA5" s="27"/>
      <c r="EBB5" s="27"/>
      <c r="EBC5" s="27"/>
      <c r="EBD5" s="27"/>
      <c r="EBE5" s="27"/>
      <c r="EBF5" s="27"/>
      <c r="EBG5" s="27"/>
      <c r="EBH5" s="27"/>
      <c r="EBI5" s="27"/>
      <c r="EBJ5" s="27"/>
      <c r="EBK5" s="27"/>
      <c r="EBL5" s="27"/>
      <c r="EBM5" s="27"/>
      <c r="EBN5" s="27"/>
      <c r="EBO5" s="27"/>
      <c r="EBP5" s="27"/>
      <c r="EBQ5" s="27"/>
      <c r="EBR5" s="27"/>
      <c r="EBS5" s="27"/>
      <c r="EBT5" s="27"/>
      <c r="EBU5" s="27"/>
      <c r="EBV5" s="27"/>
      <c r="EBW5" s="27"/>
      <c r="EBX5" s="27"/>
      <c r="EBY5" s="27"/>
      <c r="EBZ5" s="27"/>
      <c r="ECA5" s="27"/>
      <c r="ECB5" s="27"/>
      <c r="ECC5" s="27"/>
      <c r="ECD5" s="27"/>
      <c r="ECE5" s="27"/>
      <c r="ECF5" s="27"/>
      <c r="ECG5" s="27"/>
      <c r="ECH5" s="27"/>
      <c r="ECI5" s="27"/>
      <c r="ECJ5" s="27"/>
      <c r="ECK5" s="27"/>
      <c r="ECL5" s="27"/>
      <c r="ECM5" s="27"/>
      <c r="ECN5" s="27"/>
      <c r="ECO5" s="27"/>
      <c r="ECP5" s="27"/>
      <c r="ECQ5" s="27"/>
      <c r="ECR5" s="27"/>
      <c r="ECS5" s="27"/>
      <c r="ECT5" s="27"/>
      <c r="ECU5" s="27"/>
      <c r="ECV5" s="27"/>
      <c r="ECW5" s="27"/>
      <c r="ECX5" s="27"/>
      <c r="ECY5" s="27"/>
      <c r="ECZ5" s="27"/>
      <c r="EDA5" s="27"/>
      <c r="EDB5" s="27"/>
      <c r="EDC5" s="27"/>
      <c r="EDD5" s="27"/>
      <c r="EDE5" s="27"/>
      <c r="EDF5" s="27"/>
      <c r="EDG5" s="27"/>
      <c r="EDH5" s="27"/>
      <c r="EDI5" s="27"/>
      <c r="EDJ5" s="27"/>
      <c r="EDK5" s="27"/>
      <c r="EDL5" s="27"/>
      <c r="EDM5" s="27"/>
      <c r="EDN5" s="27"/>
      <c r="EDO5" s="27"/>
      <c r="EDP5" s="27"/>
      <c r="EDQ5" s="27"/>
      <c r="EDR5" s="27"/>
      <c r="EDS5" s="27"/>
      <c r="EDT5" s="27"/>
      <c r="EDU5" s="27"/>
      <c r="EDV5" s="27"/>
      <c r="EDW5" s="27"/>
      <c r="EDX5" s="27"/>
      <c r="EDY5" s="27"/>
      <c r="EDZ5" s="27"/>
      <c r="EEA5" s="27"/>
      <c r="EEB5" s="27"/>
      <c r="EEC5" s="27"/>
      <c r="EED5" s="27"/>
      <c r="EEE5" s="27"/>
      <c r="EEF5" s="27"/>
      <c r="EEG5" s="27"/>
      <c r="EEH5" s="27"/>
      <c r="EEI5" s="27"/>
      <c r="EEJ5" s="27"/>
      <c r="EEK5" s="27"/>
      <c r="EEL5" s="27"/>
      <c r="EEM5" s="27"/>
      <c r="EEN5" s="27"/>
      <c r="EEO5" s="27"/>
      <c r="EEP5" s="27"/>
      <c r="EEQ5" s="27"/>
      <c r="EER5" s="27"/>
      <c r="EES5" s="27"/>
      <c r="EET5" s="27"/>
      <c r="EEU5" s="27"/>
      <c r="EEV5" s="27"/>
      <c r="EEW5" s="27"/>
      <c r="EEX5" s="27"/>
      <c r="EEY5" s="27"/>
      <c r="EEZ5" s="27"/>
      <c r="EFA5" s="27"/>
      <c r="EFB5" s="27"/>
      <c r="EFC5" s="27"/>
      <c r="EFD5" s="27"/>
      <c r="EFE5" s="27"/>
      <c r="EFF5" s="27"/>
      <c r="EFG5" s="27"/>
      <c r="EFH5" s="27"/>
      <c r="EFI5" s="27"/>
      <c r="EFJ5" s="27"/>
      <c r="EFK5" s="27"/>
      <c r="EFL5" s="27"/>
      <c r="EFM5" s="27"/>
      <c r="EFN5" s="27"/>
      <c r="EFO5" s="27"/>
      <c r="EFP5" s="27"/>
      <c r="EFQ5" s="27"/>
      <c r="EFR5" s="27"/>
      <c r="EFS5" s="27"/>
      <c r="EFT5" s="27"/>
      <c r="EFU5" s="27"/>
      <c r="EFV5" s="27"/>
      <c r="EFW5" s="27"/>
      <c r="EFX5" s="27"/>
      <c r="EFY5" s="27"/>
      <c r="EFZ5" s="27"/>
      <c r="EGA5" s="27"/>
      <c r="EGB5" s="27"/>
      <c r="EGC5" s="27"/>
      <c r="EGD5" s="27"/>
      <c r="EGE5" s="27"/>
      <c r="EGF5" s="27"/>
      <c r="EGG5" s="27"/>
      <c r="EGH5" s="27"/>
      <c r="EGI5" s="27"/>
      <c r="EGJ5" s="27"/>
      <c r="EGK5" s="27"/>
      <c r="EGL5" s="27"/>
      <c r="EGM5" s="27"/>
      <c r="EGN5" s="27"/>
      <c r="EGO5" s="27"/>
      <c r="EGP5" s="27"/>
      <c r="EGQ5" s="27"/>
      <c r="EGR5" s="27"/>
      <c r="EGS5" s="27"/>
      <c r="EGT5" s="27"/>
      <c r="EGU5" s="27"/>
      <c r="EGV5" s="27"/>
      <c r="EGW5" s="27"/>
      <c r="EGX5" s="27"/>
      <c r="EGY5" s="27"/>
      <c r="EGZ5" s="27"/>
      <c r="EHA5" s="27"/>
      <c r="EHB5" s="27"/>
      <c r="EHC5" s="27"/>
      <c r="EHD5" s="27"/>
      <c r="EHE5" s="27"/>
      <c r="EHF5" s="27"/>
      <c r="EHG5" s="27"/>
      <c r="EHH5" s="27"/>
      <c r="EHI5" s="27"/>
      <c r="EHJ5" s="27"/>
      <c r="EHK5" s="27"/>
      <c r="EHL5" s="27"/>
      <c r="EHM5" s="27"/>
      <c r="EHN5" s="27"/>
      <c r="EHO5" s="27"/>
      <c r="EHP5" s="27"/>
      <c r="EHQ5" s="27"/>
      <c r="EHR5" s="27"/>
      <c r="EHS5" s="27"/>
      <c r="EHT5" s="27"/>
      <c r="EHU5" s="27"/>
      <c r="EHV5" s="27"/>
      <c r="EHW5" s="27"/>
      <c r="EHX5" s="27"/>
      <c r="EHY5" s="27"/>
      <c r="EHZ5" s="27"/>
      <c r="EIA5" s="27"/>
      <c r="EIB5" s="27"/>
      <c r="EIC5" s="27"/>
      <c r="EID5" s="27"/>
      <c r="EIE5" s="27"/>
      <c r="EIF5" s="27"/>
      <c r="EIG5" s="27"/>
      <c r="EIH5" s="27"/>
      <c r="EII5" s="27"/>
      <c r="EIJ5" s="27"/>
      <c r="EIK5" s="27"/>
      <c r="EIL5" s="27"/>
      <c r="EIM5" s="27"/>
      <c r="EIN5" s="27"/>
      <c r="EIO5" s="27"/>
      <c r="EIP5" s="27"/>
      <c r="EIQ5" s="27"/>
      <c r="EIR5" s="27"/>
      <c r="EIS5" s="27"/>
      <c r="EIT5" s="27"/>
      <c r="EIU5" s="27"/>
      <c r="EIV5" s="27"/>
      <c r="EIW5" s="27"/>
      <c r="EIX5" s="27"/>
      <c r="EIY5" s="27"/>
      <c r="EIZ5" s="27"/>
      <c r="EJA5" s="27"/>
      <c r="EJB5" s="27"/>
      <c r="EJC5" s="27"/>
      <c r="EJD5" s="27"/>
      <c r="EJE5" s="27"/>
      <c r="EJF5" s="27"/>
      <c r="EJG5" s="27"/>
      <c r="EJH5" s="27"/>
      <c r="EJI5" s="27"/>
      <c r="EJJ5" s="27"/>
      <c r="EJK5" s="27"/>
      <c r="EJL5" s="27"/>
      <c r="EJM5" s="27"/>
      <c r="EJN5" s="27"/>
      <c r="EJO5" s="27"/>
      <c r="EJP5" s="27"/>
      <c r="EJQ5" s="27"/>
      <c r="EJR5" s="27"/>
      <c r="EJS5" s="27"/>
      <c r="EJT5" s="27"/>
      <c r="EJU5" s="27"/>
      <c r="EJV5" s="27"/>
      <c r="EJW5" s="27"/>
      <c r="EJX5" s="27"/>
      <c r="EJY5" s="27"/>
      <c r="EJZ5" s="27"/>
      <c r="EKA5" s="27"/>
      <c r="EKB5" s="27"/>
      <c r="EKC5" s="27"/>
      <c r="EKD5" s="27"/>
      <c r="EKE5" s="27"/>
      <c r="EKF5" s="27"/>
      <c r="EKG5" s="27"/>
      <c r="EKH5" s="27"/>
      <c r="EKI5" s="27"/>
      <c r="EKJ5" s="27"/>
      <c r="EKK5" s="27"/>
      <c r="EKL5" s="27"/>
      <c r="EKM5" s="27"/>
      <c r="EKN5" s="27"/>
      <c r="EKO5" s="27"/>
      <c r="EKP5" s="27"/>
      <c r="EKQ5" s="27"/>
      <c r="EKR5" s="27"/>
      <c r="EKS5" s="27"/>
      <c r="EKT5" s="27"/>
      <c r="EKU5" s="27"/>
      <c r="EKV5" s="27"/>
      <c r="EKW5" s="27"/>
      <c r="EKX5" s="27"/>
      <c r="EKY5" s="27"/>
      <c r="EKZ5" s="27"/>
      <c r="ELA5" s="27"/>
      <c r="ELB5" s="27"/>
      <c r="ELC5" s="27"/>
      <c r="ELD5" s="27"/>
      <c r="ELE5" s="27"/>
      <c r="ELF5" s="27"/>
      <c r="ELG5" s="27"/>
      <c r="ELH5" s="27"/>
      <c r="ELI5" s="27"/>
      <c r="ELJ5" s="27"/>
      <c r="ELK5" s="27"/>
      <c r="ELL5" s="27"/>
      <c r="ELM5" s="27"/>
      <c r="ELN5" s="27"/>
      <c r="ELO5" s="27"/>
      <c r="ELP5" s="27"/>
      <c r="ELQ5" s="27"/>
      <c r="ELR5" s="27"/>
      <c r="ELS5" s="27"/>
      <c r="ELT5" s="27"/>
      <c r="ELU5" s="27"/>
      <c r="ELV5" s="27"/>
      <c r="ELW5" s="27"/>
      <c r="ELX5" s="27"/>
      <c r="ELY5" s="27"/>
      <c r="ELZ5" s="27"/>
      <c r="EMA5" s="27"/>
      <c r="EMB5" s="27"/>
      <c r="EMC5" s="27"/>
      <c r="EMD5" s="27"/>
      <c r="EME5" s="27"/>
      <c r="EMF5" s="27"/>
      <c r="EMG5" s="27"/>
      <c r="EMH5" s="27"/>
      <c r="EMI5" s="27"/>
      <c r="EMJ5" s="27"/>
      <c r="EMK5" s="27"/>
      <c r="EML5" s="27"/>
      <c r="EMM5" s="27"/>
      <c r="EMN5" s="27"/>
      <c r="EMO5" s="27"/>
      <c r="EMP5" s="27"/>
      <c r="EMQ5" s="27"/>
      <c r="EMR5" s="27"/>
      <c r="EMS5" s="27"/>
      <c r="EMT5" s="27"/>
      <c r="EMU5" s="27"/>
      <c r="EMV5" s="27"/>
      <c r="EMW5" s="27"/>
      <c r="EMX5" s="27"/>
      <c r="EMY5" s="27"/>
      <c r="EMZ5" s="27"/>
      <c r="ENA5" s="27"/>
      <c r="ENB5" s="27"/>
      <c r="ENC5" s="27"/>
      <c r="END5" s="27"/>
      <c r="ENE5" s="27"/>
      <c r="ENF5" s="27"/>
      <c r="ENG5" s="27"/>
      <c r="ENH5" s="27"/>
      <c r="ENI5" s="27"/>
      <c r="ENJ5" s="27"/>
      <c r="ENK5" s="27"/>
      <c r="ENL5" s="27"/>
      <c r="ENM5" s="27"/>
      <c r="ENN5" s="27"/>
      <c r="ENO5" s="27"/>
      <c r="ENP5" s="27"/>
      <c r="ENQ5" s="27"/>
      <c r="ENR5" s="27"/>
      <c r="ENS5" s="27"/>
      <c r="ENT5" s="27"/>
      <c r="ENU5" s="27"/>
      <c r="ENV5" s="27"/>
      <c r="ENW5" s="27"/>
      <c r="ENX5" s="27"/>
      <c r="ENY5" s="27"/>
      <c r="ENZ5" s="27"/>
      <c r="EOA5" s="27"/>
      <c r="EOB5" s="27"/>
      <c r="EOC5" s="27"/>
      <c r="EOD5" s="27"/>
      <c r="EOE5" s="27"/>
      <c r="EOF5" s="27"/>
      <c r="EOG5" s="27"/>
      <c r="EOH5" s="27"/>
      <c r="EOI5" s="27"/>
      <c r="EOJ5" s="27"/>
      <c r="EOK5" s="27"/>
      <c r="EOL5" s="27"/>
      <c r="EOM5" s="27"/>
      <c r="EON5" s="27"/>
      <c r="EOO5" s="27"/>
      <c r="EOP5" s="27"/>
      <c r="EOQ5" s="27"/>
      <c r="EOR5" s="27"/>
      <c r="EOS5" s="27"/>
      <c r="EOT5" s="27"/>
      <c r="EOU5" s="27"/>
      <c r="EOV5" s="27"/>
      <c r="EOW5" s="27"/>
      <c r="EOX5" s="27"/>
      <c r="EOY5" s="27"/>
      <c r="EOZ5" s="27"/>
      <c r="EPA5" s="27"/>
      <c r="EPB5" s="27"/>
      <c r="EPC5" s="27"/>
      <c r="EPD5" s="27"/>
      <c r="EPE5" s="27"/>
      <c r="EPF5" s="27"/>
      <c r="EPG5" s="27"/>
      <c r="EPH5" s="27"/>
      <c r="EPI5" s="27"/>
      <c r="EPJ5" s="27"/>
      <c r="EPK5" s="27"/>
      <c r="EPL5" s="27"/>
      <c r="EPM5" s="27"/>
      <c r="EPN5" s="27"/>
      <c r="EPO5" s="27"/>
      <c r="EPP5" s="27"/>
      <c r="EPQ5" s="27"/>
      <c r="EPR5" s="27"/>
      <c r="EPS5" s="27"/>
      <c r="EPT5" s="27"/>
      <c r="EPU5" s="27"/>
      <c r="EPV5" s="27"/>
      <c r="EPW5" s="27"/>
      <c r="EPX5" s="27"/>
      <c r="EPY5" s="27"/>
      <c r="EPZ5" s="27"/>
      <c r="EQA5" s="27"/>
      <c r="EQB5" s="27"/>
      <c r="EQC5" s="27"/>
      <c r="EQD5" s="27"/>
      <c r="EQE5" s="27"/>
      <c r="EQF5" s="27"/>
      <c r="EQG5" s="27"/>
      <c r="EQH5" s="27"/>
      <c r="EQI5" s="27"/>
      <c r="EQJ5" s="27"/>
      <c r="EQK5" s="27"/>
      <c r="EQL5" s="27"/>
      <c r="EQM5" s="27"/>
      <c r="EQN5" s="27"/>
      <c r="EQO5" s="27"/>
      <c r="EQP5" s="27"/>
      <c r="EQQ5" s="27"/>
      <c r="EQR5" s="27"/>
      <c r="EQS5" s="27"/>
      <c r="EQT5" s="27"/>
      <c r="EQU5" s="27"/>
      <c r="EQV5" s="27"/>
      <c r="EQW5" s="27"/>
      <c r="EQX5" s="27"/>
      <c r="EQY5" s="27"/>
      <c r="EQZ5" s="27"/>
      <c r="ERA5" s="27"/>
      <c r="ERB5" s="27"/>
      <c r="ERC5" s="27"/>
      <c r="ERD5" s="27"/>
      <c r="ERE5" s="27"/>
      <c r="ERF5" s="27"/>
      <c r="ERG5" s="27"/>
      <c r="ERH5" s="27"/>
      <c r="ERI5" s="27"/>
      <c r="ERJ5" s="27"/>
      <c r="ERK5" s="27"/>
      <c r="ERL5" s="27"/>
      <c r="ERM5" s="27"/>
      <c r="ERN5" s="27"/>
      <c r="ERO5" s="27"/>
      <c r="ERP5" s="27"/>
      <c r="ERQ5" s="27"/>
      <c r="ERR5" s="27"/>
      <c r="ERS5" s="27"/>
      <c r="ERT5" s="27"/>
      <c r="ERU5" s="27"/>
      <c r="ERV5" s="27"/>
      <c r="ERW5" s="27"/>
      <c r="ERX5" s="27"/>
      <c r="ERY5" s="27"/>
      <c r="ERZ5" s="27"/>
      <c r="ESA5" s="27"/>
      <c r="ESB5" s="27"/>
      <c r="ESC5" s="27"/>
      <c r="ESD5" s="27"/>
      <c r="ESE5" s="27"/>
      <c r="ESF5" s="27"/>
      <c r="ESG5" s="27"/>
      <c r="ESH5" s="27"/>
      <c r="ESI5" s="27"/>
      <c r="ESJ5" s="27"/>
      <c r="ESK5" s="27"/>
      <c r="ESL5" s="27"/>
      <c r="ESM5" s="27"/>
      <c r="ESN5" s="27"/>
      <c r="ESO5" s="27"/>
      <c r="ESP5" s="27"/>
      <c r="ESQ5" s="27"/>
      <c r="ESR5" s="27"/>
      <c r="ESS5" s="27"/>
      <c r="EST5" s="27"/>
      <c r="ESU5" s="27"/>
      <c r="ESV5" s="27"/>
      <c r="ESW5" s="27"/>
      <c r="ESX5" s="27"/>
      <c r="ESY5" s="27"/>
      <c r="ESZ5" s="27"/>
      <c r="ETA5" s="27"/>
      <c r="ETB5" s="27"/>
      <c r="ETC5" s="27"/>
      <c r="ETD5" s="27"/>
      <c r="ETE5" s="27"/>
      <c r="ETF5" s="27"/>
      <c r="ETG5" s="27"/>
      <c r="ETH5" s="27"/>
      <c r="ETI5" s="27"/>
      <c r="ETJ5" s="27"/>
      <c r="ETK5" s="27"/>
      <c r="ETL5" s="27"/>
      <c r="ETM5" s="27"/>
      <c r="ETN5" s="27"/>
      <c r="ETO5" s="27"/>
      <c r="ETP5" s="27"/>
      <c r="ETQ5" s="27"/>
      <c r="ETR5" s="27"/>
      <c r="ETS5" s="27"/>
      <c r="ETT5" s="27"/>
      <c r="ETU5" s="27"/>
      <c r="ETV5" s="27"/>
      <c r="ETW5" s="27"/>
      <c r="ETX5" s="27"/>
      <c r="ETY5" s="27"/>
      <c r="ETZ5" s="27"/>
      <c r="EUA5" s="27"/>
      <c r="EUB5" s="27"/>
      <c r="EUC5" s="27"/>
      <c r="EUD5" s="27"/>
      <c r="EUE5" s="27"/>
      <c r="EUF5" s="27"/>
      <c r="EUG5" s="27"/>
      <c r="EUH5" s="27"/>
      <c r="EUI5" s="27"/>
      <c r="EUJ5" s="27"/>
      <c r="EUK5" s="27"/>
      <c r="EUL5" s="27"/>
      <c r="EUM5" s="27"/>
      <c r="EUN5" s="27"/>
      <c r="EUO5" s="27"/>
      <c r="EUP5" s="27"/>
      <c r="EUQ5" s="27"/>
      <c r="EUR5" s="27"/>
      <c r="EUS5" s="27"/>
      <c r="EUT5" s="27"/>
      <c r="EUU5" s="27"/>
      <c r="EUV5" s="27"/>
      <c r="EUW5" s="27"/>
      <c r="EUX5" s="27"/>
      <c r="EUY5" s="27"/>
      <c r="EUZ5" s="27"/>
      <c r="EVA5" s="27"/>
      <c r="EVB5" s="27"/>
      <c r="EVC5" s="27"/>
      <c r="EVD5" s="27"/>
      <c r="EVE5" s="27"/>
      <c r="EVF5" s="27"/>
      <c r="EVG5" s="27"/>
      <c r="EVH5" s="27"/>
      <c r="EVI5" s="27"/>
      <c r="EVJ5" s="27"/>
      <c r="EVK5" s="27"/>
      <c r="EVL5" s="27"/>
      <c r="EVM5" s="27"/>
      <c r="EVN5" s="27"/>
      <c r="EVO5" s="27"/>
      <c r="EVP5" s="27"/>
      <c r="EVQ5" s="27"/>
      <c r="EVR5" s="27"/>
      <c r="EVS5" s="27"/>
      <c r="EVT5" s="27"/>
      <c r="EVU5" s="27"/>
      <c r="EVV5" s="27"/>
      <c r="EVW5" s="27"/>
      <c r="EVX5" s="27"/>
      <c r="EVY5" s="27"/>
      <c r="EVZ5" s="27"/>
      <c r="EWA5" s="27"/>
      <c r="EWB5" s="27"/>
      <c r="EWC5" s="27"/>
      <c r="EWD5" s="27"/>
      <c r="EWE5" s="27"/>
      <c r="EWF5" s="27"/>
      <c r="EWG5" s="27"/>
      <c r="EWH5" s="27"/>
      <c r="EWI5" s="27"/>
      <c r="EWJ5" s="27"/>
      <c r="EWK5" s="27"/>
      <c r="EWL5" s="27"/>
      <c r="EWM5" s="27"/>
      <c r="EWN5" s="27"/>
      <c r="EWO5" s="27"/>
      <c r="EWP5" s="27"/>
      <c r="EWQ5" s="27"/>
      <c r="EWR5" s="27"/>
      <c r="EWS5" s="27"/>
      <c r="EWT5" s="27"/>
      <c r="EWU5" s="27"/>
      <c r="EWV5" s="27"/>
      <c r="EWW5" s="27"/>
      <c r="EWX5" s="27"/>
      <c r="EWY5" s="27"/>
      <c r="EWZ5" s="27"/>
      <c r="EXA5" s="27"/>
      <c r="EXB5" s="27"/>
      <c r="EXC5" s="27"/>
      <c r="EXD5" s="27"/>
      <c r="EXE5" s="27"/>
      <c r="EXF5" s="27"/>
      <c r="EXG5" s="27"/>
      <c r="EXH5" s="27"/>
      <c r="EXI5" s="27"/>
      <c r="EXJ5" s="27"/>
      <c r="EXK5" s="27"/>
      <c r="EXL5" s="27"/>
      <c r="EXM5" s="27"/>
      <c r="EXN5" s="27"/>
      <c r="EXO5" s="27"/>
      <c r="EXP5" s="27"/>
      <c r="EXQ5" s="27"/>
      <c r="EXR5" s="27"/>
      <c r="EXS5" s="27"/>
      <c r="EXT5" s="27"/>
      <c r="EXU5" s="27"/>
      <c r="EXV5" s="27"/>
      <c r="EXW5" s="27"/>
      <c r="EXX5" s="27"/>
      <c r="EXY5" s="27"/>
      <c r="EXZ5" s="27"/>
      <c r="EYA5" s="27"/>
      <c r="EYB5" s="27"/>
      <c r="EYC5" s="27"/>
      <c r="EYD5" s="27"/>
      <c r="EYE5" s="27"/>
      <c r="EYF5" s="27"/>
      <c r="EYG5" s="27"/>
      <c r="EYH5" s="27"/>
      <c r="EYI5" s="27"/>
      <c r="EYJ5" s="27"/>
      <c r="EYK5" s="27"/>
      <c r="EYL5" s="27"/>
      <c r="EYM5" s="27"/>
      <c r="EYN5" s="27"/>
      <c r="EYO5" s="27"/>
      <c r="EYP5" s="27"/>
      <c r="EYQ5" s="27"/>
      <c r="EYR5" s="27"/>
      <c r="EYS5" s="27"/>
      <c r="EYT5" s="27"/>
      <c r="EYU5" s="27"/>
      <c r="EYV5" s="27"/>
      <c r="EYW5" s="27"/>
      <c r="EYX5" s="27"/>
      <c r="EYY5" s="27"/>
      <c r="EYZ5" s="27"/>
      <c r="EZA5" s="27"/>
      <c r="EZB5" s="27"/>
      <c r="EZC5" s="27"/>
      <c r="EZD5" s="27"/>
      <c r="EZE5" s="27"/>
      <c r="EZF5" s="27"/>
      <c r="EZG5" s="27"/>
      <c r="EZH5" s="27"/>
      <c r="EZI5" s="27"/>
      <c r="EZJ5" s="27"/>
      <c r="EZK5" s="27"/>
      <c r="EZL5" s="27"/>
      <c r="EZM5" s="27"/>
      <c r="EZN5" s="27"/>
      <c r="EZO5" s="27"/>
      <c r="EZP5" s="27"/>
      <c r="EZQ5" s="27"/>
      <c r="EZR5" s="27"/>
      <c r="EZS5" s="27"/>
      <c r="EZT5" s="27"/>
      <c r="EZU5" s="27"/>
      <c r="EZV5" s="27"/>
      <c r="EZW5" s="27"/>
      <c r="EZX5" s="27"/>
      <c r="EZY5" s="27"/>
      <c r="EZZ5" s="27"/>
      <c r="FAA5" s="27"/>
      <c r="FAB5" s="27"/>
      <c r="FAC5" s="27"/>
      <c r="FAD5" s="27"/>
      <c r="FAE5" s="27"/>
      <c r="FAF5" s="27"/>
      <c r="FAG5" s="27"/>
      <c r="FAH5" s="27"/>
      <c r="FAI5" s="27"/>
      <c r="FAJ5" s="27"/>
      <c r="FAK5" s="27"/>
      <c r="FAL5" s="27"/>
      <c r="FAM5" s="27"/>
      <c r="FAN5" s="27"/>
      <c r="FAO5" s="27"/>
      <c r="FAP5" s="27"/>
      <c r="FAQ5" s="27"/>
      <c r="FAR5" s="27"/>
      <c r="FAS5" s="27"/>
      <c r="FAT5" s="27"/>
      <c r="FAU5" s="27"/>
      <c r="FAV5" s="27"/>
      <c r="FAW5" s="27"/>
      <c r="FAX5" s="27"/>
      <c r="FAY5" s="27"/>
      <c r="FAZ5" s="27"/>
      <c r="FBA5" s="27"/>
      <c r="FBB5" s="27"/>
      <c r="FBC5" s="27"/>
      <c r="FBD5" s="27"/>
      <c r="FBE5" s="27"/>
      <c r="FBF5" s="27"/>
      <c r="FBG5" s="27"/>
      <c r="FBH5" s="27"/>
      <c r="FBI5" s="27"/>
      <c r="FBJ5" s="27"/>
      <c r="FBK5" s="27"/>
      <c r="FBL5" s="27"/>
      <c r="FBM5" s="27"/>
      <c r="FBN5" s="27"/>
      <c r="FBO5" s="27"/>
      <c r="FBP5" s="27"/>
      <c r="FBQ5" s="27"/>
      <c r="FBR5" s="27"/>
      <c r="FBS5" s="27"/>
      <c r="FBT5" s="27"/>
      <c r="FBU5" s="27"/>
      <c r="FBV5" s="27"/>
      <c r="FBW5" s="27"/>
      <c r="FBX5" s="27"/>
      <c r="FBY5" s="27"/>
      <c r="FBZ5" s="27"/>
      <c r="FCA5" s="27"/>
      <c r="FCB5" s="27"/>
      <c r="FCC5" s="27"/>
      <c r="FCD5" s="27"/>
      <c r="FCE5" s="27"/>
      <c r="FCF5" s="27"/>
      <c r="FCG5" s="27"/>
      <c r="FCH5" s="27"/>
      <c r="FCI5" s="27"/>
      <c r="FCJ5" s="27"/>
      <c r="FCK5" s="27"/>
      <c r="FCL5" s="27"/>
      <c r="FCM5" s="27"/>
      <c r="FCN5" s="27"/>
      <c r="FCO5" s="27"/>
      <c r="FCP5" s="27"/>
      <c r="FCQ5" s="27"/>
      <c r="FCR5" s="27"/>
      <c r="FCS5" s="27"/>
      <c r="FCT5" s="27"/>
      <c r="FCU5" s="27"/>
      <c r="FCV5" s="27"/>
      <c r="FCW5" s="27"/>
      <c r="FCX5" s="27"/>
      <c r="FCY5" s="27"/>
      <c r="FCZ5" s="27"/>
      <c r="FDA5" s="27"/>
      <c r="FDB5" s="27"/>
      <c r="FDC5" s="27"/>
      <c r="FDD5" s="27"/>
      <c r="FDE5" s="27"/>
      <c r="FDF5" s="27"/>
      <c r="FDG5" s="27"/>
      <c r="FDH5" s="27"/>
      <c r="FDI5" s="27"/>
      <c r="FDJ5" s="27"/>
      <c r="FDK5" s="27"/>
      <c r="FDL5" s="27"/>
      <c r="FDM5" s="27"/>
      <c r="FDN5" s="27"/>
      <c r="FDO5" s="27"/>
      <c r="FDP5" s="27"/>
      <c r="FDQ5" s="27"/>
      <c r="FDR5" s="27"/>
      <c r="FDS5" s="27"/>
      <c r="FDT5" s="27"/>
      <c r="FDU5" s="27"/>
      <c r="FDV5" s="27"/>
      <c r="FDW5" s="27"/>
      <c r="FDX5" s="27"/>
      <c r="FDY5" s="27"/>
      <c r="FDZ5" s="27"/>
      <c r="FEA5" s="27"/>
      <c r="FEB5" s="27"/>
      <c r="FEC5" s="27"/>
      <c r="FED5" s="27"/>
      <c r="FEE5" s="27"/>
      <c r="FEF5" s="27"/>
      <c r="FEG5" s="27"/>
      <c r="FEH5" s="27"/>
      <c r="FEI5" s="27"/>
      <c r="FEJ5" s="27"/>
      <c r="FEK5" s="27"/>
      <c r="FEL5" s="27"/>
      <c r="FEM5" s="27"/>
      <c r="FEN5" s="27"/>
      <c r="FEO5" s="27"/>
      <c r="FEP5" s="27"/>
      <c r="FEQ5" s="27"/>
      <c r="FER5" s="27"/>
      <c r="FES5" s="27"/>
      <c r="FET5" s="27"/>
      <c r="FEU5" s="27"/>
      <c r="FEV5" s="27"/>
      <c r="FEW5" s="27"/>
      <c r="FEX5" s="27"/>
      <c r="FEY5" s="27"/>
      <c r="FEZ5" s="27"/>
      <c r="FFA5" s="27"/>
      <c r="FFB5" s="27"/>
      <c r="FFC5" s="27"/>
      <c r="FFD5" s="27"/>
      <c r="FFE5" s="27"/>
      <c r="FFF5" s="27"/>
      <c r="FFG5" s="27"/>
      <c r="FFH5" s="27"/>
      <c r="FFI5" s="27"/>
      <c r="FFJ5" s="27"/>
      <c r="FFK5" s="27"/>
      <c r="FFL5" s="27"/>
      <c r="FFM5" s="27"/>
      <c r="FFN5" s="27"/>
      <c r="FFO5" s="27"/>
      <c r="FFP5" s="27"/>
      <c r="FFQ5" s="27"/>
      <c r="FFR5" s="27"/>
      <c r="FFS5" s="27"/>
      <c r="FFT5" s="27"/>
      <c r="FFU5" s="27"/>
      <c r="FFV5" s="27"/>
      <c r="FFW5" s="27"/>
      <c r="FFX5" s="27"/>
      <c r="FFY5" s="27"/>
      <c r="FFZ5" s="27"/>
      <c r="FGA5" s="27"/>
      <c r="FGB5" s="27"/>
      <c r="FGC5" s="27"/>
      <c r="FGD5" s="27"/>
      <c r="FGE5" s="27"/>
      <c r="FGF5" s="27"/>
      <c r="FGG5" s="27"/>
      <c r="FGH5" s="27"/>
      <c r="FGI5" s="27"/>
      <c r="FGJ5" s="27"/>
      <c r="FGK5" s="27"/>
      <c r="FGL5" s="27"/>
      <c r="FGM5" s="27"/>
      <c r="FGN5" s="27"/>
      <c r="FGO5" s="27"/>
      <c r="FGP5" s="27"/>
      <c r="FGQ5" s="27"/>
      <c r="FGR5" s="27"/>
      <c r="FGS5" s="27"/>
      <c r="FGT5" s="27"/>
      <c r="FGU5" s="27"/>
      <c r="FGV5" s="27"/>
      <c r="FGW5" s="27"/>
      <c r="FGX5" s="27"/>
      <c r="FGY5" s="27"/>
      <c r="FGZ5" s="27"/>
      <c r="FHA5" s="27"/>
      <c r="FHB5" s="27"/>
      <c r="FHC5" s="27"/>
      <c r="FHD5" s="27"/>
      <c r="FHE5" s="27"/>
      <c r="FHF5" s="27"/>
      <c r="FHG5" s="27"/>
      <c r="FHH5" s="27"/>
      <c r="FHI5" s="27"/>
      <c r="FHJ5" s="27"/>
      <c r="FHK5" s="27"/>
      <c r="FHL5" s="27"/>
      <c r="FHM5" s="27"/>
      <c r="FHN5" s="27"/>
      <c r="FHO5" s="27"/>
      <c r="FHP5" s="27"/>
      <c r="FHQ5" s="27"/>
      <c r="FHR5" s="27"/>
      <c r="FHS5" s="27"/>
      <c r="FHT5" s="27"/>
      <c r="FHU5" s="27"/>
      <c r="FHV5" s="27"/>
      <c r="FHW5" s="27"/>
      <c r="FHX5" s="27"/>
      <c r="FHY5" s="27"/>
      <c r="FHZ5" s="27"/>
      <c r="FIA5" s="27"/>
      <c r="FIB5" s="27"/>
      <c r="FIC5" s="27"/>
      <c r="FID5" s="27"/>
      <c r="FIE5" s="27"/>
      <c r="FIF5" s="27"/>
      <c r="FIG5" s="27"/>
      <c r="FIH5" s="27"/>
      <c r="FII5" s="27"/>
      <c r="FIJ5" s="27"/>
      <c r="FIK5" s="27"/>
      <c r="FIL5" s="27"/>
      <c r="FIM5" s="27"/>
      <c r="FIN5" s="27"/>
      <c r="FIO5" s="27"/>
      <c r="FIP5" s="27"/>
      <c r="FIQ5" s="27"/>
      <c r="FIR5" s="27"/>
      <c r="FIS5" s="27"/>
      <c r="FIT5" s="27"/>
      <c r="FIU5" s="27"/>
      <c r="FIV5" s="27"/>
      <c r="FIW5" s="27"/>
      <c r="FIX5" s="27"/>
      <c r="FIY5" s="27"/>
      <c r="FIZ5" s="27"/>
      <c r="FJA5" s="27"/>
      <c r="FJB5" s="27"/>
      <c r="FJC5" s="27"/>
      <c r="FJD5" s="27"/>
      <c r="FJE5" s="27"/>
      <c r="FJF5" s="27"/>
      <c r="FJG5" s="27"/>
      <c r="FJH5" s="27"/>
      <c r="FJI5" s="27"/>
      <c r="FJJ5" s="27"/>
      <c r="FJK5" s="27"/>
      <c r="FJL5" s="27"/>
      <c r="FJM5" s="27"/>
      <c r="FJN5" s="27"/>
      <c r="FJO5" s="27"/>
      <c r="FJP5" s="27"/>
      <c r="FJQ5" s="27"/>
      <c r="FJR5" s="27"/>
      <c r="FJS5" s="27"/>
      <c r="FJT5" s="27"/>
      <c r="FJU5" s="27"/>
      <c r="FJV5" s="27"/>
      <c r="FJW5" s="27"/>
      <c r="FJX5" s="27"/>
      <c r="FJY5" s="27"/>
      <c r="FJZ5" s="27"/>
      <c r="FKA5" s="27"/>
      <c r="FKB5" s="27"/>
      <c r="FKC5" s="27"/>
      <c r="FKD5" s="27"/>
      <c r="FKE5" s="27"/>
      <c r="FKF5" s="27"/>
      <c r="FKG5" s="27"/>
      <c r="FKH5" s="27"/>
      <c r="FKI5" s="27"/>
      <c r="FKJ5" s="27"/>
      <c r="FKK5" s="27"/>
      <c r="FKL5" s="27"/>
      <c r="FKM5" s="27"/>
      <c r="FKN5" s="27"/>
      <c r="FKO5" s="27"/>
      <c r="FKP5" s="27"/>
      <c r="FKQ5" s="27"/>
      <c r="FKR5" s="27"/>
      <c r="FKS5" s="27"/>
      <c r="FKT5" s="27"/>
      <c r="FKU5" s="27"/>
      <c r="FKV5" s="27"/>
      <c r="FKW5" s="27"/>
      <c r="FKX5" s="27"/>
      <c r="FKY5" s="27"/>
      <c r="FKZ5" s="27"/>
      <c r="FLA5" s="27"/>
      <c r="FLB5" s="27"/>
      <c r="FLC5" s="27"/>
      <c r="FLD5" s="27"/>
      <c r="FLE5" s="27"/>
      <c r="FLF5" s="27"/>
      <c r="FLG5" s="27"/>
      <c r="FLH5" s="27"/>
      <c r="FLI5" s="27"/>
      <c r="FLJ5" s="27"/>
      <c r="FLK5" s="27"/>
      <c r="FLL5" s="27"/>
      <c r="FLM5" s="27"/>
      <c r="FLN5" s="27"/>
      <c r="FLO5" s="27"/>
      <c r="FLP5" s="27"/>
      <c r="FLQ5" s="27"/>
      <c r="FLR5" s="27"/>
      <c r="FLS5" s="27"/>
      <c r="FLT5" s="27"/>
      <c r="FLU5" s="27"/>
      <c r="FLV5" s="27"/>
      <c r="FLW5" s="27"/>
      <c r="FLX5" s="27"/>
      <c r="FLY5" s="27"/>
      <c r="FLZ5" s="27"/>
      <c r="FMA5" s="27"/>
      <c r="FMB5" s="27"/>
      <c r="FMC5" s="27"/>
      <c r="FMD5" s="27"/>
      <c r="FME5" s="27"/>
      <c r="FMF5" s="27"/>
      <c r="FMG5" s="27"/>
      <c r="FMH5" s="27"/>
      <c r="FMI5" s="27"/>
      <c r="FMJ5" s="27"/>
      <c r="FMK5" s="27"/>
      <c r="FML5" s="27"/>
      <c r="FMM5" s="27"/>
      <c r="FMN5" s="27"/>
      <c r="FMO5" s="27"/>
      <c r="FMP5" s="27"/>
      <c r="FMQ5" s="27"/>
      <c r="FMR5" s="27"/>
      <c r="FMS5" s="27"/>
      <c r="FMT5" s="27"/>
      <c r="FMU5" s="27"/>
      <c r="FMV5" s="27"/>
      <c r="FMW5" s="27"/>
      <c r="FMX5" s="27"/>
      <c r="FMY5" s="27"/>
      <c r="FMZ5" s="27"/>
      <c r="FNA5" s="27"/>
      <c r="FNB5" s="27"/>
      <c r="FNC5" s="27"/>
      <c r="FND5" s="27"/>
      <c r="FNE5" s="27"/>
      <c r="FNF5" s="27"/>
      <c r="FNG5" s="27"/>
      <c r="FNH5" s="27"/>
      <c r="FNI5" s="27"/>
      <c r="FNJ5" s="27"/>
      <c r="FNK5" s="27"/>
      <c r="FNL5" s="27"/>
      <c r="FNM5" s="27"/>
      <c r="FNN5" s="27"/>
      <c r="FNO5" s="27"/>
      <c r="FNP5" s="27"/>
      <c r="FNQ5" s="27"/>
      <c r="FNR5" s="27"/>
      <c r="FNS5" s="27"/>
      <c r="FNT5" s="27"/>
      <c r="FNU5" s="27"/>
      <c r="FNV5" s="27"/>
      <c r="FNW5" s="27"/>
      <c r="FNX5" s="27"/>
      <c r="FNY5" s="27"/>
      <c r="FNZ5" s="27"/>
      <c r="FOA5" s="27"/>
      <c r="FOB5" s="27"/>
      <c r="FOC5" s="27"/>
      <c r="FOD5" s="27"/>
      <c r="FOE5" s="27"/>
      <c r="FOF5" s="27"/>
      <c r="FOG5" s="27"/>
      <c r="FOH5" s="27"/>
      <c r="FOI5" s="27"/>
      <c r="FOJ5" s="27"/>
      <c r="FOK5" s="27"/>
      <c r="FOL5" s="27"/>
      <c r="FOM5" s="27"/>
      <c r="FON5" s="27"/>
      <c r="FOO5" s="27"/>
      <c r="FOP5" s="27"/>
      <c r="FOQ5" s="27"/>
      <c r="FOR5" s="27"/>
      <c r="FOS5" s="27"/>
      <c r="FOT5" s="27"/>
      <c r="FOU5" s="27"/>
      <c r="FOV5" s="27"/>
      <c r="FOW5" s="27"/>
      <c r="FOX5" s="27"/>
      <c r="FOY5" s="27"/>
      <c r="FOZ5" s="27"/>
      <c r="FPA5" s="27"/>
      <c r="FPB5" s="27"/>
      <c r="FPC5" s="27"/>
      <c r="FPD5" s="27"/>
      <c r="FPE5" s="27"/>
      <c r="FPF5" s="27"/>
      <c r="FPG5" s="27"/>
      <c r="FPH5" s="27"/>
      <c r="FPI5" s="27"/>
      <c r="FPJ5" s="27"/>
      <c r="FPK5" s="27"/>
      <c r="FPL5" s="27"/>
      <c r="FPM5" s="27"/>
      <c r="FPN5" s="27"/>
      <c r="FPO5" s="27"/>
      <c r="FPP5" s="27"/>
      <c r="FPQ5" s="27"/>
      <c r="FPR5" s="27"/>
      <c r="FPS5" s="27"/>
      <c r="FPT5" s="27"/>
      <c r="FPU5" s="27"/>
      <c r="FPV5" s="27"/>
      <c r="FPW5" s="27"/>
      <c r="FPX5" s="27"/>
      <c r="FPY5" s="27"/>
      <c r="FPZ5" s="27"/>
      <c r="FQA5" s="27"/>
      <c r="FQB5" s="27"/>
      <c r="FQC5" s="27"/>
      <c r="FQD5" s="27"/>
      <c r="FQE5" s="27"/>
      <c r="FQF5" s="27"/>
      <c r="FQG5" s="27"/>
      <c r="FQH5" s="27"/>
      <c r="FQI5" s="27"/>
      <c r="FQJ5" s="27"/>
      <c r="FQK5" s="27"/>
      <c r="FQL5" s="27"/>
      <c r="FQM5" s="27"/>
      <c r="FQN5" s="27"/>
      <c r="FQO5" s="27"/>
      <c r="FQP5" s="27"/>
      <c r="FQQ5" s="27"/>
      <c r="FQR5" s="27"/>
      <c r="FQS5" s="27"/>
      <c r="FQT5" s="27"/>
      <c r="FQU5" s="27"/>
      <c r="FQV5" s="27"/>
      <c r="FQW5" s="27"/>
      <c r="FQX5" s="27"/>
      <c r="FQY5" s="27"/>
      <c r="FQZ5" s="27"/>
      <c r="FRA5" s="27"/>
      <c r="FRB5" s="27"/>
      <c r="FRC5" s="27"/>
      <c r="FRD5" s="27"/>
      <c r="FRE5" s="27"/>
      <c r="FRF5" s="27"/>
      <c r="FRG5" s="27"/>
      <c r="FRH5" s="27"/>
      <c r="FRI5" s="27"/>
      <c r="FRJ5" s="27"/>
      <c r="FRK5" s="27"/>
      <c r="FRL5" s="27"/>
      <c r="FRM5" s="27"/>
      <c r="FRN5" s="27"/>
      <c r="FRO5" s="27"/>
      <c r="FRP5" s="27"/>
      <c r="FRQ5" s="27"/>
      <c r="FRR5" s="27"/>
      <c r="FRS5" s="27"/>
      <c r="FRT5" s="27"/>
      <c r="FRU5" s="27"/>
      <c r="FRV5" s="27"/>
      <c r="FRW5" s="27"/>
      <c r="FRX5" s="27"/>
      <c r="FRY5" s="27"/>
      <c r="FRZ5" s="27"/>
      <c r="FSA5" s="27"/>
      <c r="FSB5" s="27"/>
      <c r="FSC5" s="27"/>
      <c r="FSD5" s="27"/>
      <c r="FSE5" s="27"/>
      <c r="FSF5" s="27"/>
      <c r="FSG5" s="27"/>
      <c r="FSH5" s="27"/>
      <c r="FSI5" s="27"/>
      <c r="FSJ5" s="27"/>
      <c r="FSK5" s="27"/>
      <c r="FSL5" s="27"/>
      <c r="FSM5" s="27"/>
      <c r="FSN5" s="27"/>
      <c r="FSO5" s="27"/>
      <c r="FSP5" s="27"/>
      <c r="FSQ5" s="27"/>
      <c r="FSR5" s="27"/>
      <c r="FSS5" s="27"/>
      <c r="FST5" s="27"/>
      <c r="FSU5" s="27"/>
      <c r="FSV5" s="27"/>
      <c r="FSW5" s="27"/>
      <c r="FSX5" s="27"/>
      <c r="FSY5" s="27"/>
      <c r="FSZ5" s="27"/>
      <c r="FTA5" s="27"/>
      <c r="FTB5" s="27"/>
      <c r="FTC5" s="27"/>
      <c r="FTD5" s="27"/>
      <c r="FTE5" s="27"/>
      <c r="FTF5" s="27"/>
      <c r="FTG5" s="27"/>
      <c r="FTH5" s="27"/>
      <c r="FTI5" s="27"/>
      <c r="FTJ5" s="27"/>
      <c r="FTK5" s="27"/>
      <c r="FTL5" s="27"/>
      <c r="FTM5" s="27"/>
      <c r="FTN5" s="27"/>
      <c r="FTO5" s="27"/>
      <c r="FTP5" s="27"/>
      <c r="FTQ5" s="27"/>
      <c r="FTR5" s="27"/>
      <c r="FTS5" s="27"/>
      <c r="FTT5" s="27"/>
      <c r="FTU5" s="27"/>
      <c r="FTV5" s="27"/>
      <c r="FTW5" s="27"/>
      <c r="FTX5" s="27"/>
      <c r="FTY5" s="27"/>
      <c r="FTZ5" s="27"/>
      <c r="FUA5" s="27"/>
      <c r="FUB5" s="27"/>
      <c r="FUC5" s="27"/>
      <c r="FUD5" s="27"/>
      <c r="FUE5" s="27"/>
      <c r="FUF5" s="27"/>
      <c r="FUG5" s="27"/>
      <c r="FUH5" s="27"/>
      <c r="FUI5" s="27"/>
      <c r="FUJ5" s="27"/>
      <c r="FUK5" s="27"/>
      <c r="FUL5" s="27"/>
      <c r="FUM5" s="27"/>
      <c r="FUN5" s="27"/>
      <c r="FUO5" s="27"/>
      <c r="FUP5" s="27"/>
      <c r="FUQ5" s="27"/>
      <c r="FUR5" s="27"/>
      <c r="FUS5" s="27"/>
      <c r="FUT5" s="27"/>
      <c r="FUU5" s="27"/>
      <c r="FUV5" s="27"/>
      <c r="FUW5" s="27"/>
      <c r="FUX5" s="27"/>
      <c r="FUY5" s="27"/>
      <c r="FUZ5" s="27"/>
      <c r="FVA5" s="27"/>
      <c r="FVB5" s="27"/>
      <c r="FVC5" s="27"/>
      <c r="FVD5" s="27"/>
      <c r="FVE5" s="27"/>
      <c r="FVF5" s="27"/>
      <c r="FVG5" s="27"/>
      <c r="FVH5" s="27"/>
      <c r="FVI5" s="27"/>
      <c r="FVJ5" s="27"/>
      <c r="FVK5" s="27"/>
      <c r="FVL5" s="27"/>
      <c r="FVM5" s="27"/>
      <c r="FVN5" s="27"/>
      <c r="FVO5" s="27"/>
      <c r="FVP5" s="27"/>
      <c r="FVQ5" s="27"/>
      <c r="FVR5" s="27"/>
      <c r="FVS5" s="27"/>
      <c r="FVT5" s="27"/>
      <c r="FVU5" s="27"/>
      <c r="FVV5" s="27"/>
      <c r="FVW5" s="27"/>
      <c r="FVX5" s="27"/>
      <c r="FVY5" s="27"/>
      <c r="FVZ5" s="27"/>
      <c r="FWA5" s="27"/>
      <c r="FWB5" s="27"/>
      <c r="FWC5" s="27"/>
      <c r="FWD5" s="27"/>
      <c r="FWE5" s="27"/>
      <c r="FWF5" s="27"/>
      <c r="FWG5" s="27"/>
      <c r="FWH5" s="27"/>
      <c r="FWI5" s="27"/>
      <c r="FWJ5" s="27"/>
      <c r="FWK5" s="27"/>
      <c r="FWL5" s="27"/>
      <c r="FWM5" s="27"/>
      <c r="FWN5" s="27"/>
      <c r="FWO5" s="27"/>
      <c r="FWP5" s="27"/>
      <c r="FWQ5" s="27"/>
      <c r="FWR5" s="27"/>
      <c r="FWS5" s="27"/>
      <c r="FWT5" s="27"/>
      <c r="FWU5" s="27"/>
      <c r="FWV5" s="27"/>
      <c r="FWW5" s="27"/>
      <c r="FWX5" s="27"/>
      <c r="FWY5" s="27"/>
      <c r="FWZ5" s="27"/>
      <c r="FXA5" s="27"/>
      <c r="FXB5" s="27"/>
      <c r="FXC5" s="27"/>
      <c r="FXD5" s="27"/>
      <c r="FXE5" s="27"/>
      <c r="FXF5" s="27"/>
      <c r="FXG5" s="27"/>
      <c r="FXH5" s="27"/>
      <c r="FXI5" s="27"/>
      <c r="FXJ5" s="27"/>
      <c r="FXK5" s="27"/>
      <c r="FXL5" s="27"/>
      <c r="FXM5" s="27"/>
      <c r="FXN5" s="27"/>
      <c r="FXO5" s="27"/>
      <c r="FXP5" s="27"/>
      <c r="FXQ5" s="27"/>
      <c r="FXR5" s="27"/>
      <c r="FXS5" s="27"/>
      <c r="FXT5" s="27"/>
      <c r="FXU5" s="27"/>
      <c r="FXV5" s="27"/>
      <c r="FXW5" s="27"/>
      <c r="FXX5" s="27"/>
      <c r="FXY5" s="27"/>
      <c r="FXZ5" s="27"/>
      <c r="FYA5" s="27"/>
      <c r="FYB5" s="27"/>
      <c r="FYC5" s="27"/>
      <c r="FYD5" s="27"/>
      <c r="FYE5" s="27"/>
      <c r="FYF5" s="27"/>
      <c r="FYG5" s="27"/>
      <c r="FYH5" s="27"/>
      <c r="FYI5" s="27"/>
      <c r="FYJ5" s="27"/>
      <c r="FYK5" s="27"/>
      <c r="FYL5" s="27"/>
      <c r="FYM5" s="27"/>
      <c r="FYN5" s="27"/>
      <c r="FYO5" s="27"/>
      <c r="FYP5" s="27"/>
      <c r="FYQ5" s="27"/>
      <c r="FYR5" s="27"/>
      <c r="FYS5" s="27"/>
      <c r="FYT5" s="27"/>
      <c r="FYU5" s="27"/>
      <c r="FYV5" s="27"/>
      <c r="FYW5" s="27"/>
      <c r="FYX5" s="27"/>
      <c r="FYY5" s="27"/>
      <c r="FYZ5" s="27"/>
      <c r="FZA5" s="27"/>
      <c r="FZB5" s="27"/>
      <c r="FZC5" s="27"/>
      <c r="FZD5" s="27"/>
      <c r="FZE5" s="27"/>
      <c r="FZF5" s="27"/>
      <c r="FZG5" s="27"/>
      <c r="FZH5" s="27"/>
      <c r="FZI5" s="27"/>
      <c r="FZJ5" s="27"/>
      <c r="FZK5" s="27"/>
      <c r="FZL5" s="27"/>
      <c r="FZM5" s="27"/>
      <c r="FZN5" s="27"/>
      <c r="FZO5" s="27"/>
      <c r="FZP5" s="27"/>
      <c r="FZQ5" s="27"/>
      <c r="FZR5" s="27"/>
      <c r="FZS5" s="27"/>
      <c r="FZT5" s="27"/>
      <c r="FZU5" s="27"/>
      <c r="FZV5" s="27"/>
      <c r="FZW5" s="27"/>
      <c r="FZX5" s="27"/>
      <c r="FZY5" s="27"/>
      <c r="FZZ5" s="27"/>
      <c r="GAA5" s="27"/>
      <c r="GAB5" s="27"/>
      <c r="GAC5" s="27"/>
      <c r="GAD5" s="27"/>
      <c r="GAE5" s="27"/>
      <c r="GAF5" s="27"/>
      <c r="GAG5" s="27"/>
      <c r="GAH5" s="27"/>
      <c r="GAI5" s="27"/>
      <c r="GAJ5" s="27"/>
      <c r="GAK5" s="27"/>
      <c r="GAL5" s="27"/>
      <c r="GAM5" s="27"/>
      <c r="GAN5" s="27"/>
      <c r="GAO5" s="27"/>
      <c r="GAP5" s="27"/>
      <c r="GAQ5" s="27"/>
      <c r="GAR5" s="27"/>
      <c r="GAS5" s="27"/>
      <c r="GAT5" s="27"/>
      <c r="GAU5" s="27"/>
      <c r="GAV5" s="27"/>
      <c r="GAW5" s="27"/>
      <c r="GAX5" s="27"/>
      <c r="GAY5" s="27"/>
      <c r="GAZ5" s="27"/>
      <c r="GBA5" s="27"/>
      <c r="GBB5" s="27"/>
      <c r="GBC5" s="27"/>
      <c r="GBD5" s="27"/>
      <c r="GBE5" s="27"/>
      <c r="GBF5" s="27"/>
      <c r="GBG5" s="27"/>
      <c r="GBH5" s="27"/>
      <c r="GBI5" s="27"/>
      <c r="GBJ5" s="27"/>
      <c r="GBK5" s="27"/>
      <c r="GBL5" s="27"/>
      <c r="GBM5" s="27"/>
      <c r="GBN5" s="27"/>
      <c r="GBO5" s="27"/>
      <c r="GBP5" s="27"/>
      <c r="GBQ5" s="27"/>
      <c r="GBR5" s="27"/>
      <c r="GBS5" s="27"/>
      <c r="GBT5" s="27"/>
      <c r="GBU5" s="27"/>
      <c r="GBV5" s="27"/>
      <c r="GBW5" s="27"/>
      <c r="GBX5" s="27"/>
      <c r="GBY5" s="27"/>
      <c r="GBZ5" s="27"/>
      <c r="GCA5" s="27"/>
      <c r="GCB5" s="27"/>
      <c r="GCC5" s="27"/>
      <c r="GCD5" s="27"/>
      <c r="GCE5" s="27"/>
      <c r="GCF5" s="27"/>
      <c r="GCG5" s="27"/>
      <c r="GCH5" s="27"/>
      <c r="GCI5" s="27"/>
      <c r="GCJ5" s="27"/>
      <c r="GCK5" s="27"/>
      <c r="GCL5" s="27"/>
      <c r="GCM5" s="27"/>
      <c r="GCN5" s="27"/>
      <c r="GCO5" s="27"/>
      <c r="GCP5" s="27"/>
      <c r="GCQ5" s="27"/>
      <c r="GCR5" s="27"/>
      <c r="GCS5" s="27"/>
      <c r="GCT5" s="27"/>
      <c r="GCU5" s="27"/>
      <c r="GCV5" s="27"/>
      <c r="GCW5" s="27"/>
      <c r="GCX5" s="27"/>
      <c r="GCY5" s="27"/>
      <c r="GCZ5" s="27"/>
      <c r="GDA5" s="27"/>
      <c r="GDB5" s="27"/>
      <c r="GDC5" s="27"/>
      <c r="GDD5" s="27"/>
      <c r="GDE5" s="27"/>
      <c r="GDF5" s="27"/>
      <c r="GDG5" s="27"/>
      <c r="GDH5" s="27"/>
      <c r="GDI5" s="27"/>
      <c r="GDJ5" s="27"/>
      <c r="GDK5" s="27"/>
      <c r="GDL5" s="27"/>
      <c r="GDM5" s="27"/>
      <c r="GDN5" s="27"/>
      <c r="GDO5" s="27"/>
      <c r="GDP5" s="27"/>
      <c r="GDQ5" s="27"/>
      <c r="GDR5" s="27"/>
      <c r="GDS5" s="27"/>
      <c r="GDT5" s="27"/>
      <c r="GDU5" s="27"/>
      <c r="GDV5" s="27"/>
      <c r="GDW5" s="27"/>
      <c r="GDX5" s="27"/>
      <c r="GDY5" s="27"/>
      <c r="GDZ5" s="27"/>
      <c r="GEA5" s="27"/>
      <c r="GEB5" s="27"/>
      <c r="GEC5" s="27"/>
      <c r="GED5" s="27"/>
      <c r="GEE5" s="27"/>
      <c r="GEF5" s="27"/>
      <c r="GEG5" s="27"/>
      <c r="GEH5" s="27"/>
      <c r="GEI5" s="27"/>
      <c r="GEJ5" s="27"/>
      <c r="GEK5" s="27"/>
      <c r="GEL5" s="27"/>
      <c r="GEM5" s="27"/>
      <c r="GEN5" s="27"/>
      <c r="GEO5" s="27"/>
      <c r="GEP5" s="27"/>
      <c r="GEQ5" s="27"/>
      <c r="GER5" s="27"/>
      <c r="GES5" s="27"/>
      <c r="GET5" s="27"/>
      <c r="GEU5" s="27"/>
      <c r="GEV5" s="27"/>
      <c r="GEW5" s="27"/>
      <c r="GEX5" s="27"/>
      <c r="GEY5" s="27"/>
      <c r="GEZ5" s="27"/>
      <c r="GFA5" s="27"/>
      <c r="GFB5" s="27"/>
      <c r="GFC5" s="27"/>
      <c r="GFD5" s="27"/>
      <c r="GFE5" s="27"/>
      <c r="GFF5" s="27"/>
      <c r="GFG5" s="27"/>
      <c r="GFH5" s="27"/>
      <c r="GFI5" s="27"/>
      <c r="GFJ5" s="27"/>
      <c r="GFK5" s="27"/>
      <c r="GFL5" s="27"/>
      <c r="GFM5" s="27"/>
      <c r="GFN5" s="27"/>
      <c r="GFO5" s="27"/>
      <c r="GFP5" s="27"/>
      <c r="GFQ5" s="27"/>
      <c r="GFR5" s="27"/>
      <c r="GFS5" s="27"/>
      <c r="GFT5" s="27"/>
      <c r="GFU5" s="27"/>
      <c r="GFV5" s="27"/>
      <c r="GFW5" s="27"/>
      <c r="GFX5" s="27"/>
      <c r="GFY5" s="27"/>
      <c r="GFZ5" s="27"/>
      <c r="GGA5" s="27"/>
      <c r="GGB5" s="27"/>
      <c r="GGC5" s="27"/>
      <c r="GGD5" s="27"/>
      <c r="GGE5" s="27"/>
      <c r="GGF5" s="27"/>
      <c r="GGG5" s="27"/>
      <c r="GGH5" s="27"/>
      <c r="GGI5" s="27"/>
      <c r="GGJ5" s="27"/>
      <c r="GGK5" s="27"/>
      <c r="GGL5" s="27"/>
      <c r="GGM5" s="27"/>
      <c r="GGN5" s="27"/>
      <c r="GGO5" s="27"/>
      <c r="GGP5" s="27"/>
      <c r="GGQ5" s="27"/>
      <c r="GGR5" s="27"/>
      <c r="GGS5" s="27"/>
      <c r="GGT5" s="27"/>
      <c r="GGU5" s="27"/>
      <c r="GGV5" s="27"/>
      <c r="GGW5" s="27"/>
      <c r="GGX5" s="27"/>
      <c r="GGY5" s="27"/>
      <c r="GGZ5" s="27"/>
      <c r="GHA5" s="27"/>
      <c r="GHB5" s="27"/>
      <c r="GHC5" s="27"/>
      <c r="GHD5" s="27"/>
      <c r="GHE5" s="27"/>
      <c r="GHF5" s="27"/>
      <c r="GHG5" s="27"/>
      <c r="GHH5" s="27"/>
      <c r="GHI5" s="27"/>
      <c r="GHJ5" s="27"/>
      <c r="GHK5" s="27"/>
      <c r="GHL5" s="27"/>
      <c r="GHM5" s="27"/>
      <c r="GHN5" s="27"/>
      <c r="GHO5" s="27"/>
      <c r="GHP5" s="27"/>
      <c r="GHQ5" s="27"/>
      <c r="GHR5" s="27"/>
      <c r="GHS5" s="27"/>
      <c r="GHT5" s="27"/>
      <c r="GHU5" s="27"/>
      <c r="GHV5" s="27"/>
      <c r="GHW5" s="27"/>
      <c r="GHX5" s="27"/>
      <c r="GHY5" s="27"/>
      <c r="GHZ5" s="27"/>
      <c r="GIA5" s="27"/>
      <c r="GIB5" s="27"/>
      <c r="GIC5" s="27"/>
      <c r="GID5" s="27"/>
      <c r="GIE5" s="27"/>
      <c r="GIF5" s="27"/>
      <c r="GIG5" s="27"/>
      <c r="GIH5" s="27"/>
      <c r="GII5" s="27"/>
      <c r="GIJ5" s="27"/>
      <c r="GIK5" s="27"/>
      <c r="GIL5" s="27"/>
      <c r="GIM5" s="27"/>
      <c r="GIN5" s="27"/>
      <c r="GIO5" s="27"/>
      <c r="GIP5" s="27"/>
      <c r="GIQ5" s="27"/>
      <c r="GIR5" s="27"/>
      <c r="GIS5" s="27"/>
      <c r="GIT5" s="27"/>
      <c r="GIU5" s="27"/>
      <c r="GIV5" s="27"/>
      <c r="GIW5" s="27"/>
      <c r="GIX5" s="27"/>
      <c r="GIY5" s="27"/>
      <c r="GIZ5" s="27"/>
      <c r="GJA5" s="27"/>
      <c r="GJB5" s="27"/>
      <c r="GJC5" s="27"/>
      <c r="GJD5" s="27"/>
      <c r="GJE5" s="27"/>
      <c r="GJF5" s="27"/>
      <c r="GJG5" s="27"/>
      <c r="GJH5" s="27"/>
      <c r="GJI5" s="27"/>
      <c r="GJJ5" s="27"/>
      <c r="GJK5" s="27"/>
      <c r="GJL5" s="27"/>
      <c r="GJM5" s="27"/>
      <c r="GJN5" s="27"/>
      <c r="GJO5" s="27"/>
      <c r="GJP5" s="27"/>
      <c r="GJQ5" s="27"/>
      <c r="GJR5" s="27"/>
      <c r="GJS5" s="27"/>
      <c r="GJT5" s="27"/>
      <c r="GJU5" s="27"/>
      <c r="GJV5" s="27"/>
      <c r="GJW5" s="27"/>
      <c r="GJX5" s="27"/>
      <c r="GJY5" s="27"/>
      <c r="GJZ5" s="27"/>
      <c r="GKA5" s="27"/>
      <c r="GKB5" s="27"/>
      <c r="GKC5" s="27"/>
      <c r="GKD5" s="27"/>
      <c r="GKE5" s="27"/>
      <c r="GKF5" s="27"/>
      <c r="GKG5" s="27"/>
      <c r="GKH5" s="27"/>
      <c r="GKI5" s="27"/>
      <c r="GKJ5" s="27"/>
      <c r="GKK5" s="27"/>
      <c r="GKL5" s="27"/>
      <c r="GKM5" s="27"/>
      <c r="GKN5" s="27"/>
      <c r="GKO5" s="27"/>
      <c r="GKP5" s="27"/>
      <c r="GKQ5" s="27"/>
      <c r="GKR5" s="27"/>
      <c r="GKS5" s="27"/>
      <c r="GKT5" s="27"/>
      <c r="GKU5" s="27"/>
      <c r="GKV5" s="27"/>
      <c r="GKW5" s="27"/>
      <c r="GKX5" s="27"/>
      <c r="GKY5" s="27"/>
      <c r="GKZ5" s="27"/>
      <c r="GLA5" s="27"/>
      <c r="GLB5" s="27"/>
      <c r="GLC5" s="27"/>
      <c r="GLD5" s="27"/>
      <c r="GLE5" s="27"/>
      <c r="GLF5" s="27"/>
      <c r="GLG5" s="27"/>
      <c r="GLH5" s="27"/>
      <c r="GLI5" s="27"/>
      <c r="GLJ5" s="27"/>
      <c r="GLK5" s="27"/>
      <c r="GLL5" s="27"/>
      <c r="GLM5" s="27"/>
      <c r="GLN5" s="27"/>
      <c r="GLO5" s="27"/>
      <c r="GLP5" s="27"/>
      <c r="GLQ5" s="27"/>
      <c r="GLR5" s="27"/>
      <c r="GLS5" s="27"/>
      <c r="GLT5" s="27"/>
      <c r="GLU5" s="27"/>
      <c r="GLV5" s="27"/>
      <c r="GLW5" s="27"/>
      <c r="GLX5" s="27"/>
      <c r="GLY5" s="27"/>
      <c r="GLZ5" s="27"/>
      <c r="GMA5" s="27"/>
      <c r="GMB5" s="27"/>
      <c r="GMC5" s="27"/>
      <c r="GMD5" s="27"/>
      <c r="GME5" s="27"/>
      <c r="GMF5" s="27"/>
      <c r="GMG5" s="27"/>
      <c r="GMH5" s="27"/>
      <c r="GMI5" s="27"/>
      <c r="GMJ5" s="27"/>
      <c r="GMK5" s="27"/>
      <c r="GML5" s="27"/>
      <c r="GMM5" s="27"/>
      <c r="GMN5" s="27"/>
      <c r="GMO5" s="27"/>
      <c r="GMP5" s="27"/>
      <c r="GMQ5" s="27"/>
      <c r="GMR5" s="27"/>
      <c r="GMS5" s="27"/>
      <c r="GMT5" s="27"/>
      <c r="GMU5" s="27"/>
      <c r="GMV5" s="27"/>
      <c r="GMW5" s="27"/>
      <c r="GMX5" s="27"/>
      <c r="GMY5" s="27"/>
      <c r="GMZ5" s="27"/>
      <c r="GNA5" s="27"/>
      <c r="GNB5" s="27"/>
      <c r="GNC5" s="27"/>
      <c r="GND5" s="27"/>
      <c r="GNE5" s="27"/>
      <c r="GNF5" s="27"/>
      <c r="GNG5" s="27"/>
      <c r="GNH5" s="27"/>
      <c r="GNI5" s="27"/>
      <c r="GNJ5" s="27"/>
      <c r="GNK5" s="27"/>
      <c r="GNL5" s="27"/>
      <c r="GNM5" s="27"/>
      <c r="GNN5" s="27"/>
      <c r="GNO5" s="27"/>
      <c r="GNP5" s="27"/>
      <c r="GNQ5" s="27"/>
      <c r="GNR5" s="27"/>
      <c r="GNS5" s="27"/>
      <c r="GNT5" s="27"/>
      <c r="GNU5" s="27"/>
      <c r="GNV5" s="27"/>
      <c r="GNW5" s="27"/>
      <c r="GNX5" s="27"/>
      <c r="GNY5" s="27"/>
      <c r="GNZ5" s="27"/>
      <c r="GOA5" s="27"/>
      <c r="GOB5" s="27"/>
      <c r="GOC5" s="27"/>
      <c r="GOD5" s="27"/>
      <c r="GOE5" s="27"/>
      <c r="GOF5" s="27"/>
      <c r="GOG5" s="27"/>
      <c r="GOH5" s="27"/>
      <c r="GOI5" s="27"/>
      <c r="GOJ5" s="27"/>
      <c r="GOK5" s="27"/>
      <c r="GOL5" s="27"/>
      <c r="GOM5" s="27"/>
      <c r="GON5" s="27"/>
      <c r="GOO5" s="27"/>
      <c r="GOP5" s="27"/>
      <c r="GOQ5" s="27"/>
      <c r="GOR5" s="27"/>
      <c r="GOS5" s="27"/>
      <c r="GOT5" s="27"/>
      <c r="GOU5" s="27"/>
      <c r="GOV5" s="27"/>
      <c r="GOW5" s="27"/>
      <c r="GOX5" s="27"/>
      <c r="GOY5" s="27"/>
      <c r="GOZ5" s="27"/>
      <c r="GPA5" s="27"/>
      <c r="GPB5" s="27"/>
      <c r="GPC5" s="27"/>
      <c r="GPD5" s="27"/>
      <c r="GPE5" s="27"/>
      <c r="GPF5" s="27"/>
      <c r="GPG5" s="27"/>
      <c r="GPH5" s="27"/>
      <c r="GPI5" s="27"/>
      <c r="GPJ5" s="27"/>
      <c r="GPK5" s="27"/>
      <c r="GPL5" s="27"/>
      <c r="GPM5" s="27"/>
      <c r="GPN5" s="27"/>
      <c r="GPO5" s="27"/>
      <c r="GPP5" s="27"/>
      <c r="GPQ5" s="27"/>
      <c r="GPR5" s="27"/>
      <c r="GPS5" s="27"/>
      <c r="GPT5" s="27"/>
      <c r="GPU5" s="27"/>
      <c r="GPV5" s="27"/>
      <c r="GPW5" s="27"/>
      <c r="GPX5" s="27"/>
      <c r="GPY5" s="27"/>
      <c r="GPZ5" s="27"/>
      <c r="GQA5" s="27"/>
      <c r="GQB5" s="27"/>
      <c r="GQC5" s="27"/>
      <c r="GQD5" s="27"/>
      <c r="GQE5" s="27"/>
      <c r="GQF5" s="27"/>
      <c r="GQG5" s="27"/>
      <c r="GQH5" s="27"/>
      <c r="GQI5" s="27"/>
      <c r="GQJ5" s="27"/>
      <c r="GQK5" s="27"/>
      <c r="GQL5" s="27"/>
      <c r="GQM5" s="27"/>
      <c r="GQN5" s="27"/>
      <c r="GQO5" s="27"/>
      <c r="GQP5" s="27"/>
      <c r="GQQ5" s="27"/>
      <c r="GQR5" s="27"/>
      <c r="GQS5" s="27"/>
      <c r="GQT5" s="27"/>
      <c r="GQU5" s="27"/>
      <c r="GQV5" s="27"/>
      <c r="GQW5" s="27"/>
      <c r="GQX5" s="27"/>
      <c r="GQY5" s="27"/>
      <c r="GQZ5" s="27"/>
      <c r="GRA5" s="27"/>
      <c r="GRB5" s="27"/>
      <c r="GRC5" s="27"/>
      <c r="GRD5" s="27"/>
      <c r="GRE5" s="27"/>
      <c r="GRF5" s="27"/>
      <c r="GRG5" s="27"/>
      <c r="GRH5" s="27"/>
      <c r="GRI5" s="27"/>
      <c r="GRJ5" s="27"/>
      <c r="GRK5" s="27"/>
      <c r="GRL5" s="27"/>
      <c r="GRM5" s="27"/>
      <c r="GRN5" s="27"/>
      <c r="GRO5" s="27"/>
      <c r="GRP5" s="27"/>
      <c r="GRQ5" s="27"/>
      <c r="GRR5" s="27"/>
      <c r="GRS5" s="27"/>
      <c r="GRT5" s="27"/>
      <c r="GRU5" s="27"/>
      <c r="GRV5" s="27"/>
      <c r="GRW5" s="27"/>
      <c r="GRX5" s="27"/>
      <c r="GRY5" s="27"/>
      <c r="GRZ5" s="27"/>
      <c r="GSA5" s="27"/>
      <c r="GSB5" s="27"/>
      <c r="GSC5" s="27"/>
      <c r="GSD5" s="27"/>
      <c r="GSE5" s="27"/>
      <c r="GSF5" s="27"/>
      <c r="GSG5" s="27"/>
      <c r="GSH5" s="27"/>
      <c r="GSI5" s="27"/>
      <c r="GSJ5" s="27"/>
      <c r="GSK5" s="27"/>
      <c r="GSL5" s="27"/>
      <c r="GSM5" s="27"/>
      <c r="GSN5" s="27"/>
      <c r="GSO5" s="27"/>
      <c r="GSP5" s="27"/>
      <c r="GSQ5" s="27"/>
      <c r="GSR5" s="27"/>
      <c r="GSS5" s="27"/>
      <c r="GST5" s="27"/>
      <c r="GSU5" s="27"/>
      <c r="GSV5" s="27"/>
      <c r="GSW5" s="27"/>
      <c r="GSX5" s="27"/>
      <c r="GSY5" s="27"/>
      <c r="GSZ5" s="27"/>
      <c r="GTA5" s="27"/>
      <c r="GTB5" s="27"/>
      <c r="GTC5" s="27"/>
      <c r="GTD5" s="27"/>
      <c r="GTE5" s="27"/>
      <c r="GTF5" s="27"/>
      <c r="GTG5" s="27"/>
      <c r="GTH5" s="27"/>
      <c r="GTI5" s="27"/>
      <c r="GTJ5" s="27"/>
      <c r="GTK5" s="27"/>
      <c r="GTL5" s="27"/>
      <c r="GTM5" s="27"/>
      <c r="GTN5" s="27"/>
      <c r="GTO5" s="27"/>
      <c r="GTP5" s="27"/>
      <c r="GTQ5" s="27"/>
      <c r="GTR5" s="27"/>
      <c r="GTS5" s="27"/>
      <c r="GTT5" s="27"/>
      <c r="GTU5" s="27"/>
      <c r="GTV5" s="27"/>
      <c r="GTW5" s="27"/>
      <c r="GTX5" s="27"/>
      <c r="GTY5" s="27"/>
      <c r="GTZ5" s="27"/>
      <c r="GUA5" s="27"/>
      <c r="GUB5" s="27"/>
      <c r="GUC5" s="27"/>
      <c r="GUD5" s="27"/>
      <c r="GUE5" s="27"/>
      <c r="GUF5" s="27"/>
      <c r="GUG5" s="27"/>
      <c r="GUH5" s="27"/>
      <c r="GUI5" s="27"/>
      <c r="GUJ5" s="27"/>
      <c r="GUK5" s="27"/>
      <c r="GUL5" s="27"/>
      <c r="GUM5" s="27"/>
      <c r="GUN5" s="27"/>
      <c r="GUO5" s="27"/>
      <c r="GUP5" s="27"/>
      <c r="GUQ5" s="27"/>
      <c r="GUR5" s="27"/>
      <c r="GUS5" s="27"/>
      <c r="GUT5" s="27"/>
      <c r="GUU5" s="27"/>
      <c r="GUV5" s="27"/>
      <c r="GUW5" s="27"/>
      <c r="GUX5" s="27"/>
      <c r="GUY5" s="27"/>
      <c r="GUZ5" s="27"/>
      <c r="GVA5" s="27"/>
      <c r="GVB5" s="27"/>
      <c r="GVC5" s="27"/>
      <c r="GVD5" s="27"/>
      <c r="GVE5" s="27"/>
      <c r="GVF5" s="27"/>
      <c r="GVG5" s="27"/>
      <c r="GVH5" s="27"/>
      <c r="GVI5" s="27"/>
      <c r="GVJ5" s="27"/>
      <c r="GVK5" s="27"/>
      <c r="GVL5" s="27"/>
      <c r="GVM5" s="27"/>
      <c r="GVN5" s="27"/>
      <c r="GVO5" s="27"/>
      <c r="GVP5" s="27"/>
      <c r="GVQ5" s="27"/>
      <c r="GVR5" s="27"/>
      <c r="GVS5" s="27"/>
      <c r="GVT5" s="27"/>
      <c r="GVU5" s="27"/>
      <c r="GVV5" s="27"/>
      <c r="GVW5" s="27"/>
      <c r="GVX5" s="27"/>
      <c r="GVY5" s="27"/>
      <c r="GVZ5" s="27"/>
      <c r="GWA5" s="27"/>
      <c r="GWB5" s="27"/>
      <c r="GWC5" s="27"/>
      <c r="GWD5" s="27"/>
      <c r="GWE5" s="27"/>
      <c r="GWF5" s="27"/>
      <c r="GWG5" s="27"/>
      <c r="GWH5" s="27"/>
      <c r="GWI5" s="27"/>
      <c r="GWJ5" s="27"/>
      <c r="GWK5" s="27"/>
      <c r="GWL5" s="27"/>
      <c r="GWM5" s="27"/>
      <c r="GWN5" s="27"/>
      <c r="GWO5" s="27"/>
      <c r="GWP5" s="27"/>
      <c r="GWQ5" s="27"/>
      <c r="GWR5" s="27"/>
      <c r="GWS5" s="27"/>
      <c r="GWT5" s="27"/>
      <c r="GWU5" s="27"/>
      <c r="GWV5" s="27"/>
      <c r="GWW5" s="27"/>
      <c r="GWX5" s="27"/>
      <c r="GWY5" s="27"/>
      <c r="GWZ5" s="27"/>
      <c r="GXA5" s="27"/>
      <c r="GXB5" s="27"/>
      <c r="GXC5" s="27"/>
      <c r="GXD5" s="27"/>
      <c r="GXE5" s="27"/>
      <c r="GXF5" s="27"/>
      <c r="GXG5" s="27"/>
      <c r="GXH5" s="27"/>
      <c r="GXI5" s="27"/>
      <c r="GXJ5" s="27"/>
      <c r="GXK5" s="27"/>
      <c r="GXL5" s="27"/>
      <c r="GXM5" s="27"/>
      <c r="GXN5" s="27"/>
      <c r="GXO5" s="27"/>
      <c r="GXP5" s="27"/>
      <c r="GXQ5" s="27"/>
      <c r="GXR5" s="27"/>
      <c r="GXS5" s="27"/>
      <c r="GXT5" s="27"/>
      <c r="GXU5" s="27"/>
      <c r="GXV5" s="27"/>
      <c r="GXW5" s="27"/>
      <c r="GXX5" s="27"/>
      <c r="GXY5" s="27"/>
      <c r="GXZ5" s="27"/>
      <c r="GYA5" s="27"/>
      <c r="GYB5" s="27"/>
      <c r="GYC5" s="27"/>
      <c r="GYD5" s="27"/>
      <c r="GYE5" s="27"/>
      <c r="GYF5" s="27"/>
      <c r="GYG5" s="27"/>
      <c r="GYH5" s="27"/>
      <c r="GYI5" s="27"/>
      <c r="GYJ5" s="27"/>
      <c r="GYK5" s="27"/>
      <c r="GYL5" s="27"/>
      <c r="GYM5" s="27"/>
      <c r="GYN5" s="27"/>
      <c r="GYO5" s="27"/>
      <c r="GYP5" s="27"/>
      <c r="GYQ5" s="27"/>
      <c r="GYR5" s="27"/>
      <c r="GYS5" s="27"/>
      <c r="GYT5" s="27"/>
      <c r="GYU5" s="27"/>
      <c r="GYV5" s="27"/>
      <c r="GYW5" s="27"/>
      <c r="GYX5" s="27"/>
      <c r="GYY5" s="27"/>
      <c r="GYZ5" s="27"/>
      <c r="GZA5" s="27"/>
      <c r="GZB5" s="27"/>
      <c r="GZC5" s="27"/>
      <c r="GZD5" s="27"/>
      <c r="GZE5" s="27"/>
      <c r="GZF5" s="27"/>
      <c r="GZG5" s="27"/>
      <c r="GZH5" s="27"/>
      <c r="GZI5" s="27"/>
      <c r="GZJ5" s="27"/>
      <c r="GZK5" s="27"/>
      <c r="GZL5" s="27"/>
      <c r="GZM5" s="27"/>
      <c r="GZN5" s="27"/>
      <c r="GZO5" s="27"/>
      <c r="GZP5" s="27"/>
      <c r="GZQ5" s="27"/>
      <c r="GZR5" s="27"/>
      <c r="GZS5" s="27"/>
      <c r="GZT5" s="27"/>
      <c r="GZU5" s="27"/>
      <c r="GZV5" s="27"/>
      <c r="GZW5" s="27"/>
      <c r="GZX5" s="27"/>
      <c r="GZY5" s="27"/>
      <c r="GZZ5" s="27"/>
      <c r="HAA5" s="27"/>
      <c r="HAB5" s="27"/>
      <c r="HAC5" s="27"/>
      <c r="HAD5" s="27"/>
      <c r="HAE5" s="27"/>
      <c r="HAF5" s="27"/>
      <c r="HAG5" s="27"/>
      <c r="HAH5" s="27"/>
      <c r="HAI5" s="27"/>
      <c r="HAJ5" s="27"/>
      <c r="HAK5" s="27"/>
      <c r="HAL5" s="27"/>
      <c r="HAM5" s="27"/>
      <c r="HAN5" s="27"/>
      <c r="HAO5" s="27"/>
      <c r="HAP5" s="27"/>
      <c r="HAQ5" s="27"/>
      <c r="HAR5" s="27"/>
      <c r="HAS5" s="27"/>
      <c r="HAT5" s="27"/>
      <c r="HAU5" s="27"/>
      <c r="HAV5" s="27"/>
      <c r="HAW5" s="27"/>
      <c r="HAX5" s="27"/>
      <c r="HAY5" s="27"/>
      <c r="HAZ5" s="27"/>
      <c r="HBA5" s="27"/>
      <c r="HBB5" s="27"/>
      <c r="HBC5" s="27"/>
      <c r="HBD5" s="27"/>
      <c r="HBE5" s="27"/>
      <c r="HBF5" s="27"/>
      <c r="HBG5" s="27"/>
      <c r="HBH5" s="27"/>
      <c r="HBI5" s="27"/>
      <c r="HBJ5" s="27"/>
      <c r="HBK5" s="27"/>
      <c r="HBL5" s="27"/>
      <c r="HBM5" s="27"/>
      <c r="HBN5" s="27"/>
      <c r="HBO5" s="27"/>
      <c r="HBP5" s="27"/>
      <c r="HBQ5" s="27"/>
      <c r="HBR5" s="27"/>
      <c r="HBS5" s="27"/>
      <c r="HBT5" s="27"/>
      <c r="HBU5" s="27"/>
      <c r="HBV5" s="27"/>
      <c r="HBW5" s="27"/>
      <c r="HBX5" s="27"/>
      <c r="HBY5" s="27"/>
      <c r="HBZ5" s="27"/>
      <c r="HCA5" s="27"/>
      <c r="HCB5" s="27"/>
      <c r="HCC5" s="27"/>
      <c r="HCD5" s="27"/>
      <c r="HCE5" s="27"/>
      <c r="HCF5" s="27"/>
      <c r="HCG5" s="27"/>
      <c r="HCH5" s="27"/>
      <c r="HCI5" s="27"/>
      <c r="HCJ5" s="27"/>
      <c r="HCK5" s="27"/>
      <c r="HCL5" s="27"/>
      <c r="HCM5" s="27"/>
      <c r="HCN5" s="27"/>
      <c r="HCO5" s="27"/>
      <c r="HCP5" s="27"/>
      <c r="HCQ5" s="27"/>
      <c r="HCR5" s="27"/>
      <c r="HCS5" s="27"/>
      <c r="HCT5" s="27"/>
      <c r="HCU5" s="27"/>
      <c r="HCV5" s="27"/>
      <c r="HCW5" s="27"/>
      <c r="HCX5" s="27"/>
      <c r="HCY5" s="27"/>
      <c r="HCZ5" s="27"/>
      <c r="HDA5" s="27"/>
      <c r="HDB5" s="27"/>
      <c r="HDC5" s="27"/>
      <c r="HDD5" s="27"/>
      <c r="HDE5" s="27"/>
      <c r="HDF5" s="27"/>
      <c r="HDG5" s="27"/>
      <c r="HDH5" s="27"/>
      <c r="HDI5" s="27"/>
      <c r="HDJ5" s="27"/>
      <c r="HDK5" s="27"/>
      <c r="HDL5" s="27"/>
      <c r="HDM5" s="27"/>
      <c r="HDN5" s="27"/>
      <c r="HDO5" s="27"/>
      <c r="HDP5" s="27"/>
      <c r="HDQ5" s="27"/>
      <c r="HDR5" s="27"/>
      <c r="HDS5" s="27"/>
      <c r="HDT5" s="27"/>
      <c r="HDU5" s="27"/>
      <c r="HDV5" s="27"/>
      <c r="HDW5" s="27"/>
      <c r="HDX5" s="27"/>
      <c r="HDY5" s="27"/>
      <c r="HDZ5" s="27"/>
      <c r="HEA5" s="27"/>
      <c r="HEB5" s="27"/>
      <c r="HEC5" s="27"/>
      <c r="HED5" s="27"/>
      <c r="HEE5" s="27"/>
      <c r="HEF5" s="27"/>
      <c r="HEG5" s="27"/>
      <c r="HEH5" s="27"/>
      <c r="HEI5" s="27"/>
      <c r="HEJ5" s="27"/>
      <c r="HEK5" s="27"/>
      <c r="HEL5" s="27"/>
      <c r="HEM5" s="27"/>
      <c r="HEN5" s="27"/>
      <c r="HEO5" s="27"/>
      <c r="HEP5" s="27"/>
      <c r="HEQ5" s="27"/>
      <c r="HER5" s="27"/>
      <c r="HES5" s="27"/>
      <c r="HET5" s="27"/>
      <c r="HEU5" s="27"/>
      <c r="HEV5" s="27"/>
      <c r="HEW5" s="27"/>
      <c r="HEX5" s="27"/>
      <c r="HEY5" s="27"/>
      <c r="HEZ5" s="27"/>
      <c r="HFA5" s="27"/>
      <c r="HFB5" s="27"/>
      <c r="HFC5" s="27"/>
      <c r="HFD5" s="27"/>
      <c r="HFE5" s="27"/>
      <c r="HFF5" s="27"/>
      <c r="HFG5" s="27"/>
      <c r="HFH5" s="27"/>
      <c r="HFI5" s="27"/>
      <c r="HFJ5" s="27"/>
      <c r="HFK5" s="27"/>
      <c r="HFL5" s="27"/>
      <c r="HFM5" s="27"/>
      <c r="HFN5" s="27"/>
      <c r="HFO5" s="27"/>
      <c r="HFP5" s="27"/>
      <c r="HFQ5" s="27"/>
      <c r="HFR5" s="27"/>
      <c r="HFS5" s="27"/>
      <c r="HFT5" s="27"/>
      <c r="HFU5" s="27"/>
      <c r="HFV5" s="27"/>
      <c r="HFW5" s="27"/>
      <c r="HFX5" s="27"/>
      <c r="HFY5" s="27"/>
      <c r="HFZ5" s="27"/>
      <c r="HGA5" s="27"/>
      <c r="HGB5" s="27"/>
      <c r="HGC5" s="27"/>
      <c r="HGD5" s="27"/>
      <c r="HGE5" s="27"/>
      <c r="HGF5" s="27"/>
      <c r="HGG5" s="27"/>
      <c r="HGH5" s="27"/>
      <c r="HGI5" s="27"/>
      <c r="HGJ5" s="27"/>
      <c r="HGK5" s="27"/>
      <c r="HGL5" s="27"/>
      <c r="HGM5" s="27"/>
      <c r="HGN5" s="27"/>
      <c r="HGO5" s="27"/>
      <c r="HGP5" s="27"/>
      <c r="HGQ5" s="27"/>
      <c r="HGR5" s="27"/>
      <c r="HGS5" s="27"/>
      <c r="HGT5" s="27"/>
      <c r="HGU5" s="27"/>
      <c r="HGV5" s="27"/>
      <c r="HGW5" s="27"/>
      <c r="HGX5" s="27"/>
      <c r="HGY5" s="27"/>
      <c r="HGZ5" s="27"/>
      <c r="HHA5" s="27"/>
      <c r="HHB5" s="27"/>
      <c r="HHC5" s="27"/>
      <c r="HHD5" s="27"/>
      <c r="HHE5" s="27"/>
      <c r="HHF5" s="27"/>
      <c r="HHG5" s="27"/>
      <c r="HHH5" s="27"/>
      <c r="HHI5" s="27"/>
      <c r="HHJ5" s="27"/>
      <c r="HHK5" s="27"/>
      <c r="HHL5" s="27"/>
      <c r="HHM5" s="27"/>
      <c r="HHN5" s="27"/>
      <c r="HHO5" s="27"/>
      <c r="HHP5" s="27"/>
      <c r="HHQ5" s="27"/>
      <c r="HHR5" s="27"/>
      <c r="HHS5" s="27"/>
      <c r="HHT5" s="27"/>
      <c r="HHU5" s="27"/>
      <c r="HHV5" s="27"/>
      <c r="HHW5" s="27"/>
      <c r="HHX5" s="27"/>
      <c r="HHY5" s="27"/>
      <c r="HHZ5" s="27"/>
      <c r="HIA5" s="27"/>
      <c r="HIB5" s="27"/>
      <c r="HIC5" s="27"/>
      <c r="HID5" s="27"/>
      <c r="HIE5" s="27"/>
      <c r="HIF5" s="27"/>
      <c r="HIG5" s="27"/>
      <c r="HIH5" s="27"/>
      <c r="HII5" s="27"/>
      <c r="HIJ5" s="27"/>
      <c r="HIK5" s="27"/>
      <c r="HIL5" s="27"/>
      <c r="HIM5" s="27"/>
      <c r="HIN5" s="27"/>
      <c r="HIO5" s="27"/>
      <c r="HIP5" s="27"/>
      <c r="HIQ5" s="27"/>
      <c r="HIR5" s="27"/>
      <c r="HIS5" s="27"/>
      <c r="HIT5" s="27"/>
      <c r="HIU5" s="27"/>
      <c r="HIV5" s="27"/>
      <c r="HIW5" s="27"/>
      <c r="HIX5" s="27"/>
      <c r="HIY5" s="27"/>
      <c r="HIZ5" s="27"/>
      <c r="HJA5" s="27"/>
      <c r="HJB5" s="27"/>
      <c r="HJC5" s="27"/>
      <c r="HJD5" s="27"/>
      <c r="HJE5" s="27"/>
      <c r="HJF5" s="27"/>
      <c r="HJG5" s="27"/>
      <c r="HJH5" s="27"/>
      <c r="HJI5" s="27"/>
      <c r="HJJ5" s="27"/>
      <c r="HJK5" s="27"/>
      <c r="HJL5" s="27"/>
      <c r="HJM5" s="27"/>
      <c r="HJN5" s="27"/>
      <c r="HJO5" s="27"/>
      <c r="HJP5" s="27"/>
      <c r="HJQ5" s="27"/>
      <c r="HJR5" s="27"/>
      <c r="HJS5" s="27"/>
      <c r="HJT5" s="27"/>
      <c r="HJU5" s="27"/>
      <c r="HJV5" s="27"/>
      <c r="HJW5" s="27"/>
      <c r="HJX5" s="27"/>
      <c r="HJY5" s="27"/>
      <c r="HJZ5" s="27"/>
      <c r="HKA5" s="27"/>
      <c r="HKB5" s="27"/>
      <c r="HKC5" s="27"/>
      <c r="HKD5" s="27"/>
      <c r="HKE5" s="27"/>
      <c r="HKF5" s="27"/>
      <c r="HKG5" s="27"/>
      <c r="HKH5" s="27"/>
      <c r="HKI5" s="27"/>
      <c r="HKJ5" s="27"/>
      <c r="HKK5" s="27"/>
      <c r="HKL5" s="27"/>
      <c r="HKM5" s="27"/>
      <c r="HKN5" s="27"/>
      <c r="HKO5" s="27"/>
      <c r="HKP5" s="27"/>
      <c r="HKQ5" s="27"/>
      <c r="HKR5" s="27"/>
      <c r="HKS5" s="27"/>
      <c r="HKT5" s="27"/>
      <c r="HKU5" s="27"/>
      <c r="HKV5" s="27"/>
      <c r="HKW5" s="27"/>
      <c r="HKX5" s="27"/>
      <c r="HKY5" s="27"/>
      <c r="HKZ5" s="27"/>
      <c r="HLA5" s="27"/>
      <c r="HLB5" s="27"/>
      <c r="HLC5" s="27"/>
      <c r="HLD5" s="27"/>
      <c r="HLE5" s="27"/>
      <c r="HLF5" s="27"/>
      <c r="HLG5" s="27"/>
      <c r="HLH5" s="27"/>
      <c r="HLI5" s="27"/>
      <c r="HLJ5" s="27"/>
      <c r="HLK5" s="27"/>
      <c r="HLL5" s="27"/>
      <c r="HLM5" s="27"/>
      <c r="HLN5" s="27"/>
      <c r="HLO5" s="27"/>
      <c r="HLP5" s="27"/>
      <c r="HLQ5" s="27"/>
      <c r="HLR5" s="27"/>
      <c r="HLS5" s="27"/>
      <c r="HLT5" s="27"/>
      <c r="HLU5" s="27"/>
      <c r="HLV5" s="27"/>
      <c r="HLW5" s="27"/>
      <c r="HLX5" s="27"/>
      <c r="HLY5" s="27"/>
      <c r="HLZ5" s="27"/>
      <c r="HMA5" s="27"/>
      <c r="HMB5" s="27"/>
      <c r="HMC5" s="27"/>
      <c r="HMD5" s="27"/>
      <c r="HME5" s="27"/>
      <c r="HMF5" s="27"/>
      <c r="HMG5" s="27"/>
      <c r="HMH5" s="27"/>
      <c r="HMI5" s="27"/>
      <c r="HMJ5" s="27"/>
      <c r="HMK5" s="27"/>
      <c r="HML5" s="27"/>
      <c r="HMM5" s="27"/>
      <c r="HMN5" s="27"/>
      <c r="HMO5" s="27"/>
      <c r="HMP5" s="27"/>
      <c r="HMQ5" s="27"/>
      <c r="HMR5" s="27"/>
      <c r="HMS5" s="27"/>
      <c r="HMT5" s="27"/>
      <c r="HMU5" s="27"/>
      <c r="HMV5" s="27"/>
      <c r="HMW5" s="27"/>
      <c r="HMX5" s="27"/>
      <c r="HMY5" s="27"/>
      <c r="HMZ5" s="27"/>
      <c r="HNA5" s="27"/>
      <c r="HNB5" s="27"/>
      <c r="HNC5" s="27"/>
      <c r="HND5" s="27"/>
      <c r="HNE5" s="27"/>
      <c r="HNF5" s="27"/>
      <c r="HNG5" s="27"/>
      <c r="HNH5" s="27"/>
      <c r="HNI5" s="27"/>
      <c r="HNJ5" s="27"/>
      <c r="HNK5" s="27"/>
      <c r="HNL5" s="27"/>
      <c r="HNM5" s="27"/>
      <c r="HNN5" s="27"/>
      <c r="HNO5" s="27"/>
      <c r="HNP5" s="27"/>
      <c r="HNQ5" s="27"/>
      <c r="HNR5" s="27"/>
      <c r="HNS5" s="27"/>
      <c r="HNT5" s="27"/>
      <c r="HNU5" s="27"/>
      <c r="HNV5" s="27"/>
      <c r="HNW5" s="27"/>
      <c r="HNX5" s="27"/>
      <c r="HNY5" s="27"/>
      <c r="HNZ5" s="27"/>
      <c r="HOA5" s="27"/>
      <c r="HOB5" s="27"/>
      <c r="HOC5" s="27"/>
      <c r="HOD5" s="27"/>
      <c r="HOE5" s="27"/>
      <c r="HOF5" s="27"/>
      <c r="HOG5" s="27"/>
      <c r="HOH5" s="27"/>
      <c r="HOI5" s="27"/>
      <c r="HOJ5" s="27"/>
      <c r="HOK5" s="27"/>
      <c r="HOL5" s="27"/>
      <c r="HOM5" s="27"/>
      <c r="HON5" s="27"/>
      <c r="HOO5" s="27"/>
      <c r="HOP5" s="27"/>
      <c r="HOQ5" s="27"/>
      <c r="HOR5" s="27"/>
      <c r="HOS5" s="27"/>
      <c r="HOT5" s="27"/>
      <c r="HOU5" s="27"/>
      <c r="HOV5" s="27"/>
      <c r="HOW5" s="27"/>
      <c r="HOX5" s="27"/>
      <c r="HOY5" s="27"/>
      <c r="HOZ5" s="27"/>
      <c r="HPA5" s="27"/>
      <c r="HPB5" s="27"/>
      <c r="HPC5" s="27"/>
      <c r="HPD5" s="27"/>
      <c r="HPE5" s="27"/>
      <c r="HPF5" s="27"/>
      <c r="HPG5" s="27"/>
      <c r="HPH5" s="27"/>
      <c r="HPI5" s="27"/>
      <c r="HPJ5" s="27"/>
      <c r="HPK5" s="27"/>
      <c r="HPL5" s="27"/>
      <c r="HPM5" s="27"/>
      <c r="HPN5" s="27"/>
      <c r="HPO5" s="27"/>
      <c r="HPP5" s="27"/>
      <c r="HPQ5" s="27"/>
      <c r="HPR5" s="27"/>
      <c r="HPS5" s="27"/>
      <c r="HPT5" s="27"/>
      <c r="HPU5" s="27"/>
      <c r="HPV5" s="27"/>
      <c r="HPW5" s="27"/>
      <c r="HPX5" s="27"/>
      <c r="HPY5" s="27"/>
      <c r="HPZ5" s="27"/>
      <c r="HQA5" s="27"/>
      <c r="HQB5" s="27"/>
      <c r="HQC5" s="27"/>
      <c r="HQD5" s="27"/>
      <c r="HQE5" s="27"/>
      <c r="HQF5" s="27"/>
      <c r="HQG5" s="27"/>
      <c r="HQH5" s="27"/>
      <c r="HQI5" s="27"/>
      <c r="HQJ5" s="27"/>
      <c r="HQK5" s="27"/>
      <c r="HQL5" s="27"/>
      <c r="HQM5" s="27"/>
      <c r="HQN5" s="27"/>
      <c r="HQO5" s="27"/>
      <c r="HQP5" s="27"/>
      <c r="HQQ5" s="27"/>
      <c r="HQR5" s="27"/>
      <c r="HQS5" s="27"/>
      <c r="HQT5" s="27"/>
      <c r="HQU5" s="27"/>
      <c r="HQV5" s="27"/>
      <c r="HQW5" s="27"/>
      <c r="HQX5" s="27"/>
      <c r="HQY5" s="27"/>
      <c r="HQZ5" s="27"/>
      <c r="HRA5" s="27"/>
      <c r="HRB5" s="27"/>
      <c r="HRC5" s="27"/>
      <c r="HRD5" s="27"/>
      <c r="HRE5" s="27"/>
      <c r="HRF5" s="27"/>
      <c r="HRG5" s="27"/>
      <c r="HRH5" s="27"/>
      <c r="HRI5" s="27"/>
      <c r="HRJ5" s="27"/>
      <c r="HRK5" s="27"/>
      <c r="HRL5" s="27"/>
      <c r="HRM5" s="27"/>
      <c r="HRN5" s="27"/>
      <c r="HRO5" s="27"/>
      <c r="HRP5" s="27"/>
      <c r="HRQ5" s="27"/>
      <c r="HRR5" s="27"/>
      <c r="HRS5" s="27"/>
      <c r="HRT5" s="27"/>
      <c r="HRU5" s="27"/>
      <c r="HRV5" s="27"/>
      <c r="HRW5" s="27"/>
      <c r="HRX5" s="27"/>
      <c r="HRY5" s="27"/>
      <c r="HRZ5" s="27"/>
      <c r="HSA5" s="27"/>
      <c r="HSB5" s="27"/>
      <c r="HSC5" s="27"/>
      <c r="HSD5" s="27"/>
      <c r="HSE5" s="27"/>
      <c r="HSF5" s="27"/>
      <c r="HSG5" s="27"/>
      <c r="HSH5" s="27"/>
      <c r="HSI5" s="27"/>
      <c r="HSJ5" s="27"/>
      <c r="HSK5" s="27"/>
      <c r="HSL5" s="27"/>
      <c r="HSM5" s="27"/>
      <c r="HSN5" s="27"/>
      <c r="HSO5" s="27"/>
      <c r="HSP5" s="27"/>
      <c r="HSQ5" s="27"/>
      <c r="HSR5" s="27"/>
      <c r="HSS5" s="27"/>
      <c r="HST5" s="27"/>
      <c r="HSU5" s="27"/>
      <c r="HSV5" s="27"/>
      <c r="HSW5" s="27"/>
      <c r="HSX5" s="27"/>
      <c r="HSY5" s="27"/>
      <c r="HSZ5" s="27"/>
      <c r="HTA5" s="27"/>
      <c r="HTB5" s="27"/>
      <c r="HTC5" s="27"/>
      <c r="HTD5" s="27"/>
      <c r="HTE5" s="27"/>
      <c r="HTF5" s="27"/>
      <c r="HTG5" s="27"/>
      <c r="HTH5" s="27"/>
      <c r="HTI5" s="27"/>
      <c r="HTJ5" s="27"/>
      <c r="HTK5" s="27"/>
      <c r="HTL5" s="27"/>
      <c r="HTM5" s="27"/>
      <c r="HTN5" s="27"/>
      <c r="HTO5" s="27"/>
      <c r="HTP5" s="27"/>
      <c r="HTQ5" s="27"/>
      <c r="HTR5" s="27"/>
      <c r="HTS5" s="27"/>
      <c r="HTT5" s="27"/>
      <c r="HTU5" s="27"/>
      <c r="HTV5" s="27"/>
      <c r="HTW5" s="27"/>
      <c r="HTX5" s="27"/>
      <c r="HTY5" s="27"/>
      <c r="HTZ5" s="27"/>
      <c r="HUA5" s="27"/>
      <c r="HUB5" s="27"/>
      <c r="HUC5" s="27"/>
      <c r="HUD5" s="27"/>
      <c r="HUE5" s="27"/>
      <c r="HUF5" s="27"/>
      <c r="HUG5" s="27"/>
      <c r="HUH5" s="27"/>
      <c r="HUI5" s="27"/>
      <c r="HUJ5" s="27"/>
      <c r="HUK5" s="27"/>
      <c r="HUL5" s="27"/>
      <c r="HUM5" s="27"/>
      <c r="HUN5" s="27"/>
      <c r="HUO5" s="27"/>
      <c r="HUP5" s="27"/>
      <c r="HUQ5" s="27"/>
      <c r="HUR5" s="27"/>
      <c r="HUS5" s="27"/>
      <c r="HUT5" s="27"/>
      <c r="HUU5" s="27"/>
      <c r="HUV5" s="27"/>
      <c r="HUW5" s="27"/>
      <c r="HUX5" s="27"/>
      <c r="HUY5" s="27"/>
      <c r="HUZ5" s="27"/>
      <c r="HVA5" s="27"/>
      <c r="HVB5" s="27"/>
      <c r="HVC5" s="27"/>
      <c r="HVD5" s="27"/>
      <c r="HVE5" s="27"/>
      <c r="HVF5" s="27"/>
      <c r="HVG5" s="27"/>
      <c r="HVH5" s="27"/>
      <c r="HVI5" s="27"/>
      <c r="HVJ5" s="27"/>
      <c r="HVK5" s="27"/>
      <c r="HVL5" s="27"/>
      <c r="HVM5" s="27"/>
      <c r="HVN5" s="27"/>
      <c r="HVO5" s="27"/>
      <c r="HVP5" s="27"/>
      <c r="HVQ5" s="27"/>
      <c r="HVR5" s="27"/>
      <c r="HVS5" s="27"/>
      <c r="HVT5" s="27"/>
      <c r="HVU5" s="27"/>
      <c r="HVV5" s="27"/>
      <c r="HVW5" s="27"/>
      <c r="HVX5" s="27"/>
      <c r="HVY5" s="27"/>
      <c r="HVZ5" s="27"/>
      <c r="HWA5" s="27"/>
      <c r="HWB5" s="27"/>
      <c r="HWC5" s="27"/>
      <c r="HWD5" s="27"/>
      <c r="HWE5" s="27"/>
      <c r="HWF5" s="27"/>
      <c r="HWG5" s="27"/>
      <c r="HWH5" s="27"/>
      <c r="HWI5" s="27"/>
      <c r="HWJ5" s="27"/>
      <c r="HWK5" s="27"/>
      <c r="HWL5" s="27"/>
      <c r="HWM5" s="27"/>
      <c r="HWN5" s="27"/>
      <c r="HWO5" s="27"/>
      <c r="HWP5" s="27"/>
      <c r="HWQ5" s="27"/>
      <c r="HWR5" s="27"/>
      <c r="HWS5" s="27"/>
      <c r="HWT5" s="27"/>
      <c r="HWU5" s="27"/>
      <c r="HWV5" s="27"/>
      <c r="HWW5" s="27"/>
      <c r="HWX5" s="27"/>
      <c r="HWY5" s="27"/>
      <c r="HWZ5" s="27"/>
      <c r="HXA5" s="27"/>
      <c r="HXB5" s="27"/>
      <c r="HXC5" s="27"/>
      <c r="HXD5" s="27"/>
      <c r="HXE5" s="27"/>
      <c r="HXF5" s="27"/>
      <c r="HXG5" s="27"/>
      <c r="HXH5" s="27"/>
      <c r="HXI5" s="27"/>
      <c r="HXJ5" s="27"/>
      <c r="HXK5" s="27"/>
      <c r="HXL5" s="27"/>
      <c r="HXM5" s="27"/>
      <c r="HXN5" s="27"/>
      <c r="HXO5" s="27"/>
      <c r="HXP5" s="27"/>
      <c r="HXQ5" s="27"/>
      <c r="HXR5" s="27"/>
      <c r="HXS5" s="27"/>
      <c r="HXT5" s="27"/>
      <c r="HXU5" s="27"/>
      <c r="HXV5" s="27"/>
      <c r="HXW5" s="27"/>
      <c r="HXX5" s="27"/>
      <c r="HXY5" s="27"/>
      <c r="HXZ5" s="27"/>
      <c r="HYA5" s="27"/>
      <c r="HYB5" s="27"/>
      <c r="HYC5" s="27"/>
      <c r="HYD5" s="27"/>
      <c r="HYE5" s="27"/>
      <c r="HYF5" s="27"/>
      <c r="HYG5" s="27"/>
      <c r="HYH5" s="27"/>
      <c r="HYI5" s="27"/>
      <c r="HYJ5" s="27"/>
      <c r="HYK5" s="27"/>
      <c r="HYL5" s="27"/>
      <c r="HYM5" s="27"/>
      <c r="HYN5" s="27"/>
      <c r="HYO5" s="27"/>
      <c r="HYP5" s="27"/>
      <c r="HYQ5" s="27"/>
      <c r="HYR5" s="27"/>
      <c r="HYS5" s="27"/>
      <c r="HYT5" s="27"/>
      <c r="HYU5" s="27"/>
      <c r="HYV5" s="27"/>
      <c r="HYW5" s="27"/>
      <c r="HYX5" s="27"/>
      <c r="HYY5" s="27"/>
      <c r="HYZ5" s="27"/>
      <c r="HZA5" s="27"/>
      <c r="HZB5" s="27"/>
      <c r="HZC5" s="27"/>
      <c r="HZD5" s="27"/>
      <c r="HZE5" s="27"/>
      <c r="HZF5" s="27"/>
      <c r="HZG5" s="27"/>
      <c r="HZH5" s="27"/>
      <c r="HZI5" s="27"/>
      <c r="HZJ5" s="27"/>
      <c r="HZK5" s="27"/>
      <c r="HZL5" s="27"/>
      <c r="HZM5" s="27"/>
      <c r="HZN5" s="27"/>
      <c r="HZO5" s="27"/>
      <c r="HZP5" s="27"/>
      <c r="HZQ5" s="27"/>
      <c r="HZR5" s="27"/>
      <c r="HZS5" s="27"/>
      <c r="HZT5" s="27"/>
      <c r="HZU5" s="27"/>
      <c r="HZV5" s="27"/>
      <c r="HZW5" s="27"/>
      <c r="HZX5" s="27"/>
      <c r="HZY5" s="27"/>
      <c r="HZZ5" s="27"/>
      <c r="IAA5" s="27"/>
      <c r="IAB5" s="27"/>
      <c r="IAC5" s="27"/>
      <c r="IAD5" s="27"/>
      <c r="IAE5" s="27"/>
      <c r="IAF5" s="27"/>
      <c r="IAG5" s="27"/>
      <c r="IAH5" s="27"/>
      <c r="IAI5" s="27"/>
      <c r="IAJ5" s="27"/>
      <c r="IAK5" s="27"/>
      <c r="IAL5" s="27"/>
      <c r="IAM5" s="27"/>
      <c r="IAN5" s="27"/>
      <c r="IAO5" s="27"/>
      <c r="IAP5" s="27"/>
      <c r="IAQ5" s="27"/>
      <c r="IAR5" s="27"/>
      <c r="IAS5" s="27"/>
      <c r="IAT5" s="27"/>
      <c r="IAU5" s="27"/>
      <c r="IAV5" s="27"/>
      <c r="IAW5" s="27"/>
      <c r="IAX5" s="27"/>
      <c r="IAY5" s="27"/>
      <c r="IAZ5" s="27"/>
      <c r="IBA5" s="27"/>
      <c r="IBB5" s="27"/>
      <c r="IBC5" s="27"/>
      <c r="IBD5" s="27"/>
      <c r="IBE5" s="27"/>
      <c r="IBF5" s="27"/>
      <c r="IBG5" s="27"/>
      <c r="IBH5" s="27"/>
      <c r="IBI5" s="27"/>
      <c r="IBJ5" s="27"/>
      <c r="IBK5" s="27"/>
      <c r="IBL5" s="27"/>
      <c r="IBM5" s="27"/>
      <c r="IBN5" s="27"/>
      <c r="IBO5" s="27"/>
      <c r="IBP5" s="27"/>
      <c r="IBQ5" s="27"/>
      <c r="IBR5" s="27"/>
      <c r="IBS5" s="27"/>
      <c r="IBT5" s="27"/>
      <c r="IBU5" s="27"/>
      <c r="IBV5" s="27"/>
      <c r="IBW5" s="27"/>
      <c r="IBX5" s="27"/>
      <c r="IBY5" s="27"/>
      <c r="IBZ5" s="27"/>
      <c r="ICA5" s="27"/>
      <c r="ICB5" s="27"/>
      <c r="ICC5" s="27"/>
      <c r="ICD5" s="27"/>
      <c r="ICE5" s="27"/>
      <c r="ICF5" s="27"/>
      <c r="ICG5" s="27"/>
      <c r="ICH5" s="27"/>
      <c r="ICI5" s="27"/>
      <c r="ICJ5" s="27"/>
      <c r="ICK5" s="27"/>
      <c r="ICL5" s="27"/>
      <c r="ICM5" s="27"/>
      <c r="ICN5" s="27"/>
      <c r="ICO5" s="27"/>
      <c r="ICP5" s="27"/>
      <c r="ICQ5" s="27"/>
      <c r="ICR5" s="27"/>
      <c r="ICS5" s="27"/>
      <c r="ICT5" s="27"/>
      <c r="ICU5" s="27"/>
      <c r="ICV5" s="27"/>
      <c r="ICW5" s="27"/>
      <c r="ICX5" s="27"/>
      <c r="ICY5" s="27"/>
      <c r="ICZ5" s="27"/>
      <c r="IDA5" s="27"/>
      <c r="IDB5" s="27"/>
      <c r="IDC5" s="27"/>
      <c r="IDD5" s="27"/>
      <c r="IDE5" s="27"/>
      <c r="IDF5" s="27"/>
      <c r="IDG5" s="27"/>
      <c r="IDH5" s="27"/>
      <c r="IDI5" s="27"/>
      <c r="IDJ5" s="27"/>
      <c r="IDK5" s="27"/>
      <c r="IDL5" s="27"/>
      <c r="IDM5" s="27"/>
      <c r="IDN5" s="27"/>
      <c r="IDO5" s="27"/>
      <c r="IDP5" s="27"/>
      <c r="IDQ5" s="27"/>
      <c r="IDR5" s="27"/>
      <c r="IDS5" s="27"/>
      <c r="IDT5" s="27"/>
      <c r="IDU5" s="27"/>
      <c r="IDV5" s="27"/>
      <c r="IDW5" s="27"/>
      <c r="IDX5" s="27"/>
      <c r="IDY5" s="27"/>
      <c r="IDZ5" s="27"/>
      <c r="IEA5" s="27"/>
      <c r="IEB5" s="27"/>
      <c r="IEC5" s="27"/>
      <c r="IED5" s="27"/>
      <c r="IEE5" s="27"/>
      <c r="IEF5" s="27"/>
      <c r="IEG5" s="27"/>
      <c r="IEH5" s="27"/>
      <c r="IEI5" s="27"/>
      <c r="IEJ5" s="27"/>
      <c r="IEK5" s="27"/>
      <c r="IEL5" s="27"/>
      <c r="IEM5" s="27"/>
      <c r="IEN5" s="27"/>
      <c r="IEO5" s="27"/>
      <c r="IEP5" s="27"/>
      <c r="IEQ5" s="27"/>
      <c r="IER5" s="27"/>
      <c r="IES5" s="27"/>
      <c r="IET5" s="27"/>
      <c r="IEU5" s="27"/>
      <c r="IEV5" s="27"/>
      <c r="IEW5" s="27"/>
      <c r="IEX5" s="27"/>
      <c r="IEY5" s="27"/>
      <c r="IEZ5" s="27"/>
      <c r="IFA5" s="27"/>
      <c r="IFB5" s="27"/>
      <c r="IFC5" s="27"/>
      <c r="IFD5" s="27"/>
      <c r="IFE5" s="27"/>
      <c r="IFF5" s="27"/>
      <c r="IFG5" s="27"/>
      <c r="IFH5" s="27"/>
      <c r="IFI5" s="27"/>
      <c r="IFJ5" s="27"/>
      <c r="IFK5" s="27"/>
      <c r="IFL5" s="27"/>
      <c r="IFM5" s="27"/>
      <c r="IFN5" s="27"/>
      <c r="IFO5" s="27"/>
      <c r="IFP5" s="27"/>
      <c r="IFQ5" s="27"/>
      <c r="IFR5" s="27"/>
      <c r="IFS5" s="27"/>
      <c r="IFT5" s="27"/>
      <c r="IFU5" s="27"/>
      <c r="IFV5" s="27"/>
      <c r="IFW5" s="27"/>
      <c r="IFX5" s="27"/>
      <c r="IFY5" s="27"/>
      <c r="IFZ5" s="27"/>
      <c r="IGA5" s="27"/>
      <c r="IGB5" s="27"/>
      <c r="IGC5" s="27"/>
      <c r="IGD5" s="27"/>
      <c r="IGE5" s="27"/>
      <c r="IGF5" s="27"/>
      <c r="IGG5" s="27"/>
      <c r="IGH5" s="27"/>
      <c r="IGI5" s="27"/>
      <c r="IGJ5" s="27"/>
      <c r="IGK5" s="27"/>
      <c r="IGL5" s="27"/>
      <c r="IGM5" s="27"/>
      <c r="IGN5" s="27"/>
      <c r="IGO5" s="27"/>
      <c r="IGP5" s="27"/>
      <c r="IGQ5" s="27"/>
      <c r="IGR5" s="27"/>
      <c r="IGS5" s="27"/>
      <c r="IGT5" s="27"/>
      <c r="IGU5" s="27"/>
      <c r="IGV5" s="27"/>
      <c r="IGW5" s="27"/>
      <c r="IGX5" s="27"/>
      <c r="IGY5" s="27"/>
      <c r="IGZ5" s="27"/>
      <c r="IHA5" s="27"/>
      <c r="IHB5" s="27"/>
      <c r="IHC5" s="27"/>
      <c r="IHD5" s="27"/>
      <c r="IHE5" s="27"/>
      <c r="IHF5" s="27"/>
      <c r="IHG5" s="27"/>
      <c r="IHH5" s="27"/>
      <c r="IHI5" s="27"/>
      <c r="IHJ5" s="27"/>
      <c r="IHK5" s="27"/>
      <c r="IHL5" s="27"/>
      <c r="IHM5" s="27"/>
      <c r="IHN5" s="27"/>
      <c r="IHO5" s="27"/>
      <c r="IHP5" s="27"/>
      <c r="IHQ5" s="27"/>
      <c r="IHR5" s="27"/>
      <c r="IHS5" s="27"/>
      <c r="IHT5" s="27"/>
      <c r="IHU5" s="27"/>
      <c r="IHV5" s="27"/>
      <c r="IHW5" s="27"/>
      <c r="IHX5" s="27"/>
      <c r="IHY5" s="27"/>
      <c r="IHZ5" s="27"/>
      <c r="IIA5" s="27"/>
      <c r="IIB5" s="27"/>
      <c r="IIC5" s="27"/>
      <c r="IID5" s="27"/>
      <c r="IIE5" s="27"/>
      <c r="IIF5" s="27"/>
      <c r="IIG5" s="27"/>
      <c r="IIH5" s="27"/>
      <c r="III5" s="27"/>
      <c r="IIJ5" s="27"/>
      <c r="IIK5" s="27"/>
      <c r="IIL5" s="27"/>
      <c r="IIM5" s="27"/>
      <c r="IIN5" s="27"/>
      <c r="IIO5" s="27"/>
      <c r="IIP5" s="27"/>
      <c r="IIQ5" s="27"/>
      <c r="IIR5" s="27"/>
      <c r="IIS5" s="27"/>
      <c r="IIT5" s="27"/>
      <c r="IIU5" s="27"/>
      <c r="IIV5" s="27"/>
      <c r="IIW5" s="27"/>
      <c r="IIX5" s="27"/>
      <c r="IIY5" s="27"/>
      <c r="IIZ5" s="27"/>
      <c r="IJA5" s="27"/>
      <c r="IJB5" s="27"/>
      <c r="IJC5" s="27"/>
      <c r="IJD5" s="27"/>
      <c r="IJE5" s="27"/>
      <c r="IJF5" s="27"/>
      <c r="IJG5" s="27"/>
      <c r="IJH5" s="27"/>
      <c r="IJI5" s="27"/>
      <c r="IJJ5" s="27"/>
      <c r="IJK5" s="27"/>
      <c r="IJL5" s="27"/>
      <c r="IJM5" s="27"/>
      <c r="IJN5" s="27"/>
      <c r="IJO5" s="27"/>
      <c r="IJP5" s="27"/>
      <c r="IJQ5" s="27"/>
      <c r="IJR5" s="27"/>
      <c r="IJS5" s="27"/>
      <c r="IJT5" s="27"/>
      <c r="IJU5" s="27"/>
      <c r="IJV5" s="27"/>
      <c r="IJW5" s="27"/>
      <c r="IJX5" s="27"/>
      <c r="IJY5" s="27"/>
      <c r="IJZ5" s="27"/>
      <c r="IKA5" s="27"/>
      <c r="IKB5" s="27"/>
      <c r="IKC5" s="27"/>
      <c r="IKD5" s="27"/>
      <c r="IKE5" s="27"/>
      <c r="IKF5" s="27"/>
      <c r="IKG5" s="27"/>
      <c r="IKH5" s="27"/>
      <c r="IKI5" s="27"/>
      <c r="IKJ5" s="27"/>
      <c r="IKK5" s="27"/>
      <c r="IKL5" s="27"/>
      <c r="IKM5" s="27"/>
      <c r="IKN5" s="27"/>
      <c r="IKO5" s="27"/>
      <c r="IKP5" s="27"/>
      <c r="IKQ5" s="27"/>
      <c r="IKR5" s="27"/>
      <c r="IKS5" s="27"/>
      <c r="IKT5" s="27"/>
      <c r="IKU5" s="27"/>
      <c r="IKV5" s="27"/>
      <c r="IKW5" s="27"/>
      <c r="IKX5" s="27"/>
      <c r="IKY5" s="27"/>
      <c r="IKZ5" s="27"/>
      <c r="ILA5" s="27"/>
      <c r="ILB5" s="27"/>
      <c r="ILC5" s="27"/>
      <c r="ILD5" s="27"/>
      <c r="ILE5" s="27"/>
      <c r="ILF5" s="27"/>
      <c r="ILG5" s="27"/>
      <c r="ILH5" s="27"/>
      <c r="ILI5" s="27"/>
      <c r="ILJ5" s="27"/>
      <c r="ILK5" s="27"/>
      <c r="ILL5" s="27"/>
      <c r="ILM5" s="27"/>
      <c r="ILN5" s="27"/>
      <c r="ILO5" s="27"/>
      <c r="ILP5" s="27"/>
      <c r="ILQ5" s="27"/>
      <c r="ILR5" s="27"/>
      <c r="ILS5" s="27"/>
      <c r="ILT5" s="27"/>
      <c r="ILU5" s="27"/>
      <c r="ILV5" s="27"/>
      <c r="ILW5" s="27"/>
      <c r="ILX5" s="27"/>
      <c r="ILY5" s="27"/>
      <c r="ILZ5" s="27"/>
      <c r="IMA5" s="27"/>
      <c r="IMB5" s="27"/>
      <c r="IMC5" s="27"/>
      <c r="IMD5" s="27"/>
      <c r="IME5" s="27"/>
      <c r="IMF5" s="27"/>
      <c r="IMG5" s="27"/>
      <c r="IMH5" s="27"/>
      <c r="IMI5" s="27"/>
      <c r="IMJ5" s="27"/>
      <c r="IMK5" s="27"/>
      <c r="IML5" s="27"/>
      <c r="IMM5" s="27"/>
      <c r="IMN5" s="27"/>
      <c r="IMO5" s="27"/>
      <c r="IMP5" s="27"/>
      <c r="IMQ5" s="27"/>
      <c r="IMR5" s="27"/>
      <c r="IMS5" s="27"/>
      <c r="IMT5" s="27"/>
      <c r="IMU5" s="27"/>
      <c r="IMV5" s="27"/>
      <c r="IMW5" s="27"/>
      <c r="IMX5" s="27"/>
      <c r="IMY5" s="27"/>
      <c r="IMZ5" s="27"/>
      <c r="INA5" s="27"/>
      <c r="INB5" s="27"/>
      <c r="INC5" s="27"/>
      <c r="IND5" s="27"/>
      <c r="INE5" s="27"/>
      <c r="INF5" s="27"/>
      <c r="ING5" s="27"/>
      <c r="INH5" s="27"/>
      <c r="INI5" s="27"/>
      <c r="INJ5" s="27"/>
      <c r="INK5" s="27"/>
      <c r="INL5" s="27"/>
      <c r="INM5" s="27"/>
      <c r="INN5" s="27"/>
      <c r="INO5" s="27"/>
      <c r="INP5" s="27"/>
      <c r="INQ5" s="27"/>
      <c r="INR5" s="27"/>
      <c r="INS5" s="27"/>
      <c r="INT5" s="27"/>
      <c r="INU5" s="27"/>
      <c r="INV5" s="27"/>
      <c r="INW5" s="27"/>
      <c r="INX5" s="27"/>
      <c r="INY5" s="27"/>
      <c r="INZ5" s="27"/>
      <c r="IOA5" s="27"/>
      <c r="IOB5" s="27"/>
      <c r="IOC5" s="27"/>
      <c r="IOD5" s="27"/>
      <c r="IOE5" s="27"/>
      <c r="IOF5" s="27"/>
      <c r="IOG5" s="27"/>
      <c r="IOH5" s="27"/>
      <c r="IOI5" s="27"/>
      <c r="IOJ5" s="27"/>
      <c r="IOK5" s="27"/>
      <c r="IOL5" s="27"/>
      <c r="IOM5" s="27"/>
      <c r="ION5" s="27"/>
      <c r="IOO5" s="27"/>
      <c r="IOP5" s="27"/>
      <c r="IOQ5" s="27"/>
      <c r="IOR5" s="27"/>
      <c r="IOS5" s="27"/>
      <c r="IOT5" s="27"/>
      <c r="IOU5" s="27"/>
      <c r="IOV5" s="27"/>
      <c r="IOW5" s="27"/>
      <c r="IOX5" s="27"/>
      <c r="IOY5" s="27"/>
      <c r="IOZ5" s="27"/>
      <c r="IPA5" s="27"/>
      <c r="IPB5" s="27"/>
      <c r="IPC5" s="27"/>
      <c r="IPD5" s="27"/>
      <c r="IPE5" s="27"/>
      <c r="IPF5" s="27"/>
      <c r="IPG5" s="27"/>
      <c r="IPH5" s="27"/>
      <c r="IPI5" s="27"/>
      <c r="IPJ5" s="27"/>
      <c r="IPK5" s="27"/>
      <c r="IPL5" s="27"/>
      <c r="IPM5" s="27"/>
      <c r="IPN5" s="27"/>
      <c r="IPO5" s="27"/>
      <c r="IPP5" s="27"/>
      <c r="IPQ5" s="27"/>
      <c r="IPR5" s="27"/>
      <c r="IPS5" s="27"/>
      <c r="IPT5" s="27"/>
      <c r="IPU5" s="27"/>
      <c r="IPV5" s="27"/>
      <c r="IPW5" s="27"/>
      <c r="IPX5" s="27"/>
      <c r="IPY5" s="27"/>
      <c r="IPZ5" s="27"/>
      <c r="IQA5" s="27"/>
      <c r="IQB5" s="27"/>
      <c r="IQC5" s="27"/>
      <c r="IQD5" s="27"/>
      <c r="IQE5" s="27"/>
      <c r="IQF5" s="27"/>
      <c r="IQG5" s="27"/>
      <c r="IQH5" s="27"/>
      <c r="IQI5" s="27"/>
      <c r="IQJ5" s="27"/>
      <c r="IQK5" s="27"/>
      <c r="IQL5" s="27"/>
      <c r="IQM5" s="27"/>
      <c r="IQN5" s="27"/>
      <c r="IQO5" s="27"/>
      <c r="IQP5" s="27"/>
      <c r="IQQ5" s="27"/>
      <c r="IQR5" s="27"/>
      <c r="IQS5" s="27"/>
      <c r="IQT5" s="27"/>
      <c r="IQU5" s="27"/>
      <c r="IQV5" s="27"/>
      <c r="IQW5" s="27"/>
      <c r="IQX5" s="27"/>
      <c r="IQY5" s="27"/>
      <c r="IQZ5" s="27"/>
      <c r="IRA5" s="27"/>
      <c r="IRB5" s="27"/>
      <c r="IRC5" s="27"/>
      <c r="IRD5" s="27"/>
      <c r="IRE5" s="27"/>
      <c r="IRF5" s="27"/>
      <c r="IRG5" s="27"/>
      <c r="IRH5" s="27"/>
      <c r="IRI5" s="27"/>
      <c r="IRJ5" s="27"/>
      <c r="IRK5" s="27"/>
      <c r="IRL5" s="27"/>
      <c r="IRM5" s="27"/>
      <c r="IRN5" s="27"/>
      <c r="IRO5" s="27"/>
      <c r="IRP5" s="27"/>
      <c r="IRQ5" s="27"/>
      <c r="IRR5" s="27"/>
      <c r="IRS5" s="27"/>
      <c r="IRT5" s="27"/>
      <c r="IRU5" s="27"/>
      <c r="IRV5" s="27"/>
      <c r="IRW5" s="27"/>
      <c r="IRX5" s="27"/>
      <c r="IRY5" s="27"/>
      <c r="IRZ5" s="27"/>
      <c r="ISA5" s="27"/>
      <c r="ISB5" s="27"/>
      <c r="ISC5" s="27"/>
      <c r="ISD5" s="27"/>
      <c r="ISE5" s="27"/>
      <c r="ISF5" s="27"/>
      <c r="ISG5" s="27"/>
      <c r="ISH5" s="27"/>
      <c r="ISI5" s="27"/>
      <c r="ISJ5" s="27"/>
      <c r="ISK5" s="27"/>
      <c r="ISL5" s="27"/>
      <c r="ISM5" s="27"/>
      <c r="ISN5" s="27"/>
      <c r="ISO5" s="27"/>
      <c r="ISP5" s="27"/>
      <c r="ISQ5" s="27"/>
      <c r="ISR5" s="27"/>
      <c r="ISS5" s="27"/>
      <c r="IST5" s="27"/>
      <c r="ISU5" s="27"/>
      <c r="ISV5" s="27"/>
      <c r="ISW5" s="27"/>
      <c r="ISX5" s="27"/>
      <c r="ISY5" s="27"/>
      <c r="ISZ5" s="27"/>
      <c r="ITA5" s="27"/>
      <c r="ITB5" s="27"/>
      <c r="ITC5" s="27"/>
      <c r="ITD5" s="27"/>
      <c r="ITE5" s="27"/>
      <c r="ITF5" s="27"/>
      <c r="ITG5" s="27"/>
      <c r="ITH5" s="27"/>
      <c r="ITI5" s="27"/>
      <c r="ITJ5" s="27"/>
      <c r="ITK5" s="27"/>
      <c r="ITL5" s="27"/>
      <c r="ITM5" s="27"/>
      <c r="ITN5" s="27"/>
      <c r="ITO5" s="27"/>
      <c r="ITP5" s="27"/>
      <c r="ITQ5" s="27"/>
      <c r="ITR5" s="27"/>
      <c r="ITS5" s="27"/>
      <c r="ITT5" s="27"/>
      <c r="ITU5" s="27"/>
      <c r="ITV5" s="27"/>
      <c r="ITW5" s="27"/>
      <c r="ITX5" s="27"/>
      <c r="ITY5" s="27"/>
      <c r="ITZ5" s="27"/>
      <c r="IUA5" s="27"/>
      <c r="IUB5" s="27"/>
      <c r="IUC5" s="27"/>
      <c r="IUD5" s="27"/>
      <c r="IUE5" s="27"/>
      <c r="IUF5" s="27"/>
      <c r="IUG5" s="27"/>
      <c r="IUH5" s="27"/>
      <c r="IUI5" s="27"/>
      <c r="IUJ5" s="27"/>
      <c r="IUK5" s="27"/>
      <c r="IUL5" s="27"/>
      <c r="IUM5" s="27"/>
      <c r="IUN5" s="27"/>
      <c r="IUO5" s="27"/>
      <c r="IUP5" s="27"/>
      <c r="IUQ5" s="27"/>
      <c r="IUR5" s="27"/>
      <c r="IUS5" s="27"/>
      <c r="IUT5" s="27"/>
      <c r="IUU5" s="27"/>
      <c r="IUV5" s="27"/>
      <c r="IUW5" s="27"/>
      <c r="IUX5" s="27"/>
      <c r="IUY5" s="27"/>
      <c r="IUZ5" s="27"/>
      <c r="IVA5" s="27"/>
      <c r="IVB5" s="27"/>
      <c r="IVC5" s="27"/>
      <c r="IVD5" s="27"/>
      <c r="IVE5" s="27"/>
      <c r="IVF5" s="27"/>
      <c r="IVG5" s="27"/>
      <c r="IVH5" s="27"/>
      <c r="IVI5" s="27"/>
      <c r="IVJ5" s="27"/>
      <c r="IVK5" s="27"/>
      <c r="IVL5" s="27"/>
      <c r="IVM5" s="27"/>
      <c r="IVN5" s="27"/>
      <c r="IVO5" s="27"/>
      <c r="IVP5" s="27"/>
      <c r="IVQ5" s="27"/>
      <c r="IVR5" s="27"/>
      <c r="IVS5" s="27"/>
      <c r="IVT5" s="27"/>
      <c r="IVU5" s="27"/>
      <c r="IVV5" s="27"/>
      <c r="IVW5" s="27"/>
      <c r="IVX5" s="27"/>
      <c r="IVY5" s="27"/>
      <c r="IVZ5" s="27"/>
      <c r="IWA5" s="27"/>
      <c r="IWB5" s="27"/>
      <c r="IWC5" s="27"/>
      <c r="IWD5" s="27"/>
      <c r="IWE5" s="27"/>
      <c r="IWF5" s="27"/>
      <c r="IWG5" s="27"/>
      <c r="IWH5" s="27"/>
      <c r="IWI5" s="27"/>
      <c r="IWJ5" s="27"/>
      <c r="IWK5" s="27"/>
      <c r="IWL5" s="27"/>
      <c r="IWM5" s="27"/>
      <c r="IWN5" s="27"/>
      <c r="IWO5" s="27"/>
      <c r="IWP5" s="27"/>
      <c r="IWQ5" s="27"/>
      <c r="IWR5" s="27"/>
      <c r="IWS5" s="27"/>
      <c r="IWT5" s="27"/>
      <c r="IWU5" s="27"/>
      <c r="IWV5" s="27"/>
      <c r="IWW5" s="27"/>
      <c r="IWX5" s="27"/>
      <c r="IWY5" s="27"/>
      <c r="IWZ5" s="27"/>
      <c r="IXA5" s="27"/>
      <c r="IXB5" s="27"/>
      <c r="IXC5" s="27"/>
      <c r="IXD5" s="27"/>
      <c r="IXE5" s="27"/>
      <c r="IXF5" s="27"/>
      <c r="IXG5" s="27"/>
      <c r="IXH5" s="27"/>
      <c r="IXI5" s="27"/>
      <c r="IXJ5" s="27"/>
      <c r="IXK5" s="27"/>
      <c r="IXL5" s="27"/>
      <c r="IXM5" s="27"/>
      <c r="IXN5" s="27"/>
      <c r="IXO5" s="27"/>
      <c r="IXP5" s="27"/>
      <c r="IXQ5" s="27"/>
      <c r="IXR5" s="27"/>
      <c r="IXS5" s="27"/>
      <c r="IXT5" s="27"/>
      <c r="IXU5" s="27"/>
      <c r="IXV5" s="27"/>
      <c r="IXW5" s="27"/>
      <c r="IXX5" s="27"/>
      <c r="IXY5" s="27"/>
      <c r="IXZ5" s="27"/>
      <c r="IYA5" s="27"/>
      <c r="IYB5" s="27"/>
      <c r="IYC5" s="27"/>
      <c r="IYD5" s="27"/>
      <c r="IYE5" s="27"/>
      <c r="IYF5" s="27"/>
      <c r="IYG5" s="27"/>
      <c r="IYH5" s="27"/>
      <c r="IYI5" s="27"/>
      <c r="IYJ5" s="27"/>
      <c r="IYK5" s="27"/>
      <c r="IYL5" s="27"/>
      <c r="IYM5" s="27"/>
      <c r="IYN5" s="27"/>
      <c r="IYO5" s="27"/>
      <c r="IYP5" s="27"/>
      <c r="IYQ5" s="27"/>
      <c r="IYR5" s="27"/>
      <c r="IYS5" s="27"/>
      <c r="IYT5" s="27"/>
      <c r="IYU5" s="27"/>
      <c r="IYV5" s="27"/>
      <c r="IYW5" s="27"/>
      <c r="IYX5" s="27"/>
      <c r="IYY5" s="27"/>
      <c r="IYZ5" s="27"/>
      <c r="IZA5" s="27"/>
      <c r="IZB5" s="27"/>
      <c r="IZC5" s="27"/>
      <c r="IZD5" s="27"/>
      <c r="IZE5" s="27"/>
      <c r="IZF5" s="27"/>
      <c r="IZG5" s="27"/>
      <c r="IZH5" s="27"/>
      <c r="IZI5" s="27"/>
      <c r="IZJ5" s="27"/>
      <c r="IZK5" s="27"/>
      <c r="IZL5" s="27"/>
      <c r="IZM5" s="27"/>
      <c r="IZN5" s="27"/>
      <c r="IZO5" s="27"/>
      <c r="IZP5" s="27"/>
      <c r="IZQ5" s="27"/>
      <c r="IZR5" s="27"/>
      <c r="IZS5" s="27"/>
      <c r="IZT5" s="27"/>
      <c r="IZU5" s="27"/>
      <c r="IZV5" s="27"/>
      <c r="IZW5" s="27"/>
      <c r="IZX5" s="27"/>
      <c r="IZY5" s="27"/>
      <c r="IZZ5" s="27"/>
      <c r="JAA5" s="27"/>
      <c r="JAB5" s="27"/>
      <c r="JAC5" s="27"/>
      <c r="JAD5" s="27"/>
      <c r="JAE5" s="27"/>
      <c r="JAF5" s="27"/>
      <c r="JAG5" s="27"/>
      <c r="JAH5" s="27"/>
      <c r="JAI5" s="27"/>
      <c r="JAJ5" s="27"/>
      <c r="JAK5" s="27"/>
      <c r="JAL5" s="27"/>
      <c r="JAM5" s="27"/>
      <c r="JAN5" s="27"/>
      <c r="JAO5" s="27"/>
      <c r="JAP5" s="27"/>
      <c r="JAQ5" s="27"/>
      <c r="JAR5" s="27"/>
      <c r="JAS5" s="27"/>
      <c r="JAT5" s="27"/>
      <c r="JAU5" s="27"/>
      <c r="JAV5" s="27"/>
      <c r="JAW5" s="27"/>
      <c r="JAX5" s="27"/>
      <c r="JAY5" s="27"/>
      <c r="JAZ5" s="27"/>
      <c r="JBA5" s="27"/>
      <c r="JBB5" s="27"/>
      <c r="JBC5" s="27"/>
      <c r="JBD5" s="27"/>
      <c r="JBE5" s="27"/>
      <c r="JBF5" s="27"/>
      <c r="JBG5" s="27"/>
      <c r="JBH5" s="27"/>
      <c r="JBI5" s="27"/>
      <c r="JBJ5" s="27"/>
      <c r="JBK5" s="27"/>
      <c r="JBL5" s="27"/>
      <c r="JBM5" s="27"/>
      <c r="JBN5" s="27"/>
      <c r="JBO5" s="27"/>
      <c r="JBP5" s="27"/>
      <c r="JBQ5" s="27"/>
      <c r="JBR5" s="27"/>
      <c r="JBS5" s="27"/>
      <c r="JBT5" s="27"/>
      <c r="JBU5" s="27"/>
      <c r="JBV5" s="27"/>
      <c r="JBW5" s="27"/>
      <c r="JBX5" s="27"/>
      <c r="JBY5" s="27"/>
      <c r="JBZ5" s="27"/>
      <c r="JCA5" s="27"/>
      <c r="JCB5" s="27"/>
      <c r="JCC5" s="27"/>
      <c r="JCD5" s="27"/>
      <c r="JCE5" s="27"/>
      <c r="JCF5" s="27"/>
      <c r="JCG5" s="27"/>
      <c r="JCH5" s="27"/>
      <c r="JCI5" s="27"/>
      <c r="JCJ5" s="27"/>
      <c r="JCK5" s="27"/>
      <c r="JCL5" s="27"/>
      <c r="JCM5" s="27"/>
      <c r="JCN5" s="27"/>
      <c r="JCO5" s="27"/>
      <c r="JCP5" s="27"/>
      <c r="JCQ5" s="27"/>
      <c r="JCR5" s="27"/>
      <c r="JCS5" s="27"/>
      <c r="JCT5" s="27"/>
      <c r="JCU5" s="27"/>
      <c r="JCV5" s="27"/>
      <c r="JCW5" s="27"/>
      <c r="JCX5" s="27"/>
      <c r="JCY5" s="27"/>
      <c r="JCZ5" s="27"/>
      <c r="JDA5" s="27"/>
      <c r="JDB5" s="27"/>
      <c r="JDC5" s="27"/>
      <c r="JDD5" s="27"/>
      <c r="JDE5" s="27"/>
      <c r="JDF5" s="27"/>
      <c r="JDG5" s="27"/>
      <c r="JDH5" s="27"/>
      <c r="JDI5" s="27"/>
      <c r="JDJ5" s="27"/>
      <c r="JDK5" s="27"/>
      <c r="JDL5" s="27"/>
      <c r="JDM5" s="27"/>
      <c r="JDN5" s="27"/>
      <c r="JDO5" s="27"/>
      <c r="JDP5" s="27"/>
      <c r="JDQ5" s="27"/>
      <c r="JDR5" s="27"/>
      <c r="JDS5" s="27"/>
      <c r="JDT5" s="27"/>
      <c r="JDU5" s="27"/>
      <c r="JDV5" s="27"/>
      <c r="JDW5" s="27"/>
      <c r="JDX5" s="27"/>
      <c r="JDY5" s="27"/>
      <c r="JDZ5" s="27"/>
      <c r="JEA5" s="27"/>
      <c r="JEB5" s="27"/>
      <c r="JEC5" s="27"/>
      <c r="JED5" s="27"/>
      <c r="JEE5" s="27"/>
      <c r="JEF5" s="27"/>
      <c r="JEG5" s="27"/>
      <c r="JEH5" s="27"/>
      <c r="JEI5" s="27"/>
      <c r="JEJ5" s="27"/>
      <c r="JEK5" s="27"/>
      <c r="JEL5" s="27"/>
      <c r="JEM5" s="27"/>
      <c r="JEN5" s="27"/>
      <c r="JEO5" s="27"/>
      <c r="JEP5" s="27"/>
      <c r="JEQ5" s="27"/>
      <c r="JER5" s="27"/>
      <c r="JES5" s="27"/>
      <c r="JET5" s="27"/>
      <c r="JEU5" s="27"/>
      <c r="JEV5" s="27"/>
      <c r="JEW5" s="27"/>
      <c r="JEX5" s="27"/>
      <c r="JEY5" s="27"/>
      <c r="JEZ5" s="27"/>
      <c r="JFA5" s="27"/>
      <c r="JFB5" s="27"/>
      <c r="JFC5" s="27"/>
      <c r="JFD5" s="27"/>
      <c r="JFE5" s="27"/>
      <c r="JFF5" s="27"/>
      <c r="JFG5" s="27"/>
      <c r="JFH5" s="27"/>
      <c r="JFI5" s="27"/>
      <c r="JFJ5" s="27"/>
      <c r="JFK5" s="27"/>
      <c r="JFL5" s="27"/>
      <c r="JFM5" s="27"/>
      <c r="JFN5" s="27"/>
      <c r="JFO5" s="27"/>
      <c r="JFP5" s="27"/>
      <c r="JFQ5" s="27"/>
      <c r="JFR5" s="27"/>
      <c r="JFS5" s="27"/>
      <c r="JFT5" s="27"/>
      <c r="JFU5" s="27"/>
      <c r="JFV5" s="27"/>
      <c r="JFW5" s="27"/>
      <c r="JFX5" s="27"/>
      <c r="JFY5" s="27"/>
      <c r="JFZ5" s="27"/>
      <c r="JGA5" s="27"/>
      <c r="JGB5" s="27"/>
      <c r="JGC5" s="27"/>
      <c r="JGD5" s="27"/>
      <c r="JGE5" s="27"/>
      <c r="JGF5" s="27"/>
      <c r="JGG5" s="27"/>
      <c r="JGH5" s="27"/>
      <c r="JGI5" s="27"/>
      <c r="JGJ5" s="27"/>
      <c r="JGK5" s="27"/>
      <c r="JGL5" s="27"/>
      <c r="JGM5" s="27"/>
      <c r="JGN5" s="27"/>
      <c r="JGO5" s="27"/>
      <c r="JGP5" s="27"/>
      <c r="JGQ5" s="27"/>
      <c r="JGR5" s="27"/>
      <c r="JGS5" s="27"/>
      <c r="JGT5" s="27"/>
      <c r="JGU5" s="27"/>
      <c r="JGV5" s="27"/>
      <c r="JGW5" s="27"/>
      <c r="JGX5" s="27"/>
      <c r="JGY5" s="27"/>
      <c r="JGZ5" s="27"/>
      <c r="JHA5" s="27"/>
      <c r="JHB5" s="27"/>
      <c r="JHC5" s="27"/>
      <c r="JHD5" s="27"/>
      <c r="JHE5" s="27"/>
      <c r="JHF5" s="27"/>
      <c r="JHG5" s="27"/>
      <c r="JHH5" s="27"/>
      <c r="JHI5" s="27"/>
      <c r="JHJ5" s="27"/>
      <c r="JHK5" s="27"/>
      <c r="JHL5" s="27"/>
      <c r="JHM5" s="27"/>
      <c r="JHN5" s="27"/>
      <c r="JHO5" s="27"/>
      <c r="JHP5" s="27"/>
      <c r="JHQ5" s="27"/>
      <c r="JHR5" s="27"/>
      <c r="JHS5" s="27"/>
      <c r="JHT5" s="27"/>
      <c r="JHU5" s="27"/>
      <c r="JHV5" s="27"/>
      <c r="JHW5" s="27"/>
      <c r="JHX5" s="27"/>
      <c r="JHY5" s="27"/>
      <c r="JHZ5" s="27"/>
      <c r="JIA5" s="27"/>
      <c r="JIB5" s="27"/>
      <c r="JIC5" s="27"/>
      <c r="JID5" s="27"/>
      <c r="JIE5" s="27"/>
      <c r="JIF5" s="27"/>
      <c r="JIG5" s="27"/>
      <c r="JIH5" s="27"/>
      <c r="JII5" s="27"/>
      <c r="JIJ5" s="27"/>
      <c r="JIK5" s="27"/>
      <c r="JIL5" s="27"/>
      <c r="JIM5" s="27"/>
      <c r="JIN5" s="27"/>
      <c r="JIO5" s="27"/>
      <c r="JIP5" s="27"/>
      <c r="JIQ5" s="27"/>
      <c r="JIR5" s="27"/>
      <c r="JIS5" s="27"/>
      <c r="JIT5" s="27"/>
      <c r="JIU5" s="27"/>
      <c r="JIV5" s="27"/>
      <c r="JIW5" s="27"/>
      <c r="JIX5" s="27"/>
      <c r="JIY5" s="27"/>
      <c r="JIZ5" s="27"/>
      <c r="JJA5" s="27"/>
      <c r="JJB5" s="27"/>
      <c r="JJC5" s="27"/>
      <c r="JJD5" s="27"/>
      <c r="JJE5" s="27"/>
      <c r="JJF5" s="27"/>
      <c r="JJG5" s="27"/>
      <c r="JJH5" s="27"/>
      <c r="JJI5" s="27"/>
      <c r="JJJ5" s="27"/>
      <c r="JJK5" s="27"/>
      <c r="JJL5" s="27"/>
      <c r="JJM5" s="27"/>
      <c r="JJN5" s="27"/>
      <c r="JJO5" s="27"/>
      <c r="JJP5" s="27"/>
      <c r="JJQ5" s="27"/>
      <c r="JJR5" s="27"/>
      <c r="JJS5" s="27"/>
      <c r="JJT5" s="27"/>
      <c r="JJU5" s="27"/>
      <c r="JJV5" s="27"/>
      <c r="JJW5" s="27"/>
      <c r="JJX5" s="27"/>
      <c r="JJY5" s="27"/>
      <c r="JJZ5" s="27"/>
      <c r="JKA5" s="27"/>
      <c r="JKB5" s="27"/>
      <c r="JKC5" s="27"/>
      <c r="JKD5" s="27"/>
      <c r="JKE5" s="27"/>
      <c r="JKF5" s="27"/>
      <c r="JKG5" s="27"/>
      <c r="JKH5" s="27"/>
      <c r="JKI5" s="27"/>
      <c r="JKJ5" s="27"/>
      <c r="JKK5" s="27"/>
      <c r="JKL5" s="27"/>
      <c r="JKM5" s="27"/>
      <c r="JKN5" s="27"/>
      <c r="JKO5" s="27"/>
      <c r="JKP5" s="27"/>
      <c r="JKQ5" s="27"/>
      <c r="JKR5" s="27"/>
      <c r="JKS5" s="27"/>
      <c r="JKT5" s="27"/>
      <c r="JKU5" s="27"/>
      <c r="JKV5" s="27"/>
      <c r="JKW5" s="27"/>
      <c r="JKX5" s="27"/>
      <c r="JKY5" s="27"/>
      <c r="JKZ5" s="27"/>
      <c r="JLA5" s="27"/>
      <c r="JLB5" s="27"/>
      <c r="JLC5" s="27"/>
      <c r="JLD5" s="27"/>
      <c r="JLE5" s="27"/>
      <c r="JLF5" s="27"/>
      <c r="JLG5" s="27"/>
      <c r="JLH5" s="27"/>
      <c r="JLI5" s="27"/>
      <c r="JLJ5" s="27"/>
      <c r="JLK5" s="27"/>
      <c r="JLL5" s="27"/>
      <c r="JLM5" s="27"/>
      <c r="JLN5" s="27"/>
      <c r="JLO5" s="27"/>
      <c r="JLP5" s="27"/>
      <c r="JLQ5" s="27"/>
      <c r="JLR5" s="27"/>
      <c r="JLS5" s="27"/>
      <c r="JLT5" s="27"/>
      <c r="JLU5" s="27"/>
      <c r="JLV5" s="27"/>
      <c r="JLW5" s="27"/>
      <c r="JLX5" s="27"/>
      <c r="JLY5" s="27"/>
      <c r="JLZ5" s="27"/>
      <c r="JMA5" s="27"/>
      <c r="JMB5" s="27"/>
      <c r="JMC5" s="27"/>
      <c r="JMD5" s="27"/>
      <c r="JME5" s="27"/>
      <c r="JMF5" s="27"/>
      <c r="JMG5" s="27"/>
      <c r="JMH5" s="27"/>
      <c r="JMI5" s="27"/>
      <c r="JMJ5" s="27"/>
      <c r="JMK5" s="27"/>
      <c r="JML5" s="27"/>
      <c r="JMM5" s="27"/>
      <c r="JMN5" s="27"/>
      <c r="JMO5" s="27"/>
      <c r="JMP5" s="27"/>
      <c r="JMQ5" s="27"/>
      <c r="JMR5" s="27"/>
      <c r="JMS5" s="27"/>
      <c r="JMT5" s="27"/>
      <c r="JMU5" s="27"/>
      <c r="JMV5" s="27"/>
      <c r="JMW5" s="27"/>
      <c r="JMX5" s="27"/>
      <c r="JMY5" s="27"/>
      <c r="JMZ5" s="27"/>
      <c r="JNA5" s="27"/>
      <c r="JNB5" s="27"/>
      <c r="JNC5" s="27"/>
      <c r="JND5" s="27"/>
      <c r="JNE5" s="27"/>
      <c r="JNF5" s="27"/>
      <c r="JNG5" s="27"/>
      <c r="JNH5" s="27"/>
      <c r="JNI5" s="27"/>
      <c r="JNJ5" s="27"/>
      <c r="JNK5" s="27"/>
      <c r="JNL5" s="27"/>
      <c r="JNM5" s="27"/>
      <c r="JNN5" s="27"/>
      <c r="JNO5" s="27"/>
      <c r="JNP5" s="27"/>
      <c r="JNQ5" s="27"/>
      <c r="JNR5" s="27"/>
      <c r="JNS5" s="27"/>
      <c r="JNT5" s="27"/>
      <c r="JNU5" s="27"/>
      <c r="JNV5" s="27"/>
      <c r="JNW5" s="27"/>
      <c r="JNX5" s="27"/>
      <c r="JNY5" s="27"/>
      <c r="JNZ5" s="27"/>
      <c r="JOA5" s="27"/>
      <c r="JOB5" s="27"/>
      <c r="JOC5" s="27"/>
      <c r="JOD5" s="27"/>
      <c r="JOE5" s="27"/>
      <c r="JOF5" s="27"/>
      <c r="JOG5" s="27"/>
      <c r="JOH5" s="27"/>
      <c r="JOI5" s="27"/>
      <c r="JOJ5" s="27"/>
      <c r="JOK5" s="27"/>
      <c r="JOL5" s="27"/>
      <c r="JOM5" s="27"/>
      <c r="JON5" s="27"/>
      <c r="JOO5" s="27"/>
      <c r="JOP5" s="27"/>
      <c r="JOQ5" s="27"/>
      <c r="JOR5" s="27"/>
      <c r="JOS5" s="27"/>
      <c r="JOT5" s="27"/>
      <c r="JOU5" s="27"/>
      <c r="JOV5" s="27"/>
      <c r="JOW5" s="27"/>
      <c r="JOX5" s="27"/>
      <c r="JOY5" s="27"/>
      <c r="JOZ5" s="27"/>
      <c r="JPA5" s="27"/>
      <c r="JPB5" s="27"/>
      <c r="JPC5" s="27"/>
      <c r="JPD5" s="27"/>
      <c r="JPE5" s="27"/>
      <c r="JPF5" s="27"/>
      <c r="JPG5" s="27"/>
      <c r="JPH5" s="27"/>
      <c r="JPI5" s="27"/>
      <c r="JPJ5" s="27"/>
      <c r="JPK5" s="27"/>
      <c r="JPL5" s="27"/>
      <c r="JPM5" s="27"/>
      <c r="JPN5" s="27"/>
      <c r="JPO5" s="27"/>
      <c r="JPP5" s="27"/>
      <c r="JPQ5" s="27"/>
      <c r="JPR5" s="27"/>
      <c r="JPS5" s="27"/>
      <c r="JPT5" s="27"/>
      <c r="JPU5" s="27"/>
      <c r="JPV5" s="27"/>
      <c r="JPW5" s="27"/>
      <c r="JPX5" s="27"/>
      <c r="JPY5" s="27"/>
      <c r="JPZ5" s="27"/>
      <c r="JQA5" s="27"/>
      <c r="JQB5" s="27"/>
      <c r="JQC5" s="27"/>
      <c r="JQD5" s="27"/>
      <c r="JQE5" s="27"/>
      <c r="JQF5" s="27"/>
      <c r="JQG5" s="27"/>
      <c r="JQH5" s="27"/>
      <c r="JQI5" s="27"/>
      <c r="JQJ5" s="27"/>
      <c r="JQK5" s="27"/>
      <c r="JQL5" s="27"/>
      <c r="JQM5" s="27"/>
      <c r="JQN5" s="27"/>
      <c r="JQO5" s="27"/>
      <c r="JQP5" s="27"/>
      <c r="JQQ5" s="27"/>
      <c r="JQR5" s="27"/>
      <c r="JQS5" s="27"/>
      <c r="JQT5" s="27"/>
      <c r="JQU5" s="27"/>
      <c r="JQV5" s="27"/>
      <c r="JQW5" s="27"/>
      <c r="JQX5" s="27"/>
      <c r="JQY5" s="27"/>
      <c r="JQZ5" s="27"/>
      <c r="JRA5" s="27"/>
      <c r="JRB5" s="27"/>
      <c r="JRC5" s="27"/>
      <c r="JRD5" s="27"/>
      <c r="JRE5" s="27"/>
      <c r="JRF5" s="27"/>
      <c r="JRG5" s="27"/>
      <c r="JRH5" s="27"/>
      <c r="JRI5" s="27"/>
      <c r="JRJ5" s="27"/>
      <c r="JRK5" s="27"/>
      <c r="JRL5" s="27"/>
      <c r="JRM5" s="27"/>
      <c r="JRN5" s="27"/>
      <c r="JRO5" s="27"/>
      <c r="JRP5" s="27"/>
      <c r="JRQ5" s="27"/>
      <c r="JRR5" s="27"/>
      <c r="JRS5" s="27"/>
      <c r="JRT5" s="27"/>
      <c r="JRU5" s="27"/>
      <c r="JRV5" s="27"/>
      <c r="JRW5" s="27"/>
      <c r="JRX5" s="27"/>
      <c r="JRY5" s="27"/>
      <c r="JRZ5" s="27"/>
      <c r="JSA5" s="27"/>
      <c r="JSB5" s="27"/>
      <c r="JSC5" s="27"/>
      <c r="JSD5" s="27"/>
      <c r="JSE5" s="27"/>
      <c r="JSF5" s="27"/>
      <c r="JSG5" s="27"/>
      <c r="JSH5" s="27"/>
      <c r="JSI5" s="27"/>
      <c r="JSJ5" s="27"/>
      <c r="JSK5" s="27"/>
      <c r="JSL5" s="27"/>
      <c r="JSM5" s="27"/>
      <c r="JSN5" s="27"/>
      <c r="JSO5" s="27"/>
      <c r="JSP5" s="27"/>
      <c r="JSQ5" s="27"/>
      <c r="JSR5" s="27"/>
      <c r="JSS5" s="27"/>
      <c r="JST5" s="27"/>
      <c r="JSU5" s="27"/>
      <c r="JSV5" s="27"/>
      <c r="JSW5" s="27"/>
      <c r="JSX5" s="27"/>
      <c r="JSY5" s="27"/>
      <c r="JSZ5" s="27"/>
      <c r="JTA5" s="27"/>
      <c r="JTB5" s="27"/>
      <c r="JTC5" s="27"/>
      <c r="JTD5" s="27"/>
      <c r="JTE5" s="27"/>
      <c r="JTF5" s="27"/>
      <c r="JTG5" s="27"/>
      <c r="JTH5" s="27"/>
      <c r="JTI5" s="27"/>
      <c r="JTJ5" s="27"/>
      <c r="JTK5" s="27"/>
      <c r="JTL5" s="27"/>
      <c r="JTM5" s="27"/>
      <c r="JTN5" s="27"/>
      <c r="JTO5" s="27"/>
      <c r="JTP5" s="27"/>
      <c r="JTQ5" s="27"/>
      <c r="JTR5" s="27"/>
      <c r="JTS5" s="27"/>
      <c r="JTT5" s="27"/>
      <c r="JTU5" s="27"/>
      <c r="JTV5" s="27"/>
      <c r="JTW5" s="27"/>
      <c r="JTX5" s="27"/>
      <c r="JTY5" s="27"/>
      <c r="JTZ5" s="27"/>
      <c r="JUA5" s="27"/>
      <c r="JUB5" s="27"/>
      <c r="JUC5" s="27"/>
      <c r="JUD5" s="27"/>
      <c r="JUE5" s="27"/>
      <c r="JUF5" s="27"/>
      <c r="JUG5" s="27"/>
      <c r="JUH5" s="27"/>
      <c r="JUI5" s="27"/>
      <c r="JUJ5" s="27"/>
      <c r="JUK5" s="27"/>
      <c r="JUL5" s="27"/>
      <c r="JUM5" s="27"/>
      <c r="JUN5" s="27"/>
      <c r="JUO5" s="27"/>
      <c r="JUP5" s="27"/>
      <c r="JUQ5" s="27"/>
      <c r="JUR5" s="27"/>
      <c r="JUS5" s="27"/>
      <c r="JUT5" s="27"/>
      <c r="JUU5" s="27"/>
      <c r="JUV5" s="27"/>
      <c r="JUW5" s="27"/>
      <c r="JUX5" s="27"/>
      <c r="JUY5" s="27"/>
      <c r="JUZ5" s="27"/>
      <c r="JVA5" s="27"/>
      <c r="JVB5" s="27"/>
      <c r="JVC5" s="27"/>
      <c r="JVD5" s="27"/>
      <c r="JVE5" s="27"/>
      <c r="JVF5" s="27"/>
      <c r="JVG5" s="27"/>
      <c r="JVH5" s="27"/>
      <c r="JVI5" s="27"/>
      <c r="JVJ5" s="27"/>
      <c r="JVK5" s="27"/>
      <c r="JVL5" s="27"/>
      <c r="JVM5" s="27"/>
      <c r="JVN5" s="27"/>
      <c r="JVO5" s="27"/>
      <c r="JVP5" s="27"/>
      <c r="JVQ5" s="27"/>
      <c r="JVR5" s="27"/>
      <c r="JVS5" s="27"/>
      <c r="JVT5" s="27"/>
      <c r="JVU5" s="27"/>
      <c r="JVV5" s="27"/>
      <c r="JVW5" s="27"/>
      <c r="JVX5" s="27"/>
      <c r="JVY5" s="27"/>
      <c r="JVZ5" s="27"/>
      <c r="JWA5" s="27"/>
      <c r="JWB5" s="27"/>
      <c r="JWC5" s="27"/>
      <c r="JWD5" s="27"/>
      <c r="JWE5" s="27"/>
      <c r="JWF5" s="27"/>
      <c r="JWG5" s="27"/>
      <c r="JWH5" s="27"/>
      <c r="JWI5" s="27"/>
      <c r="JWJ5" s="27"/>
      <c r="JWK5" s="27"/>
      <c r="JWL5" s="27"/>
      <c r="JWM5" s="27"/>
      <c r="JWN5" s="27"/>
      <c r="JWO5" s="27"/>
      <c r="JWP5" s="27"/>
      <c r="JWQ5" s="27"/>
      <c r="JWR5" s="27"/>
      <c r="JWS5" s="27"/>
      <c r="JWT5" s="27"/>
      <c r="JWU5" s="27"/>
      <c r="JWV5" s="27"/>
      <c r="JWW5" s="27"/>
      <c r="JWX5" s="27"/>
      <c r="JWY5" s="27"/>
      <c r="JWZ5" s="27"/>
      <c r="JXA5" s="27"/>
      <c r="JXB5" s="27"/>
      <c r="JXC5" s="27"/>
      <c r="JXD5" s="27"/>
      <c r="JXE5" s="27"/>
      <c r="JXF5" s="27"/>
      <c r="JXG5" s="27"/>
      <c r="JXH5" s="27"/>
      <c r="JXI5" s="27"/>
      <c r="JXJ5" s="27"/>
      <c r="JXK5" s="27"/>
      <c r="JXL5" s="27"/>
      <c r="JXM5" s="27"/>
      <c r="JXN5" s="27"/>
      <c r="JXO5" s="27"/>
      <c r="JXP5" s="27"/>
      <c r="JXQ5" s="27"/>
      <c r="JXR5" s="27"/>
      <c r="JXS5" s="27"/>
      <c r="JXT5" s="27"/>
      <c r="JXU5" s="27"/>
      <c r="JXV5" s="27"/>
      <c r="JXW5" s="27"/>
      <c r="JXX5" s="27"/>
      <c r="JXY5" s="27"/>
      <c r="JXZ5" s="27"/>
      <c r="JYA5" s="27"/>
      <c r="JYB5" s="27"/>
      <c r="JYC5" s="27"/>
      <c r="JYD5" s="27"/>
      <c r="JYE5" s="27"/>
      <c r="JYF5" s="27"/>
      <c r="JYG5" s="27"/>
      <c r="JYH5" s="27"/>
      <c r="JYI5" s="27"/>
      <c r="JYJ5" s="27"/>
      <c r="JYK5" s="27"/>
      <c r="JYL5" s="27"/>
      <c r="JYM5" s="27"/>
      <c r="JYN5" s="27"/>
      <c r="JYO5" s="27"/>
      <c r="JYP5" s="27"/>
      <c r="JYQ5" s="27"/>
      <c r="JYR5" s="27"/>
      <c r="JYS5" s="27"/>
      <c r="JYT5" s="27"/>
      <c r="JYU5" s="27"/>
      <c r="JYV5" s="27"/>
      <c r="JYW5" s="27"/>
      <c r="JYX5" s="27"/>
      <c r="JYY5" s="27"/>
      <c r="JYZ5" s="27"/>
      <c r="JZA5" s="27"/>
      <c r="JZB5" s="27"/>
      <c r="JZC5" s="27"/>
      <c r="JZD5" s="27"/>
      <c r="JZE5" s="27"/>
      <c r="JZF5" s="27"/>
      <c r="JZG5" s="27"/>
      <c r="JZH5" s="27"/>
      <c r="JZI5" s="27"/>
      <c r="JZJ5" s="27"/>
      <c r="JZK5" s="27"/>
      <c r="JZL5" s="27"/>
      <c r="JZM5" s="27"/>
      <c r="JZN5" s="27"/>
      <c r="JZO5" s="27"/>
      <c r="JZP5" s="27"/>
      <c r="JZQ5" s="27"/>
      <c r="JZR5" s="27"/>
      <c r="JZS5" s="27"/>
      <c r="JZT5" s="27"/>
      <c r="JZU5" s="27"/>
      <c r="JZV5" s="27"/>
      <c r="JZW5" s="27"/>
      <c r="JZX5" s="27"/>
      <c r="JZY5" s="27"/>
      <c r="JZZ5" s="27"/>
      <c r="KAA5" s="27"/>
      <c r="KAB5" s="27"/>
      <c r="KAC5" s="27"/>
      <c r="KAD5" s="27"/>
      <c r="KAE5" s="27"/>
      <c r="KAF5" s="27"/>
      <c r="KAG5" s="27"/>
      <c r="KAH5" s="27"/>
      <c r="KAI5" s="27"/>
      <c r="KAJ5" s="27"/>
      <c r="KAK5" s="27"/>
      <c r="KAL5" s="27"/>
      <c r="KAM5" s="27"/>
      <c r="KAN5" s="27"/>
      <c r="KAO5" s="27"/>
      <c r="KAP5" s="27"/>
      <c r="KAQ5" s="27"/>
      <c r="KAR5" s="27"/>
      <c r="KAS5" s="27"/>
      <c r="KAT5" s="27"/>
      <c r="KAU5" s="27"/>
      <c r="KAV5" s="27"/>
      <c r="KAW5" s="27"/>
      <c r="KAX5" s="27"/>
      <c r="KAY5" s="27"/>
      <c r="KAZ5" s="27"/>
      <c r="KBA5" s="27"/>
      <c r="KBB5" s="27"/>
      <c r="KBC5" s="27"/>
      <c r="KBD5" s="27"/>
      <c r="KBE5" s="27"/>
      <c r="KBF5" s="27"/>
      <c r="KBG5" s="27"/>
      <c r="KBH5" s="27"/>
      <c r="KBI5" s="27"/>
      <c r="KBJ5" s="27"/>
      <c r="KBK5" s="27"/>
      <c r="KBL5" s="27"/>
      <c r="KBM5" s="27"/>
      <c r="KBN5" s="27"/>
      <c r="KBO5" s="27"/>
      <c r="KBP5" s="27"/>
      <c r="KBQ5" s="27"/>
      <c r="KBR5" s="27"/>
      <c r="KBS5" s="27"/>
      <c r="KBT5" s="27"/>
      <c r="KBU5" s="27"/>
      <c r="KBV5" s="27"/>
      <c r="KBW5" s="27"/>
      <c r="KBX5" s="27"/>
      <c r="KBY5" s="27"/>
      <c r="KBZ5" s="27"/>
      <c r="KCA5" s="27"/>
      <c r="KCB5" s="27"/>
      <c r="KCC5" s="27"/>
      <c r="KCD5" s="27"/>
      <c r="KCE5" s="27"/>
      <c r="KCF5" s="27"/>
      <c r="KCG5" s="27"/>
      <c r="KCH5" s="27"/>
      <c r="KCI5" s="27"/>
      <c r="KCJ5" s="27"/>
      <c r="KCK5" s="27"/>
      <c r="KCL5" s="27"/>
      <c r="KCM5" s="27"/>
      <c r="KCN5" s="27"/>
      <c r="KCO5" s="27"/>
      <c r="KCP5" s="27"/>
      <c r="KCQ5" s="27"/>
      <c r="KCR5" s="27"/>
      <c r="KCS5" s="27"/>
      <c r="KCT5" s="27"/>
      <c r="KCU5" s="27"/>
      <c r="KCV5" s="27"/>
      <c r="KCW5" s="27"/>
      <c r="KCX5" s="27"/>
      <c r="KCY5" s="27"/>
      <c r="KCZ5" s="27"/>
      <c r="KDA5" s="27"/>
      <c r="KDB5" s="27"/>
      <c r="KDC5" s="27"/>
      <c r="KDD5" s="27"/>
      <c r="KDE5" s="27"/>
      <c r="KDF5" s="27"/>
      <c r="KDG5" s="27"/>
      <c r="KDH5" s="27"/>
      <c r="KDI5" s="27"/>
      <c r="KDJ5" s="27"/>
      <c r="KDK5" s="27"/>
      <c r="KDL5" s="27"/>
      <c r="KDM5" s="27"/>
      <c r="KDN5" s="27"/>
      <c r="KDO5" s="27"/>
      <c r="KDP5" s="27"/>
      <c r="KDQ5" s="27"/>
      <c r="KDR5" s="27"/>
      <c r="KDS5" s="27"/>
      <c r="KDT5" s="27"/>
      <c r="KDU5" s="27"/>
      <c r="KDV5" s="27"/>
      <c r="KDW5" s="27"/>
      <c r="KDX5" s="27"/>
      <c r="KDY5" s="27"/>
      <c r="KDZ5" s="27"/>
      <c r="KEA5" s="27"/>
      <c r="KEB5" s="27"/>
      <c r="KEC5" s="27"/>
      <c r="KED5" s="27"/>
      <c r="KEE5" s="27"/>
      <c r="KEF5" s="27"/>
      <c r="KEG5" s="27"/>
      <c r="KEH5" s="27"/>
      <c r="KEI5" s="27"/>
      <c r="KEJ5" s="27"/>
      <c r="KEK5" s="27"/>
      <c r="KEL5" s="27"/>
      <c r="KEM5" s="27"/>
      <c r="KEN5" s="27"/>
      <c r="KEO5" s="27"/>
      <c r="KEP5" s="27"/>
      <c r="KEQ5" s="27"/>
      <c r="KER5" s="27"/>
      <c r="KES5" s="27"/>
      <c r="KET5" s="27"/>
      <c r="KEU5" s="27"/>
      <c r="KEV5" s="27"/>
      <c r="KEW5" s="27"/>
      <c r="KEX5" s="27"/>
      <c r="KEY5" s="27"/>
      <c r="KEZ5" s="27"/>
      <c r="KFA5" s="27"/>
      <c r="KFB5" s="27"/>
      <c r="KFC5" s="27"/>
      <c r="KFD5" s="27"/>
      <c r="KFE5" s="27"/>
      <c r="KFF5" s="27"/>
      <c r="KFG5" s="27"/>
      <c r="KFH5" s="27"/>
      <c r="KFI5" s="27"/>
      <c r="KFJ5" s="27"/>
      <c r="KFK5" s="27"/>
      <c r="KFL5" s="27"/>
      <c r="KFM5" s="27"/>
      <c r="KFN5" s="27"/>
      <c r="KFO5" s="27"/>
      <c r="KFP5" s="27"/>
      <c r="KFQ5" s="27"/>
      <c r="KFR5" s="27"/>
      <c r="KFS5" s="27"/>
      <c r="KFT5" s="27"/>
      <c r="KFU5" s="27"/>
      <c r="KFV5" s="27"/>
      <c r="KFW5" s="27"/>
      <c r="KFX5" s="27"/>
      <c r="KFY5" s="27"/>
      <c r="KFZ5" s="27"/>
      <c r="KGA5" s="27"/>
      <c r="KGB5" s="27"/>
      <c r="KGC5" s="27"/>
      <c r="KGD5" s="27"/>
      <c r="KGE5" s="27"/>
      <c r="KGF5" s="27"/>
      <c r="KGG5" s="27"/>
      <c r="KGH5" s="27"/>
      <c r="KGI5" s="27"/>
      <c r="KGJ5" s="27"/>
      <c r="KGK5" s="27"/>
      <c r="KGL5" s="27"/>
      <c r="KGM5" s="27"/>
      <c r="KGN5" s="27"/>
      <c r="KGO5" s="27"/>
      <c r="KGP5" s="27"/>
      <c r="KGQ5" s="27"/>
      <c r="KGR5" s="27"/>
      <c r="KGS5" s="27"/>
      <c r="KGT5" s="27"/>
      <c r="KGU5" s="27"/>
      <c r="KGV5" s="27"/>
      <c r="KGW5" s="27"/>
      <c r="KGX5" s="27"/>
      <c r="KGY5" s="27"/>
      <c r="KGZ5" s="27"/>
      <c r="KHA5" s="27"/>
      <c r="KHB5" s="27"/>
      <c r="KHC5" s="27"/>
      <c r="KHD5" s="27"/>
      <c r="KHE5" s="27"/>
      <c r="KHF5" s="27"/>
      <c r="KHG5" s="27"/>
      <c r="KHH5" s="27"/>
      <c r="KHI5" s="27"/>
      <c r="KHJ5" s="27"/>
      <c r="KHK5" s="27"/>
      <c r="KHL5" s="27"/>
      <c r="KHM5" s="27"/>
      <c r="KHN5" s="27"/>
      <c r="KHO5" s="27"/>
      <c r="KHP5" s="27"/>
      <c r="KHQ5" s="27"/>
      <c r="KHR5" s="27"/>
      <c r="KHS5" s="27"/>
      <c r="KHT5" s="27"/>
      <c r="KHU5" s="27"/>
      <c r="KHV5" s="27"/>
      <c r="KHW5" s="27"/>
      <c r="KHX5" s="27"/>
      <c r="KHY5" s="27"/>
      <c r="KHZ5" s="27"/>
      <c r="KIA5" s="27"/>
      <c r="KIB5" s="27"/>
      <c r="KIC5" s="27"/>
      <c r="KID5" s="27"/>
      <c r="KIE5" s="27"/>
      <c r="KIF5" s="27"/>
      <c r="KIG5" s="27"/>
      <c r="KIH5" s="27"/>
      <c r="KII5" s="27"/>
      <c r="KIJ5" s="27"/>
      <c r="KIK5" s="27"/>
      <c r="KIL5" s="27"/>
      <c r="KIM5" s="27"/>
      <c r="KIN5" s="27"/>
      <c r="KIO5" s="27"/>
      <c r="KIP5" s="27"/>
      <c r="KIQ5" s="27"/>
      <c r="KIR5" s="27"/>
      <c r="KIS5" s="27"/>
      <c r="KIT5" s="27"/>
      <c r="KIU5" s="27"/>
      <c r="KIV5" s="27"/>
      <c r="KIW5" s="27"/>
      <c r="KIX5" s="27"/>
      <c r="KIY5" s="27"/>
      <c r="KIZ5" s="27"/>
      <c r="KJA5" s="27"/>
      <c r="KJB5" s="27"/>
      <c r="KJC5" s="27"/>
      <c r="KJD5" s="27"/>
      <c r="KJE5" s="27"/>
      <c r="KJF5" s="27"/>
      <c r="KJG5" s="27"/>
      <c r="KJH5" s="27"/>
      <c r="KJI5" s="27"/>
      <c r="KJJ5" s="27"/>
      <c r="KJK5" s="27"/>
      <c r="KJL5" s="27"/>
      <c r="KJM5" s="27"/>
      <c r="KJN5" s="27"/>
      <c r="KJO5" s="27"/>
      <c r="KJP5" s="27"/>
      <c r="KJQ5" s="27"/>
      <c r="KJR5" s="27"/>
      <c r="KJS5" s="27"/>
      <c r="KJT5" s="27"/>
      <c r="KJU5" s="27"/>
      <c r="KJV5" s="27"/>
      <c r="KJW5" s="27"/>
      <c r="KJX5" s="27"/>
      <c r="KJY5" s="27"/>
      <c r="KJZ5" s="27"/>
      <c r="KKA5" s="27"/>
      <c r="KKB5" s="27"/>
      <c r="KKC5" s="27"/>
      <c r="KKD5" s="27"/>
      <c r="KKE5" s="27"/>
      <c r="KKF5" s="27"/>
      <c r="KKG5" s="27"/>
      <c r="KKH5" s="27"/>
      <c r="KKI5" s="27"/>
      <c r="KKJ5" s="27"/>
      <c r="KKK5" s="27"/>
      <c r="KKL5" s="27"/>
      <c r="KKM5" s="27"/>
      <c r="KKN5" s="27"/>
      <c r="KKO5" s="27"/>
      <c r="KKP5" s="27"/>
      <c r="KKQ5" s="27"/>
      <c r="KKR5" s="27"/>
      <c r="KKS5" s="27"/>
      <c r="KKT5" s="27"/>
      <c r="KKU5" s="27"/>
      <c r="KKV5" s="27"/>
      <c r="KKW5" s="27"/>
      <c r="KKX5" s="27"/>
      <c r="KKY5" s="27"/>
      <c r="KKZ5" s="27"/>
      <c r="KLA5" s="27"/>
      <c r="KLB5" s="27"/>
      <c r="KLC5" s="27"/>
      <c r="KLD5" s="27"/>
      <c r="KLE5" s="27"/>
      <c r="KLF5" s="27"/>
      <c r="KLG5" s="27"/>
      <c r="KLH5" s="27"/>
      <c r="KLI5" s="27"/>
      <c r="KLJ5" s="27"/>
      <c r="KLK5" s="27"/>
      <c r="KLL5" s="27"/>
      <c r="KLM5" s="27"/>
      <c r="KLN5" s="27"/>
      <c r="KLO5" s="27"/>
      <c r="KLP5" s="27"/>
      <c r="KLQ5" s="27"/>
      <c r="KLR5" s="27"/>
      <c r="KLS5" s="27"/>
      <c r="KLT5" s="27"/>
      <c r="KLU5" s="27"/>
      <c r="KLV5" s="27"/>
      <c r="KLW5" s="27"/>
      <c r="KLX5" s="27"/>
      <c r="KLY5" s="27"/>
      <c r="KLZ5" s="27"/>
      <c r="KMA5" s="27"/>
      <c r="KMB5" s="27"/>
      <c r="KMC5" s="27"/>
      <c r="KMD5" s="27"/>
      <c r="KME5" s="27"/>
      <c r="KMF5" s="27"/>
      <c r="KMG5" s="27"/>
      <c r="KMH5" s="27"/>
      <c r="KMI5" s="27"/>
      <c r="KMJ5" s="27"/>
      <c r="KMK5" s="27"/>
      <c r="KML5" s="27"/>
      <c r="KMM5" s="27"/>
      <c r="KMN5" s="27"/>
      <c r="KMO5" s="27"/>
      <c r="KMP5" s="27"/>
      <c r="KMQ5" s="27"/>
      <c r="KMR5" s="27"/>
      <c r="KMS5" s="27"/>
      <c r="KMT5" s="27"/>
      <c r="KMU5" s="27"/>
      <c r="KMV5" s="27"/>
      <c r="KMW5" s="27"/>
      <c r="KMX5" s="27"/>
      <c r="KMY5" s="27"/>
      <c r="KMZ5" s="27"/>
      <c r="KNA5" s="27"/>
      <c r="KNB5" s="27"/>
      <c r="KNC5" s="27"/>
      <c r="KND5" s="27"/>
      <c r="KNE5" s="27"/>
      <c r="KNF5" s="27"/>
      <c r="KNG5" s="27"/>
      <c r="KNH5" s="27"/>
      <c r="KNI5" s="27"/>
      <c r="KNJ5" s="27"/>
      <c r="KNK5" s="27"/>
      <c r="KNL5" s="27"/>
      <c r="KNM5" s="27"/>
      <c r="KNN5" s="27"/>
      <c r="KNO5" s="27"/>
      <c r="KNP5" s="27"/>
      <c r="KNQ5" s="27"/>
      <c r="KNR5" s="27"/>
      <c r="KNS5" s="27"/>
      <c r="KNT5" s="27"/>
      <c r="KNU5" s="27"/>
      <c r="KNV5" s="27"/>
      <c r="KNW5" s="27"/>
      <c r="KNX5" s="27"/>
      <c r="KNY5" s="27"/>
      <c r="KNZ5" s="27"/>
      <c r="KOA5" s="27"/>
      <c r="KOB5" s="27"/>
      <c r="KOC5" s="27"/>
      <c r="KOD5" s="27"/>
      <c r="KOE5" s="27"/>
      <c r="KOF5" s="27"/>
      <c r="KOG5" s="27"/>
      <c r="KOH5" s="27"/>
      <c r="KOI5" s="27"/>
      <c r="KOJ5" s="27"/>
      <c r="KOK5" s="27"/>
      <c r="KOL5" s="27"/>
      <c r="KOM5" s="27"/>
      <c r="KON5" s="27"/>
      <c r="KOO5" s="27"/>
      <c r="KOP5" s="27"/>
      <c r="KOQ5" s="27"/>
      <c r="KOR5" s="27"/>
      <c r="KOS5" s="27"/>
      <c r="KOT5" s="27"/>
      <c r="KOU5" s="27"/>
      <c r="KOV5" s="27"/>
      <c r="KOW5" s="27"/>
      <c r="KOX5" s="27"/>
      <c r="KOY5" s="27"/>
      <c r="KOZ5" s="27"/>
      <c r="KPA5" s="27"/>
      <c r="KPB5" s="27"/>
      <c r="KPC5" s="27"/>
      <c r="KPD5" s="27"/>
      <c r="KPE5" s="27"/>
      <c r="KPF5" s="27"/>
      <c r="KPG5" s="27"/>
      <c r="KPH5" s="27"/>
      <c r="KPI5" s="27"/>
      <c r="KPJ5" s="27"/>
      <c r="KPK5" s="27"/>
      <c r="KPL5" s="27"/>
      <c r="KPM5" s="27"/>
      <c r="KPN5" s="27"/>
      <c r="KPO5" s="27"/>
      <c r="KPP5" s="27"/>
      <c r="KPQ5" s="27"/>
      <c r="KPR5" s="27"/>
      <c r="KPS5" s="27"/>
      <c r="KPT5" s="27"/>
      <c r="KPU5" s="27"/>
      <c r="KPV5" s="27"/>
      <c r="KPW5" s="27"/>
      <c r="KPX5" s="27"/>
      <c r="KPY5" s="27"/>
      <c r="KPZ5" s="27"/>
      <c r="KQA5" s="27"/>
      <c r="KQB5" s="27"/>
      <c r="KQC5" s="27"/>
      <c r="KQD5" s="27"/>
      <c r="KQE5" s="27"/>
      <c r="KQF5" s="27"/>
      <c r="KQG5" s="27"/>
      <c r="KQH5" s="27"/>
      <c r="KQI5" s="27"/>
      <c r="KQJ5" s="27"/>
      <c r="KQK5" s="27"/>
      <c r="KQL5" s="27"/>
      <c r="KQM5" s="27"/>
      <c r="KQN5" s="27"/>
      <c r="KQO5" s="27"/>
      <c r="KQP5" s="27"/>
      <c r="KQQ5" s="27"/>
      <c r="KQR5" s="27"/>
      <c r="KQS5" s="27"/>
      <c r="KQT5" s="27"/>
      <c r="KQU5" s="27"/>
      <c r="KQV5" s="27"/>
      <c r="KQW5" s="27"/>
      <c r="KQX5" s="27"/>
      <c r="KQY5" s="27"/>
      <c r="KQZ5" s="27"/>
      <c r="KRA5" s="27"/>
      <c r="KRB5" s="27"/>
      <c r="KRC5" s="27"/>
      <c r="KRD5" s="27"/>
      <c r="KRE5" s="27"/>
      <c r="KRF5" s="27"/>
      <c r="KRG5" s="27"/>
      <c r="KRH5" s="27"/>
      <c r="KRI5" s="27"/>
      <c r="KRJ5" s="27"/>
      <c r="KRK5" s="27"/>
      <c r="KRL5" s="27"/>
      <c r="KRM5" s="27"/>
      <c r="KRN5" s="27"/>
      <c r="KRO5" s="27"/>
      <c r="KRP5" s="27"/>
      <c r="KRQ5" s="27"/>
      <c r="KRR5" s="27"/>
      <c r="KRS5" s="27"/>
      <c r="KRT5" s="27"/>
      <c r="KRU5" s="27"/>
      <c r="KRV5" s="27"/>
      <c r="KRW5" s="27"/>
      <c r="KRX5" s="27"/>
      <c r="KRY5" s="27"/>
      <c r="KRZ5" s="27"/>
      <c r="KSA5" s="27"/>
      <c r="KSB5" s="27"/>
      <c r="KSC5" s="27"/>
      <c r="KSD5" s="27"/>
      <c r="KSE5" s="27"/>
      <c r="KSF5" s="27"/>
      <c r="KSG5" s="27"/>
      <c r="KSH5" s="27"/>
      <c r="KSI5" s="27"/>
      <c r="KSJ5" s="27"/>
      <c r="KSK5" s="27"/>
      <c r="KSL5" s="27"/>
      <c r="KSM5" s="27"/>
      <c r="KSN5" s="27"/>
      <c r="KSO5" s="27"/>
      <c r="KSP5" s="27"/>
      <c r="KSQ5" s="27"/>
      <c r="KSR5" s="27"/>
      <c r="KSS5" s="27"/>
      <c r="KST5" s="27"/>
      <c r="KSU5" s="27"/>
      <c r="KSV5" s="27"/>
      <c r="KSW5" s="27"/>
      <c r="KSX5" s="27"/>
      <c r="KSY5" s="27"/>
      <c r="KSZ5" s="27"/>
      <c r="KTA5" s="27"/>
      <c r="KTB5" s="27"/>
      <c r="KTC5" s="27"/>
      <c r="KTD5" s="27"/>
      <c r="KTE5" s="27"/>
      <c r="KTF5" s="27"/>
      <c r="KTG5" s="27"/>
      <c r="KTH5" s="27"/>
      <c r="KTI5" s="27"/>
      <c r="KTJ5" s="27"/>
      <c r="KTK5" s="27"/>
      <c r="KTL5" s="27"/>
      <c r="KTM5" s="27"/>
      <c r="KTN5" s="27"/>
      <c r="KTO5" s="27"/>
      <c r="KTP5" s="27"/>
      <c r="KTQ5" s="27"/>
      <c r="KTR5" s="27"/>
      <c r="KTS5" s="27"/>
      <c r="KTT5" s="27"/>
      <c r="KTU5" s="27"/>
      <c r="KTV5" s="27"/>
      <c r="KTW5" s="27"/>
      <c r="KTX5" s="27"/>
      <c r="KTY5" s="27"/>
      <c r="KTZ5" s="27"/>
      <c r="KUA5" s="27"/>
      <c r="KUB5" s="27"/>
      <c r="KUC5" s="27"/>
      <c r="KUD5" s="27"/>
      <c r="KUE5" s="27"/>
      <c r="KUF5" s="27"/>
      <c r="KUG5" s="27"/>
      <c r="KUH5" s="27"/>
      <c r="KUI5" s="27"/>
      <c r="KUJ5" s="27"/>
      <c r="KUK5" s="27"/>
      <c r="KUL5" s="27"/>
      <c r="KUM5" s="27"/>
      <c r="KUN5" s="27"/>
      <c r="KUO5" s="27"/>
      <c r="KUP5" s="27"/>
      <c r="KUQ5" s="27"/>
      <c r="KUR5" s="27"/>
      <c r="KUS5" s="27"/>
      <c r="KUT5" s="27"/>
      <c r="KUU5" s="27"/>
      <c r="KUV5" s="27"/>
      <c r="KUW5" s="27"/>
      <c r="KUX5" s="27"/>
      <c r="KUY5" s="27"/>
      <c r="KUZ5" s="27"/>
      <c r="KVA5" s="27"/>
      <c r="KVB5" s="27"/>
      <c r="KVC5" s="27"/>
      <c r="KVD5" s="27"/>
      <c r="KVE5" s="27"/>
      <c r="KVF5" s="27"/>
      <c r="KVG5" s="27"/>
      <c r="KVH5" s="27"/>
      <c r="KVI5" s="27"/>
      <c r="KVJ5" s="27"/>
      <c r="KVK5" s="27"/>
      <c r="KVL5" s="27"/>
      <c r="KVM5" s="27"/>
      <c r="KVN5" s="27"/>
      <c r="KVO5" s="27"/>
      <c r="KVP5" s="27"/>
      <c r="KVQ5" s="27"/>
      <c r="KVR5" s="27"/>
      <c r="KVS5" s="27"/>
      <c r="KVT5" s="27"/>
      <c r="KVU5" s="27"/>
      <c r="KVV5" s="27"/>
      <c r="KVW5" s="27"/>
      <c r="KVX5" s="27"/>
      <c r="KVY5" s="27"/>
      <c r="KVZ5" s="27"/>
      <c r="KWA5" s="27"/>
      <c r="KWB5" s="27"/>
      <c r="KWC5" s="27"/>
      <c r="KWD5" s="27"/>
      <c r="KWE5" s="27"/>
      <c r="KWF5" s="27"/>
      <c r="KWG5" s="27"/>
      <c r="KWH5" s="27"/>
      <c r="KWI5" s="27"/>
      <c r="KWJ5" s="27"/>
      <c r="KWK5" s="27"/>
      <c r="KWL5" s="27"/>
      <c r="KWM5" s="27"/>
      <c r="KWN5" s="27"/>
      <c r="KWO5" s="27"/>
      <c r="KWP5" s="27"/>
      <c r="KWQ5" s="27"/>
      <c r="KWR5" s="27"/>
      <c r="KWS5" s="27"/>
      <c r="KWT5" s="27"/>
      <c r="KWU5" s="27"/>
      <c r="KWV5" s="27"/>
      <c r="KWW5" s="27"/>
      <c r="KWX5" s="27"/>
      <c r="KWY5" s="27"/>
      <c r="KWZ5" s="27"/>
      <c r="KXA5" s="27"/>
      <c r="KXB5" s="27"/>
      <c r="KXC5" s="27"/>
      <c r="KXD5" s="27"/>
      <c r="KXE5" s="27"/>
      <c r="KXF5" s="27"/>
      <c r="KXG5" s="27"/>
      <c r="KXH5" s="27"/>
      <c r="KXI5" s="27"/>
      <c r="KXJ5" s="27"/>
      <c r="KXK5" s="27"/>
      <c r="KXL5" s="27"/>
      <c r="KXM5" s="27"/>
      <c r="KXN5" s="27"/>
      <c r="KXO5" s="27"/>
      <c r="KXP5" s="27"/>
      <c r="KXQ5" s="27"/>
      <c r="KXR5" s="27"/>
      <c r="KXS5" s="27"/>
      <c r="KXT5" s="27"/>
      <c r="KXU5" s="27"/>
      <c r="KXV5" s="27"/>
      <c r="KXW5" s="27"/>
      <c r="KXX5" s="27"/>
      <c r="KXY5" s="27"/>
      <c r="KXZ5" s="27"/>
      <c r="KYA5" s="27"/>
      <c r="KYB5" s="27"/>
      <c r="KYC5" s="27"/>
      <c r="KYD5" s="27"/>
      <c r="KYE5" s="27"/>
      <c r="KYF5" s="27"/>
      <c r="KYG5" s="27"/>
      <c r="KYH5" s="27"/>
      <c r="KYI5" s="27"/>
      <c r="KYJ5" s="27"/>
      <c r="KYK5" s="27"/>
      <c r="KYL5" s="27"/>
      <c r="KYM5" s="27"/>
      <c r="KYN5" s="27"/>
      <c r="KYO5" s="27"/>
      <c r="KYP5" s="27"/>
      <c r="KYQ5" s="27"/>
      <c r="KYR5" s="27"/>
      <c r="KYS5" s="27"/>
      <c r="KYT5" s="27"/>
      <c r="KYU5" s="27"/>
      <c r="KYV5" s="27"/>
      <c r="KYW5" s="27"/>
      <c r="KYX5" s="27"/>
      <c r="KYY5" s="27"/>
      <c r="KYZ5" s="27"/>
      <c r="KZA5" s="27"/>
      <c r="KZB5" s="27"/>
      <c r="KZC5" s="27"/>
      <c r="KZD5" s="27"/>
      <c r="KZE5" s="27"/>
      <c r="KZF5" s="27"/>
      <c r="KZG5" s="27"/>
      <c r="KZH5" s="27"/>
      <c r="KZI5" s="27"/>
      <c r="KZJ5" s="27"/>
      <c r="KZK5" s="27"/>
      <c r="KZL5" s="27"/>
      <c r="KZM5" s="27"/>
      <c r="KZN5" s="27"/>
      <c r="KZO5" s="27"/>
      <c r="KZP5" s="27"/>
      <c r="KZQ5" s="27"/>
      <c r="KZR5" s="27"/>
      <c r="KZS5" s="27"/>
      <c r="KZT5" s="27"/>
      <c r="KZU5" s="27"/>
      <c r="KZV5" s="27"/>
      <c r="KZW5" s="27"/>
      <c r="KZX5" s="27"/>
      <c r="KZY5" s="27"/>
      <c r="KZZ5" s="27"/>
      <c r="LAA5" s="27"/>
      <c r="LAB5" s="27"/>
      <c r="LAC5" s="27"/>
      <c r="LAD5" s="27"/>
      <c r="LAE5" s="27"/>
      <c r="LAF5" s="27"/>
      <c r="LAG5" s="27"/>
      <c r="LAH5" s="27"/>
      <c r="LAI5" s="27"/>
      <c r="LAJ5" s="27"/>
      <c r="LAK5" s="27"/>
      <c r="LAL5" s="27"/>
      <c r="LAM5" s="27"/>
      <c r="LAN5" s="27"/>
      <c r="LAO5" s="27"/>
      <c r="LAP5" s="27"/>
      <c r="LAQ5" s="27"/>
      <c r="LAR5" s="27"/>
      <c r="LAS5" s="27"/>
      <c r="LAT5" s="27"/>
      <c r="LAU5" s="27"/>
      <c r="LAV5" s="27"/>
      <c r="LAW5" s="27"/>
      <c r="LAX5" s="27"/>
      <c r="LAY5" s="27"/>
      <c r="LAZ5" s="27"/>
      <c r="LBA5" s="27"/>
      <c r="LBB5" s="27"/>
      <c r="LBC5" s="27"/>
      <c r="LBD5" s="27"/>
      <c r="LBE5" s="27"/>
      <c r="LBF5" s="27"/>
      <c r="LBG5" s="27"/>
      <c r="LBH5" s="27"/>
      <c r="LBI5" s="27"/>
      <c r="LBJ5" s="27"/>
      <c r="LBK5" s="27"/>
      <c r="LBL5" s="27"/>
      <c r="LBM5" s="27"/>
      <c r="LBN5" s="27"/>
      <c r="LBO5" s="27"/>
      <c r="LBP5" s="27"/>
      <c r="LBQ5" s="27"/>
      <c r="LBR5" s="27"/>
      <c r="LBS5" s="27"/>
      <c r="LBT5" s="27"/>
      <c r="LBU5" s="27"/>
      <c r="LBV5" s="27"/>
      <c r="LBW5" s="27"/>
      <c r="LBX5" s="27"/>
      <c r="LBY5" s="27"/>
      <c r="LBZ5" s="27"/>
      <c r="LCA5" s="27"/>
      <c r="LCB5" s="27"/>
      <c r="LCC5" s="27"/>
      <c r="LCD5" s="27"/>
      <c r="LCE5" s="27"/>
      <c r="LCF5" s="27"/>
      <c r="LCG5" s="27"/>
      <c r="LCH5" s="27"/>
      <c r="LCI5" s="27"/>
      <c r="LCJ5" s="27"/>
      <c r="LCK5" s="27"/>
      <c r="LCL5" s="27"/>
      <c r="LCM5" s="27"/>
      <c r="LCN5" s="27"/>
      <c r="LCO5" s="27"/>
      <c r="LCP5" s="27"/>
      <c r="LCQ5" s="27"/>
      <c r="LCR5" s="27"/>
      <c r="LCS5" s="27"/>
      <c r="LCT5" s="27"/>
      <c r="LCU5" s="27"/>
      <c r="LCV5" s="27"/>
      <c r="LCW5" s="27"/>
      <c r="LCX5" s="27"/>
      <c r="LCY5" s="27"/>
      <c r="LCZ5" s="27"/>
      <c r="LDA5" s="27"/>
      <c r="LDB5" s="27"/>
      <c r="LDC5" s="27"/>
      <c r="LDD5" s="27"/>
      <c r="LDE5" s="27"/>
      <c r="LDF5" s="27"/>
      <c r="LDG5" s="27"/>
      <c r="LDH5" s="27"/>
      <c r="LDI5" s="27"/>
      <c r="LDJ5" s="27"/>
      <c r="LDK5" s="27"/>
      <c r="LDL5" s="27"/>
      <c r="LDM5" s="27"/>
      <c r="LDN5" s="27"/>
      <c r="LDO5" s="27"/>
      <c r="LDP5" s="27"/>
      <c r="LDQ5" s="27"/>
      <c r="LDR5" s="27"/>
      <c r="LDS5" s="27"/>
      <c r="LDT5" s="27"/>
      <c r="LDU5" s="27"/>
      <c r="LDV5" s="27"/>
      <c r="LDW5" s="27"/>
      <c r="LDX5" s="27"/>
      <c r="LDY5" s="27"/>
      <c r="LDZ5" s="27"/>
      <c r="LEA5" s="27"/>
      <c r="LEB5" s="27"/>
      <c r="LEC5" s="27"/>
      <c r="LED5" s="27"/>
      <c r="LEE5" s="27"/>
      <c r="LEF5" s="27"/>
      <c r="LEG5" s="27"/>
      <c r="LEH5" s="27"/>
      <c r="LEI5" s="27"/>
      <c r="LEJ5" s="27"/>
      <c r="LEK5" s="27"/>
      <c r="LEL5" s="27"/>
      <c r="LEM5" s="27"/>
      <c r="LEN5" s="27"/>
      <c r="LEO5" s="27"/>
      <c r="LEP5" s="27"/>
      <c r="LEQ5" s="27"/>
      <c r="LER5" s="27"/>
      <c r="LES5" s="27"/>
      <c r="LET5" s="27"/>
      <c r="LEU5" s="27"/>
      <c r="LEV5" s="27"/>
      <c r="LEW5" s="27"/>
      <c r="LEX5" s="27"/>
      <c r="LEY5" s="27"/>
      <c r="LEZ5" s="27"/>
      <c r="LFA5" s="27"/>
      <c r="LFB5" s="27"/>
      <c r="LFC5" s="27"/>
      <c r="LFD5" s="27"/>
      <c r="LFE5" s="27"/>
      <c r="LFF5" s="27"/>
      <c r="LFG5" s="27"/>
      <c r="LFH5" s="27"/>
      <c r="LFI5" s="27"/>
      <c r="LFJ5" s="27"/>
      <c r="LFK5" s="27"/>
      <c r="LFL5" s="27"/>
      <c r="LFM5" s="27"/>
      <c r="LFN5" s="27"/>
      <c r="LFO5" s="27"/>
      <c r="LFP5" s="27"/>
      <c r="LFQ5" s="27"/>
      <c r="LFR5" s="27"/>
      <c r="LFS5" s="27"/>
      <c r="LFT5" s="27"/>
      <c r="LFU5" s="27"/>
      <c r="LFV5" s="27"/>
      <c r="LFW5" s="27"/>
      <c r="LFX5" s="27"/>
      <c r="LFY5" s="27"/>
      <c r="LFZ5" s="27"/>
      <c r="LGA5" s="27"/>
      <c r="LGB5" s="27"/>
      <c r="LGC5" s="27"/>
      <c r="LGD5" s="27"/>
      <c r="LGE5" s="27"/>
      <c r="LGF5" s="27"/>
      <c r="LGG5" s="27"/>
      <c r="LGH5" s="27"/>
      <c r="LGI5" s="27"/>
      <c r="LGJ5" s="27"/>
      <c r="LGK5" s="27"/>
      <c r="LGL5" s="27"/>
      <c r="LGM5" s="27"/>
      <c r="LGN5" s="27"/>
      <c r="LGO5" s="27"/>
      <c r="LGP5" s="27"/>
      <c r="LGQ5" s="27"/>
      <c r="LGR5" s="27"/>
      <c r="LGS5" s="27"/>
      <c r="LGT5" s="27"/>
      <c r="LGU5" s="27"/>
      <c r="LGV5" s="27"/>
      <c r="LGW5" s="27"/>
      <c r="LGX5" s="27"/>
      <c r="LGY5" s="27"/>
      <c r="LGZ5" s="27"/>
      <c r="LHA5" s="27"/>
      <c r="LHB5" s="27"/>
      <c r="LHC5" s="27"/>
      <c r="LHD5" s="27"/>
      <c r="LHE5" s="27"/>
      <c r="LHF5" s="27"/>
      <c r="LHG5" s="27"/>
      <c r="LHH5" s="27"/>
      <c r="LHI5" s="27"/>
      <c r="LHJ5" s="27"/>
      <c r="LHK5" s="27"/>
      <c r="LHL5" s="27"/>
      <c r="LHM5" s="27"/>
      <c r="LHN5" s="27"/>
      <c r="LHO5" s="27"/>
      <c r="LHP5" s="27"/>
      <c r="LHQ5" s="27"/>
      <c r="LHR5" s="27"/>
      <c r="LHS5" s="27"/>
      <c r="LHT5" s="27"/>
      <c r="LHU5" s="27"/>
      <c r="LHV5" s="27"/>
      <c r="LHW5" s="27"/>
      <c r="LHX5" s="27"/>
      <c r="LHY5" s="27"/>
      <c r="LHZ5" s="27"/>
      <c r="LIA5" s="27"/>
      <c r="LIB5" s="27"/>
      <c r="LIC5" s="27"/>
      <c r="LID5" s="27"/>
      <c r="LIE5" s="27"/>
      <c r="LIF5" s="27"/>
      <c r="LIG5" s="27"/>
      <c r="LIH5" s="27"/>
      <c r="LII5" s="27"/>
      <c r="LIJ5" s="27"/>
      <c r="LIK5" s="27"/>
      <c r="LIL5" s="27"/>
      <c r="LIM5" s="27"/>
      <c r="LIN5" s="27"/>
      <c r="LIO5" s="27"/>
      <c r="LIP5" s="27"/>
      <c r="LIQ5" s="27"/>
      <c r="LIR5" s="27"/>
      <c r="LIS5" s="27"/>
      <c r="LIT5" s="27"/>
      <c r="LIU5" s="27"/>
      <c r="LIV5" s="27"/>
      <c r="LIW5" s="27"/>
      <c r="LIX5" s="27"/>
      <c r="LIY5" s="27"/>
      <c r="LIZ5" s="27"/>
      <c r="LJA5" s="27"/>
      <c r="LJB5" s="27"/>
      <c r="LJC5" s="27"/>
      <c r="LJD5" s="27"/>
      <c r="LJE5" s="27"/>
      <c r="LJF5" s="27"/>
      <c r="LJG5" s="27"/>
      <c r="LJH5" s="27"/>
      <c r="LJI5" s="27"/>
      <c r="LJJ5" s="27"/>
      <c r="LJK5" s="27"/>
      <c r="LJL5" s="27"/>
      <c r="LJM5" s="27"/>
      <c r="LJN5" s="27"/>
      <c r="LJO5" s="27"/>
      <c r="LJP5" s="27"/>
      <c r="LJQ5" s="27"/>
      <c r="LJR5" s="27"/>
      <c r="LJS5" s="27"/>
      <c r="LJT5" s="27"/>
      <c r="LJU5" s="27"/>
      <c r="LJV5" s="27"/>
      <c r="LJW5" s="27"/>
      <c r="LJX5" s="27"/>
      <c r="LJY5" s="27"/>
      <c r="LJZ5" s="27"/>
      <c r="LKA5" s="27"/>
      <c r="LKB5" s="27"/>
      <c r="LKC5" s="27"/>
      <c r="LKD5" s="27"/>
      <c r="LKE5" s="27"/>
      <c r="LKF5" s="27"/>
      <c r="LKG5" s="27"/>
      <c r="LKH5" s="27"/>
      <c r="LKI5" s="27"/>
      <c r="LKJ5" s="27"/>
      <c r="LKK5" s="27"/>
      <c r="LKL5" s="27"/>
      <c r="LKM5" s="27"/>
      <c r="LKN5" s="27"/>
      <c r="LKO5" s="27"/>
      <c r="LKP5" s="27"/>
      <c r="LKQ5" s="27"/>
      <c r="LKR5" s="27"/>
      <c r="LKS5" s="27"/>
      <c r="LKT5" s="27"/>
      <c r="LKU5" s="27"/>
      <c r="LKV5" s="27"/>
      <c r="LKW5" s="27"/>
      <c r="LKX5" s="27"/>
      <c r="LKY5" s="27"/>
      <c r="LKZ5" s="27"/>
      <c r="LLA5" s="27"/>
      <c r="LLB5" s="27"/>
      <c r="LLC5" s="27"/>
      <c r="LLD5" s="27"/>
      <c r="LLE5" s="27"/>
      <c r="LLF5" s="27"/>
      <c r="LLG5" s="27"/>
      <c r="LLH5" s="27"/>
      <c r="LLI5" s="27"/>
      <c r="LLJ5" s="27"/>
      <c r="LLK5" s="27"/>
      <c r="LLL5" s="27"/>
      <c r="LLM5" s="27"/>
      <c r="LLN5" s="27"/>
      <c r="LLO5" s="27"/>
      <c r="LLP5" s="27"/>
      <c r="LLQ5" s="27"/>
      <c r="LLR5" s="27"/>
      <c r="LLS5" s="27"/>
      <c r="LLT5" s="27"/>
      <c r="LLU5" s="27"/>
      <c r="LLV5" s="27"/>
      <c r="LLW5" s="27"/>
      <c r="LLX5" s="27"/>
      <c r="LLY5" s="27"/>
      <c r="LLZ5" s="27"/>
      <c r="LMA5" s="27"/>
      <c r="LMB5" s="27"/>
      <c r="LMC5" s="27"/>
      <c r="LMD5" s="27"/>
      <c r="LME5" s="27"/>
      <c r="LMF5" s="27"/>
      <c r="LMG5" s="27"/>
      <c r="LMH5" s="27"/>
      <c r="LMI5" s="27"/>
      <c r="LMJ5" s="27"/>
      <c r="LMK5" s="27"/>
      <c r="LML5" s="27"/>
      <c r="LMM5" s="27"/>
      <c r="LMN5" s="27"/>
      <c r="LMO5" s="27"/>
      <c r="LMP5" s="27"/>
      <c r="LMQ5" s="27"/>
      <c r="LMR5" s="27"/>
      <c r="LMS5" s="27"/>
      <c r="LMT5" s="27"/>
      <c r="LMU5" s="27"/>
      <c r="LMV5" s="27"/>
      <c r="LMW5" s="27"/>
      <c r="LMX5" s="27"/>
      <c r="LMY5" s="27"/>
      <c r="LMZ5" s="27"/>
      <c r="LNA5" s="27"/>
      <c r="LNB5" s="27"/>
      <c r="LNC5" s="27"/>
      <c r="LND5" s="27"/>
      <c r="LNE5" s="27"/>
      <c r="LNF5" s="27"/>
      <c r="LNG5" s="27"/>
      <c r="LNH5" s="27"/>
      <c r="LNI5" s="27"/>
      <c r="LNJ5" s="27"/>
      <c r="LNK5" s="27"/>
      <c r="LNL5" s="27"/>
      <c r="LNM5" s="27"/>
      <c r="LNN5" s="27"/>
      <c r="LNO5" s="27"/>
      <c r="LNP5" s="27"/>
      <c r="LNQ5" s="27"/>
      <c r="LNR5" s="27"/>
      <c r="LNS5" s="27"/>
      <c r="LNT5" s="27"/>
      <c r="LNU5" s="27"/>
      <c r="LNV5" s="27"/>
      <c r="LNW5" s="27"/>
      <c r="LNX5" s="27"/>
      <c r="LNY5" s="27"/>
      <c r="LNZ5" s="27"/>
      <c r="LOA5" s="27"/>
      <c r="LOB5" s="27"/>
      <c r="LOC5" s="27"/>
      <c r="LOD5" s="27"/>
      <c r="LOE5" s="27"/>
      <c r="LOF5" s="27"/>
      <c r="LOG5" s="27"/>
      <c r="LOH5" s="27"/>
      <c r="LOI5" s="27"/>
      <c r="LOJ5" s="27"/>
      <c r="LOK5" s="27"/>
      <c r="LOL5" s="27"/>
      <c r="LOM5" s="27"/>
      <c r="LON5" s="27"/>
      <c r="LOO5" s="27"/>
      <c r="LOP5" s="27"/>
      <c r="LOQ5" s="27"/>
      <c r="LOR5" s="27"/>
      <c r="LOS5" s="27"/>
      <c r="LOT5" s="27"/>
      <c r="LOU5" s="27"/>
      <c r="LOV5" s="27"/>
      <c r="LOW5" s="27"/>
      <c r="LOX5" s="27"/>
      <c r="LOY5" s="27"/>
      <c r="LOZ5" s="27"/>
      <c r="LPA5" s="27"/>
      <c r="LPB5" s="27"/>
      <c r="LPC5" s="27"/>
      <c r="LPD5" s="27"/>
      <c r="LPE5" s="27"/>
      <c r="LPF5" s="27"/>
      <c r="LPG5" s="27"/>
      <c r="LPH5" s="27"/>
      <c r="LPI5" s="27"/>
      <c r="LPJ5" s="27"/>
      <c r="LPK5" s="27"/>
      <c r="LPL5" s="27"/>
      <c r="LPM5" s="27"/>
      <c r="LPN5" s="27"/>
      <c r="LPO5" s="27"/>
      <c r="LPP5" s="27"/>
      <c r="LPQ5" s="27"/>
      <c r="LPR5" s="27"/>
      <c r="LPS5" s="27"/>
      <c r="LPT5" s="27"/>
      <c r="LPU5" s="27"/>
      <c r="LPV5" s="27"/>
      <c r="LPW5" s="27"/>
      <c r="LPX5" s="27"/>
      <c r="LPY5" s="27"/>
      <c r="LPZ5" s="27"/>
      <c r="LQA5" s="27"/>
      <c r="LQB5" s="27"/>
      <c r="LQC5" s="27"/>
      <c r="LQD5" s="27"/>
      <c r="LQE5" s="27"/>
      <c r="LQF5" s="27"/>
      <c r="LQG5" s="27"/>
      <c r="LQH5" s="27"/>
      <c r="LQI5" s="27"/>
      <c r="LQJ5" s="27"/>
      <c r="LQK5" s="27"/>
      <c r="LQL5" s="27"/>
      <c r="LQM5" s="27"/>
      <c r="LQN5" s="27"/>
      <c r="LQO5" s="27"/>
      <c r="LQP5" s="27"/>
      <c r="LQQ5" s="27"/>
      <c r="LQR5" s="27"/>
      <c r="LQS5" s="27"/>
      <c r="LQT5" s="27"/>
      <c r="LQU5" s="27"/>
      <c r="LQV5" s="27"/>
      <c r="LQW5" s="27"/>
      <c r="LQX5" s="27"/>
      <c r="LQY5" s="27"/>
      <c r="LQZ5" s="27"/>
      <c r="LRA5" s="27"/>
      <c r="LRB5" s="27"/>
      <c r="LRC5" s="27"/>
      <c r="LRD5" s="27"/>
      <c r="LRE5" s="27"/>
      <c r="LRF5" s="27"/>
      <c r="LRG5" s="27"/>
      <c r="LRH5" s="27"/>
      <c r="LRI5" s="27"/>
      <c r="LRJ5" s="27"/>
      <c r="LRK5" s="27"/>
      <c r="LRL5" s="27"/>
      <c r="LRM5" s="27"/>
      <c r="LRN5" s="27"/>
      <c r="LRO5" s="27"/>
      <c r="LRP5" s="27"/>
      <c r="LRQ5" s="27"/>
      <c r="LRR5" s="27"/>
      <c r="LRS5" s="27"/>
      <c r="LRT5" s="27"/>
      <c r="LRU5" s="27"/>
      <c r="LRV5" s="27"/>
      <c r="LRW5" s="27"/>
      <c r="LRX5" s="27"/>
      <c r="LRY5" s="27"/>
      <c r="LRZ5" s="27"/>
      <c r="LSA5" s="27"/>
      <c r="LSB5" s="27"/>
      <c r="LSC5" s="27"/>
      <c r="LSD5" s="27"/>
      <c r="LSE5" s="27"/>
      <c r="LSF5" s="27"/>
      <c r="LSG5" s="27"/>
      <c r="LSH5" s="27"/>
      <c r="LSI5" s="27"/>
      <c r="LSJ5" s="27"/>
      <c r="LSK5" s="27"/>
      <c r="LSL5" s="27"/>
      <c r="LSM5" s="27"/>
      <c r="LSN5" s="27"/>
      <c r="LSO5" s="27"/>
      <c r="LSP5" s="27"/>
      <c r="LSQ5" s="27"/>
      <c r="LSR5" s="27"/>
      <c r="LSS5" s="27"/>
      <c r="LST5" s="27"/>
      <c r="LSU5" s="27"/>
      <c r="LSV5" s="27"/>
      <c r="LSW5" s="27"/>
      <c r="LSX5" s="27"/>
      <c r="LSY5" s="27"/>
      <c r="LSZ5" s="27"/>
      <c r="LTA5" s="27"/>
      <c r="LTB5" s="27"/>
      <c r="LTC5" s="27"/>
      <c r="LTD5" s="27"/>
      <c r="LTE5" s="27"/>
      <c r="LTF5" s="27"/>
      <c r="LTG5" s="27"/>
      <c r="LTH5" s="27"/>
      <c r="LTI5" s="27"/>
      <c r="LTJ5" s="27"/>
      <c r="LTK5" s="27"/>
      <c r="LTL5" s="27"/>
      <c r="LTM5" s="27"/>
      <c r="LTN5" s="27"/>
      <c r="LTO5" s="27"/>
      <c r="LTP5" s="27"/>
      <c r="LTQ5" s="27"/>
      <c r="LTR5" s="27"/>
      <c r="LTS5" s="27"/>
      <c r="LTT5" s="27"/>
      <c r="LTU5" s="27"/>
      <c r="LTV5" s="27"/>
      <c r="LTW5" s="27"/>
      <c r="LTX5" s="27"/>
      <c r="LTY5" s="27"/>
      <c r="LTZ5" s="27"/>
      <c r="LUA5" s="27"/>
      <c r="LUB5" s="27"/>
      <c r="LUC5" s="27"/>
      <c r="LUD5" s="27"/>
      <c r="LUE5" s="27"/>
      <c r="LUF5" s="27"/>
      <c r="LUG5" s="27"/>
      <c r="LUH5" s="27"/>
      <c r="LUI5" s="27"/>
      <c r="LUJ5" s="27"/>
      <c r="LUK5" s="27"/>
      <c r="LUL5" s="27"/>
      <c r="LUM5" s="27"/>
      <c r="LUN5" s="27"/>
      <c r="LUO5" s="27"/>
      <c r="LUP5" s="27"/>
      <c r="LUQ5" s="27"/>
      <c r="LUR5" s="27"/>
      <c r="LUS5" s="27"/>
      <c r="LUT5" s="27"/>
      <c r="LUU5" s="27"/>
      <c r="LUV5" s="27"/>
      <c r="LUW5" s="27"/>
      <c r="LUX5" s="27"/>
      <c r="LUY5" s="27"/>
      <c r="LUZ5" s="27"/>
      <c r="LVA5" s="27"/>
      <c r="LVB5" s="27"/>
      <c r="LVC5" s="27"/>
      <c r="LVD5" s="27"/>
      <c r="LVE5" s="27"/>
      <c r="LVF5" s="27"/>
      <c r="LVG5" s="27"/>
      <c r="LVH5" s="27"/>
      <c r="LVI5" s="27"/>
      <c r="LVJ5" s="27"/>
      <c r="LVK5" s="27"/>
      <c r="LVL5" s="27"/>
      <c r="LVM5" s="27"/>
      <c r="LVN5" s="27"/>
      <c r="LVO5" s="27"/>
      <c r="LVP5" s="27"/>
      <c r="LVQ5" s="27"/>
      <c r="LVR5" s="27"/>
      <c r="LVS5" s="27"/>
      <c r="LVT5" s="27"/>
      <c r="LVU5" s="27"/>
      <c r="LVV5" s="27"/>
      <c r="LVW5" s="27"/>
      <c r="LVX5" s="27"/>
      <c r="LVY5" s="27"/>
      <c r="LVZ5" s="27"/>
      <c r="LWA5" s="27"/>
      <c r="LWB5" s="27"/>
      <c r="LWC5" s="27"/>
      <c r="LWD5" s="27"/>
      <c r="LWE5" s="27"/>
      <c r="LWF5" s="27"/>
      <c r="LWG5" s="27"/>
      <c r="LWH5" s="27"/>
      <c r="LWI5" s="27"/>
      <c r="LWJ5" s="27"/>
      <c r="LWK5" s="27"/>
      <c r="LWL5" s="27"/>
      <c r="LWM5" s="27"/>
      <c r="LWN5" s="27"/>
      <c r="LWO5" s="27"/>
      <c r="LWP5" s="27"/>
      <c r="LWQ5" s="27"/>
      <c r="LWR5" s="27"/>
      <c r="LWS5" s="27"/>
      <c r="LWT5" s="27"/>
      <c r="LWU5" s="27"/>
      <c r="LWV5" s="27"/>
      <c r="LWW5" s="27"/>
      <c r="LWX5" s="27"/>
      <c r="LWY5" s="27"/>
      <c r="LWZ5" s="27"/>
      <c r="LXA5" s="27"/>
      <c r="LXB5" s="27"/>
      <c r="LXC5" s="27"/>
      <c r="LXD5" s="27"/>
      <c r="LXE5" s="27"/>
      <c r="LXF5" s="27"/>
      <c r="LXG5" s="27"/>
      <c r="LXH5" s="27"/>
      <c r="LXI5" s="27"/>
      <c r="LXJ5" s="27"/>
      <c r="LXK5" s="27"/>
      <c r="LXL5" s="27"/>
      <c r="LXM5" s="27"/>
      <c r="LXN5" s="27"/>
      <c r="LXO5" s="27"/>
      <c r="LXP5" s="27"/>
      <c r="LXQ5" s="27"/>
      <c r="LXR5" s="27"/>
      <c r="LXS5" s="27"/>
      <c r="LXT5" s="27"/>
      <c r="LXU5" s="27"/>
      <c r="LXV5" s="27"/>
      <c r="LXW5" s="27"/>
      <c r="LXX5" s="27"/>
      <c r="LXY5" s="27"/>
      <c r="LXZ5" s="27"/>
      <c r="LYA5" s="27"/>
      <c r="LYB5" s="27"/>
      <c r="LYC5" s="27"/>
      <c r="LYD5" s="27"/>
      <c r="LYE5" s="27"/>
      <c r="LYF5" s="27"/>
      <c r="LYG5" s="27"/>
      <c r="LYH5" s="27"/>
      <c r="LYI5" s="27"/>
      <c r="LYJ5" s="27"/>
      <c r="LYK5" s="27"/>
      <c r="LYL5" s="27"/>
      <c r="LYM5" s="27"/>
      <c r="LYN5" s="27"/>
      <c r="LYO5" s="27"/>
      <c r="LYP5" s="27"/>
      <c r="LYQ5" s="27"/>
      <c r="LYR5" s="27"/>
      <c r="LYS5" s="27"/>
      <c r="LYT5" s="27"/>
      <c r="LYU5" s="27"/>
      <c r="LYV5" s="27"/>
      <c r="LYW5" s="27"/>
      <c r="LYX5" s="27"/>
      <c r="LYY5" s="27"/>
      <c r="LYZ5" s="27"/>
      <c r="LZA5" s="27"/>
      <c r="LZB5" s="27"/>
      <c r="LZC5" s="27"/>
      <c r="LZD5" s="27"/>
      <c r="LZE5" s="27"/>
      <c r="LZF5" s="27"/>
      <c r="LZG5" s="27"/>
      <c r="LZH5" s="27"/>
      <c r="LZI5" s="27"/>
      <c r="LZJ5" s="27"/>
      <c r="LZK5" s="27"/>
      <c r="LZL5" s="27"/>
      <c r="LZM5" s="27"/>
      <c r="LZN5" s="27"/>
      <c r="LZO5" s="27"/>
      <c r="LZP5" s="27"/>
      <c r="LZQ5" s="27"/>
      <c r="LZR5" s="27"/>
      <c r="LZS5" s="27"/>
      <c r="LZT5" s="27"/>
      <c r="LZU5" s="27"/>
      <c r="LZV5" s="27"/>
      <c r="LZW5" s="27"/>
      <c r="LZX5" s="27"/>
      <c r="LZY5" s="27"/>
      <c r="LZZ5" s="27"/>
      <c r="MAA5" s="27"/>
      <c r="MAB5" s="27"/>
      <c r="MAC5" s="27"/>
      <c r="MAD5" s="27"/>
      <c r="MAE5" s="27"/>
      <c r="MAF5" s="27"/>
      <c r="MAG5" s="27"/>
      <c r="MAH5" s="27"/>
      <c r="MAI5" s="27"/>
      <c r="MAJ5" s="27"/>
      <c r="MAK5" s="27"/>
      <c r="MAL5" s="27"/>
      <c r="MAM5" s="27"/>
      <c r="MAN5" s="27"/>
      <c r="MAO5" s="27"/>
      <c r="MAP5" s="27"/>
      <c r="MAQ5" s="27"/>
      <c r="MAR5" s="27"/>
      <c r="MAS5" s="27"/>
      <c r="MAT5" s="27"/>
      <c r="MAU5" s="27"/>
      <c r="MAV5" s="27"/>
      <c r="MAW5" s="27"/>
      <c r="MAX5" s="27"/>
      <c r="MAY5" s="27"/>
      <c r="MAZ5" s="27"/>
      <c r="MBA5" s="27"/>
      <c r="MBB5" s="27"/>
      <c r="MBC5" s="27"/>
      <c r="MBD5" s="27"/>
      <c r="MBE5" s="27"/>
      <c r="MBF5" s="27"/>
      <c r="MBG5" s="27"/>
      <c r="MBH5" s="27"/>
      <c r="MBI5" s="27"/>
      <c r="MBJ5" s="27"/>
      <c r="MBK5" s="27"/>
      <c r="MBL5" s="27"/>
      <c r="MBM5" s="27"/>
      <c r="MBN5" s="27"/>
      <c r="MBO5" s="27"/>
      <c r="MBP5" s="27"/>
      <c r="MBQ5" s="27"/>
      <c r="MBR5" s="27"/>
      <c r="MBS5" s="27"/>
      <c r="MBT5" s="27"/>
      <c r="MBU5" s="27"/>
      <c r="MBV5" s="27"/>
      <c r="MBW5" s="27"/>
      <c r="MBX5" s="27"/>
      <c r="MBY5" s="27"/>
      <c r="MBZ5" s="27"/>
      <c r="MCA5" s="27"/>
      <c r="MCB5" s="27"/>
      <c r="MCC5" s="27"/>
      <c r="MCD5" s="27"/>
      <c r="MCE5" s="27"/>
      <c r="MCF5" s="27"/>
      <c r="MCG5" s="27"/>
      <c r="MCH5" s="27"/>
      <c r="MCI5" s="27"/>
      <c r="MCJ5" s="27"/>
      <c r="MCK5" s="27"/>
      <c r="MCL5" s="27"/>
      <c r="MCM5" s="27"/>
      <c r="MCN5" s="27"/>
      <c r="MCO5" s="27"/>
      <c r="MCP5" s="27"/>
      <c r="MCQ5" s="27"/>
      <c r="MCR5" s="27"/>
      <c r="MCS5" s="27"/>
      <c r="MCT5" s="27"/>
      <c r="MCU5" s="27"/>
      <c r="MCV5" s="27"/>
      <c r="MCW5" s="27"/>
      <c r="MCX5" s="27"/>
      <c r="MCY5" s="27"/>
      <c r="MCZ5" s="27"/>
      <c r="MDA5" s="27"/>
      <c r="MDB5" s="27"/>
      <c r="MDC5" s="27"/>
      <c r="MDD5" s="27"/>
      <c r="MDE5" s="27"/>
      <c r="MDF5" s="27"/>
      <c r="MDG5" s="27"/>
      <c r="MDH5" s="27"/>
      <c r="MDI5" s="27"/>
      <c r="MDJ5" s="27"/>
      <c r="MDK5" s="27"/>
      <c r="MDL5" s="27"/>
      <c r="MDM5" s="27"/>
      <c r="MDN5" s="27"/>
      <c r="MDO5" s="27"/>
      <c r="MDP5" s="27"/>
      <c r="MDQ5" s="27"/>
      <c r="MDR5" s="27"/>
      <c r="MDS5" s="27"/>
      <c r="MDT5" s="27"/>
      <c r="MDU5" s="27"/>
      <c r="MDV5" s="27"/>
      <c r="MDW5" s="27"/>
      <c r="MDX5" s="27"/>
      <c r="MDY5" s="27"/>
      <c r="MDZ5" s="27"/>
      <c r="MEA5" s="27"/>
      <c r="MEB5" s="27"/>
      <c r="MEC5" s="27"/>
      <c r="MED5" s="27"/>
      <c r="MEE5" s="27"/>
      <c r="MEF5" s="27"/>
      <c r="MEG5" s="27"/>
      <c r="MEH5" s="27"/>
      <c r="MEI5" s="27"/>
      <c r="MEJ5" s="27"/>
      <c r="MEK5" s="27"/>
      <c r="MEL5" s="27"/>
      <c r="MEM5" s="27"/>
      <c r="MEN5" s="27"/>
      <c r="MEO5" s="27"/>
      <c r="MEP5" s="27"/>
      <c r="MEQ5" s="27"/>
      <c r="MER5" s="27"/>
      <c r="MES5" s="27"/>
      <c r="MET5" s="27"/>
      <c r="MEU5" s="27"/>
      <c r="MEV5" s="27"/>
      <c r="MEW5" s="27"/>
      <c r="MEX5" s="27"/>
      <c r="MEY5" s="27"/>
      <c r="MEZ5" s="27"/>
      <c r="MFA5" s="27"/>
      <c r="MFB5" s="27"/>
      <c r="MFC5" s="27"/>
      <c r="MFD5" s="27"/>
      <c r="MFE5" s="27"/>
      <c r="MFF5" s="27"/>
      <c r="MFG5" s="27"/>
      <c r="MFH5" s="27"/>
      <c r="MFI5" s="27"/>
      <c r="MFJ5" s="27"/>
      <c r="MFK5" s="27"/>
      <c r="MFL5" s="27"/>
      <c r="MFM5" s="27"/>
      <c r="MFN5" s="27"/>
      <c r="MFO5" s="27"/>
      <c r="MFP5" s="27"/>
      <c r="MFQ5" s="27"/>
      <c r="MFR5" s="27"/>
      <c r="MFS5" s="27"/>
      <c r="MFT5" s="27"/>
      <c r="MFU5" s="27"/>
      <c r="MFV5" s="27"/>
      <c r="MFW5" s="27"/>
      <c r="MFX5" s="27"/>
      <c r="MFY5" s="27"/>
      <c r="MFZ5" s="27"/>
      <c r="MGA5" s="27"/>
      <c r="MGB5" s="27"/>
      <c r="MGC5" s="27"/>
      <c r="MGD5" s="27"/>
      <c r="MGE5" s="27"/>
      <c r="MGF5" s="27"/>
      <c r="MGG5" s="27"/>
      <c r="MGH5" s="27"/>
      <c r="MGI5" s="27"/>
      <c r="MGJ5" s="27"/>
      <c r="MGK5" s="27"/>
      <c r="MGL5" s="27"/>
      <c r="MGM5" s="27"/>
      <c r="MGN5" s="27"/>
      <c r="MGO5" s="27"/>
      <c r="MGP5" s="27"/>
      <c r="MGQ5" s="27"/>
      <c r="MGR5" s="27"/>
      <c r="MGS5" s="27"/>
      <c r="MGT5" s="27"/>
      <c r="MGU5" s="27"/>
      <c r="MGV5" s="27"/>
      <c r="MGW5" s="27"/>
      <c r="MGX5" s="27"/>
      <c r="MGY5" s="27"/>
      <c r="MGZ5" s="27"/>
      <c r="MHA5" s="27"/>
      <c r="MHB5" s="27"/>
      <c r="MHC5" s="27"/>
      <c r="MHD5" s="27"/>
      <c r="MHE5" s="27"/>
      <c r="MHF5" s="27"/>
      <c r="MHG5" s="27"/>
      <c r="MHH5" s="27"/>
      <c r="MHI5" s="27"/>
      <c r="MHJ5" s="27"/>
      <c r="MHK5" s="27"/>
      <c r="MHL5" s="27"/>
      <c r="MHM5" s="27"/>
      <c r="MHN5" s="27"/>
      <c r="MHO5" s="27"/>
      <c r="MHP5" s="27"/>
      <c r="MHQ5" s="27"/>
      <c r="MHR5" s="27"/>
      <c r="MHS5" s="27"/>
      <c r="MHT5" s="27"/>
      <c r="MHU5" s="27"/>
      <c r="MHV5" s="27"/>
      <c r="MHW5" s="27"/>
      <c r="MHX5" s="27"/>
      <c r="MHY5" s="27"/>
      <c r="MHZ5" s="27"/>
      <c r="MIA5" s="27"/>
      <c r="MIB5" s="27"/>
      <c r="MIC5" s="27"/>
      <c r="MID5" s="27"/>
      <c r="MIE5" s="27"/>
      <c r="MIF5" s="27"/>
      <c r="MIG5" s="27"/>
      <c r="MIH5" s="27"/>
      <c r="MII5" s="27"/>
      <c r="MIJ5" s="27"/>
      <c r="MIK5" s="27"/>
      <c r="MIL5" s="27"/>
      <c r="MIM5" s="27"/>
      <c r="MIN5" s="27"/>
      <c r="MIO5" s="27"/>
      <c r="MIP5" s="27"/>
      <c r="MIQ5" s="27"/>
      <c r="MIR5" s="27"/>
      <c r="MIS5" s="27"/>
      <c r="MIT5" s="27"/>
      <c r="MIU5" s="27"/>
      <c r="MIV5" s="27"/>
      <c r="MIW5" s="27"/>
      <c r="MIX5" s="27"/>
      <c r="MIY5" s="27"/>
      <c r="MIZ5" s="27"/>
      <c r="MJA5" s="27"/>
      <c r="MJB5" s="27"/>
      <c r="MJC5" s="27"/>
      <c r="MJD5" s="27"/>
      <c r="MJE5" s="27"/>
      <c r="MJF5" s="27"/>
      <c r="MJG5" s="27"/>
      <c r="MJH5" s="27"/>
      <c r="MJI5" s="27"/>
      <c r="MJJ5" s="27"/>
      <c r="MJK5" s="27"/>
      <c r="MJL5" s="27"/>
      <c r="MJM5" s="27"/>
      <c r="MJN5" s="27"/>
      <c r="MJO5" s="27"/>
      <c r="MJP5" s="27"/>
      <c r="MJQ5" s="27"/>
      <c r="MJR5" s="27"/>
      <c r="MJS5" s="27"/>
      <c r="MJT5" s="27"/>
      <c r="MJU5" s="27"/>
      <c r="MJV5" s="27"/>
      <c r="MJW5" s="27"/>
      <c r="MJX5" s="27"/>
      <c r="MJY5" s="27"/>
      <c r="MJZ5" s="27"/>
      <c r="MKA5" s="27"/>
      <c r="MKB5" s="27"/>
      <c r="MKC5" s="27"/>
      <c r="MKD5" s="27"/>
      <c r="MKE5" s="27"/>
      <c r="MKF5" s="27"/>
      <c r="MKG5" s="27"/>
      <c r="MKH5" s="27"/>
      <c r="MKI5" s="27"/>
      <c r="MKJ5" s="27"/>
      <c r="MKK5" s="27"/>
      <c r="MKL5" s="27"/>
      <c r="MKM5" s="27"/>
      <c r="MKN5" s="27"/>
      <c r="MKO5" s="27"/>
      <c r="MKP5" s="27"/>
      <c r="MKQ5" s="27"/>
      <c r="MKR5" s="27"/>
      <c r="MKS5" s="27"/>
      <c r="MKT5" s="27"/>
      <c r="MKU5" s="27"/>
      <c r="MKV5" s="27"/>
      <c r="MKW5" s="27"/>
      <c r="MKX5" s="27"/>
      <c r="MKY5" s="27"/>
      <c r="MKZ5" s="27"/>
      <c r="MLA5" s="27"/>
      <c r="MLB5" s="27"/>
      <c r="MLC5" s="27"/>
      <c r="MLD5" s="27"/>
      <c r="MLE5" s="27"/>
      <c r="MLF5" s="27"/>
      <c r="MLG5" s="27"/>
      <c r="MLH5" s="27"/>
      <c r="MLI5" s="27"/>
      <c r="MLJ5" s="27"/>
      <c r="MLK5" s="27"/>
      <c r="MLL5" s="27"/>
      <c r="MLM5" s="27"/>
      <c r="MLN5" s="27"/>
      <c r="MLO5" s="27"/>
      <c r="MLP5" s="27"/>
      <c r="MLQ5" s="27"/>
      <c r="MLR5" s="27"/>
      <c r="MLS5" s="27"/>
      <c r="MLT5" s="27"/>
      <c r="MLU5" s="27"/>
      <c r="MLV5" s="27"/>
      <c r="MLW5" s="27"/>
      <c r="MLX5" s="27"/>
      <c r="MLY5" s="27"/>
      <c r="MLZ5" s="27"/>
      <c r="MMA5" s="27"/>
      <c r="MMB5" s="27"/>
      <c r="MMC5" s="27"/>
      <c r="MMD5" s="27"/>
      <c r="MME5" s="27"/>
      <c r="MMF5" s="27"/>
      <c r="MMG5" s="27"/>
      <c r="MMH5" s="27"/>
      <c r="MMI5" s="27"/>
      <c r="MMJ5" s="27"/>
      <c r="MMK5" s="27"/>
      <c r="MML5" s="27"/>
      <c r="MMM5" s="27"/>
      <c r="MMN5" s="27"/>
      <c r="MMO5" s="27"/>
      <c r="MMP5" s="27"/>
      <c r="MMQ5" s="27"/>
      <c r="MMR5" s="27"/>
      <c r="MMS5" s="27"/>
      <c r="MMT5" s="27"/>
      <c r="MMU5" s="27"/>
      <c r="MMV5" s="27"/>
      <c r="MMW5" s="27"/>
      <c r="MMX5" s="27"/>
      <c r="MMY5" s="27"/>
      <c r="MMZ5" s="27"/>
      <c r="MNA5" s="27"/>
      <c r="MNB5" s="27"/>
      <c r="MNC5" s="27"/>
      <c r="MND5" s="27"/>
      <c r="MNE5" s="27"/>
      <c r="MNF5" s="27"/>
      <c r="MNG5" s="27"/>
      <c r="MNH5" s="27"/>
      <c r="MNI5" s="27"/>
      <c r="MNJ5" s="27"/>
      <c r="MNK5" s="27"/>
      <c r="MNL5" s="27"/>
      <c r="MNM5" s="27"/>
      <c r="MNN5" s="27"/>
      <c r="MNO5" s="27"/>
      <c r="MNP5" s="27"/>
      <c r="MNQ5" s="27"/>
      <c r="MNR5" s="27"/>
      <c r="MNS5" s="27"/>
      <c r="MNT5" s="27"/>
      <c r="MNU5" s="27"/>
      <c r="MNV5" s="27"/>
      <c r="MNW5" s="27"/>
      <c r="MNX5" s="27"/>
      <c r="MNY5" s="27"/>
      <c r="MNZ5" s="27"/>
      <c r="MOA5" s="27"/>
      <c r="MOB5" s="27"/>
      <c r="MOC5" s="27"/>
      <c r="MOD5" s="27"/>
      <c r="MOE5" s="27"/>
      <c r="MOF5" s="27"/>
      <c r="MOG5" s="27"/>
      <c r="MOH5" s="27"/>
      <c r="MOI5" s="27"/>
      <c r="MOJ5" s="27"/>
      <c r="MOK5" s="27"/>
      <c r="MOL5" s="27"/>
      <c r="MOM5" s="27"/>
      <c r="MON5" s="27"/>
      <c r="MOO5" s="27"/>
      <c r="MOP5" s="27"/>
      <c r="MOQ5" s="27"/>
      <c r="MOR5" s="27"/>
      <c r="MOS5" s="27"/>
      <c r="MOT5" s="27"/>
      <c r="MOU5" s="27"/>
      <c r="MOV5" s="27"/>
      <c r="MOW5" s="27"/>
      <c r="MOX5" s="27"/>
      <c r="MOY5" s="27"/>
      <c r="MOZ5" s="27"/>
      <c r="MPA5" s="27"/>
      <c r="MPB5" s="27"/>
      <c r="MPC5" s="27"/>
      <c r="MPD5" s="27"/>
      <c r="MPE5" s="27"/>
      <c r="MPF5" s="27"/>
      <c r="MPG5" s="27"/>
      <c r="MPH5" s="27"/>
      <c r="MPI5" s="27"/>
      <c r="MPJ5" s="27"/>
      <c r="MPK5" s="27"/>
      <c r="MPL5" s="27"/>
      <c r="MPM5" s="27"/>
      <c r="MPN5" s="27"/>
      <c r="MPO5" s="27"/>
      <c r="MPP5" s="27"/>
      <c r="MPQ5" s="27"/>
      <c r="MPR5" s="27"/>
      <c r="MPS5" s="27"/>
      <c r="MPT5" s="27"/>
      <c r="MPU5" s="27"/>
      <c r="MPV5" s="27"/>
      <c r="MPW5" s="27"/>
      <c r="MPX5" s="27"/>
      <c r="MPY5" s="27"/>
      <c r="MPZ5" s="27"/>
      <c r="MQA5" s="27"/>
      <c r="MQB5" s="27"/>
      <c r="MQC5" s="27"/>
      <c r="MQD5" s="27"/>
      <c r="MQE5" s="27"/>
      <c r="MQF5" s="27"/>
      <c r="MQG5" s="27"/>
      <c r="MQH5" s="27"/>
      <c r="MQI5" s="27"/>
      <c r="MQJ5" s="27"/>
      <c r="MQK5" s="27"/>
      <c r="MQL5" s="27"/>
      <c r="MQM5" s="27"/>
      <c r="MQN5" s="27"/>
      <c r="MQO5" s="27"/>
      <c r="MQP5" s="27"/>
      <c r="MQQ5" s="27"/>
      <c r="MQR5" s="27"/>
      <c r="MQS5" s="27"/>
      <c r="MQT5" s="27"/>
      <c r="MQU5" s="27"/>
      <c r="MQV5" s="27"/>
      <c r="MQW5" s="27"/>
      <c r="MQX5" s="27"/>
      <c r="MQY5" s="27"/>
      <c r="MQZ5" s="27"/>
      <c r="MRA5" s="27"/>
      <c r="MRB5" s="27"/>
      <c r="MRC5" s="27"/>
      <c r="MRD5" s="27"/>
      <c r="MRE5" s="27"/>
      <c r="MRF5" s="27"/>
      <c r="MRG5" s="27"/>
      <c r="MRH5" s="27"/>
      <c r="MRI5" s="27"/>
      <c r="MRJ5" s="27"/>
      <c r="MRK5" s="27"/>
      <c r="MRL5" s="27"/>
      <c r="MRM5" s="27"/>
      <c r="MRN5" s="27"/>
      <c r="MRO5" s="27"/>
      <c r="MRP5" s="27"/>
      <c r="MRQ5" s="27"/>
      <c r="MRR5" s="27"/>
      <c r="MRS5" s="27"/>
      <c r="MRT5" s="27"/>
      <c r="MRU5" s="27"/>
      <c r="MRV5" s="27"/>
      <c r="MRW5" s="27"/>
      <c r="MRX5" s="27"/>
      <c r="MRY5" s="27"/>
      <c r="MRZ5" s="27"/>
      <c r="MSA5" s="27"/>
      <c r="MSB5" s="27"/>
      <c r="MSC5" s="27"/>
      <c r="MSD5" s="27"/>
      <c r="MSE5" s="27"/>
      <c r="MSF5" s="27"/>
      <c r="MSG5" s="27"/>
      <c r="MSH5" s="27"/>
      <c r="MSI5" s="27"/>
      <c r="MSJ5" s="27"/>
      <c r="MSK5" s="27"/>
      <c r="MSL5" s="27"/>
      <c r="MSM5" s="27"/>
      <c r="MSN5" s="27"/>
      <c r="MSO5" s="27"/>
      <c r="MSP5" s="27"/>
      <c r="MSQ5" s="27"/>
      <c r="MSR5" s="27"/>
      <c r="MSS5" s="27"/>
      <c r="MST5" s="27"/>
      <c r="MSU5" s="27"/>
      <c r="MSV5" s="27"/>
      <c r="MSW5" s="27"/>
      <c r="MSX5" s="27"/>
      <c r="MSY5" s="27"/>
      <c r="MSZ5" s="27"/>
      <c r="MTA5" s="27"/>
      <c r="MTB5" s="27"/>
      <c r="MTC5" s="27"/>
      <c r="MTD5" s="27"/>
      <c r="MTE5" s="27"/>
      <c r="MTF5" s="27"/>
      <c r="MTG5" s="27"/>
      <c r="MTH5" s="27"/>
      <c r="MTI5" s="27"/>
      <c r="MTJ5" s="27"/>
      <c r="MTK5" s="27"/>
      <c r="MTL5" s="27"/>
      <c r="MTM5" s="27"/>
      <c r="MTN5" s="27"/>
      <c r="MTO5" s="27"/>
      <c r="MTP5" s="27"/>
      <c r="MTQ5" s="27"/>
      <c r="MTR5" s="27"/>
      <c r="MTS5" s="27"/>
      <c r="MTT5" s="27"/>
      <c r="MTU5" s="27"/>
      <c r="MTV5" s="27"/>
      <c r="MTW5" s="27"/>
      <c r="MTX5" s="27"/>
      <c r="MTY5" s="27"/>
      <c r="MTZ5" s="27"/>
      <c r="MUA5" s="27"/>
      <c r="MUB5" s="27"/>
      <c r="MUC5" s="27"/>
      <c r="MUD5" s="27"/>
      <c r="MUE5" s="27"/>
      <c r="MUF5" s="27"/>
      <c r="MUG5" s="27"/>
      <c r="MUH5" s="27"/>
      <c r="MUI5" s="27"/>
      <c r="MUJ5" s="27"/>
      <c r="MUK5" s="27"/>
      <c r="MUL5" s="27"/>
      <c r="MUM5" s="27"/>
      <c r="MUN5" s="27"/>
      <c r="MUO5" s="27"/>
      <c r="MUP5" s="27"/>
      <c r="MUQ5" s="27"/>
      <c r="MUR5" s="27"/>
      <c r="MUS5" s="27"/>
      <c r="MUT5" s="27"/>
      <c r="MUU5" s="27"/>
      <c r="MUV5" s="27"/>
      <c r="MUW5" s="27"/>
      <c r="MUX5" s="27"/>
      <c r="MUY5" s="27"/>
      <c r="MUZ5" s="27"/>
      <c r="MVA5" s="27"/>
      <c r="MVB5" s="27"/>
      <c r="MVC5" s="27"/>
      <c r="MVD5" s="27"/>
      <c r="MVE5" s="27"/>
      <c r="MVF5" s="27"/>
      <c r="MVG5" s="27"/>
      <c r="MVH5" s="27"/>
      <c r="MVI5" s="27"/>
      <c r="MVJ5" s="27"/>
      <c r="MVK5" s="27"/>
      <c r="MVL5" s="27"/>
      <c r="MVM5" s="27"/>
      <c r="MVN5" s="27"/>
      <c r="MVO5" s="27"/>
      <c r="MVP5" s="27"/>
      <c r="MVQ5" s="27"/>
      <c r="MVR5" s="27"/>
      <c r="MVS5" s="27"/>
      <c r="MVT5" s="27"/>
      <c r="MVU5" s="27"/>
      <c r="MVV5" s="27"/>
      <c r="MVW5" s="27"/>
      <c r="MVX5" s="27"/>
      <c r="MVY5" s="27"/>
      <c r="MVZ5" s="27"/>
      <c r="MWA5" s="27"/>
      <c r="MWB5" s="27"/>
      <c r="MWC5" s="27"/>
      <c r="MWD5" s="27"/>
      <c r="MWE5" s="27"/>
      <c r="MWF5" s="27"/>
      <c r="MWG5" s="27"/>
      <c r="MWH5" s="27"/>
      <c r="MWI5" s="27"/>
      <c r="MWJ5" s="27"/>
      <c r="MWK5" s="27"/>
      <c r="MWL5" s="27"/>
      <c r="MWM5" s="27"/>
      <c r="MWN5" s="27"/>
      <c r="MWO5" s="27"/>
      <c r="MWP5" s="27"/>
      <c r="MWQ5" s="27"/>
      <c r="MWR5" s="27"/>
      <c r="MWS5" s="27"/>
      <c r="MWT5" s="27"/>
      <c r="MWU5" s="27"/>
      <c r="MWV5" s="27"/>
      <c r="MWW5" s="27"/>
      <c r="MWX5" s="27"/>
      <c r="MWY5" s="27"/>
      <c r="MWZ5" s="27"/>
      <c r="MXA5" s="27"/>
      <c r="MXB5" s="27"/>
      <c r="MXC5" s="27"/>
      <c r="MXD5" s="27"/>
      <c r="MXE5" s="27"/>
      <c r="MXF5" s="27"/>
      <c r="MXG5" s="27"/>
      <c r="MXH5" s="27"/>
      <c r="MXI5" s="27"/>
      <c r="MXJ5" s="27"/>
      <c r="MXK5" s="27"/>
      <c r="MXL5" s="27"/>
      <c r="MXM5" s="27"/>
      <c r="MXN5" s="27"/>
      <c r="MXO5" s="27"/>
      <c r="MXP5" s="27"/>
      <c r="MXQ5" s="27"/>
      <c r="MXR5" s="27"/>
      <c r="MXS5" s="27"/>
      <c r="MXT5" s="27"/>
      <c r="MXU5" s="27"/>
      <c r="MXV5" s="27"/>
      <c r="MXW5" s="27"/>
      <c r="MXX5" s="27"/>
      <c r="MXY5" s="27"/>
      <c r="MXZ5" s="27"/>
      <c r="MYA5" s="27"/>
      <c r="MYB5" s="27"/>
      <c r="MYC5" s="27"/>
      <c r="MYD5" s="27"/>
      <c r="MYE5" s="27"/>
      <c r="MYF5" s="27"/>
      <c r="MYG5" s="27"/>
      <c r="MYH5" s="27"/>
      <c r="MYI5" s="27"/>
      <c r="MYJ5" s="27"/>
      <c r="MYK5" s="27"/>
      <c r="MYL5" s="27"/>
      <c r="MYM5" s="27"/>
      <c r="MYN5" s="27"/>
      <c r="MYO5" s="27"/>
      <c r="MYP5" s="27"/>
      <c r="MYQ5" s="27"/>
      <c r="MYR5" s="27"/>
      <c r="MYS5" s="27"/>
      <c r="MYT5" s="27"/>
      <c r="MYU5" s="27"/>
      <c r="MYV5" s="27"/>
      <c r="MYW5" s="27"/>
      <c r="MYX5" s="27"/>
      <c r="MYY5" s="27"/>
      <c r="MYZ5" s="27"/>
      <c r="MZA5" s="27"/>
      <c r="MZB5" s="27"/>
      <c r="MZC5" s="27"/>
      <c r="MZD5" s="27"/>
      <c r="MZE5" s="27"/>
      <c r="MZF5" s="27"/>
      <c r="MZG5" s="27"/>
      <c r="MZH5" s="27"/>
      <c r="MZI5" s="27"/>
      <c r="MZJ5" s="27"/>
      <c r="MZK5" s="27"/>
      <c r="MZL5" s="27"/>
      <c r="MZM5" s="27"/>
      <c r="MZN5" s="27"/>
      <c r="MZO5" s="27"/>
      <c r="MZP5" s="27"/>
      <c r="MZQ5" s="27"/>
      <c r="MZR5" s="27"/>
      <c r="MZS5" s="27"/>
      <c r="MZT5" s="27"/>
      <c r="MZU5" s="27"/>
      <c r="MZV5" s="27"/>
      <c r="MZW5" s="27"/>
      <c r="MZX5" s="27"/>
      <c r="MZY5" s="27"/>
      <c r="MZZ5" s="27"/>
      <c r="NAA5" s="27"/>
      <c r="NAB5" s="27"/>
      <c r="NAC5" s="27"/>
      <c r="NAD5" s="27"/>
      <c r="NAE5" s="27"/>
      <c r="NAF5" s="27"/>
      <c r="NAG5" s="27"/>
      <c r="NAH5" s="27"/>
      <c r="NAI5" s="27"/>
      <c r="NAJ5" s="27"/>
      <c r="NAK5" s="27"/>
      <c r="NAL5" s="27"/>
      <c r="NAM5" s="27"/>
      <c r="NAN5" s="27"/>
      <c r="NAO5" s="27"/>
      <c r="NAP5" s="27"/>
      <c r="NAQ5" s="27"/>
      <c r="NAR5" s="27"/>
      <c r="NAS5" s="27"/>
      <c r="NAT5" s="27"/>
      <c r="NAU5" s="27"/>
      <c r="NAV5" s="27"/>
      <c r="NAW5" s="27"/>
      <c r="NAX5" s="27"/>
      <c r="NAY5" s="27"/>
      <c r="NAZ5" s="27"/>
      <c r="NBA5" s="27"/>
      <c r="NBB5" s="27"/>
      <c r="NBC5" s="27"/>
      <c r="NBD5" s="27"/>
      <c r="NBE5" s="27"/>
      <c r="NBF5" s="27"/>
      <c r="NBG5" s="27"/>
      <c r="NBH5" s="27"/>
      <c r="NBI5" s="27"/>
      <c r="NBJ5" s="27"/>
      <c r="NBK5" s="27"/>
      <c r="NBL5" s="27"/>
      <c r="NBM5" s="27"/>
      <c r="NBN5" s="27"/>
      <c r="NBO5" s="27"/>
      <c r="NBP5" s="27"/>
      <c r="NBQ5" s="27"/>
      <c r="NBR5" s="27"/>
      <c r="NBS5" s="27"/>
      <c r="NBT5" s="27"/>
      <c r="NBU5" s="27"/>
      <c r="NBV5" s="27"/>
      <c r="NBW5" s="27"/>
      <c r="NBX5" s="27"/>
      <c r="NBY5" s="27"/>
      <c r="NBZ5" s="27"/>
      <c r="NCA5" s="27"/>
      <c r="NCB5" s="27"/>
      <c r="NCC5" s="27"/>
      <c r="NCD5" s="27"/>
      <c r="NCE5" s="27"/>
      <c r="NCF5" s="27"/>
      <c r="NCG5" s="27"/>
      <c r="NCH5" s="27"/>
      <c r="NCI5" s="27"/>
      <c r="NCJ5" s="27"/>
      <c r="NCK5" s="27"/>
      <c r="NCL5" s="27"/>
      <c r="NCM5" s="27"/>
      <c r="NCN5" s="27"/>
      <c r="NCO5" s="27"/>
      <c r="NCP5" s="27"/>
      <c r="NCQ5" s="27"/>
      <c r="NCR5" s="27"/>
      <c r="NCS5" s="27"/>
      <c r="NCT5" s="27"/>
      <c r="NCU5" s="27"/>
      <c r="NCV5" s="27"/>
      <c r="NCW5" s="27"/>
      <c r="NCX5" s="27"/>
      <c r="NCY5" s="27"/>
      <c r="NCZ5" s="27"/>
      <c r="NDA5" s="27"/>
      <c r="NDB5" s="27"/>
      <c r="NDC5" s="27"/>
      <c r="NDD5" s="27"/>
      <c r="NDE5" s="27"/>
      <c r="NDF5" s="27"/>
      <c r="NDG5" s="27"/>
      <c r="NDH5" s="27"/>
      <c r="NDI5" s="27"/>
      <c r="NDJ5" s="27"/>
      <c r="NDK5" s="27"/>
      <c r="NDL5" s="27"/>
      <c r="NDM5" s="27"/>
      <c r="NDN5" s="27"/>
      <c r="NDO5" s="27"/>
      <c r="NDP5" s="27"/>
      <c r="NDQ5" s="27"/>
      <c r="NDR5" s="27"/>
      <c r="NDS5" s="27"/>
      <c r="NDT5" s="27"/>
      <c r="NDU5" s="27"/>
      <c r="NDV5" s="27"/>
      <c r="NDW5" s="27"/>
      <c r="NDX5" s="27"/>
      <c r="NDY5" s="27"/>
      <c r="NDZ5" s="27"/>
      <c r="NEA5" s="27"/>
      <c r="NEB5" s="27"/>
      <c r="NEC5" s="27"/>
      <c r="NED5" s="27"/>
      <c r="NEE5" s="27"/>
      <c r="NEF5" s="27"/>
      <c r="NEG5" s="27"/>
      <c r="NEH5" s="27"/>
      <c r="NEI5" s="27"/>
      <c r="NEJ5" s="27"/>
      <c r="NEK5" s="27"/>
      <c r="NEL5" s="27"/>
      <c r="NEM5" s="27"/>
      <c r="NEN5" s="27"/>
      <c r="NEO5" s="27"/>
      <c r="NEP5" s="27"/>
      <c r="NEQ5" s="27"/>
      <c r="NER5" s="27"/>
      <c r="NES5" s="27"/>
      <c r="NET5" s="27"/>
      <c r="NEU5" s="27"/>
      <c r="NEV5" s="27"/>
      <c r="NEW5" s="27"/>
      <c r="NEX5" s="27"/>
      <c r="NEY5" s="27"/>
      <c r="NEZ5" s="27"/>
      <c r="NFA5" s="27"/>
      <c r="NFB5" s="27"/>
      <c r="NFC5" s="27"/>
      <c r="NFD5" s="27"/>
      <c r="NFE5" s="27"/>
      <c r="NFF5" s="27"/>
      <c r="NFG5" s="27"/>
      <c r="NFH5" s="27"/>
      <c r="NFI5" s="27"/>
      <c r="NFJ5" s="27"/>
      <c r="NFK5" s="27"/>
      <c r="NFL5" s="27"/>
      <c r="NFM5" s="27"/>
      <c r="NFN5" s="27"/>
      <c r="NFO5" s="27"/>
      <c r="NFP5" s="27"/>
      <c r="NFQ5" s="27"/>
      <c r="NFR5" s="27"/>
      <c r="NFS5" s="27"/>
      <c r="NFT5" s="27"/>
      <c r="NFU5" s="27"/>
      <c r="NFV5" s="27"/>
      <c r="NFW5" s="27"/>
      <c r="NFX5" s="27"/>
      <c r="NFY5" s="27"/>
      <c r="NFZ5" s="27"/>
      <c r="NGA5" s="27"/>
      <c r="NGB5" s="27"/>
      <c r="NGC5" s="27"/>
      <c r="NGD5" s="27"/>
      <c r="NGE5" s="27"/>
      <c r="NGF5" s="27"/>
      <c r="NGG5" s="27"/>
      <c r="NGH5" s="27"/>
      <c r="NGI5" s="27"/>
      <c r="NGJ5" s="27"/>
      <c r="NGK5" s="27"/>
      <c r="NGL5" s="27"/>
      <c r="NGM5" s="27"/>
      <c r="NGN5" s="27"/>
      <c r="NGO5" s="27"/>
      <c r="NGP5" s="27"/>
      <c r="NGQ5" s="27"/>
      <c r="NGR5" s="27"/>
      <c r="NGS5" s="27"/>
      <c r="NGT5" s="27"/>
      <c r="NGU5" s="27"/>
      <c r="NGV5" s="27"/>
      <c r="NGW5" s="27"/>
      <c r="NGX5" s="27"/>
      <c r="NGY5" s="27"/>
      <c r="NGZ5" s="27"/>
      <c r="NHA5" s="27"/>
      <c r="NHB5" s="27"/>
      <c r="NHC5" s="27"/>
      <c r="NHD5" s="27"/>
      <c r="NHE5" s="27"/>
      <c r="NHF5" s="27"/>
      <c r="NHG5" s="27"/>
      <c r="NHH5" s="27"/>
      <c r="NHI5" s="27"/>
      <c r="NHJ5" s="27"/>
      <c r="NHK5" s="27"/>
      <c r="NHL5" s="27"/>
      <c r="NHM5" s="27"/>
      <c r="NHN5" s="27"/>
      <c r="NHO5" s="27"/>
      <c r="NHP5" s="27"/>
      <c r="NHQ5" s="27"/>
      <c r="NHR5" s="27"/>
      <c r="NHS5" s="27"/>
      <c r="NHT5" s="27"/>
      <c r="NHU5" s="27"/>
      <c r="NHV5" s="27"/>
      <c r="NHW5" s="27"/>
      <c r="NHX5" s="27"/>
      <c r="NHY5" s="27"/>
      <c r="NHZ5" s="27"/>
      <c r="NIA5" s="27"/>
      <c r="NIB5" s="27"/>
      <c r="NIC5" s="27"/>
      <c r="NID5" s="27"/>
      <c r="NIE5" s="27"/>
      <c r="NIF5" s="27"/>
      <c r="NIG5" s="27"/>
      <c r="NIH5" s="27"/>
      <c r="NII5" s="27"/>
      <c r="NIJ5" s="27"/>
      <c r="NIK5" s="27"/>
      <c r="NIL5" s="27"/>
      <c r="NIM5" s="27"/>
      <c r="NIN5" s="27"/>
      <c r="NIO5" s="27"/>
      <c r="NIP5" s="27"/>
      <c r="NIQ5" s="27"/>
      <c r="NIR5" s="27"/>
      <c r="NIS5" s="27"/>
      <c r="NIT5" s="27"/>
      <c r="NIU5" s="27"/>
      <c r="NIV5" s="27"/>
      <c r="NIW5" s="27"/>
      <c r="NIX5" s="27"/>
      <c r="NIY5" s="27"/>
      <c r="NIZ5" s="27"/>
      <c r="NJA5" s="27"/>
      <c r="NJB5" s="27"/>
      <c r="NJC5" s="27"/>
      <c r="NJD5" s="27"/>
      <c r="NJE5" s="27"/>
      <c r="NJF5" s="27"/>
      <c r="NJG5" s="27"/>
      <c r="NJH5" s="27"/>
      <c r="NJI5" s="27"/>
      <c r="NJJ5" s="27"/>
      <c r="NJK5" s="27"/>
      <c r="NJL5" s="27"/>
      <c r="NJM5" s="27"/>
      <c r="NJN5" s="27"/>
      <c r="NJO5" s="27"/>
      <c r="NJP5" s="27"/>
      <c r="NJQ5" s="27"/>
      <c r="NJR5" s="27"/>
      <c r="NJS5" s="27"/>
      <c r="NJT5" s="27"/>
      <c r="NJU5" s="27"/>
      <c r="NJV5" s="27"/>
      <c r="NJW5" s="27"/>
      <c r="NJX5" s="27"/>
      <c r="NJY5" s="27"/>
      <c r="NJZ5" s="27"/>
      <c r="NKA5" s="27"/>
      <c r="NKB5" s="27"/>
      <c r="NKC5" s="27"/>
      <c r="NKD5" s="27"/>
      <c r="NKE5" s="27"/>
      <c r="NKF5" s="27"/>
      <c r="NKG5" s="27"/>
      <c r="NKH5" s="27"/>
      <c r="NKI5" s="27"/>
      <c r="NKJ5" s="27"/>
      <c r="NKK5" s="27"/>
      <c r="NKL5" s="27"/>
      <c r="NKM5" s="27"/>
      <c r="NKN5" s="27"/>
      <c r="NKO5" s="27"/>
      <c r="NKP5" s="27"/>
      <c r="NKQ5" s="27"/>
      <c r="NKR5" s="27"/>
      <c r="NKS5" s="27"/>
      <c r="NKT5" s="27"/>
      <c r="NKU5" s="27"/>
      <c r="NKV5" s="27"/>
      <c r="NKW5" s="27"/>
      <c r="NKX5" s="27"/>
      <c r="NKY5" s="27"/>
      <c r="NKZ5" s="27"/>
      <c r="NLA5" s="27"/>
      <c r="NLB5" s="27"/>
      <c r="NLC5" s="27"/>
      <c r="NLD5" s="27"/>
      <c r="NLE5" s="27"/>
      <c r="NLF5" s="27"/>
      <c r="NLG5" s="27"/>
      <c r="NLH5" s="27"/>
      <c r="NLI5" s="27"/>
      <c r="NLJ5" s="27"/>
      <c r="NLK5" s="27"/>
      <c r="NLL5" s="27"/>
      <c r="NLM5" s="27"/>
      <c r="NLN5" s="27"/>
      <c r="NLO5" s="27"/>
      <c r="NLP5" s="27"/>
      <c r="NLQ5" s="27"/>
      <c r="NLR5" s="27"/>
      <c r="NLS5" s="27"/>
      <c r="NLT5" s="27"/>
      <c r="NLU5" s="27"/>
      <c r="NLV5" s="27"/>
      <c r="NLW5" s="27"/>
      <c r="NLX5" s="27"/>
      <c r="NLY5" s="27"/>
      <c r="NLZ5" s="27"/>
      <c r="NMA5" s="27"/>
      <c r="NMB5" s="27"/>
      <c r="NMC5" s="27"/>
      <c r="NMD5" s="27"/>
      <c r="NME5" s="27"/>
      <c r="NMF5" s="27"/>
      <c r="NMG5" s="27"/>
      <c r="NMH5" s="27"/>
      <c r="NMI5" s="27"/>
      <c r="NMJ5" s="27"/>
      <c r="NMK5" s="27"/>
      <c r="NML5" s="27"/>
      <c r="NMM5" s="27"/>
      <c r="NMN5" s="27"/>
      <c r="NMO5" s="27"/>
      <c r="NMP5" s="27"/>
      <c r="NMQ5" s="27"/>
      <c r="NMR5" s="27"/>
      <c r="NMS5" s="27"/>
      <c r="NMT5" s="27"/>
      <c r="NMU5" s="27"/>
      <c r="NMV5" s="27"/>
      <c r="NMW5" s="27"/>
      <c r="NMX5" s="27"/>
      <c r="NMY5" s="27"/>
      <c r="NMZ5" s="27"/>
      <c r="NNA5" s="27"/>
      <c r="NNB5" s="27"/>
      <c r="NNC5" s="27"/>
      <c r="NND5" s="27"/>
      <c r="NNE5" s="27"/>
      <c r="NNF5" s="27"/>
      <c r="NNG5" s="27"/>
      <c r="NNH5" s="27"/>
      <c r="NNI5" s="27"/>
      <c r="NNJ5" s="27"/>
      <c r="NNK5" s="27"/>
      <c r="NNL5" s="27"/>
      <c r="NNM5" s="27"/>
      <c r="NNN5" s="27"/>
      <c r="NNO5" s="27"/>
      <c r="NNP5" s="27"/>
      <c r="NNQ5" s="27"/>
      <c r="NNR5" s="27"/>
      <c r="NNS5" s="27"/>
      <c r="NNT5" s="27"/>
      <c r="NNU5" s="27"/>
      <c r="NNV5" s="27"/>
      <c r="NNW5" s="27"/>
      <c r="NNX5" s="27"/>
      <c r="NNY5" s="27"/>
      <c r="NNZ5" s="27"/>
      <c r="NOA5" s="27"/>
      <c r="NOB5" s="27"/>
      <c r="NOC5" s="27"/>
      <c r="NOD5" s="27"/>
      <c r="NOE5" s="27"/>
      <c r="NOF5" s="27"/>
      <c r="NOG5" s="27"/>
      <c r="NOH5" s="27"/>
      <c r="NOI5" s="27"/>
      <c r="NOJ5" s="27"/>
      <c r="NOK5" s="27"/>
      <c r="NOL5" s="27"/>
      <c r="NOM5" s="27"/>
      <c r="NON5" s="27"/>
      <c r="NOO5" s="27"/>
      <c r="NOP5" s="27"/>
      <c r="NOQ5" s="27"/>
      <c r="NOR5" s="27"/>
      <c r="NOS5" s="27"/>
      <c r="NOT5" s="27"/>
      <c r="NOU5" s="27"/>
      <c r="NOV5" s="27"/>
      <c r="NOW5" s="27"/>
      <c r="NOX5" s="27"/>
      <c r="NOY5" s="27"/>
      <c r="NOZ5" s="27"/>
      <c r="NPA5" s="27"/>
      <c r="NPB5" s="27"/>
      <c r="NPC5" s="27"/>
      <c r="NPD5" s="27"/>
      <c r="NPE5" s="27"/>
      <c r="NPF5" s="27"/>
      <c r="NPG5" s="27"/>
      <c r="NPH5" s="27"/>
      <c r="NPI5" s="27"/>
      <c r="NPJ5" s="27"/>
      <c r="NPK5" s="27"/>
      <c r="NPL5" s="27"/>
      <c r="NPM5" s="27"/>
      <c r="NPN5" s="27"/>
      <c r="NPO5" s="27"/>
      <c r="NPP5" s="27"/>
      <c r="NPQ5" s="27"/>
      <c r="NPR5" s="27"/>
      <c r="NPS5" s="27"/>
      <c r="NPT5" s="27"/>
      <c r="NPU5" s="27"/>
      <c r="NPV5" s="27"/>
      <c r="NPW5" s="27"/>
      <c r="NPX5" s="27"/>
      <c r="NPY5" s="27"/>
      <c r="NPZ5" s="27"/>
      <c r="NQA5" s="27"/>
      <c r="NQB5" s="27"/>
      <c r="NQC5" s="27"/>
      <c r="NQD5" s="27"/>
      <c r="NQE5" s="27"/>
      <c r="NQF5" s="27"/>
      <c r="NQG5" s="27"/>
      <c r="NQH5" s="27"/>
      <c r="NQI5" s="27"/>
      <c r="NQJ5" s="27"/>
      <c r="NQK5" s="27"/>
      <c r="NQL5" s="27"/>
      <c r="NQM5" s="27"/>
      <c r="NQN5" s="27"/>
      <c r="NQO5" s="27"/>
      <c r="NQP5" s="27"/>
      <c r="NQQ5" s="27"/>
      <c r="NQR5" s="27"/>
      <c r="NQS5" s="27"/>
      <c r="NQT5" s="27"/>
      <c r="NQU5" s="27"/>
      <c r="NQV5" s="27"/>
      <c r="NQW5" s="27"/>
      <c r="NQX5" s="27"/>
      <c r="NQY5" s="27"/>
      <c r="NQZ5" s="27"/>
      <c r="NRA5" s="27"/>
      <c r="NRB5" s="27"/>
      <c r="NRC5" s="27"/>
      <c r="NRD5" s="27"/>
      <c r="NRE5" s="27"/>
      <c r="NRF5" s="27"/>
      <c r="NRG5" s="27"/>
      <c r="NRH5" s="27"/>
      <c r="NRI5" s="27"/>
      <c r="NRJ5" s="27"/>
      <c r="NRK5" s="27"/>
      <c r="NRL5" s="27"/>
      <c r="NRM5" s="27"/>
      <c r="NRN5" s="27"/>
      <c r="NRO5" s="27"/>
      <c r="NRP5" s="27"/>
      <c r="NRQ5" s="27"/>
      <c r="NRR5" s="27"/>
      <c r="NRS5" s="27"/>
      <c r="NRT5" s="27"/>
      <c r="NRU5" s="27"/>
      <c r="NRV5" s="27"/>
      <c r="NRW5" s="27"/>
      <c r="NRX5" s="27"/>
      <c r="NRY5" s="27"/>
      <c r="NRZ5" s="27"/>
      <c r="NSA5" s="27"/>
      <c r="NSB5" s="27"/>
      <c r="NSC5" s="27"/>
      <c r="NSD5" s="27"/>
      <c r="NSE5" s="27"/>
      <c r="NSF5" s="27"/>
      <c r="NSG5" s="27"/>
      <c r="NSH5" s="27"/>
      <c r="NSI5" s="27"/>
      <c r="NSJ5" s="27"/>
      <c r="NSK5" s="27"/>
      <c r="NSL5" s="27"/>
      <c r="NSM5" s="27"/>
      <c r="NSN5" s="27"/>
      <c r="NSO5" s="27"/>
      <c r="NSP5" s="27"/>
      <c r="NSQ5" s="27"/>
      <c r="NSR5" s="27"/>
      <c r="NSS5" s="27"/>
      <c r="NST5" s="27"/>
      <c r="NSU5" s="27"/>
      <c r="NSV5" s="27"/>
      <c r="NSW5" s="27"/>
      <c r="NSX5" s="27"/>
      <c r="NSY5" s="27"/>
      <c r="NSZ5" s="27"/>
      <c r="NTA5" s="27"/>
      <c r="NTB5" s="27"/>
      <c r="NTC5" s="27"/>
      <c r="NTD5" s="27"/>
      <c r="NTE5" s="27"/>
      <c r="NTF5" s="27"/>
      <c r="NTG5" s="27"/>
      <c r="NTH5" s="27"/>
      <c r="NTI5" s="27"/>
      <c r="NTJ5" s="27"/>
      <c r="NTK5" s="27"/>
      <c r="NTL5" s="27"/>
      <c r="NTM5" s="27"/>
      <c r="NTN5" s="27"/>
      <c r="NTO5" s="27"/>
      <c r="NTP5" s="27"/>
      <c r="NTQ5" s="27"/>
      <c r="NTR5" s="27"/>
      <c r="NTS5" s="27"/>
      <c r="NTT5" s="27"/>
      <c r="NTU5" s="27"/>
      <c r="NTV5" s="27"/>
      <c r="NTW5" s="27"/>
      <c r="NTX5" s="27"/>
      <c r="NTY5" s="27"/>
      <c r="NTZ5" s="27"/>
      <c r="NUA5" s="27"/>
      <c r="NUB5" s="27"/>
      <c r="NUC5" s="27"/>
      <c r="NUD5" s="27"/>
      <c r="NUE5" s="27"/>
      <c r="NUF5" s="27"/>
      <c r="NUG5" s="27"/>
      <c r="NUH5" s="27"/>
      <c r="NUI5" s="27"/>
      <c r="NUJ5" s="27"/>
      <c r="NUK5" s="27"/>
      <c r="NUL5" s="27"/>
      <c r="NUM5" s="27"/>
      <c r="NUN5" s="27"/>
      <c r="NUO5" s="27"/>
      <c r="NUP5" s="27"/>
      <c r="NUQ5" s="27"/>
      <c r="NUR5" s="27"/>
      <c r="NUS5" s="27"/>
      <c r="NUT5" s="27"/>
      <c r="NUU5" s="27"/>
      <c r="NUV5" s="27"/>
      <c r="NUW5" s="27"/>
      <c r="NUX5" s="27"/>
      <c r="NUY5" s="27"/>
      <c r="NUZ5" s="27"/>
      <c r="NVA5" s="27"/>
      <c r="NVB5" s="27"/>
      <c r="NVC5" s="27"/>
      <c r="NVD5" s="27"/>
      <c r="NVE5" s="27"/>
      <c r="NVF5" s="27"/>
      <c r="NVG5" s="27"/>
      <c r="NVH5" s="27"/>
      <c r="NVI5" s="27"/>
      <c r="NVJ5" s="27"/>
      <c r="NVK5" s="27"/>
      <c r="NVL5" s="27"/>
      <c r="NVM5" s="27"/>
      <c r="NVN5" s="27"/>
      <c r="NVO5" s="27"/>
      <c r="NVP5" s="27"/>
      <c r="NVQ5" s="27"/>
      <c r="NVR5" s="27"/>
      <c r="NVS5" s="27"/>
      <c r="NVT5" s="27"/>
      <c r="NVU5" s="27"/>
      <c r="NVV5" s="27"/>
      <c r="NVW5" s="27"/>
      <c r="NVX5" s="27"/>
      <c r="NVY5" s="27"/>
      <c r="NVZ5" s="27"/>
      <c r="NWA5" s="27"/>
      <c r="NWB5" s="27"/>
      <c r="NWC5" s="27"/>
      <c r="NWD5" s="27"/>
      <c r="NWE5" s="27"/>
      <c r="NWF5" s="27"/>
      <c r="NWG5" s="27"/>
      <c r="NWH5" s="27"/>
      <c r="NWI5" s="27"/>
      <c r="NWJ5" s="27"/>
      <c r="NWK5" s="27"/>
      <c r="NWL5" s="27"/>
      <c r="NWM5" s="27"/>
      <c r="NWN5" s="27"/>
      <c r="NWO5" s="27"/>
      <c r="NWP5" s="27"/>
      <c r="NWQ5" s="27"/>
      <c r="NWR5" s="27"/>
      <c r="NWS5" s="27"/>
      <c r="NWT5" s="27"/>
      <c r="NWU5" s="27"/>
      <c r="NWV5" s="27"/>
      <c r="NWW5" s="27"/>
      <c r="NWX5" s="27"/>
      <c r="NWY5" s="27"/>
      <c r="NWZ5" s="27"/>
      <c r="NXA5" s="27"/>
      <c r="NXB5" s="27"/>
      <c r="NXC5" s="27"/>
      <c r="NXD5" s="27"/>
      <c r="NXE5" s="27"/>
      <c r="NXF5" s="27"/>
      <c r="NXG5" s="27"/>
      <c r="NXH5" s="27"/>
      <c r="NXI5" s="27"/>
      <c r="NXJ5" s="27"/>
      <c r="NXK5" s="27"/>
      <c r="NXL5" s="27"/>
      <c r="NXM5" s="27"/>
      <c r="NXN5" s="27"/>
      <c r="NXO5" s="27"/>
      <c r="NXP5" s="27"/>
      <c r="NXQ5" s="27"/>
      <c r="NXR5" s="27"/>
      <c r="NXS5" s="27"/>
      <c r="NXT5" s="27"/>
      <c r="NXU5" s="27"/>
      <c r="NXV5" s="27"/>
      <c r="NXW5" s="27"/>
      <c r="NXX5" s="27"/>
      <c r="NXY5" s="27"/>
      <c r="NXZ5" s="27"/>
      <c r="NYA5" s="27"/>
      <c r="NYB5" s="27"/>
      <c r="NYC5" s="27"/>
      <c r="NYD5" s="27"/>
      <c r="NYE5" s="27"/>
      <c r="NYF5" s="27"/>
      <c r="NYG5" s="27"/>
      <c r="NYH5" s="27"/>
      <c r="NYI5" s="27"/>
      <c r="NYJ5" s="27"/>
      <c r="NYK5" s="27"/>
      <c r="NYL5" s="27"/>
      <c r="NYM5" s="27"/>
      <c r="NYN5" s="27"/>
      <c r="NYO5" s="27"/>
      <c r="NYP5" s="27"/>
      <c r="NYQ5" s="27"/>
      <c r="NYR5" s="27"/>
      <c r="NYS5" s="27"/>
      <c r="NYT5" s="27"/>
      <c r="NYU5" s="27"/>
      <c r="NYV5" s="27"/>
      <c r="NYW5" s="27"/>
      <c r="NYX5" s="27"/>
      <c r="NYY5" s="27"/>
      <c r="NYZ5" s="27"/>
      <c r="NZA5" s="27"/>
      <c r="NZB5" s="27"/>
      <c r="NZC5" s="27"/>
      <c r="NZD5" s="27"/>
      <c r="NZE5" s="27"/>
      <c r="NZF5" s="27"/>
      <c r="NZG5" s="27"/>
      <c r="NZH5" s="27"/>
      <c r="NZI5" s="27"/>
      <c r="NZJ5" s="27"/>
      <c r="NZK5" s="27"/>
      <c r="NZL5" s="27"/>
      <c r="NZM5" s="27"/>
      <c r="NZN5" s="27"/>
      <c r="NZO5" s="27"/>
      <c r="NZP5" s="27"/>
      <c r="NZQ5" s="27"/>
      <c r="NZR5" s="27"/>
      <c r="NZS5" s="27"/>
      <c r="NZT5" s="27"/>
      <c r="NZU5" s="27"/>
      <c r="NZV5" s="27"/>
      <c r="NZW5" s="27"/>
      <c r="NZX5" s="27"/>
      <c r="NZY5" s="27"/>
      <c r="NZZ5" s="27"/>
      <c r="OAA5" s="27"/>
      <c r="OAB5" s="27"/>
      <c r="OAC5" s="27"/>
      <c r="OAD5" s="27"/>
      <c r="OAE5" s="27"/>
      <c r="OAF5" s="27"/>
      <c r="OAG5" s="27"/>
      <c r="OAH5" s="27"/>
      <c r="OAI5" s="27"/>
      <c r="OAJ5" s="27"/>
      <c r="OAK5" s="27"/>
      <c r="OAL5" s="27"/>
      <c r="OAM5" s="27"/>
      <c r="OAN5" s="27"/>
      <c r="OAO5" s="27"/>
      <c r="OAP5" s="27"/>
      <c r="OAQ5" s="27"/>
      <c r="OAR5" s="27"/>
      <c r="OAS5" s="27"/>
      <c r="OAT5" s="27"/>
      <c r="OAU5" s="27"/>
      <c r="OAV5" s="27"/>
      <c r="OAW5" s="27"/>
      <c r="OAX5" s="27"/>
      <c r="OAY5" s="27"/>
      <c r="OAZ5" s="27"/>
      <c r="OBA5" s="27"/>
      <c r="OBB5" s="27"/>
      <c r="OBC5" s="27"/>
      <c r="OBD5" s="27"/>
      <c r="OBE5" s="27"/>
      <c r="OBF5" s="27"/>
      <c r="OBG5" s="27"/>
      <c r="OBH5" s="27"/>
      <c r="OBI5" s="27"/>
      <c r="OBJ5" s="27"/>
      <c r="OBK5" s="27"/>
      <c r="OBL5" s="27"/>
      <c r="OBM5" s="27"/>
      <c r="OBN5" s="27"/>
      <c r="OBO5" s="27"/>
      <c r="OBP5" s="27"/>
      <c r="OBQ5" s="27"/>
      <c r="OBR5" s="27"/>
      <c r="OBS5" s="27"/>
      <c r="OBT5" s="27"/>
      <c r="OBU5" s="27"/>
      <c r="OBV5" s="27"/>
      <c r="OBW5" s="27"/>
      <c r="OBX5" s="27"/>
      <c r="OBY5" s="27"/>
      <c r="OBZ5" s="27"/>
      <c r="OCA5" s="27"/>
      <c r="OCB5" s="27"/>
      <c r="OCC5" s="27"/>
      <c r="OCD5" s="27"/>
      <c r="OCE5" s="27"/>
      <c r="OCF5" s="27"/>
      <c r="OCG5" s="27"/>
      <c r="OCH5" s="27"/>
      <c r="OCI5" s="27"/>
      <c r="OCJ5" s="27"/>
      <c r="OCK5" s="27"/>
      <c r="OCL5" s="27"/>
      <c r="OCM5" s="27"/>
      <c r="OCN5" s="27"/>
      <c r="OCO5" s="27"/>
      <c r="OCP5" s="27"/>
      <c r="OCQ5" s="27"/>
      <c r="OCR5" s="27"/>
      <c r="OCS5" s="27"/>
      <c r="OCT5" s="27"/>
      <c r="OCU5" s="27"/>
      <c r="OCV5" s="27"/>
      <c r="OCW5" s="27"/>
      <c r="OCX5" s="27"/>
      <c r="OCY5" s="27"/>
      <c r="OCZ5" s="27"/>
      <c r="ODA5" s="27"/>
      <c r="ODB5" s="27"/>
      <c r="ODC5" s="27"/>
      <c r="ODD5" s="27"/>
      <c r="ODE5" s="27"/>
      <c r="ODF5" s="27"/>
      <c r="ODG5" s="27"/>
      <c r="ODH5" s="27"/>
      <c r="ODI5" s="27"/>
      <c r="ODJ5" s="27"/>
      <c r="ODK5" s="27"/>
      <c r="ODL5" s="27"/>
      <c r="ODM5" s="27"/>
      <c r="ODN5" s="27"/>
      <c r="ODO5" s="27"/>
      <c r="ODP5" s="27"/>
      <c r="ODQ5" s="27"/>
      <c r="ODR5" s="27"/>
      <c r="ODS5" s="27"/>
      <c r="ODT5" s="27"/>
      <c r="ODU5" s="27"/>
      <c r="ODV5" s="27"/>
      <c r="ODW5" s="27"/>
      <c r="ODX5" s="27"/>
      <c r="ODY5" s="27"/>
      <c r="ODZ5" s="27"/>
      <c r="OEA5" s="27"/>
      <c r="OEB5" s="27"/>
      <c r="OEC5" s="27"/>
      <c r="OED5" s="27"/>
      <c r="OEE5" s="27"/>
      <c r="OEF5" s="27"/>
      <c r="OEG5" s="27"/>
      <c r="OEH5" s="27"/>
      <c r="OEI5" s="27"/>
      <c r="OEJ5" s="27"/>
      <c r="OEK5" s="27"/>
      <c r="OEL5" s="27"/>
      <c r="OEM5" s="27"/>
      <c r="OEN5" s="27"/>
      <c r="OEO5" s="27"/>
      <c r="OEP5" s="27"/>
      <c r="OEQ5" s="27"/>
      <c r="OER5" s="27"/>
      <c r="OES5" s="27"/>
      <c r="OET5" s="27"/>
      <c r="OEU5" s="27"/>
      <c r="OEV5" s="27"/>
      <c r="OEW5" s="27"/>
      <c r="OEX5" s="27"/>
      <c r="OEY5" s="27"/>
      <c r="OEZ5" s="27"/>
      <c r="OFA5" s="27"/>
      <c r="OFB5" s="27"/>
      <c r="OFC5" s="27"/>
      <c r="OFD5" s="27"/>
      <c r="OFE5" s="27"/>
      <c r="OFF5" s="27"/>
      <c r="OFG5" s="27"/>
      <c r="OFH5" s="27"/>
      <c r="OFI5" s="27"/>
      <c r="OFJ5" s="27"/>
      <c r="OFK5" s="27"/>
      <c r="OFL5" s="27"/>
      <c r="OFM5" s="27"/>
      <c r="OFN5" s="27"/>
      <c r="OFO5" s="27"/>
      <c r="OFP5" s="27"/>
      <c r="OFQ5" s="27"/>
      <c r="OFR5" s="27"/>
      <c r="OFS5" s="27"/>
      <c r="OFT5" s="27"/>
      <c r="OFU5" s="27"/>
      <c r="OFV5" s="27"/>
      <c r="OFW5" s="27"/>
      <c r="OFX5" s="27"/>
      <c r="OFY5" s="27"/>
      <c r="OFZ5" s="27"/>
      <c r="OGA5" s="27"/>
      <c r="OGB5" s="27"/>
      <c r="OGC5" s="27"/>
      <c r="OGD5" s="27"/>
      <c r="OGE5" s="27"/>
      <c r="OGF5" s="27"/>
      <c r="OGG5" s="27"/>
      <c r="OGH5" s="27"/>
      <c r="OGI5" s="27"/>
      <c r="OGJ5" s="27"/>
      <c r="OGK5" s="27"/>
      <c r="OGL5" s="27"/>
      <c r="OGM5" s="27"/>
      <c r="OGN5" s="27"/>
      <c r="OGO5" s="27"/>
      <c r="OGP5" s="27"/>
      <c r="OGQ5" s="27"/>
      <c r="OGR5" s="27"/>
      <c r="OGS5" s="27"/>
      <c r="OGT5" s="27"/>
      <c r="OGU5" s="27"/>
      <c r="OGV5" s="27"/>
      <c r="OGW5" s="27"/>
      <c r="OGX5" s="27"/>
      <c r="OGY5" s="27"/>
      <c r="OGZ5" s="27"/>
      <c r="OHA5" s="27"/>
      <c r="OHB5" s="27"/>
      <c r="OHC5" s="27"/>
      <c r="OHD5" s="27"/>
      <c r="OHE5" s="27"/>
      <c r="OHF5" s="27"/>
      <c r="OHG5" s="27"/>
      <c r="OHH5" s="27"/>
      <c r="OHI5" s="27"/>
      <c r="OHJ5" s="27"/>
      <c r="OHK5" s="27"/>
      <c r="OHL5" s="27"/>
      <c r="OHM5" s="27"/>
      <c r="OHN5" s="27"/>
      <c r="OHO5" s="27"/>
      <c r="OHP5" s="27"/>
      <c r="OHQ5" s="27"/>
      <c r="OHR5" s="27"/>
      <c r="OHS5" s="27"/>
      <c r="OHT5" s="27"/>
      <c r="OHU5" s="27"/>
      <c r="OHV5" s="27"/>
      <c r="OHW5" s="27"/>
      <c r="OHX5" s="27"/>
      <c r="OHY5" s="27"/>
      <c r="OHZ5" s="27"/>
      <c r="OIA5" s="27"/>
      <c r="OIB5" s="27"/>
      <c r="OIC5" s="27"/>
      <c r="OID5" s="27"/>
      <c r="OIE5" s="27"/>
      <c r="OIF5" s="27"/>
      <c r="OIG5" s="27"/>
      <c r="OIH5" s="27"/>
      <c r="OII5" s="27"/>
      <c r="OIJ5" s="27"/>
      <c r="OIK5" s="27"/>
      <c r="OIL5" s="27"/>
      <c r="OIM5" s="27"/>
      <c r="OIN5" s="27"/>
      <c r="OIO5" s="27"/>
      <c r="OIP5" s="27"/>
      <c r="OIQ5" s="27"/>
      <c r="OIR5" s="27"/>
      <c r="OIS5" s="27"/>
      <c r="OIT5" s="27"/>
      <c r="OIU5" s="27"/>
      <c r="OIV5" s="27"/>
      <c r="OIW5" s="27"/>
      <c r="OIX5" s="27"/>
      <c r="OIY5" s="27"/>
      <c r="OIZ5" s="27"/>
      <c r="OJA5" s="27"/>
      <c r="OJB5" s="27"/>
      <c r="OJC5" s="27"/>
      <c r="OJD5" s="27"/>
      <c r="OJE5" s="27"/>
      <c r="OJF5" s="27"/>
      <c r="OJG5" s="27"/>
      <c r="OJH5" s="27"/>
      <c r="OJI5" s="27"/>
      <c r="OJJ5" s="27"/>
      <c r="OJK5" s="27"/>
      <c r="OJL5" s="27"/>
      <c r="OJM5" s="27"/>
      <c r="OJN5" s="27"/>
      <c r="OJO5" s="27"/>
      <c r="OJP5" s="27"/>
      <c r="OJQ5" s="27"/>
      <c r="OJR5" s="27"/>
      <c r="OJS5" s="27"/>
      <c r="OJT5" s="27"/>
      <c r="OJU5" s="27"/>
      <c r="OJV5" s="27"/>
      <c r="OJW5" s="27"/>
      <c r="OJX5" s="27"/>
      <c r="OJY5" s="27"/>
      <c r="OJZ5" s="27"/>
      <c r="OKA5" s="27"/>
      <c r="OKB5" s="27"/>
      <c r="OKC5" s="27"/>
      <c r="OKD5" s="27"/>
      <c r="OKE5" s="27"/>
      <c r="OKF5" s="27"/>
      <c r="OKG5" s="27"/>
      <c r="OKH5" s="27"/>
      <c r="OKI5" s="27"/>
      <c r="OKJ5" s="27"/>
      <c r="OKK5" s="27"/>
      <c r="OKL5" s="27"/>
      <c r="OKM5" s="27"/>
      <c r="OKN5" s="27"/>
      <c r="OKO5" s="27"/>
      <c r="OKP5" s="27"/>
      <c r="OKQ5" s="27"/>
      <c r="OKR5" s="27"/>
      <c r="OKS5" s="27"/>
      <c r="OKT5" s="27"/>
      <c r="OKU5" s="27"/>
      <c r="OKV5" s="27"/>
      <c r="OKW5" s="27"/>
      <c r="OKX5" s="27"/>
      <c r="OKY5" s="27"/>
      <c r="OKZ5" s="27"/>
      <c r="OLA5" s="27"/>
      <c r="OLB5" s="27"/>
      <c r="OLC5" s="27"/>
      <c r="OLD5" s="27"/>
      <c r="OLE5" s="27"/>
      <c r="OLF5" s="27"/>
      <c r="OLG5" s="27"/>
      <c r="OLH5" s="27"/>
      <c r="OLI5" s="27"/>
      <c r="OLJ5" s="27"/>
      <c r="OLK5" s="27"/>
      <c r="OLL5" s="27"/>
      <c r="OLM5" s="27"/>
      <c r="OLN5" s="27"/>
      <c r="OLO5" s="27"/>
      <c r="OLP5" s="27"/>
      <c r="OLQ5" s="27"/>
      <c r="OLR5" s="27"/>
      <c r="OLS5" s="27"/>
      <c r="OLT5" s="27"/>
      <c r="OLU5" s="27"/>
      <c r="OLV5" s="27"/>
      <c r="OLW5" s="27"/>
      <c r="OLX5" s="27"/>
      <c r="OLY5" s="27"/>
      <c r="OLZ5" s="27"/>
      <c r="OMA5" s="27"/>
      <c r="OMB5" s="27"/>
      <c r="OMC5" s="27"/>
      <c r="OMD5" s="27"/>
      <c r="OME5" s="27"/>
      <c r="OMF5" s="27"/>
      <c r="OMG5" s="27"/>
      <c r="OMH5" s="27"/>
      <c r="OMI5" s="27"/>
      <c r="OMJ5" s="27"/>
      <c r="OMK5" s="27"/>
      <c r="OML5" s="27"/>
      <c r="OMM5" s="27"/>
      <c r="OMN5" s="27"/>
      <c r="OMO5" s="27"/>
      <c r="OMP5" s="27"/>
      <c r="OMQ5" s="27"/>
      <c r="OMR5" s="27"/>
      <c r="OMS5" s="27"/>
      <c r="OMT5" s="27"/>
      <c r="OMU5" s="27"/>
      <c r="OMV5" s="27"/>
      <c r="OMW5" s="27"/>
      <c r="OMX5" s="27"/>
      <c r="OMY5" s="27"/>
      <c r="OMZ5" s="27"/>
      <c r="ONA5" s="27"/>
      <c r="ONB5" s="27"/>
      <c r="ONC5" s="27"/>
      <c r="OND5" s="27"/>
      <c r="ONE5" s="27"/>
      <c r="ONF5" s="27"/>
      <c r="ONG5" s="27"/>
      <c r="ONH5" s="27"/>
      <c r="ONI5" s="27"/>
      <c r="ONJ5" s="27"/>
      <c r="ONK5" s="27"/>
      <c r="ONL5" s="27"/>
      <c r="ONM5" s="27"/>
      <c r="ONN5" s="27"/>
      <c r="ONO5" s="27"/>
      <c r="ONP5" s="27"/>
      <c r="ONQ5" s="27"/>
      <c r="ONR5" s="27"/>
      <c r="ONS5" s="27"/>
      <c r="ONT5" s="27"/>
      <c r="ONU5" s="27"/>
      <c r="ONV5" s="27"/>
      <c r="ONW5" s="27"/>
      <c r="ONX5" s="27"/>
      <c r="ONY5" s="27"/>
      <c r="ONZ5" s="27"/>
      <c r="OOA5" s="27"/>
      <c r="OOB5" s="27"/>
      <c r="OOC5" s="27"/>
      <c r="OOD5" s="27"/>
      <c r="OOE5" s="27"/>
      <c r="OOF5" s="27"/>
      <c r="OOG5" s="27"/>
      <c r="OOH5" s="27"/>
      <c r="OOI5" s="27"/>
      <c r="OOJ5" s="27"/>
      <c r="OOK5" s="27"/>
      <c r="OOL5" s="27"/>
      <c r="OOM5" s="27"/>
      <c r="OON5" s="27"/>
      <c r="OOO5" s="27"/>
      <c r="OOP5" s="27"/>
      <c r="OOQ5" s="27"/>
      <c r="OOR5" s="27"/>
      <c r="OOS5" s="27"/>
      <c r="OOT5" s="27"/>
      <c r="OOU5" s="27"/>
      <c r="OOV5" s="27"/>
      <c r="OOW5" s="27"/>
      <c r="OOX5" s="27"/>
      <c r="OOY5" s="27"/>
      <c r="OOZ5" s="27"/>
      <c r="OPA5" s="27"/>
      <c r="OPB5" s="27"/>
      <c r="OPC5" s="27"/>
      <c r="OPD5" s="27"/>
      <c r="OPE5" s="27"/>
      <c r="OPF5" s="27"/>
      <c r="OPG5" s="27"/>
      <c r="OPH5" s="27"/>
      <c r="OPI5" s="27"/>
      <c r="OPJ5" s="27"/>
      <c r="OPK5" s="27"/>
      <c r="OPL5" s="27"/>
      <c r="OPM5" s="27"/>
      <c r="OPN5" s="27"/>
      <c r="OPO5" s="27"/>
      <c r="OPP5" s="27"/>
      <c r="OPQ5" s="27"/>
      <c r="OPR5" s="27"/>
      <c r="OPS5" s="27"/>
      <c r="OPT5" s="27"/>
      <c r="OPU5" s="27"/>
      <c r="OPV5" s="27"/>
      <c r="OPW5" s="27"/>
      <c r="OPX5" s="27"/>
      <c r="OPY5" s="27"/>
      <c r="OPZ5" s="27"/>
      <c r="OQA5" s="27"/>
      <c r="OQB5" s="27"/>
      <c r="OQC5" s="27"/>
      <c r="OQD5" s="27"/>
      <c r="OQE5" s="27"/>
      <c r="OQF5" s="27"/>
      <c r="OQG5" s="27"/>
      <c r="OQH5" s="27"/>
      <c r="OQI5" s="27"/>
      <c r="OQJ5" s="27"/>
      <c r="OQK5" s="27"/>
      <c r="OQL5" s="27"/>
      <c r="OQM5" s="27"/>
      <c r="OQN5" s="27"/>
      <c r="OQO5" s="27"/>
      <c r="OQP5" s="27"/>
      <c r="OQQ5" s="27"/>
      <c r="OQR5" s="27"/>
      <c r="OQS5" s="27"/>
      <c r="OQT5" s="27"/>
      <c r="OQU5" s="27"/>
      <c r="OQV5" s="27"/>
      <c r="OQW5" s="27"/>
      <c r="OQX5" s="27"/>
      <c r="OQY5" s="27"/>
      <c r="OQZ5" s="27"/>
      <c r="ORA5" s="27"/>
      <c r="ORB5" s="27"/>
      <c r="ORC5" s="27"/>
      <c r="ORD5" s="27"/>
      <c r="ORE5" s="27"/>
      <c r="ORF5" s="27"/>
      <c r="ORG5" s="27"/>
      <c r="ORH5" s="27"/>
      <c r="ORI5" s="27"/>
      <c r="ORJ5" s="27"/>
      <c r="ORK5" s="27"/>
      <c r="ORL5" s="27"/>
      <c r="ORM5" s="27"/>
      <c r="ORN5" s="27"/>
      <c r="ORO5" s="27"/>
      <c r="ORP5" s="27"/>
      <c r="ORQ5" s="27"/>
      <c r="ORR5" s="27"/>
      <c r="ORS5" s="27"/>
      <c r="ORT5" s="27"/>
      <c r="ORU5" s="27"/>
      <c r="ORV5" s="27"/>
      <c r="ORW5" s="27"/>
      <c r="ORX5" s="27"/>
      <c r="ORY5" s="27"/>
      <c r="ORZ5" s="27"/>
      <c r="OSA5" s="27"/>
      <c r="OSB5" s="27"/>
      <c r="OSC5" s="27"/>
      <c r="OSD5" s="27"/>
      <c r="OSE5" s="27"/>
      <c r="OSF5" s="27"/>
      <c r="OSG5" s="27"/>
      <c r="OSH5" s="27"/>
      <c r="OSI5" s="27"/>
      <c r="OSJ5" s="27"/>
      <c r="OSK5" s="27"/>
      <c r="OSL5" s="27"/>
      <c r="OSM5" s="27"/>
      <c r="OSN5" s="27"/>
      <c r="OSO5" s="27"/>
      <c r="OSP5" s="27"/>
      <c r="OSQ5" s="27"/>
      <c r="OSR5" s="27"/>
      <c r="OSS5" s="27"/>
      <c r="OST5" s="27"/>
      <c r="OSU5" s="27"/>
      <c r="OSV5" s="27"/>
      <c r="OSW5" s="27"/>
      <c r="OSX5" s="27"/>
      <c r="OSY5" s="27"/>
      <c r="OSZ5" s="27"/>
      <c r="OTA5" s="27"/>
      <c r="OTB5" s="27"/>
      <c r="OTC5" s="27"/>
      <c r="OTD5" s="27"/>
      <c r="OTE5" s="27"/>
      <c r="OTF5" s="27"/>
      <c r="OTG5" s="27"/>
      <c r="OTH5" s="27"/>
      <c r="OTI5" s="27"/>
      <c r="OTJ5" s="27"/>
      <c r="OTK5" s="27"/>
      <c r="OTL5" s="27"/>
      <c r="OTM5" s="27"/>
      <c r="OTN5" s="27"/>
      <c r="OTO5" s="27"/>
      <c r="OTP5" s="27"/>
      <c r="OTQ5" s="27"/>
      <c r="OTR5" s="27"/>
      <c r="OTS5" s="27"/>
      <c r="OTT5" s="27"/>
      <c r="OTU5" s="27"/>
      <c r="OTV5" s="27"/>
      <c r="OTW5" s="27"/>
      <c r="OTX5" s="27"/>
      <c r="OTY5" s="27"/>
      <c r="OTZ5" s="27"/>
      <c r="OUA5" s="27"/>
      <c r="OUB5" s="27"/>
      <c r="OUC5" s="27"/>
      <c r="OUD5" s="27"/>
      <c r="OUE5" s="27"/>
      <c r="OUF5" s="27"/>
      <c r="OUG5" s="27"/>
      <c r="OUH5" s="27"/>
      <c r="OUI5" s="27"/>
      <c r="OUJ5" s="27"/>
      <c r="OUK5" s="27"/>
      <c r="OUL5" s="27"/>
      <c r="OUM5" s="27"/>
      <c r="OUN5" s="27"/>
      <c r="OUO5" s="27"/>
      <c r="OUP5" s="27"/>
      <c r="OUQ5" s="27"/>
      <c r="OUR5" s="27"/>
      <c r="OUS5" s="27"/>
      <c r="OUT5" s="27"/>
      <c r="OUU5" s="27"/>
      <c r="OUV5" s="27"/>
      <c r="OUW5" s="27"/>
      <c r="OUX5" s="27"/>
      <c r="OUY5" s="27"/>
      <c r="OUZ5" s="27"/>
      <c r="OVA5" s="27"/>
      <c r="OVB5" s="27"/>
      <c r="OVC5" s="27"/>
      <c r="OVD5" s="27"/>
      <c r="OVE5" s="27"/>
      <c r="OVF5" s="27"/>
      <c r="OVG5" s="27"/>
      <c r="OVH5" s="27"/>
      <c r="OVI5" s="27"/>
      <c r="OVJ5" s="27"/>
      <c r="OVK5" s="27"/>
      <c r="OVL5" s="27"/>
      <c r="OVM5" s="27"/>
      <c r="OVN5" s="27"/>
      <c r="OVO5" s="27"/>
      <c r="OVP5" s="27"/>
      <c r="OVQ5" s="27"/>
      <c r="OVR5" s="27"/>
      <c r="OVS5" s="27"/>
      <c r="OVT5" s="27"/>
      <c r="OVU5" s="27"/>
      <c r="OVV5" s="27"/>
      <c r="OVW5" s="27"/>
      <c r="OVX5" s="27"/>
      <c r="OVY5" s="27"/>
      <c r="OVZ5" s="27"/>
      <c r="OWA5" s="27"/>
      <c r="OWB5" s="27"/>
      <c r="OWC5" s="27"/>
      <c r="OWD5" s="27"/>
      <c r="OWE5" s="27"/>
      <c r="OWF5" s="27"/>
      <c r="OWG5" s="27"/>
      <c r="OWH5" s="27"/>
      <c r="OWI5" s="27"/>
      <c r="OWJ5" s="27"/>
      <c r="OWK5" s="27"/>
      <c r="OWL5" s="27"/>
      <c r="OWM5" s="27"/>
      <c r="OWN5" s="27"/>
      <c r="OWO5" s="27"/>
      <c r="OWP5" s="27"/>
      <c r="OWQ5" s="27"/>
      <c r="OWR5" s="27"/>
      <c r="OWS5" s="27"/>
      <c r="OWT5" s="27"/>
      <c r="OWU5" s="27"/>
      <c r="OWV5" s="27"/>
      <c r="OWW5" s="27"/>
      <c r="OWX5" s="27"/>
      <c r="OWY5" s="27"/>
      <c r="OWZ5" s="27"/>
      <c r="OXA5" s="27"/>
      <c r="OXB5" s="27"/>
      <c r="OXC5" s="27"/>
      <c r="OXD5" s="27"/>
      <c r="OXE5" s="27"/>
      <c r="OXF5" s="27"/>
      <c r="OXG5" s="27"/>
      <c r="OXH5" s="27"/>
      <c r="OXI5" s="27"/>
      <c r="OXJ5" s="27"/>
      <c r="OXK5" s="27"/>
      <c r="OXL5" s="27"/>
      <c r="OXM5" s="27"/>
      <c r="OXN5" s="27"/>
      <c r="OXO5" s="27"/>
      <c r="OXP5" s="27"/>
      <c r="OXQ5" s="27"/>
      <c r="OXR5" s="27"/>
      <c r="OXS5" s="27"/>
      <c r="OXT5" s="27"/>
      <c r="OXU5" s="27"/>
      <c r="OXV5" s="27"/>
      <c r="OXW5" s="27"/>
      <c r="OXX5" s="27"/>
      <c r="OXY5" s="27"/>
      <c r="OXZ5" s="27"/>
      <c r="OYA5" s="27"/>
      <c r="OYB5" s="27"/>
      <c r="OYC5" s="27"/>
      <c r="OYD5" s="27"/>
      <c r="OYE5" s="27"/>
      <c r="OYF5" s="27"/>
      <c r="OYG5" s="27"/>
      <c r="OYH5" s="27"/>
      <c r="OYI5" s="27"/>
      <c r="OYJ5" s="27"/>
      <c r="OYK5" s="27"/>
      <c r="OYL5" s="27"/>
      <c r="OYM5" s="27"/>
      <c r="OYN5" s="27"/>
      <c r="OYO5" s="27"/>
      <c r="OYP5" s="27"/>
      <c r="OYQ5" s="27"/>
      <c r="OYR5" s="27"/>
      <c r="OYS5" s="27"/>
      <c r="OYT5" s="27"/>
      <c r="OYU5" s="27"/>
      <c r="OYV5" s="27"/>
      <c r="OYW5" s="27"/>
      <c r="OYX5" s="27"/>
      <c r="OYY5" s="27"/>
      <c r="OYZ5" s="27"/>
      <c r="OZA5" s="27"/>
      <c r="OZB5" s="27"/>
      <c r="OZC5" s="27"/>
      <c r="OZD5" s="27"/>
      <c r="OZE5" s="27"/>
      <c r="OZF5" s="27"/>
      <c r="OZG5" s="27"/>
      <c r="OZH5" s="27"/>
      <c r="OZI5" s="27"/>
      <c r="OZJ5" s="27"/>
      <c r="OZK5" s="27"/>
      <c r="OZL5" s="27"/>
      <c r="OZM5" s="27"/>
      <c r="OZN5" s="27"/>
      <c r="OZO5" s="27"/>
      <c r="OZP5" s="27"/>
      <c r="OZQ5" s="27"/>
      <c r="OZR5" s="27"/>
      <c r="OZS5" s="27"/>
      <c r="OZT5" s="27"/>
      <c r="OZU5" s="27"/>
      <c r="OZV5" s="27"/>
      <c r="OZW5" s="27"/>
      <c r="OZX5" s="27"/>
      <c r="OZY5" s="27"/>
      <c r="OZZ5" s="27"/>
      <c r="PAA5" s="27"/>
      <c r="PAB5" s="27"/>
      <c r="PAC5" s="27"/>
      <c r="PAD5" s="27"/>
      <c r="PAE5" s="27"/>
      <c r="PAF5" s="27"/>
      <c r="PAG5" s="27"/>
      <c r="PAH5" s="27"/>
      <c r="PAI5" s="27"/>
      <c r="PAJ5" s="27"/>
      <c r="PAK5" s="27"/>
      <c r="PAL5" s="27"/>
      <c r="PAM5" s="27"/>
      <c r="PAN5" s="27"/>
      <c r="PAO5" s="27"/>
      <c r="PAP5" s="27"/>
      <c r="PAQ5" s="27"/>
      <c r="PAR5" s="27"/>
      <c r="PAS5" s="27"/>
      <c r="PAT5" s="27"/>
      <c r="PAU5" s="27"/>
      <c r="PAV5" s="27"/>
      <c r="PAW5" s="27"/>
      <c r="PAX5" s="27"/>
      <c r="PAY5" s="27"/>
      <c r="PAZ5" s="27"/>
      <c r="PBA5" s="27"/>
      <c r="PBB5" s="27"/>
      <c r="PBC5" s="27"/>
      <c r="PBD5" s="27"/>
      <c r="PBE5" s="27"/>
      <c r="PBF5" s="27"/>
      <c r="PBG5" s="27"/>
      <c r="PBH5" s="27"/>
      <c r="PBI5" s="27"/>
      <c r="PBJ5" s="27"/>
      <c r="PBK5" s="27"/>
      <c r="PBL5" s="27"/>
      <c r="PBM5" s="27"/>
      <c r="PBN5" s="27"/>
      <c r="PBO5" s="27"/>
      <c r="PBP5" s="27"/>
      <c r="PBQ5" s="27"/>
      <c r="PBR5" s="27"/>
      <c r="PBS5" s="27"/>
      <c r="PBT5" s="27"/>
      <c r="PBU5" s="27"/>
      <c r="PBV5" s="27"/>
      <c r="PBW5" s="27"/>
      <c r="PBX5" s="27"/>
      <c r="PBY5" s="27"/>
      <c r="PBZ5" s="27"/>
      <c r="PCA5" s="27"/>
      <c r="PCB5" s="27"/>
      <c r="PCC5" s="27"/>
      <c r="PCD5" s="27"/>
      <c r="PCE5" s="27"/>
      <c r="PCF5" s="27"/>
      <c r="PCG5" s="27"/>
      <c r="PCH5" s="27"/>
      <c r="PCI5" s="27"/>
      <c r="PCJ5" s="27"/>
      <c r="PCK5" s="27"/>
      <c r="PCL5" s="27"/>
      <c r="PCM5" s="27"/>
      <c r="PCN5" s="27"/>
      <c r="PCO5" s="27"/>
      <c r="PCP5" s="27"/>
      <c r="PCQ5" s="27"/>
      <c r="PCR5" s="27"/>
      <c r="PCS5" s="27"/>
      <c r="PCT5" s="27"/>
      <c r="PCU5" s="27"/>
      <c r="PCV5" s="27"/>
      <c r="PCW5" s="27"/>
      <c r="PCX5" s="27"/>
      <c r="PCY5" s="27"/>
      <c r="PCZ5" s="27"/>
      <c r="PDA5" s="27"/>
      <c r="PDB5" s="27"/>
      <c r="PDC5" s="27"/>
      <c r="PDD5" s="27"/>
      <c r="PDE5" s="27"/>
      <c r="PDF5" s="27"/>
      <c r="PDG5" s="27"/>
      <c r="PDH5" s="27"/>
      <c r="PDI5" s="27"/>
      <c r="PDJ5" s="27"/>
      <c r="PDK5" s="27"/>
      <c r="PDL5" s="27"/>
      <c r="PDM5" s="27"/>
      <c r="PDN5" s="27"/>
      <c r="PDO5" s="27"/>
      <c r="PDP5" s="27"/>
      <c r="PDQ5" s="27"/>
      <c r="PDR5" s="27"/>
      <c r="PDS5" s="27"/>
      <c r="PDT5" s="27"/>
      <c r="PDU5" s="27"/>
      <c r="PDV5" s="27"/>
      <c r="PDW5" s="27"/>
      <c r="PDX5" s="27"/>
      <c r="PDY5" s="27"/>
      <c r="PDZ5" s="27"/>
      <c r="PEA5" s="27"/>
      <c r="PEB5" s="27"/>
      <c r="PEC5" s="27"/>
      <c r="PED5" s="27"/>
      <c r="PEE5" s="27"/>
      <c r="PEF5" s="27"/>
      <c r="PEG5" s="27"/>
      <c r="PEH5" s="27"/>
      <c r="PEI5" s="27"/>
      <c r="PEJ5" s="27"/>
      <c r="PEK5" s="27"/>
      <c r="PEL5" s="27"/>
      <c r="PEM5" s="27"/>
      <c r="PEN5" s="27"/>
      <c r="PEO5" s="27"/>
      <c r="PEP5" s="27"/>
      <c r="PEQ5" s="27"/>
      <c r="PER5" s="27"/>
      <c r="PES5" s="27"/>
      <c r="PET5" s="27"/>
      <c r="PEU5" s="27"/>
      <c r="PEV5" s="27"/>
      <c r="PEW5" s="27"/>
      <c r="PEX5" s="27"/>
      <c r="PEY5" s="27"/>
      <c r="PEZ5" s="27"/>
      <c r="PFA5" s="27"/>
      <c r="PFB5" s="27"/>
      <c r="PFC5" s="27"/>
      <c r="PFD5" s="27"/>
      <c r="PFE5" s="27"/>
      <c r="PFF5" s="27"/>
      <c r="PFG5" s="27"/>
      <c r="PFH5" s="27"/>
      <c r="PFI5" s="27"/>
      <c r="PFJ5" s="27"/>
      <c r="PFK5" s="27"/>
      <c r="PFL5" s="27"/>
      <c r="PFM5" s="27"/>
      <c r="PFN5" s="27"/>
      <c r="PFO5" s="27"/>
      <c r="PFP5" s="27"/>
      <c r="PFQ5" s="27"/>
      <c r="PFR5" s="27"/>
      <c r="PFS5" s="27"/>
      <c r="PFT5" s="27"/>
      <c r="PFU5" s="27"/>
      <c r="PFV5" s="27"/>
      <c r="PFW5" s="27"/>
      <c r="PFX5" s="27"/>
      <c r="PFY5" s="27"/>
      <c r="PFZ5" s="27"/>
      <c r="PGA5" s="27"/>
      <c r="PGB5" s="27"/>
      <c r="PGC5" s="27"/>
      <c r="PGD5" s="27"/>
      <c r="PGE5" s="27"/>
      <c r="PGF5" s="27"/>
      <c r="PGG5" s="27"/>
      <c r="PGH5" s="27"/>
      <c r="PGI5" s="27"/>
      <c r="PGJ5" s="27"/>
      <c r="PGK5" s="27"/>
      <c r="PGL5" s="27"/>
      <c r="PGM5" s="27"/>
      <c r="PGN5" s="27"/>
      <c r="PGO5" s="27"/>
      <c r="PGP5" s="27"/>
      <c r="PGQ5" s="27"/>
      <c r="PGR5" s="27"/>
      <c r="PGS5" s="27"/>
      <c r="PGT5" s="27"/>
      <c r="PGU5" s="27"/>
      <c r="PGV5" s="27"/>
      <c r="PGW5" s="27"/>
      <c r="PGX5" s="27"/>
      <c r="PGY5" s="27"/>
      <c r="PGZ5" s="27"/>
      <c r="PHA5" s="27"/>
      <c r="PHB5" s="27"/>
      <c r="PHC5" s="27"/>
      <c r="PHD5" s="27"/>
      <c r="PHE5" s="27"/>
      <c r="PHF5" s="27"/>
      <c r="PHG5" s="27"/>
      <c r="PHH5" s="27"/>
      <c r="PHI5" s="27"/>
      <c r="PHJ5" s="27"/>
      <c r="PHK5" s="27"/>
      <c r="PHL5" s="27"/>
      <c r="PHM5" s="27"/>
      <c r="PHN5" s="27"/>
      <c r="PHO5" s="27"/>
      <c r="PHP5" s="27"/>
      <c r="PHQ5" s="27"/>
      <c r="PHR5" s="27"/>
      <c r="PHS5" s="27"/>
      <c r="PHT5" s="27"/>
      <c r="PHU5" s="27"/>
      <c r="PHV5" s="27"/>
      <c r="PHW5" s="27"/>
      <c r="PHX5" s="27"/>
      <c r="PHY5" s="27"/>
      <c r="PHZ5" s="27"/>
      <c r="PIA5" s="27"/>
      <c r="PIB5" s="27"/>
      <c r="PIC5" s="27"/>
      <c r="PID5" s="27"/>
      <c r="PIE5" s="27"/>
      <c r="PIF5" s="27"/>
      <c r="PIG5" s="27"/>
      <c r="PIH5" s="27"/>
      <c r="PII5" s="27"/>
      <c r="PIJ5" s="27"/>
      <c r="PIK5" s="27"/>
      <c r="PIL5" s="27"/>
      <c r="PIM5" s="27"/>
      <c r="PIN5" s="27"/>
      <c r="PIO5" s="27"/>
      <c r="PIP5" s="27"/>
      <c r="PIQ5" s="27"/>
      <c r="PIR5" s="27"/>
      <c r="PIS5" s="27"/>
      <c r="PIT5" s="27"/>
      <c r="PIU5" s="27"/>
      <c r="PIV5" s="27"/>
      <c r="PIW5" s="27"/>
      <c r="PIX5" s="27"/>
      <c r="PIY5" s="27"/>
      <c r="PIZ5" s="27"/>
      <c r="PJA5" s="27"/>
      <c r="PJB5" s="27"/>
      <c r="PJC5" s="27"/>
      <c r="PJD5" s="27"/>
      <c r="PJE5" s="27"/>
      <c r="PJF5" s="27"/>
      <c r="PJG5" s="27"/>
      <c r="PJH5" s="27"/>
      <c r="PJI5" s="27"/>
      <c r="PJJ5" s="27"/>
      <c r="PJK5" s="27"/>
      <c r="PJL5" s="27"/>
      <c r="PJM5" s="27"/>
      <c r="PJN5" s="27"/>
      <c r="PJO5" s="27"/>
      <c r="PJP5" s="27"/>
      <c r="PJQ5" s="27"/>
      <c r="PJR5" s="27"/>
      <c r="PJS5" s="27"/>
      <c r="PJT5" s="27"/>
      <c r="PJU5" s="27"/>
      <c r="PJV5" s="27"/>
      <c r="PJW5" s="27"/>
      <c r="PJX5" s="27"/>
      <c r="PJY5" s="27"/>
      <c r="PJZ5" s="27"/>
      <c r="PKA5" s="27"/>
      <c r="PKB5" s="27"/>
      <c r="PKC5" s="27"/>
      <c r="PKD5" s="27"/>
      <c r="PKE5" s="27"/>
      <c r="PKF5" s="27"/>
      <c r="PKG5" s="27"/>
      <c r="PKH5" s="27"/>
      <c r="PKI5" s="27"/>
      <c r="PKJ5" s="27"/>
      <c r="PKK5" s="27"/>
      <c r="PKL5" s="27"/>
      <c r="PKM5" s="27"/>
      <c r="PKN5" s="27"/>
      <c r="PKO5" s="27"/>
      <c r="PKP5" s="27"/>
      <c r="PKQ5" s="27"/>
      <c r="PKR5" s="27"/>
      <c r="PKS5" s="27"/>
      <c r="PKT5" s="27"/>
      <c r="PKU5" s="27"/>
      <c r="PKV5" s="27"/>
      <c r="PKW5" s="27"/>
      <c r="PKX5" s="27"/>
      <c r="PKY5" s="27"/>
      <c r="PKZ5" s="27"/>
      <c r="PLA5" s="27"/>
      <c r="PLB5" s="27"/>
      <c r="PLC5" s="27"/>
      <c r="PLD5" s="27"/>
      <c r="PLE5" s="27"/>
      <c r="PLF5" s="27"/>
      <c r="PLG5" s="27"/>
      <c r="PLH5" s="27"/>
      <c r="PLI5" s="27"/>
      <c r="PLJ5" s="27"/>
      <c r="PLK5" s="27"/>
      <c r="PLL5" s="27"/>
      <c r="PLM5" s="27"/>
      <c r="PLN5" s="27"/>
      <c r="PLO5" s="27"/>
      <c r="PLP5" s="27"/>
      <c r="PLQ5" s="27"/>
      <c r="PLR5" s="27"/>
      <c r="PLS5" s="27"/>
      <c r="PLT5" s="27"/>
      <c r="PLU5" s="27"/>
      <c r="PLV5" s="27"/>
      <c r="PLW5" s="27"/>
      <c r="PLX5" s="27"/>
      <c r="PLY5" s="27"/>
      <c r="PLZ5" s="27"/>
      <c r="PMA5" s="27"/>
      <c r="PMB5" s="27"/>
      <c r="PMC5" s="27"/>
      <c r="PMD5" s="27"/>
      <c r="PME5" s="27"/>
      <c r="PMF5" s="27"/>
      <c r="PMG5" s="27"/>
      <c r="PMH5" s="27"/>
      <c r="PMI5" s="27"/>
      <c r="PMJ5" s="27"/>
      <c r="PMK5" s="27"/>
      <c r="PML5" s="27"/>
      <c r="PMM5" s="27"/>
      <c r="PMN5" s="27"/>
      <c r="PMO5" s="27"/>
      <c r="PMP5" s="27"/>
      <c r="PMQ5" s="27"/>
      <c r="PMR5" s="27"/>
      <c r="PMS5" s="27"/>
      <c r="PMT5" s="27"/>
      <c r="PMU5" s="27"/>
      <c r="PMV5" s="27"/>
      <c r="PMW5" s="27"/>
      <c r="PMX5" s="27"/>
      <c r="PMY5" s="27"/>
      <c r="PMZ5" s="27"/>
      <c r="PNA5" s="27"/>
      <c r="PNB5" s="27"/>
      <c r="PNC5" s="27"/>
      <c r="PND5" s="27"/>
      <c r="PNE5" s="27"/>
      <c r="PNF5" s="27"/>
      <c r="PNG5" s="27"/>
      <c r="PNH5" s="27"/>
      <c r="PNI5" s="27"/>
      <c r="PNJ5" s="27"/>
      <c r="PNK5" s="27"/>
      <c r="PNL5" s="27"/>
      <c r="PNM5" s="27"/>
      <c r="PNN5" s="27"/>
      <c r="PNO5" s="27"/>
      <c r="PNP5" s="27"/>
      <c r="PNQ5" s="27"/>
      <c r="PNR5" s="27"/>
      <c r="PNS5" s="27"/>
      <c r="PNT5" s="27"/>
      <c r="PNU5" s="27"/>
      <c r="PNV5" s="27"/>
      <c r="PNW5" s="27"/>
      <c r="PNX5" s="27"/>
      <c r="PNY5" s="27"/>
      <c r="PNZ5" s="27"/>
      <c r="POA5" s="27"/>
      <c r="POB5" s="27"/>
      <c r="POC5" s="27"/>
      <c r="POD5" s="27"/>
      <c r="POE5" s="27"/>
      <c r="POF5" s="27"/>
      <c r="POG5" s="27"/>
      <c r="POH5" s="27"/>
      <c r="POI5" s="27"/>
      <c r="POJ5" s="27"/>
      <c r="POK5" s="27"/>
      <c r="POL5" s="27"/>
      <c r="POM5" s="27"/>
      <c r="PON5" s="27"/>
      <c r="POO5" s="27"/>
      <c r="POP5" s="27"/>
      <c r="POQ5" s="27"/>
      <c r="POR5" s="27"/>
      <c r="POS5" s="27"/>
      <c r="POT5" s="27"/>
      <c r="POU5" s="27"/>
      <c r="POV5" s="27"/>
      <c r="POW5" s="27"/>
      <c r="POX5" s="27"/>
      <c r="POY5" s="27"/>
      <c r="POZ5" s="27"/>
      <c r="PPA5" s="27"/>
      <c r="PPB5" s="27"/>
      <c r="PPC5" s="27"/>
      <c r="PPD5" s="27"/>
      <c r="PPE5" s="27"/>
      <c r="PPF5" s="27"/>
      <c r="PPG5" s="27"/>
      <c r="PPH5" s="27"/>
      <c r="PPI5" s="27"/>
      <c r="PPJ5" s="27"/>
      <c r="PPK5" s="27"/>
      <c r="PPL5" s="27"/>
      <c r="PPM5" s="27"/>
      <c r="PPN5" s="27"/>
      <c r="PPO5" s="27"/>
      <c r="PPP5" s="27"/>
      <c r="PPQ5" s="27"/>
      <c r="PPR5" s="27"/>
      <c r="PPS5" s="27"/>
      <c r="PPT5" s="27"/>
      <c r="PPU5" s="27"/>
      <c r="PPV5" s="27"/>
      <c r="PPW5" s="27"/>
      <c r="PPX5" s="27"/>
      <c r="PPY5" s="27"/>
      <c r="PPZ5" s="27"/>
      <c r="PQA5" s="27"/>
      <c r="PQB5" s="27"/>
      <c r="PQC5" s="27"/>
      <c r="PQD5" s="27"/>
      <c r="PQE5" s="27"/>
      <c r="PQF5" s="27"/>
      <c r="PQG5" s="27"/>
      <c r="PQH5" s="27"/>
      <c r="PQI5" s="27"/>
      <c r="PQJ5" s="27"/>
      <c r="PQK5" s="27"/>
      <c r="PQL5" s="27"/>
      <c r="PQM5" s="27"/>
      <c r="PQN5" s="27"/>
      <c r="PQO5" s="27"/>
      <c r="PQP5" s="27"/>
      <c r="PQQ5" s="27"/>
      <c r="PQR5" s="27"/>
      <c r="PQS5" s="27"/>
      <c r="PQT5" s="27"/>
      <c r="PQU5" s="27"/>
      <c r="PQV5" s="27"/>
      <c r="PQW5" s="27"/>
      <c r="PQX5" s="27"/>
      <c r="PQY5" s="27"/>
      <c r="PQZ5" s="27"/>
      <c r="PRA5" s="27"/>
      <c r="PRB5" s="27"/>
      <c r="PRC5" s="27"/>
      <c r="PRD5" s="27"/>
      <c r="PRE5" s="27"/>
      <c r="PRF5" s="27"/>
      <c r="PRG5" s="27"/>
      <c r="PRH5" s="27"/>
      <c r="PRI5" s="27"/>
      <c r="PRJ5" s="27"/>
      <c r="PRK5" s="27"/>
      <c r="PRL5" s="27"/>
      <c r="PRM5" s="27"/>
      <c r="PRN5" s="27"/>
      <c r="PRO5" s="27"/>
      <c r="PRP5" s="27"/>
      <c r="PRQ5" s="27"/>
      <c r="PRR5" s="27"/>
      <c r="PRS5" s="27"/>
      <c r="PRT5" s="27"/>
      <c r="PRU5" s="27"/>
      <c r="PRV5" s="27"/>
      <c r="PRW5" s="27"/>
      <c r="PRX5" s="27"/>
      <c r="PRY5" s="27"/>
      <c r="PRZ5" s="27"/>
      <c r="PSA5" s="27"/>
      <c r="PSB5" s="27"/>
      <c r="PSC5" s="27"/>
      <c r="PSD5" s="27"/>
      <c r="PSE5" s="27"/>
      <c r="PSF5" s="27"/>
      <c r="PSG5" s="27"/>
      <c r="PSH5" s="27"/>
      <c r="PSI5" s="27"/>
      <c r="PSJ5" s="27"/>
      <c r="PSK5" s="27"/>
      <c r="PSL5" s="27"/>
      <c r="PSM5" s="27"/>
      <c r="PSN5" s="27"/>
      <c r="PSO5" s="27"/>
      <c r="PSP5" s="27"/>
      <c r="PSQ5" s="27"/>
      <c r="PSR5" s="27"/>
      <c r="PSS5" s="27"/>
      <c r="PST5" s="27"/>
      <c r="PSU5" s="27"/>
      <c r="PSV5" s="27"/>
      <c r="PSW5" s="27"/>
      <c r="PSX5" s="27"/>
      <c r="PSY5" s="27"/>
      <c r="PSZ5" s="27"/>
      <c r="PTA5" s="27"/>
      <c r="PTB5" s="27"/>
      <c r="PTC5" s="27"/>
      <c r="PTD5" s="27"/>
      <c r="PTE5" s="27"/>
      <c r="PTF5" s="27"/>
      <c r="PTG5" s="27"/>
      <c r="PTH5" s="27"/>
      <c r="PTI5" s="27"/>
      <c r="PTJ5" s="27"/>
      <c r="PTK5" s="27"/>
      <c r="PTL5" s="27"/>
      <c r="PTM5" s="27"/>
      <c r="PTN5" s="27"/>
      <c r="PTO5" s="27"/>
      <c r="PTP5" s="27"/>
      <c r="PTQ5" s="27"/>
      <c r="PTR5" s="27"/>
      <c r="PTS5" s="27"/>
      <c r="PTT5" s="27"/>
      <c r="PTU5" s="27"/>
      <c r="PTV5" s="27"/>
      <c r="PTW5" s="27"/>
      <c r="PTX5" s="27"/>
      <c r="PTY5" s="27"/>
      <c r="PTZ5" s="27"/>
      <c r="PUA5" s="27"/>
      <c r="PUB5" s="27"/>
      <c r="PUC5" s="27"/>
      <c r="PUD5" s="27"/>
      <c r="PUE5" s="27"/>
      <c r="PUF5" s="27"/>
      <c r="PUG5" s="27"/>
      <c r="PUH5" s="27"/>
      <c r="PUI5" s="27"/>
      <c r="PUJ5" s="27"/>
      <c r="PUK5" s="27"/>
      <c r="PUL5" s="27"/>
      <c r="PUM5" s="27"/>
      <c r="PUN5" s="27"/>
      <c r="PUO5" s="27"/>
      <c r="PUP5" s="27"/>
      <c r="PUQ5" s="27"/>
      <c r="PUR5" s="27"/>
      <c r="PUS5" s="27"/>
      <c r="PUT5" s="27"/>
      <c r="PUU5" s="27"/>
      <c r="PUV5" s="27"/>
      <c r="PUW5" s="27"/>
      <c r="PUX5" s="27"/>
      <c r="PUY5" s="27"/>
      <c r="PUZ5" s="27"/>
      <c r="PVA5" s="27"/>
      <c r="PVB5" s="27"/>
      <c r="PVC5" s="27"/>
      <c r="PVD5" s="27"/>
      <c r="PVE5" s="27"/>
      <c r="PVF5" s="27"/>
      <c r="PVG5" s="27"/>
      <c r="PVH5" s="27"/>
      <c r="PVI5" s="27"/>
      <c r="PVJ5" s="27"/>
      <c r="PVK5" s="27"/>
      <c r="PVL5" s="27"/>
      <c r="PVM5" s="27"/>
      <c r="PVN5" s="27"/>
      <c r="PVO5" s="27"/>
      <c r="PVP5" s="27"/>
      <c r="PVQ5" s="27"/>
      <c r="PVR5" s="27"/>
      <c r="PVS5" s="27"/>
      <c r="PVT5" s="27"/>
      <c r="PVU5" s="27"/>
      <c r="PVV5" s="27"/>
      <c r="PVW5" s="27"/>
      <c r="PVX5" s="27"/>
      <c r="PVY5" s="27"/>
      <c r="PVZ5" s="27"/>
      <c r="PWA5" s="27"/>
      <c r="PWB5" s="27"/>
      <c r="PWC5" s="27"/>
      <c r="PWD5" s="27"/>
      <c r="PWE5" s="27"/>
      <c r="PWF5" s="27"/>
      <c r="PWG5" s="27"/>
      <c r="PWH5" s="27"/>
      <c r="PWI5" s="27"/>
      <c r="PWJ5" s="27"/>
      <c r="PWK5" s="27"/>
      <c r="PWL5" s="27"/>
      <c r="PWM5" s="27"/>
      <c r="PWN5" s="27"/>
      <c r="PWO5" s="27"/>
      <c r="PWP5" s="27"/>
      <c r="PWQ5" s="27"/>
      <c r="PWR5" s="27"/>
      <c r="PWS5" s="27"/>
      <c r="PWT5" s="27"/>
      <c r="PWU5" s="27"/>
      <c r="PWV5" s="27"/>
      <c r="PWW5" s="27"/>
      <c r="PWX5" s="27"/>
      <c r="PWY5" s="27"/>
      <c r="PWZ5" s="27"/>
      <c r="PXA5" s="27"/>
      <c r="PXB5" s="27"/>
      <c r="PXC5" s="27"/>
      <c r="PXD5" s="27"/>
      <c r="PXE5" s="27"/>
      <c r="PXF5" s="27"/>
      <c r="PXG5" s="27"/>
      <c r="PXH5" s="27"/>
      <c r="PXI5" s="27"/>
      <c r="PXJ5" s="27"/>
      <c r="PXK5" s="27"/>
      <c r="PXL5" s="27"/>
      <c r="PXM5" s="27"/>
      <c r="PXN5" s="27"/>
      <c r="PXO5" s="27"/>
      <c r="PXP5" s="27"/>
      <c r="PXQ5" s="27"/>
      <c r="PXR5" s="27"/>
      <c r="PXS5" s="27"/>
      <c r="PXT5" s="27"/>
      <c r="PXU5" s="27"/>
      <c r="PXV5" s="27"/>
      <c r="PXW5" s="27"/>
      <c r="PXX5" s="27"/>
      <c r="PXY5" s="27"/>
      <c r="PXZ5" s="27"/>
      <c r="PYA5" s="27"/>
      <c r="PYB5" s="27"/>
      <c r="PYC5" s="27"/>
      <c r="PYD5" s="27"/>
      <c r="PYE5" s="27"/>
      <c r="PYF5" s="27"/>
      <c r="PYG5" s="27"/>
      <c r="PYH5" s="27"/>
      <c r="PYI5" s="27"/>
      <c r="PYJ5" s="27"/>
      <c r="PYK5" s="27"/>
      <c r="PYL5" s="27"/>
      <c r="PYM5" s="27"/>
      <c r="PYN5" s="27"/>
      <c r="PYO5" s="27"/>
      <c r="PYP5" s="27"/>
      <c r="PYQ5" s="27"/>
      <c r="PYR5" s="27"/>
      <c r="PYS5" s="27"/>
      <c r="PYT5" s="27"/>
      <c r="PYU5" s="27"/>
      <c r="PYV5" s="27"/>
      <c r="PYW5" s="27"/>
      <c r="PYX5" s="27"/>
      <c r="PYY5" s="27"/>
      <c r="PYZ5" s="27"/>
      <c r="PZA5" s="27"/>
      <c r="PZB5" s="27"/>
      <c r="PZC5" s="27"/>
      <c r="PZD5" s="27"/>
      <c r="PZE5" s="27"/>
      <c r="PZF5" s="27"/>
      <c r="PZG5" s="27"/>
      <c r="PZH5" s="27"/>
      <c r="PZI5" s="27"/>
      <c r="PZJ5" s="27"/>
      <c r="PZK5" s="27"/>
      <c r="PZL5" s="27"/>
      <c r="PZM5" s="27"/>
      <c r="PZN5" s="27"/>
      <c r="PZO5" s="27"/>
      <c r="PZP5" s="27"/>
      <c r="PZQ5" s="27"/>
      <c r="PZR5" s="27"/>
      <c r="PZS5" s="27"/>
      <c r="PZT5" s="27"/>
      <c r="PZU5" s="27"/>
      <c r="PZV5" s="27"/>
      <c r="PZW5" s="27"/>
      <c r="PZX5" s="27"/>
      <c r="PZY5" s="27"/>
      <c r="PZZ5" s="27"/>
      <c r="QAA5" s="27"/>
      <c r="QAB5" s="27"/>
      <c r="QAC5" s="27"/>
      <c r="QAD5" s="27"/>
      <c r="QAE5" s="27"/>
      <c r="QAF5" s="27"/>
      <c r="QAG5" s="27"/>
      <c r="QAH5" s="27"/>
      <c r="QAI5" s="27"/>
      <c r="QAJ5" s="27"/>
      <c r="QAK5" s="27"/>
      <c r="QAL5" s="27"/>
      <c r="QAM5" s="27"/>
      <c r="QAN5" s="27"/>
      <c r="QAO5" s="27"/>
      <c r="QAP5" s="27"/>
      <c r="QAQ5" s="27"/>
      <c r="QAR5" s="27"/>
      <c r="QAS5" s="27"/>
      <c r="QAT5" s="27"/>
      <c r="QAU5" s="27"/>
      <c r="QAV5" s="27"/>
      <c r="QAW5" s="27"/>
      <c r="QAX5" s="27"/>
      <c r="QAY5" s="27"/>
      <c r="QAZ5" s="27"/>
      <c r="QBA5" s="27"/>
      <c r="QBB5" s="27"/>
      <c r="QBC5" s="27"/>
      <c r="QBD5" s="27"/>
      <c r="QBE5" s="27"/>
      <c r="QBF5" s="27"/>
      <c r="QBG5" s="27"/>
      <c r="QBH5" s="27"/>
      <c r="QBI5" s="27"/>
      <c r="QBJ5" s="27"/>
      <c r="QBK5" s="27"/>
      <c r="QBL5" s="27"/>
      <c r="QBM5" s="27"/>
      <c r="QBN5" s="27"/>
      <c r="QBO5" s="27"/>
      <c r="QBP5" s="27"/>
      <c r="QBQ5" s="27"/>
      <c r="QBR5" s="27"/>
      <c r="QBS5" s="27"/>
      <c r="QBT5" s="27"/>
      <c r="QBU5" s="27"/>
      <c r="QBV5" s="27"/>
      <c r="QBW5" s="27"/>
      <c r="QBX5" s="27"/>
      <c r="QBY5" s="27"/>
      <c r="QBZ5" s="27"/>
      <c r="QCA5" s="27"/>
      <c r="QCB5" s="27"/>
      <c r="QCC5" s="27"/>
      <c r="QCD5" s="27"/>
      <c r="QCE5" s="27"/>
      <c r="QCF5" s="27"/>
      <c r="QCG5" s="27"/>
      <c r="QCH5" s="27"/>
      <c r="QCI5" s="27"/>
      <c r="QCJ5" s="27"/>
      <c r="QCK5" s="27"/>
      <c r="QCL5" s="27"/>
      <c r="QCM5" s="27"/>
      <c r="QCN5" s="27"/>
      <c r="QCO5" s="27"/>
      <c r="QCP5" s="27"/>
      <c r="QCQ5" s="27"/>
      <c r="QCR5" s="27"/>
      <c r="QCS5" s="27"/>
      <c r="QCT5" s="27"/>
      <c r="QCU5" s="27"/>
      <c r="QCV5" s="27"/>
      <c r="QCW5" s="27"/>
      <c r="QCX5" s="27"/>
      <c r="QCY5" s="27"/>
      <c r="QCZ5" s="27"/>
      <c r="QDA5" s="27"/>
      <c r="QDB5" s="27"/>
      <c r="QDC5" s="27"/>
      <c r="QDD5" s="27"/>
      <c r="QDE5" s="27"/>
      <c r="QDF5" s="27"/>
      <c r="QDG5" s="27"/>
      <c r="QDH5" s="27"/>
      <c r="QDI5" s="27"/>
      <c r="QDJ5" s="27"/>
      <c r="QDK5" s="27"/>
      <c r="QDL5" s="27"/>
      <c r="QDM5" s="27"/>
      <c r="QDN5" s="27"/>
      <c r="QDO5" s="27"/>
      <c r="QDP5" s="27"/>
      <c r="QDQ5" s="27"/>
      <c r="QDR5" s="27"/>
      <c r="QDS5" s="27"/>
      <c r="QDT5" s="27"/>
      <c r="QDU5" s="27"/>
      <c r="QDV5" s="27"/>
      <c r="QDW5" s="27"/>
      <c r="QDX5" s="27"/>
      <c r="QDY5" s="27"/>
      <c r="QDZ5" s="27"/>
      <c r="QEA5" s="27"/>
      <c r="QEB5" s="27"/>
      <c r="QEC5" s="27"/>
      <c r="QED5" s="27"/>
      <c r="QEE5" s="27"/>
      <c r="QEF5" s="27"/>
      <c r="QEG5" s="27"/>
      <c r="QEH5" s="27"/>
      <c r="QEI5" s="27"/>
      <c r="QEJ5" s="27"/>
      <c r="QEK5" s="27"/>
      <c r="QEL5" s="27"/>
      <c r="QEM5" s="27"/>
      <c r="QEN5" s="27"/>
      <c r="QEO5" s="27"/>
      <c r="QEP5" s="27"/>
      <c r="QEQ5" s="27"/>
      <c r="QER5" s="27"/>
      <c r="QES5" s="27"/>
      <c r="QET5" s="27"/>
      <c r="QEU5" s="27"/>
      <c r="QEV5" s="27"/>
      <c r="QEW5" s="27"/>
      <c r="QEX5" s="27"/>
      <c r="QEY5" s="27"/>
      <c r="QEZ5" s="27"/>
      <c r="QFA5" s="27"/>
      <c r="QFB5" s="27"/>
      <c r="QFC5" s="27"/>
      <c r="QFD5" s="27"/>
      <c r="QFE5" s="27"/>
      <c r="QFF5" s="27"/>
      <c r="QFG5" s="27"/>
      <c r="QFH5" s="27"/>
      <c r="QFI5" s="27"/>
      <c r="QFJ5" s="27"/>
      <c r="QFK5" s="27"/>
      <c r="QFL5" s="27"/>
      <c r="QFM5" s="27"/>
      <c r="QFN5" s="27"/>
      <c r="QFO5" s="27"/>
      <c r="QFP5" s="27"/>
      <c r="QFQ5" s="27"/>
      <c r="QFR5" s="27"/>
      <c r="QFS5" s="27"/>
      <c r="QFT5" s="27"/>
      <c r="QFU5" s="27"/>
      <c r="QFV5" s="27"/>
      <c r="QFW5" s="27"/>
      <c r="QFX5" s="27"/>
      <c r="QFY5" s="27"/>
      <c r="QFZ5" s="27"/>
      <c r="QGA5" s="27"/>
      <c r="QGB5" s="27"/>
      <c r="QGC5" s="27"/>
      <c r="QGD5" s="27"/>
      <c r="QGE5" s="27"/>
      <c r="QGF5" s="27"/>
      <c r="QGG5" s="27"/>
      <c r="QGH5" s="27"/>
      <c r="QGI5" s="27"/>
      <c r="QGJ5" s="27"/>
      <c r="QGK5" s="27"/>
      <c r="QGL5" s="27"/>
      <c r="QGM5" s="27"/>
      <c r="QGN5" s="27"/>
      <c r="QGO5" s="27"/>
      <c r="QGP5" s="27"/>
      <c r="QGQ5" s="27"/>
      <c r="QGR5" s="27"/>
      <c r="QGS5" s="27"/>
      <c r="QGT5" s="27"/>
      <c r="QGU5" s="27"/>
      <c r="QGV5" s="27"/>
      <c r="QGW5" s="27"/>
      <c r="QGX5" s="27"/>
      <c r="QGY5" s="27"/>
      <c r="QGZ5" s="27"/>
      <c r="QHA5" s="27"/>
      <c r="QHB5" s="27"/>
      <c r="QHC5" s="27"/>
      <c r="QHD5" s="27"/>
      <c r="QHE5" s="27"/>
      <c r="QHF5" s="27"/>
      <c r="QHG5" s="27"/>
      <c r="QHH5" s="27"/>
      <c r="QHI5" s="27"/>
      <c r="QHJ5" s="27"/>
      <c r="QHK5" s="27"/>
      <c r="QHL5" s="27"/>
      <c r="QHM5" s="27"/>
      <c r="QHN5" s="27"/>
      <c r="QHO5" s="27"/>
      <c r="QHP5" s="27"/>
      <c r="QHQ5" s="27"/>
      <c r="QHR5" s="27"/>
      <c r="QHS5" s="27"/>
      <c r="QHT5" s="27"/>
      <c r="QHU5" s="27"/>
      <c r="QHV5" s="27"/>
      <c r="QHW5" s="27"/>
      <c r="QHX5" s="27"/>
      <c r="QHY5" s="27"/>
      <c r="QHZ5" s="27"/>
      <c r="QIA5" s="27"/>
      <c r="QIB5" s="27"/>
      <c r="QIC5" s="27"/>
      <c r="QID5" s="27"/>
      <c r="QIE5" s="27"/>
      <c r="QIF5" s="27"/>
      <c r="QIG5" s="27"/>
      <c r="QIH5" s="27"/>
      <c r="QII5" s="27"/>
      <c r="QIJ5" s="27"/>
      <c r="QIK5" s="27"/>
      <c r="QIL5" s="27"/>
      <c r="QIM5" s="27"/>
      <c r="QIN5" s="27"/>
      <c r="QIO5" s="27"/>
      <c r="QIP5" s="27"/>
      <c r="QIQ5" s="27"/>
      <c r="QIR5" s="27"/>
      <c r="QIS5" s="27"/>
      <c r="QIT5" s="27"/>
      <c r="QIU5" s="27"/>
      <c r="QIV5" s="27"/>
      <c r="QIW5" s="27"/>
      <c r="QIX5" s="27"/>
      <c r="QIY5" s="27"/>
      <c r="QIZ5" s="27"/>
      <c r="QJA5" s="27"/>
      <c r="QJB5" s="27"/>
      <c r="QJC5" s="27"/>
      <c r="QJD5" s="27"/>
      <c r="QJE5" s="27"/>
      <c r="QJF5" s="27"/>
      <c r="QJG5" s="27"/>
      <c r="QJH5" s="27"/>
      <c r="QJI5" s="27"/>
      <c r="QJJ5" s="27"/>
      <c r="QJK5" s="27"/>
      <c r="QJL5" s="27"/>
      <c r="QJM5" s="27"/>
      <c r="QJN5" s="27"/>
      <c r="QJO5" s="27"/>
      <c r="QJP5" s="27"/>
      <c r="QJQ5" s="27"/>
      <c r="QJR5" s="27"/>
      <c r="QJS5" s="27"/>
      <c r="QJT5" s="27"/>
      <c r="QJU5" s="27"/>
      <c r="QJV5" s="27"/>
      <c r="QJW5" s="27"/>
      <c r="QJX5" s="27"/>
      <c r="QJY5" s="27"/>
      <c r="QJZ5" s="27"/>
      <c r="QKA5" s="27"/>
      <c r="QKB5" s="27"/>
      <c r="QKC5" s="27"/>
      <c r="QKD5" s="27"/>
      <c r="QKE5" s="27"/>
      <c r="QKF5" s="27"/>
      <c r="QKG5" s="27"/>
      <c r="QKH5" s="27"/>
      <c r="QKI5" s="27"/>
      <c r="QKJ5" s="27"/>
      <c r="QKK5" s="27"/>
      <c r="QKL5" s="27"/>
      <c r="QKM5" s="27"/>
      <c r="QKN5" s="27"/>
      <c r="QKO5" s="27"/>
      <c r="QKP5" s="27"/>
      <c r="QKQ5" s="27"/>
      <c r="QKR5" s="27"/>
      <c r="QKS5" s="27"/>
      <c r="QKT5" s="27"/>
      <c r="QKU5" s="27"/>
      <c r="QKV5" s="27"/>
      <c r="QKW5" s="27"/>
      <c r="QKX5" s="27"/>
      <c r="QKY5" s="27"/>
      <c r="QKZ5" s="27"/>
      <c r="QLA5" s="27"/>
      <c r="QLB5" s="27"/>
      <c r="QLC5" s="27"/>
      <c r="QLD5" s="27"/>
      <c r="QLE5" s="27"/>
      <c r="QLF5" s="27"/>
      <c r="QLG5" s="27"/>
      <c r="QLH5" s="27"/>
      <c r="QLI5" s="27"/>
      <c r="QLJ5" s="27"/>
      <c r="QLK5" s="27"/>
      <c r="QLL5" s="27"/>
      <c r="QLM5" s="27"/>
      <c r="QLN5" s="27"/>
      <c r="QLO5" s="27"/>
      <c r="QLP5" s="27"/>
      <c r="QLQ5" s="27"/>
      <c r="QLR5" s="27"/>
      <c r="QLS5" s="27"/>
      <c r="QLT5" s="27"/>
      <c r="QLU5" s="27"/>
      <c r="QLV5" s="27"/>
      <c r="QLW5" s="27"/>
      <c r="QLX5" s="27"/>
      <c r="QLY5" s="27"/>
      <c r="QLZ5" s="27"/>
      <c r="QMA5" s="27"/>
      <c r="QMB5" s="27"/>
      <c r="QMC5" s="27"/>
      <c r="QMD5" s="27"/>
      <c r="QME5" s="27"/>
      <c r="QMF5" s="27"/>
      <c r="QMG5" s="27"/>
      <c r="QMH5" s="27"/>
      <c r="QMI5" s="27"/>
      <c r="QMJ5" s="27"/>
      <c r="QMK5" s="27"/>
      <c r="QML5" s="27"/>
      <c r="QMM5" s="27"/>
      <c r="QMN5" s="27"/>
      <c r="QMO5" s="27"/>
      <c r="QMP5" s="27"/>
      <c r="QMQ5" s="27"/>
      <c r="QMR5" s="27"/>
      <c r="QMS5" s="27"/>
      <c r="QMT5" s="27"/>
      <c r="QMU5" s="27"/>
      <c r="QMV5" s="27"/>
      <c r="QMW5" s="27"/>
      <c r="QMX5" s="27"/>
      <c r="QMY5" s="27"/>
      <c r="QMZ5" s="27"/>
      <c r="QNA5" s="27"/>
      <c r="QNB5" s="27"/>
      <c r="QNC5" s="27"/>
      <c r="QND5" s="27"/>
      <c r="QNE5" s="27"/>
      <c r="QNF5" s="27"/>
      <c r="QNG5" s="27"/>
      <c r="QNH5" s="27"/>
      <c r="QNI5" s="27"/>
      <c r="QNJ5" s="27"/>
      <c r="QNK5" s="27"/>
      <c r="QNL5" s="27"/>
      <c r="QNM5" s="27"/>
      <c r="QNN5" s="27"/>
      <c r="QNO5" s="27"/>
      <c r="QNP5" s="27"/>
      <c r="QNQ5" s="27"/>
      <c r="QNR5" s="27"/>
      <c r="QNS5" s="27"/>
      <c r="QNT5" s="27"/>
      <c r="QNU5" s="27"/>
      <c r="QNV5" s="27"/>
      <c r="QNW5" s="27"/>
      <c r="QNX5" s="27"/>
      <c r="QNY5" s="27"/>
      <c r="QNZ5" s="27"/>
      <c r="QOA5" s="27"/>
      <c r="QOB5" s="27"/>
      <c r="QOC5" s="27"/>
      <c r="QOD5" s="27"/>
      <c r="QOE5" s="27"/>
      <c r="QOF5" s="27"/>
      <c r="QOG5" s="27"/>
      <c r="QOH5" s="27"/>
      <c r="QOI5" s="27"/>
      <c r="QOJ5" s="27"/>
      <c r="QOK5" s="27"/>
      <c r="QOL5" s="27"/>
      <c r="QOM5" s="27"/>
      <c r="QON5" s="27"/>
      <c r="QOO5" s="27"/>
      <c r="QOP5" s="27"/>
      <c r="QOQ5" s="27"/>
      <c r="QOR5" s="27"/>
      <c r="QOS5" s="27"/>
      <c r="QOT5" s="27"/>
      <c r="QOU5" s="27"/>
      <c r="QOV5" s="27"/>
      <c r="QOW5" s="27"/>
      <c r="QOX5" s="27"/>
      <c r="QOY5" s="27"/>
      <c r="QOZ5" s="27"/>
      <c r="QPA5" s="27"/>
      <c r="QPB5" s="27"/>
      <c r="QPC5" s="27"/>
      <c r="QPD5" s="27"/>
      <c r="QPE5" s="27"/>
      <c r="QPF5" s="27"/>
      <c r="QPG5" s="27"/>
      <c r="QPH5" s="27"/>
      <c r="QPI5" s="27"/>
      <c r="QPJ5" s="27"/>
      <c r="QPK5" s="27"/>
      <c r="QPL5" s="27"/>
      <c r="QPM5" s="27"/>
      <c r="QPN5" s="27"/>
      <c r="QPO5" s="27"/>
      <c r="QPP5" s="27"/>
      <c r="QPQ5" s="27"/>
      <c r="QPR5" s="27"/>
      <c r="QPS5" s="27"/>
      <c r="QPT5" s="27"/>
      <c r="QPU5" s="27"/>
      <c r="QPV5" s="27"/>
      <c r="QPW5" s="27"/>
      <c r="QPX5" s="27"/>
      <c r="QPY5" s="27"/>
      <c r="QPZ5" s="27"/>
      <c r="QQA5" s="27"/>
      <c r="QQB5" s="27"/>
      <c r="QQC5" s="27"/>
      <c r="QQD5" s="27"/>
      <c r="QQE5" s="27"/>
      <c r="QQF5" s="27"/>
      <c r="QQG5" s="27"/>
      <c r="QQH5" s="27"/>
      <c r="QQI5" s="27"/>
      <c r="QQJ5" s="27"/>
      <c r="QQK5" s="27"/>
      <c r="QQL5" s="27"/>
      <c r="QQM5" s="27"/>
      <c r="QQN5" s="27"/>
      <c r="QQO5" s="27"/>
      <c r="QQP5" s="27"/>
      <c r="QQQ5" s="27"/>
      <c r="QQR5" s="27"/>
      <c r="QQS5" s="27"/>
      <c r="QQT5" s="27"/>
      <c r="QQU5" s="27"/>
      <c r="QQV5" s="27"/>
      <c r="QQW5" s="27"/>
      <c r="QQX5" s="27"/>
      <c r="QQY5" s="27"/>
      <c r="QQZ5" s="27"/>
      <c r="QRA5" s="27"/>
      <c r="QRB5" s="27"/>
      <c r="QRC5" s="27"/>
      <c r="QRD5" s="27"/>
      <c r="QRE5" s="27"/>
      <c r="QRF5" s="27"/>
      <c r="QRG5" s="27"/>
      <c r="QRH5" s="27"/>
      <c r="QRI5" s="27"/>
      <c r="QRJ5" s="27"/>
      <c r="QRK5" s="27"/>
      <c r="QRL5" s="27"/>
      <c r="QRM5" s="27"/>
      <c r="QRN5" s="27"/>
      <c r="QRO5" s="27"/>
      <c r="QRP5" s="27"/>
      <c r="QRQ5" s="27"/>
      <c r="QRR5" s="27"/>
      <c r="QRS5" s="27"/>
      <c r="QRT5" s="27"/>
      <c r="QRU5" s="27"/>
      <c r="QRV5" s="27"/>
      <c r="QRW5" s="27"/>
      <c r="QRX5" s="27"/>
      <c r="QRY5" s="27"/>
      <c r="QRZ5" s="27"/>
      <c r="QSA5" s="27"/>
      <c r="QSB5" s="27"/>
      <c r="QSC5" s="27"/>
      <c r="QSD5" s="27"/>
      <c r="QSE5" s="27"/>
      <c r="QSF5" s="27"/>
      <c r="QSG5" s="27"/>
      <c r="QSH5" s="27"/>
      <c r="QSI5" s="27"/>
      <c r="QSJ5" s="27"/>
      <c r="QSK5" s="27"/>
      <c r="QSL5" s="27"/>
      <c r="QSM5" s="27"/>
      <c r="QSN5" s="27"/>
      <c r="QSO5" s="27"/>
      <c r="QSP5" s="27"/>
      <c r="QSQ5" s="27"/>
      <c r="QSR5" s="27"/>
      <c r="QSS5" s="27"/>
      <c r="QST5" s="27"/>
      <c r="QSU5" s="27"/>
      <c r="QSV5" s="27"/>
      <c r="QSW5" s="27"/>
      <c r="QSX5" s="27"/>
      <c r="QSY5" s="27"/>
      <c r="QSZ5" s="27"/>
      <c r="QTA5" s="27"/>
      <c r="QTB5" s="27"/>
      <c r="QTC5" s="27"/>
      <c r="QTD5" s="27"/>
      <c r="QTE5" s="27"/>
      <c r="QTF5" s="27"/>
      <c r="QTG5" s="27"/>
      <c r="QTH5" s="27"/>
      <c r="QTI5" s="27"/>
      <c r="QTJ5" s="27"/>
      <c r="QTK5" s="27"/>
      <c r="QTL5" s="27"/>
      <c r="QTM5" s="27"/>
      <c r="QTN5" s="27"/>
      <c r="QTO5" s="27"/>
      <c r="QTP5" s="27"/>
      <c r="QTQ5" s="27"/>
      <c r="QTR5" s="27"/>
      <c r="QTS5" s="27"/>
      <c r="QTT5" s="27"/>
      <c r="QTU5" s="27"/>
      <c r="QTV5" s="27"/>
      <c r="QTW5" s="27"/>
      <c r="QTX5" s="27"/>
      <c r="QTY5" s="27"/>
      <c r="QTZ5" s="27"/>
      <c r="QUA5" s="27"/>
      <c r="QUB5" s="27"/>
      <c r="QUC5" s="27"/>
      <c r="QUD5" s="27"/>
      <c r="QUE5" s="27"/>
      <c r="QUF5" s="27"/>
      <c r="QUG5" s="27"/>
      <c r="QUH5" s="27"/>
      <c r="QUI5" s="27"/>
      <c r="QUJ5" s="27"/>
      <c r="QUK5" s="27"/>
      <c r="QUL5" s="27"/>
      <c r="QUM5" s="27"/>
      <c r="QUN5" s="27"/>
      <c r="QUO5" s="27"/>
      <c r="QUP5" s="27"/>
      <c r="QUQ5" s="27"/>
      <c r="QUR5" s="27"/>
      <c r="QUS5" s="27"/>
      <c r="QUT5" s="27"/>
      <c r="QUU5" s="27"/>
      <c r="QUV5" s="27"/>
      <c r="QUW5" s="27"/>
      <c r="QUX5" s="27"/>
      <c r="QUY5" s="27"/>
      <c r="QUZ5" s="27"/>
      <c r="QVA5" s="27"/>
      <c r="QVB5" s="27"/>
      <c r="QVC5" s="27"/>
      <c r="QVD5" s="27"/>
      <c r="QVE5" s="27"/>
      <c r="QVF5" s="27"/>
      <c r="QVG5" s="27"/>
      <c r="QVH5" s="27"/>
      <c r="QVI5" s="27"/>
      <c r="QVJ5" s="27"/>
      <c r="QVK5" s="27"/>
      <c r="QVL5" s="27"/>
      <c r="QVM5" s="27"/>
      <c r="QVN5" s="27"/>
      <c r="QVO5" s="27"/>
      <c r="QVP5" s="27"/>
      <c r="QVQ5" s="27"/>
      <c r="QVR5" s="27"/>
      <c r="QVS5" s="27"/>
      <c r="QVT5" s="27"/>
      <c r="QVU5" s="27"/>
      <c r="QVV5" s="27"/>
      <c r="QVW5" s="27"/>
      <c r="QVX5" s="27"/>
      <c r="QVY5" s="27"/>
      <c r="QVZ5" s="27"/>
      <c r="QWA5" s="27"/>
      <c r="QWB5" s="27"/>
      <c r="QWC5" s="27"/>
      <c r="QWD5" s="27"/>
      <c r="QWE5" s="27"/>
      <c r="QWF5" s="27"/>
      <c r="QWG5" s="27"/>
      <c r="QWH5" s="27"/>
      <c r="QWI5" s="27"/>
      <c r="QWJ5" s="27"/>
      <c r="QWK5" s="27"/>
      <c r="QWL5" s="27"/>
      <c r="QWM5" s="27"/>
      <c r="QWN5" s="27"/>
      <c r="QWO5" s="27"/>
      <c r="QWP5" s="27"/>
      <c r="QWQ5" s="27"/>
      <c r="QWR5" s="27"/>
      <c r="QWS5" s="27"/>
      <c r="QWT5" s="27"/>
      <c r="QWU5" s="27"/>
      <c r="QWV5" s="27"/>
      <c r="QWW5" s="27"/>
      <c r="QWX5" s="27"/>
      <c r="QWY5" s="27"/>
      <c r="QWZ5" s="27"/>
      <c r="QXA5" s="27"/>
      <c r="QXB5" s="27"/>
      <c r="QXC5" s="27"/>
      <c r="QXD5" s="27"/>
      <c r="QXE5" s="27"/>
      <c r="QXF5" s="27"/>
      <c r="QXG5" s="27"/>
      <c r="QXH5" s="27"/>
      <c r="QXI5" s="27"/>
      <c r="QXJ5" s="27"/>
      <c r="QXK5" s="27"/>
      <c r="QXL5" s="27"/>
      <c r="QXM5" s="27"/>
      <c r="QXN5" s="27"/>
      <c r="QXO5" s="27"/>
      <c r="QXP5" s="27"/>
      <c r="QXQ5" s="27"/>
      <c r="QXR5" s="27"/>
      <c r="QXS5" s="27"/>
      <c r="QXT5" s="27"/>
      <c r="QXU5" s="27"/>
      <c r="QXV5" s="27"/>
      <c r="QXW5" s="27"/>
      <c r="QXX5" s="27"/>
      <c r="QXY5" s="27"/>
      <c r="QXZ5" s="27"/>
      <c r="QYA5" s="27"/>
      <c r="QYB5" s="27"/>
      <c r="QYC5" s="27"/>
      <c r="QYD5" s="27"/>
      <c r="QYE5" s="27"/>
      <c r="QYF5" s="27"/>
      <c r="QYG5" s="27"/>
      <c r="QYH5" s="27"/>
      <c r="QYI5" s="27"/>
      <c r="QYJ5" s="27"/>
      <c r="QYK5" s="27"/>
      <c r="QYL5" s="27"/>
      <c r="QYM5" s="27"/>
      <c r="QYN5" s="27"/>
      <c r="QYO5" s="27"/>
      <c r="QYP5" s="27"/>
      <c r="QYQ5" s="27"/>
      <c r="QYR5" s="27"/>
      <c r="QYS5" s="27"/>
      <c r="QYT5" s="27"/>
      <c r="QYU5" s="27"/>
      <c r="QYV5" s="27"/>
      <c r="QYW5" s="27"/>
      <c r="QYX5" s="27"/>
      <c r="QYY5" s="27"/>
      <c r="QYZ5" s="27"/>
      <c r="QZA5" s="27"/>
      <c r="QZB5" s="27"/>
      <c r="QZC5" s="27"/>
      <c r="QZD5" s="27"/>
      <c r="QZE5" s="27"/>
      <c r="QZF5" s="27"/>
      <c r="QZG5" s="27"/>
      <c r="QZH5" s="27"/>
      <c r="QZI5" s="27"/>
      <c r="QZJ5" s="27"/>
      <c r="QZK5" s="27"/>
      <c r="QZL5" s="27"/>
      <c r="QZM5" s="27"/>
      <c r="QZN5" s="27"/>
      <c r="QZO5" s="27"/>
      <c r="QZP5" s="27"/>
      <c r="QZQ5" s="27"/>
      <c r="QZR5" s="27"/>
      <c r="QZS5" s="27"/>
      <c r="QZT5" s="27"/>
      <c r="QZU5" s="27"/>
      <c r="QZV5" s="27"/>
      <c r="QZW5" s="27"/>
      <c r="QZX5" s="27"/>
      <c r="QZY5" s="27"/>
      <c r="QZZ5" s="27"/>
      <c r="RAA5" s="27"/>
      <c r="RAB5" s="27"/>
      <c r="RAC5" s="27"/>
      <c r="RAD5" s="27"/>
      <c r="RAE5" s="27"/>
      <c r="RAF5" s="27"/>
      <c r="RAG5" s="27"/>
      <c r="RAH5" s="27"/>
      <c r="RAI5" s="27"/>
      <c r="RAJ5" s="27"/>
      <c r="RAK5" s="27"/>
      <c r="RAL5" s="27"/>
      <c r="RAM5" s="27"/>
      <c r="RAN5" s="27"/>
      <c r="RAO5" s="27"/>
      <c r="RAP5" s="27"/>
      <c r="RAQ5" s="27"/>
      <c r="RAR5" s="27"/>
      <c r="RAS5" s="27"/>
      <c r="RAT5" s="27"/>
      <c r="RAU5" s="27"/>
      <c r="RAV5" s="27"/>
      <c r="RAW5" s="27"/>
      <c r="RAX5" s="27"/>
      <c r="RAY5" s="27"/>
      <c r="RAZ5" s="27"/>
      <c r="RBA5" s="27"/>
      <c r="RBB5" s="27"/>
      <c r="RBC5" s="27"/>
      <c r="RBD5" s="27"/>
      <c r="RBE5" s="27"/>
      <c r="RBF5" s="27"/>
      <c r="RBG5" s="27"/>
      <c r="RBH5" s="27"/>
      <c r="RBI5" s="27"/>
      <c r="RBJ5" s="27"/>
      <c r="RBK5" s="27"/>
      <c r="RBL5" s="27"/>
      <c r="RBM5" s="27"/>
      <c r="RBN5" s="27"/>
      <c r="RBO5" s="27"/>
      <c r="RBP5" s="27"/>
      <c r="RBQ5" s="27"/>
      <c r="RBR5" s="27"/>
      <c r="RBS5" s="27"/>
      <c r="RBT5" s="27"/>
      <c r="RBU5" s="27"/>
      <c r="RBV5" s="27"/>
      <c r="RBW5" s="27"/>
      <c r="RBX5" s="27"/>
      <c r="RBY5" s="27"/>
      <c r="RBZ5" s="27"/>
      <c r="RCA5" s="27"/>
      <c r="RCB5" s="27"/>
      <c r="RCC5" s="27"/>
      <c r="RCD5" s="27"/>
      <c r="RCE5" s="27"/>
      <c r="RCF5" s="27"/>
      <c r="RCG5" s="27"/>
      <c r="RCH5" s="27"/>
      <c r="RCI5" s="27"/>
      <c r="RCJ5" s="27"/>
      <c r="RCK5" s="27"/>
      <c r="RCL5" s="27"/>
      <c r="RCM5" s="27"/>
      <c r="RCN5" s="27"/>
      <c r="RCO5" s="27"/>
      <c r="RCP5" s="27"/>
      <c r="RCQ5" s="27"/>
      <c r="RCR5" s="27"/>
      <c r="RCS5" s="27"/>
      <c r="RCT5" s="27"/>
      <c r="RCU5" s="27"/>
      <c r="RCV5" s="27"/>
      <c r="RCW5" s="27"/>
      <c r="RCX5" s="27"/>
      <c r="RCY5" s="27"/>
      <c r="RCZ5" s="27"/>
      <c r="RDA5" s="27"/>
      <c r="RDB5" s="27"/>
      <c r="RDC5" s="27"/>
      <c r="RDD5" s="27"/>
      <c r="RDE5" s="27"/>
      <c r="RDF5" s="27"/>
      <c r="RDG5" s="27"/>
      <c r="RDH5" s="27"/>
      <c r="RDI5" s="27"/>
      <c r="RDJ5" s="27"/>
      <c r="RDK5" s="27"/>
      <c r="RDL5" s="27"/>
      <c r="RDM5" s="27"/>
      <c r="RDN5" s="27"/>
      <c r="RDO5" s="27"/>
      <c r="RDP5" s="27"/>
      <c r="RDQ5" s="27"/>
      <c r="RDR5" s="27"/>
      <c r="RDS5" s="27"/>
      <c r="RDT5" s="27"/>
      <c r="RDU5" s="27"/>
      <c r="RDV5" s="27"/>
      <c r="RDW5" s="27"/>
      <c r="RDX5" s="27"/>
      <c r="RDY5" s="27"/>
      <c r="RDZ5" s="27"/>
      <c r="REA5" s="27"/>
      <c r="REB5" s="27"/>
      <c r="REC5" s="27"/>
      <c r="RED5" s="27"/>
      <c r="REE5" s="27"/>
      <c r="REF5" s="27"/>
      <c r="REG5" s="27"/>
      <c r="REH5" s="27"/>
      <c r="REI5" s="27"/>
      <c r="REJ5" s="27"/>
      <c r="REK5" s="27"/>
      <c r="REL5" s="27"/>
      <c r="REM5" s="27"/>
      <c r="REN5" s="27"/>
      <c r="REO5" s="27"/>
      <c r="REP5" s="27"/>
      <c r="REQ5" s="27"/>
      <c r="RER5" s="27"/>
      <c r="RES5" s="27"/>
      <c r="RET5" s="27"/>
      <c r="REU5" s="27"/>
      <c r="REV5" s="27"/>
      <c r="REW5" s="27"/>
      <c r="REX5" s="27"/>
      <c r="REY5" s="27"/>
      <c r="REZ5" s="27"/>
      <c r="RFA5" s="27"/>
      <c r="RFB5" s="27"/>
      <c r="RFC5" s="27"/>
      <c r="RFD5" s="27"/>
      <c r="RFE5" s="27"/>
      <c r="RFF5" s="27"/>
      <c r="RFG5" s="27"/>
      <c r="RFH5" s="27"/>
      <c r="RFI5" s="27"/>
      <c r="RFJ5" s="27"/>
      <c r="RFK5" s="27"/>
      <c r="RFL5" s="27"/>
      <c r="RFM5" s="27"/>
      <c r="RFN5" s="27"/>
      <c r="RFO5" s="27"/>
      <c r="RFP5" s="27"/>
      <c r="RFQ5" s="27"/>
      <c r="RFR5" s="27"/>
      <c r="RFS5" s="27"/>
      <c r="RFT5" s="27"/>
      <c r="RFU5" s="27"/>
      <c r="RFV5" s="27"/>
      <c r="RFW5" s="27"/>
      <c r="RFX5" s="27"/>
      <c r="RFY5" s="27"/>
      <c r="RFZ5" s="27"/>
      <c r="RGA5" s="27"/>
      <c r="RGB5" s="27"/>
      <c r="RGC5" s="27"/>
      <c r="RGD5" s="27"/>
      <c r="RGE5" s="27"/>
      <c r="RGF5" s="27"/>
      <c r="RGG5" s="27"/>
      <c r="RGH5" s="27"/>
      <c r="RGI5" s="27"/>
      <c r="RGJ5" s="27"/>
      <c r="RGK5" s="27"/>
      <c r="RGL5" s="27"/>
      <c r="RGM5" s="27"/>
      <c r="RGN5" s="27"/>
      <c r="RGO5" s="27"/>
      <c r="RGP5" s="27"/>
      <c r="RGQ5" s="27"/>
      <c r="RGR5" s="27"/>
      <c r="RGS5" s="27"/>
      <c r="RGT5" s="27"/>
      <c r="RGU5" s="27"/>
      <c r="RGV5" s="27"/>
      <c r="RGW5" s="27"/>
      <c r="RGX5" s="27"/>
      <c r="RGY5" s="27"/>
      <c r="RGZ5" s="27"/>
      <c r="RHA5" s="27"/>
      <c r="RHB5" s="27"/>
      <c r="RHC5" s="27"/>
      <c r="RHD5" s="27"/>
      <c r="RHE5" s="27"/>
      <c r="RHF5" s="27"/>
      <c r="RHG5" s="27"/>
      <c r="RHH5" s="27"/>
      <c r="RHI5" s="27"/>
      <c r="RHJ5" s="27"/>
      <c r="RHK5" s="27"/>
      <c r="RHL5" s="27"/>
      <c r="RHM5" s="27"/>
      <c r="RHN5" s="27"/>
      <c r="RHO5" s="27"/>
      <c r="RHP5" s="27"/>
      <c r="RHQ5" s="27"/>
      <c r="RHR5" s="27"/>
      <c r="RHS5" s="27"/>
      <c r="RHT5" s="27"/>
      <c r="RHU5" s="27"/>
      <c r="RHV5" s="27"/>
      <c r="RHW5" s="27"/>
      <c r="RHX5" s="27"/>
      <c r="RHY5" s="27"/>
      <c r="RHZ5" s="27"/>
      <c r="RIA5" s="27"/>
      <c r="RIB5" s="27"/>
      <c r="RIC5" s="27"/>
      <c r="RID5" s="27"/>
      <c r="RIE5" s="27"/>
      <c r="RIF5" s="27"/>
      <c r="RIG5" s="27"/>
      <c r="RIH5" s="27"/>
      <c r="RII5" s="27"/>
      <c r="RIJ5" s="27"/>
      <c r="RIK5" s="27"/>
      <c r="RIL5" s="27"/>
      <c r="RIM5" s="27"/>
      <c r="RIN5" s="27"/>
      <c r="RIO5" s="27"/>
      <c r="RIP5" s="27"/>
      <c r="RIQ5" s="27"/>
      <c r="RIR5" s="27"/>
      <c r="RIS5" s="27"/>
      <c r="RIT5" s="27"/>
      <c r="RIU5" s="27"/>
      <c r="RIV5" s="27"/>
      <c r="RIW5" s="27"/>
      <c r="RIX5" s="27"/>
      <c r="RIY5" s="27"/>
      <c r="RIZ5" s="27"/>
      <c r="RJA5" s="27"/>
      <c r="RJB5" s="27"/>
      <c r="RJC5" s="27"/>
      <c r="RJD5" s="27"/>
      <c r="RJE5" s="27"/>
      <c r="RJF5" s="27"/>
      <c r="RJG5" s="27"/>
      <c r="RJH5" s="27"/>
      <c r="RJI5" s="27"/>
      <c r="RJJ5" s="27"/>
      <c r="RJK5" s="27"/>
      <c r="RJL5" s="27"/>
      <c r="RJM5" s="27"/>
      <c r="RJN5" s="27"/>
      <c r="RJO5" s="27"/>
      <c r="RJP5" s="27"/>
      <c r="RJQ5" s="27"/>
      <c r="RJR5" s="27"/>
      <c r="RJS5" s="27"/>
      <c r="RJT5" s="27"/>
      <c r="RJU5" s="27"/>
      <c r="RJV5" s="27"/>
      <c r="RJW5" s="27"/>
      <c r="RJX5" s="27"/>
      <c r="RJY5" s="27"/>
      <c r="RJZ5" s="27"/>
      <c r="RKA5" s="27"/>
      <c r="RKB5" s="27"/>
      <c r="RKC5" s="27"/>
      <c r="RKD5" s="27"/>
      <c r="RKE5" s="27"/>
      <c r="RKF5" s="27"/>
      <c r="RKG5" s="27"/>
      <c r="RKH5" s="27"/>
      <c r="RKI5" s="27"/>
      <c r="RKJ5" s="27"/>
      <c r="RKK5" s="27"/>
      <c r="RKL5" s="27"/>
      <c r="RKM5" s="27"/>
      <c r="RKN5" s="27"/>
      <c r="RKO5" s="27"/>
      <c r="RKP5" s="27"/>
      <c r="RKQ5" s="27"/>
      <c r="RKR5" s="27"/>
      <c r="RKS5" s="27"/>
      <c r="RKT5" s="27"/>
      <c r="RKU5" s="27"/>
      <c r="RKV5" s="27"/>
      <c r="RKW5" s="27"/>
      <c r="RKX5" s="27"/>
      <c r="RKY5" s="27"/>
      <c r="RKZ5" s="27"/>
      <c r="RLA5" s="27"/>
      <c r="RLB5" s="27"/>
      <c r="RLC5" s="27"/>
      <c r="RLD5" s="27"/>
      <c r="RLE5" s="27"/>
      <c r="RLF5" s="27"/>
      <c r="RLG5" s="27"/>
      <c r="RLH5" s="27"/>
      <c r="RLI5" s="27"/>
      <c r="RLJ5" s="27"/>
      <c r="RLK5" s="27"/>
      <c r="RLL5" s="27"/>
      <c r="RLM5" s="27"/>
      <c r="RLN5" s="27"/>
      <c r="RLO5" s="27"/>
      <c r="RLP5" s="27"/>
      <c r="RLQ5" s="27"/>
      <c r="RLR5" s="27"/>
      <c r="RLS5" s="27"/>
      <c r="RLT5" s="27"/>
      <c r="RLU5" s="27"/>
      <c r="RLV5" s="27"/>
      <c r="RLW5" s="27"/>
      <c r="RLX5" s="27"/>
      <c r="RLY5" s="27"/>
      <c r="RLZ5" s="27"/>
      <c r="RMA5" s="27"/>
      <c r="RMB5" s="27"/>
      <c r="RMC5" s="27"/>
      <c r="RMD5" s="27"/>
      <c r="RME5" s="27"/>
      <c r="RMF5" s="27"/>
      <c r="RMG5" s="27"/>
      <c r="RMH5" s="27"/>
      <c r="RMI5" s="27"/>
      <c r="RMJ5" s="27"/>
      <c r="RMK5" s="27"/>
      <c r="RML5" s="27"/>
      <c r="RMM5" s="27"/>
      <c r="RMN5" s="27"/>
      <c r="RMO5" s="27"/>
      <c r="RMP5" s="27"/>
      <c r="RMQ5" s="27"/>
      <c r="RMR5" s="27"/>
      <c r="RMS5" s="27"/>
      <c r="RMT5" s="27"/>
      <c r="RMU5" s="27"/>
      <c r="RMV5" s="27"/>
      <c r="RMW5" s="27"/>
      <c r="RMX5" s="27"/>
      <c r="RMY5" s="27"/>
      <c r="RMZ5" s="27"/>
      <c r="RNA5" s="27"/>
      <c r="RNB5" s="27"/>
      <c r="RNC5" s="27"/>
      <c r="RND5" s="27"/>
      <c r="RNE5" s="27"/>
      <c r="RNF5" s="27"/>
      <c r="RNG5" s="27"/>
      <c r="RNH5" s="27"/>
      <c r="RNI5" s="27"/>
      <c r="RNJ5" s="27"/>
      <c r="RNK5" s="27"/>
      <c r="RNL5" s="27"/>
      <c r="RNM5" s="27"/>
      <c r="RNN5" s="27"/>
      <c r="RNO5" s="27"/>
      <c r="RNP5" s="27"/>
      <c r="RNQ5" s="27"/>
      <c r="RNR5" s="27"/>
      <c r="RNS5" s="27"/>
      <c r="RNT5" s="27"/>
      <c r="RNU5" s="27"/>
      <c r="RNV5" s="27"/>
      <c r="RNW5" s="27"/>
      <c r="RNX5" s="27"/>
      <c r="RNY5" s="27"/>
      <c r="RNZ5" s="27"/>
      <c r="ROA5" s="27"/>
      <c r="ROB5" s="27"/>
      <c r="ROC5" s="27"/>
      <c r="ROD5" s="27"/>
      <c r="ROE5" s="27"/>
      <c r="ROF5" s="27"/>
      <c r="ROG5" s="27"/>
      <c r="ROH5" s="27"/>
      <c r="ROI5" s="27"/>
      <c r="ROJ5" s="27"/>
      <c r="ROK5" s="27"/>
      <c r="ROL5" s="27"/>
      <c r="ROM5" s="27"/>
      <c r="RON5" s="27"/>
      <c r="ROO5" s="27"/>
      <c r="ROP5" s="27"/>
      <c r="ROQ5" s="27"/>
      <c r="ROR5" s="27"/>
      <c r="ROS5" s="27"/>
      <c r="ROT5" s="27"/>
      <c r="ROU5" s="27"/>
      <c r="ROV5" s="27"/>
      <c r="ROW5" s="27"/>
      <c r="ROX5" s="27"/>
      <c r="ROY5" s="27"/>
      <c r="ROZ5" s="27"/>
      <c r="RPA5" s="27"/>
      <c r="RPB5" s="27"/>
      <c r="RPC5" s="27"/>
      <c r="RPD5" s="27"/>
      <c r="RPE5" s="27"/>
      <c r="RPF5" s="27"/>
      <c r="RPG5" s="27"/>
      <c r="RPH5" s="27"/>
      <c r="RPI5" s="27"/>
      <c r="RPJ5" s="27"/>
      <c r="RPK5" s="27"/>
      <c r="RPL5" s="27"/>
      <c r="RPM5" s="27"/>
      <c r="RPN5" s="27"/>
      <c r="RPO5" s="27"/>
      <c r="RPP5" s="27"/>
      <c r="RPQ5" s="27"/>
      <c r="RPR5" s="27"/>
      <c r="RPS5" s="27"/>
      <c r="RPT5" s="27"/>
      <c r="RPU5" s="27"/>
      <c r="RPV5" s="27"/>
      <c r="RPW5" s="27"/>
      <c r="RPX5" s="27"/>
      <c r="RPY5" s="27"/>
      <c r="RPZ5" s="27"/>
      <c r="RQA5" s="27"/>
      <c r="RQB5" s="27"/>
      <c r="RQC5" s="27"/>
      <c r="RQD5" s="27"/>
      <c r="RQE5" s="27"/>
      <c r="RQF5" s="27"/>
      <c r="RQG5" s="27"/>
      <c r="RQH5" s="27"/>
      <c r="RQI5" s="27"/>
      <c r="RQJ5" s="27"/>
      <c r="RQK5" s="27"/>
      <c r="RQL5" s="27"/>
      <c r="RQM5" s="27"/>
      <c r="RQN5" s="27"/>
      <c r="RQO5" s="27"/>
      <c r="RQP5" s="27"/>
      <c r="RQQ5" s="27"/>
      <c r="RQR5" s="27"/>
      <c r="RQS5" s="27"/>
      <c r="RQT5" s="27"/>
      <c r="RQU5" s="27"/>
      <c r="RQV5" s="27"/>
      <c r="RQW5" s="27"/>
      <c r="RQX5" s="27"/>
      <c r="RQY5" s="27"/>
      <c r="RQZ5" s="27"/>
      <c r="RRA5" s="27"/>
      <c r="RRB5" s="27"/>
      <c r="RRC5" s="27"/>
      <c r="RRD5" s="27"/>
      <c r="RRE5" s="27"/>
      <c r="RRF5" s="27"/>
      <c r="RRG5" s="27"/>
      <c r="RRH5" s="27"/>
      <c r="RRI5" s="27"/>
      <c r="RRJ5" s="27"/>
      <c r="RRK5" s="27"/>
      <c r="RRL5" s="27"/>
      <c r="RRM5" s="27"/>
      <c r="RRN5" s="27"/>
      <c r="RRO5" s="27"/>
      <c r="RRP5" s="27"/>
      <c r="RRQ5" s="27"/>
      <c r="RRR5" s="27"/>
      <c r="RRS5" s="27"/>
      <c r="RRT5" s="27"/>
      <c r="RRU5" s="27"/>
      <c r="RRV5" s="27"/>
      <c r="RRW5" s="27"/>
      <c r="RRX5" s="27"/>
      <c r="RRY5" s="27"/>
      <c r="RRZ5" s="27"/>
      <c r="RSA5" s="27"/>
      <c r="RSB5" s="27"/>
      <c r="RSC5" s="27"/>
      <c r="RSD5" s="27"/>
      <c r="RSE5" s="27"/>
      <c r="RSF5" s="27"/>
      <c r="RSG5" s="27"/>
      <c r="RSH5" s="27"/>
      <c r="RSI5" s="27"/>
      <c r="RSJ5" s="27"/>
      <c r="RSK5" s="27"/>
      <c r="RSL5" s="27"/>
      <c r="RSM5" s="27"/>
      <c r="RSN5" s="27"/>
      <c r="RSO5" s="27"/>
      <c r="RSP5" s="27"/>
      <c r="RSQ5" s="27"/>
      <c r="RSR5" s="27"/>
      <c r="RSS5" s="27"/>
      <c r="RST5" s="27"/>
      <c r="RSU5" s="27"/>
      <c r="RSV5" s="27"/>
      <c r="RSW5" s="27"/>
      <c r="RSX5" s="27"/>
      <c r="RSY5" s="27"/>
      <c r="RSZ5" s="27"/>
      <c r="RTA5" s="27"/>
      <c r="RTB5" s="27"/>
      <c r="RTC5" s="27"/>
      <c r="RTD5" s="27"/>
      <c r="RTE5" s="27"/>
      <c r="RTF5" s="27"/>
      <c r="RTG5" s="27"/>
      <c r="RTH5" s="27"/>
      <c r="RTI5" s="27"/>
      <c r="RTJ5" s="27"/>
      <c r="RTK5" s="27"/>
      <c r="RTL5" s="27"/>
      <c r="RTM5" s="27"/>
      <c r="RTN5" s="27"/>
      <c r="RTO5" s="27"/>
      <c r="RTP5" s="27"/>
      <c r="RTQ5" s="27"/>
      <c r="RTR5" s="27"/>
      <c r="RTS5" s="27"/>
      <c r="RTT5" s="27"/>
      <c r="RTU5" s="27"/>
      <c r="RTV5" s="27"/>
      <c r="RTW5" s="27"/>
      <c r="RTX5" s="27"/>
      <c r="RTY5" s="27"/>
      <c r="RTZ5" s="27"/>
      <c r="RUA5" s="27"/>
      <c r="RUB5" s="27"/>
      <c r="RUC5" s="27"/>
      <c r="RUD5" s="27"/>
      <c r="RUE5" s="27"/>
      <c r="RUF5" s="27"/>
      <c r="RUG5" s="27"/>
      <c r="RUH5" s="27"/>
      <c r="RUI5" s="27"/>
      <c r="RUJ5" s="27"/>
      <c r="RUK5" s="27"/>
      <c r="RUL5" s="27"/>
      <c r="RUM5" s="27"/>
      <c r="RUN5" s="27"/>
      <c r="RUO5" s="27"/>
      <c r="RUP5" s="27"/>
      <c r="RUQ5" s="27"/>
      <c r="RUR5" s="27"/>
      <c r="RUS5" s="27"/>
      <c r="RUT5" s="27"/>
      <c r="RUU5" s="27"/>
      <c r="RUV5" s="27"/>
      <c r="RUW5" s="27"/>
      <c r="RUX5" s="27"/>
      <c r="RUY5" s="27"/>
      <c r="RUZ5" s="27"/>
      <c r="RVA5" s="27"/>
      <c r="RVB5" s="27"/>
      <c r="RVC5" s="27"/>
      <c r="RVD5" s="27"/>
      <c r="RVE5" s="27"/>
      <c r="RVF5" s="27"/>
      <c r="RVG5" s="27"/>
      <c r="RVH5" s="27"/>
      <c r="RVI5" s="27"/>
      <c r="RVJ5" s="27"/>
      <c r="RVK5" s="27"/>
      <c r="RVL5" s="27"/>
      <c r="RVM5" s="27"/>
      <c r="RVN5" s="27"/>
      <c r="RVO5" s="27"/>
      <c r="RVP5" s="27"/>
      <c r="RVQ5" s="27"/>
      <c r="RVR5" s="27"/>
      <c r="RVS5" s="27"/>
      <c r="RVT5" s="27"/>
      <c r="RVU5" s="27"/>
      <c r="RVV5" s="27"/>
      <c r="RVW5" s="27"/>
      <c r="RVX5" s="27"/>
      <c r="RVY5" s="27"/>
      <c r="RVZ5" s="27"/>
      <c r="RWA5" s="27"/>
      <c r="RWB5" s="27"/>
      <c r="RWC5" s="27"/>
      <c r="RWD5" s="27"/>
      <c r="RWE5" s="27"/>
      <c r="RWF5" s="27"/>
      <c r="RWG5" s="27"/>
      <c r="RWH5" s="27"/>
      <c r="RWI5" s="27"/>
      <c r="RWJ5" s="27"/>
      <c r="RWK5" s="27"/>
      <c r="RWL5" s="27"/>
      <c r="RWM5" s="27"/>
      <c r="RWN5" s="27"/>
      <c r="RWO5" s="27"/>
      <c r="RWP5" s="27"/>
      <c r="RWQ5" s="27"/>
      <c r="RWR5" s="27"/>
      <c r="RWS5" s="27"/>
      <c r="RWT5" s="27"/>
      <c r="RWU5" s="27"/>
      <c r="RWV5" s="27"/>
      <c r="RWW5" s="27"/>
      <c r="RWX5" s="27"/>
      <c r="RWY5" s="27"/>
      <c r="RWZ5" s="27"/>
      <c r="RXA5" s="27"/>
      <c r="RXB5" s="27"/>
      <c r="RXC5" s="27"/>
      <c r="RXD5" s="27"/>
      <c r="RXE5" s="27"/>
      <c r="RXF5" s="27"/>
      <c r="RXG5" s="27"/>
      <c r="RXH5" s="27"/>
      <c r="RXI5" s="27"/>
      <c r="RXJ5" s="27"/>
      <c r="RXK5" s="27"/>
      <c r="RXL5" s="27"/>
      <c r="RXM5" s="27"/>
      <c r="RXN5" s="27"/>
      <c r="RXO5" s="27"/>
      <c r="RXP5" s="27"/>
      <c r="RXQ5" s="27"/>
      <c r="RXR5" s="27"/>
      <c r="RXS5" s="27"/>
      <c r="RXT5" s="27"/>
      <c r="RXU5" s="27"/>
      <c r="RXV5" s="27"/>
      <c r="RXW5" s="27"/>
      <c r="RXX5" s="27"/>
      <c r="RXY5" s="27"/>
      <c r="RXZ5" s="27"/>
      <c r="RYA5" s="27"/>
      <c r="RYB5" s="27"/>
      <c r="RYC5" s="27"/>
      <c r="RYD5" s="27"/>
      <c r="RYE5" s="27"/>
      <c r="RYF5" s="27"/>
      <c r="RYG5" s="27"/>
      <c r="RYH5" s="27"/>
      <c r="RYI5" s="27"/>
      <c r="RYJ5" s="27"/>
      <c r="RYK5" s="27"/>
      <c r="RYL5" s="27"/>
      <c r="RYM5" s="27"/>
      <c r="RYN5" s="27"/>
      <c r="RYO5" s="27"/>
      <c r="RYP5" s="27"/>
      <c r="RYQ5" s="27"/>
      <c r="RYR5" s="27"/>
      <c r="RYS5" s="27"/>
      <c r="RYT5" s="27"/>
      <c r="RYU5" s="27"/>
      <c r="RYV5" s="27"/>
      <c r="RYW5" s="27"/>
      <c r="RYX5" s="27"/>
      <c r="RYY5" s="27"/>
      <c r="RYZ5" s="27"/>
      <c r="RZA5" s="27"/>
      <c r="RZB5" s="27"/>
      <c r="RZC5" s="27"/>
      <c r="RZD5" s="27"/>
      <c r="RZE5" s="27"/>
      <c r="RZF5" s="27"/>
      <c r="RZG5" s="27"/>
      <c r="RZH5" s="27"/>
      <c r="RZI5" s="27"/>
      <c r="RZJ5" s="27"/>
      <c r="RZK5" s="27"/>
      <c r="RZL5" s="27"/>
      <c r="RZM5" s="27"/>
      <c r="RZN5" s="27"/>
      <c r="RZO5" s="27"/>
      <c r="RZP5" s="27"/>
      <c r="RZQ5" s="27"/>
      <c r="RZR5" s="27"/>
      <c r="RZS5" s="27"/>
      <c r="RZT5" s="27"/>
      <c r="RZU5" s="27"/>
      <c r="RZV5" s="27"/>
      <c r="RZW5" s="27"/>
      <c r="RZX5" s="27"/>
      <c r="RZY5" s="27"/>
      <c r="RZZ5" s="27"/>
      <c r="SAA5" s="27"/>
      <c r="SAB5" s="27"/>
      <c r="SAC5" s="27"/>
      <c r="SAD5" s="27"/>
      <c r="SAE5" s="27"/>
      <c r="SAF5" s="27"/>
      <c r="SAG5" s="27"/>
      <c r="SAH5" s="27"/>
      <c r="SAI5" s="27"/>
      <c r="SAJ5" s="27"/>
      <c r="SAK5" s="27"/>
      <c r="SAL5" s="27"/>
      <c r="SAM5" s="27"/>
      <c r="SAN5" s="27"/>
      <c r="SAO5" s="27"/>
      <c r="SAP5" s="27"/>
      <c r="SAQ5" s="27"/>
      <c r="SAR5" s="27"/>
      <c r="SAS5" s="27"/>
      <c r="SAT5" s="27"/>
      <c r="SAU5" s="27"/>
      <c r="SAV5" s="27"/>
      <c r="SAW5" s="27"/>
      <c r="SAX5" s="27"/>
      <c r="SAY5" s="27"/>
      <c r="SAZ5" s="27"/>
      <c r="SBA5" s="27"/>
      <c r="SBB5" s="27"/>
      <c r="SBC5" s="27"/>
      <c r="SBD5" s="27"/>
      <c r="SBE5" s="27"/>
      <c r="SBF5" s="27"/>
      <c r="SBG5" s="27"/>
      <c r="SBH5" s="27"/>
      <c r="SBI5" s="27"/>
      <c r="SBJ5" s="27"/>
      <c r="SBK5" s="27"/>
      <c r="SBL5" s="27"/>
      <c r="SBM5" s="27"/>
      <c r="SBN5" s="27"/>
      <c r="SBO5" s="27"/>
      <c r="SBP5" s="27"/>
      <c r="SBQ5" s="27"/>
      <c r="SBR5" s="27"/>
      <c r="SBS5" s="27"/>
      <c r="SBT5" s="27"/>
      <c r="SBU5" s="27"/>
      <c r="SBV5" s="27"/>
      <c r="SBW5" s="27"/>
      <c r="SBX5" s="27"/>
      <c r="SBY5" s="27"/>
      <c r="SBZ5" s="27"/>
      <c r="SCA5" s="27"/>
      <c r="SCB5" s="27"/>
      <c r="SCC5" s="27"/>
      <c r="SCD5" s="27"/>
      <c r="SCE5" s="27"/>
      <c r="SCF5" s="27"/>
      <c r="SCG5" s="27"/>
      <c r="SCH5" s="27"/>
      <c r="SCI5" s="27"/>
      <c r="SCJ5" s="27"/>
      <c r="SCK5" s="27"/>
      <c r="SCL5" s="27"/>
      <c r="SCM5" s="27"/>
      <c r="SCN5" s="27"/>
      <c r="SCO5" s="27"/>
      <c r="SCP5" s="27"/>
      <c r="SCQ5" s="27"/>
      <c r="SCR5" s="27"/>
      <c r="SCS5" s="27"/>
      <c r="SCT5" s="27"/>
      <c r="SCU5" s="27"/>
      <c r="SCV5" s="27"/>
      <c r="SCW5" s="27"/>
      <c r="SCX5" s="27"/>
      <c r="SCY5" s="27"/>
      <c r="SCZ5" s="27"/>
      <c r="SDA5" s="27"/>
      <c r="SDB5" s="27"/>
      <c r="SDC5" s="27"/>
      <c r="SDD5" s="27"/>
      <c r="SDE5" s="27"/>
      <c r="SDF5" s="27"/>
      <c r="SDG5" s="27"/>
      <c r="SDH5" s="27"/>
      <c r="SDI5" s="27"/>
      <c r="SDJ5" s="27"/>
      <c r="SDK5" s="27"/>
      <c r="SDL5" s="27"/>
      <c r="SDM5" s="27"/>
      <c r="SDN5" s="27"/>
      <c r="SDO5" s="27"/>
      <c r="SDP5" s="27"/>
      <c r="SDQ5" s="27"/>
      <c r="SDR5" s="27"/>
      <c r="SDS5" s="27"/>
      <c r="SDT5" s="27"/>
      <c r="SDU5" s="27"/>
      <c r="SDV5" s="27"/>
      <c r="SDW5" s="27"/>
      <c r="SDX5" s="27"/>
      <c r="SDY5" s="27"/>
      <c r="SDZ5" s="27"/>
      <c r="SEA5" s="27"/>
      <c r="SEB5" s="27"/>
      <c r="SEC5" s="27"/>
      <c r="SED5" s="27"/>
      <c r="SEE5" s="27"/>
      <c r="SEF5" s="27"/>
      <c r="SEG5" s="27"/>
      <c r="SEH5" s="27"/>
      <c r="SEI5" s="27"/>
      <c r="SEJ5" s="27"/>
      <c r="SEK5" s="27"/>
      <c r="SEL5" s="27"/>
      <c r="SEM5" s="27"/>
      <c r="SEN5" s="27"/>
      <c r="SEO5" s="27"/>
      <c r="SEP5" s="27"/>
      <c r="SEQ5" s="27"/>
      <c r="SER5" s="27"/>
      <c r="SES5" s="27"/>
      <c r="SET5" s="27"/>
      <c r="SEU5" s="27"/>
      <c r="SEV5" s="27"/>
      <c r="SEW5" s="27"/>
      <c r="SEX5" s="27"/>
      <c r="SEY5" s="27"/>
      <c r="SEZ5" s="27"/>
      <c r="SFA5" s="27"/>
      <c r="SFB5" s="27"/>
      <c r="SFC5" s="27"/>
      <c r="SFD5" s="27"/>
      <c r="SFE5" s="27"/>
      <c r="SFF5" s="27"/>
      <c r="SFG5" s="27"/>
      <c r="SFH5" s="27"/>
      <c r="SFI5" s="27"/>
      <c r="SFJ5" s="27"/>
      <c r="SFK5" s="27"/>
      <c r="SFL5" s="27"/>
      <c r="SFM5" s="27"/>
      <c r="SFN5" s="27"/>
      <c r="SFO5" s="27"/>
      <c r="SFP5" s="27"/>
      <c r="SFQ5" s="27"/>
      <c r="SFR5" s="27"/>
      <c r="SFS5" s="27"/>
      <c r="SFT5" s="27"/>
      <c r="SFU5" s="27"/>
      <c r="SFV5" s="27"/>
      <c r="SFW5" s="27"/>
      <c r="SFX5" s="27"/>
      <c r="SFY5" s="27"/>
      <c r="SFZ5" s="27"/>
      <c r="SGA5" s="27"/>
      <c r="SGB5" s="27"/>
      <c r="SGC5" s="27"/>
      <c r="SGD5" s="27"/>
      <c r="SGE5" s="27"/>
      <c r="SGF5" s="27"/>
      <c r="SGG5" s="27"/>
      <c r="SGH5" s="27"/>
      <c r="SGI5" s="27"/>
      <c r="SGJ5" s="27"/>
      <c r="SGK5" s="27"/>
      <c r="SGL5" s="27"/>
      <c r="SGM5" s="27"/>
      <c r="SGN5" s="27"/>
      <c r="SGO5" s="27"/>
      <c r="SGP5" s="27"/>
      <c r="SGQ5" s="27"/>
      <c r="SGR5" s="27"/>
      <c r="SGS5" s="27"/>
      <c r="SGT5" s="27"/>
      <c r="SGU5" s="27"/>
      <c r="SGV5" s="27"/>
      <c r="SGW5" s="27"/>
      <c r="SGX5" s="27"/>
      <c r="SGY5" s="27"/>
      <c r="SGZ5" s="27"/>
      <c r="SHA5" s="27"/>
      <c r="SHB5" s="27"/>
      <c r="SHC5" s="27"/>
      <c r="SHD5" s="27"/>
      <c r="SHE5" s="27"/>
      <c r="SHF5" s="27"/>
      <c r="SHG5" s="27"/>
      <c r="SHH5" s="27"/>
      <c r="SHI5" s="27"/>
      <c r="SHJ5" s="27"/>
      <c r="SHK5" s="27"/>
      <c r="SHL5" s="27"/>
      <c r="SHM5" s="27"/>
      <c r="SHN5" s="27"/>
      <c r="SHO5" s="27"/>
      <c r="SHP5" s="27"/>
      <c r="SHQ5" s="27"/>
      <c r="SHR5" s="27"/>
      <c r="SHS5" s="27"/>
      <c r="SHT5" s="27"/>
      <c r="SHU5" s="27"/>
      <c r="SHV5" s="27"/>
      <c r="SHW5" s="27"/>
      <c r="SHX5" s="27"/>
      <c r="SHY5" s="27"/>
      <c r="SHZ5" s="27"/>
      <c r="SIA5" s="27"/>
      <c r="SIB5" s="27"/>
      <c r="SIC5" s="27"/>
      <c r="SID5" s="27"/>
      <c r="SIE5" s="27"/>
      <c r="SIF5" s="27"/>
      <c r="SIG5" s="27"/>
      <c r="SIH5" s="27"/>
      <c r="SII5" s="27"/>
      <c r="SIJ5" s="27"/>
      <c r="SIK5" s="27"/>
      <c r="SIL5" s="27"/>
      <c r="SIM5" s="27"/>
      <c r="SIN5" s="27"/>
      <c r="SIO5" s="27"/>
      <c r="SIP5" s="27"/>
      <c r="SIQ5" s="27"/>
      <c r="SIR5" s="27"/>
      <c r="SIS5" s="27"/>
      <c r="SIT5" s="27"/>
      <c r="SIU5" s="27"/>
      <c r="SIV5" s="27"/>
      <c r="SIW5" s="27"/>
      <c r="SIX5" s="27"/>
      <c r="SIY5" s="27"/>
      <c r="SIZ5" s="27"/>
      <c r="SJA5" s="27"/>
      <c r="SJB5" s="27"/>
      <c r="SJC5" s="27"/>
      <c r="SJD5" s="27"/>
      <c r="SJE5" s="27"/>
      <c r="SJF5" s="27"/>
      <c r="SJG5" s="27"/>
      <c r="SJH5" s="27"/>
      <c r="SJI5" s="27"/>
      <c r="SJJ5" s="27"/>
      <c r="SJK5" s="27"/>
      <c r="SJL5" s="27"/>
      <c r="SJM5" s="27"/>
      <c r="SJN5" s="27"/>
      <c r="SJO5" s="27"/>
      <c r="SJP5" s="27"/>
      <c r="SJQ5" s="27"/>
      <c r="SJR5" s="27"/>
      <c r="SJS5" s="27"/>
      <c r="SJT5" s="27"/>
      <c r="SJU5" s="27"/>
      <c r="SJV5" s="27"/>
      <c r="SJW5" s="27"/>
      <c r="SJX5" s="27"/>
      <c r="SJY5" s="27"/>
      <c r="SJZ5" s="27"/>
      <c r="SKA5" s="27"/>
      <c r="SKB5" s="27"/>
      <c r="SKC5" s="27"/>
      <c r="SKD5" s="27"/>
      <c r="SKE5" s="27"/>
      <c r="SKF5" s="27"/>
      <c r="SKG5" s="27"/>
      <c r="SKH5" s="27"/>
      <c r="SKI5" s="27"/>
      <c r="SKJ5" s="27"/>
      <c r="SKK5" s="27"/>
      <c r="SKL5" s="27"/>
      <c r="SKM5" s="27"/>
      <c r="SKN5" s="27"/>
      <c r="SKO5" s="27"/>
      <c r="SKP5" s="27"/>
      <c r="SKQ5" s="27"/>
      <c r="SKR5" s="27"/>
      <c r="SKS5" s="27"/>
      <c r="SKT5" s="27"/>
      <c r="SKU5" s="27"/>
      <c r="SKV5" s="27"/>
      <c r="SKW5" s="27"/>
      <c r="SKX5" s="27"/>
      <c r="SKY5" s="27"/>
      <c r="SKZ5" s="27"/>
      <c r="SLA5" s="27"/>
      <c r="SLB5" s="27"/>
      <c r="SLC5" s="27"/>
      <c r="SLD5" s="27"/>
      <c r="SLE5" s="27"/>
      <c r="SLF5" s="27"/>
      <c r="SLG5" s="27"/>
      <c r="SLH5" s="27"/>
      <c r="SLI5" s="27"/>
      <c r="SLJ5" s="27"/>
      <c r="SLK5" s="27"/>
      <c r="SLL5" s="27"/>
      <c r="SLM5" s="27"/>
      <c r="SLN5" s="27"/>
      <c r="SLO5" s="27"/>
      <c r="SLP5" s="27"/>
      <c r="SLQ5" s="27"/>
      <c r="SLR5" s="27"/>
      <c r="SLS5" s="27"/>
      <c r="SLT5" s="27"/>
      <c r="SLU5" s="27"/>
      <c r="SLV5" s="27"/>
      <c r="SLW5" s="27"/>
      <c r="SLX5" s="27"/>
      <c r="SLY5" s="27"/>
      <c r="SLZ5" s="27"/>
      <c r="SMA5" s="27"/>
      <c r="SMB5" s="27"/>
      <c r="SMC5" s="27"/>
      <c r="SMD5" s="27"/>
      <c r="SME5" s="27"/>
      <c r="SMF5" s="27"/>
      <c r="SMG5" s="27"/>
      <c r="SMH5" s="27"/>
      <c r="SMI5" s="27"/>
      <c r="SMJ5" s="27"/>
      <c r="SMK5" s="27"/>
      <c r="SML5" s="27"/>
      <c r="SMM5" s="27"/>
      <c r="SMN5" s="27"/>
      <c r="SMO5" s="27"/>
      <c r="SMP5" s="27"/>
      <c r="SMQ5" s="27"/>
      <c r="SMR5" s="27"/>
      <c r="SMS5" s="27"/>
      <c r="SMT5" s="27"/>
      <c r="SMU5" s="27"/>
      <c r="SMV5" s="27"/>
      <c r="SMW5" s="27"/>
      <c r="SMX5" s="27"/>
      <c r="SMY5" s="27"/>
      <c r="SMZ5" s="27"/>
      <c r="SNA5" s="27"/>
      <c r="SNB5" s="27"/>
      <c r="SNC5" s="27"/>
      <c r="SND5" s="27"/>
      <c r="SNE5" s="27"/>
      <c r="SNF5" s="27"/>
      <c r="SNG5" s="27"/>
      <c r="SNH5" s="27"/>
      <c r="SNI5" s="27"/>
      <c r="SNJ5" s="27"/>
      <c r="SNK5" s="27"/>
      <c r="SNL5" s="27"/>
      <c r="SNM5" s="27"/>
      <c r="SNN5" s="27"/>
      <c r="SNO5" s="27"/>
      <c r="SNP5" s="27"/>
      <c r="SNQ5" s="27"/>
      <c r="SNR5" s="27"/>
      <c r="SNS5" s="27"/>
      <c r="SNT5" s="27"/>
      <c r="SNU5" s="27"/>
      <c r="SNV5" s="27"/>
      <c r="SNW5" s="27"/>
      <c r="SNX5" s="27"/>
      <c r="SNY5" s="27"/>
      <c r="SNZ5" s="27"/>
      <c r="SOA5" s="27"/>
      <c r="SOB5" s="27"/>
      <c r="SOC5" s="27"/>
      <c r="SOD5" s="27"/>
      <c r="SOE5" s="27"/>
      <c r="SOF5" s="27"/>
      <c r="SOG5" s="27"/>
      <c r="SOH5" s="27"/>
      <c r="SOI5" s="27"/>
      <c r="SOJ5" s="27"/>
      <c r="SOK5" s="27"/>
      <c r="SOL5" s="27"/>
      <c r="SOM5" s="27"/>
      <c r="SON5" s="27"/>
      <c r="SOO5" s="27"/>
      <c r="SOP5" s="27"/>
      <c r="SOQ5" s="27"/>
      <c r="SOR5" s="27"/>
      <c r="SOS5" s="27"/>
      <c r="SOT5" s="27"/>
      <c r="SOU5" s="27"/>
      <c r="SOV5" s="27"/>
      <c r="SOW5" s="27"/>
      <c r="SOX5" s="27"/>
      <c r="SOY5" s="27"/>
      <c r="SOZ5" s="27"/>
      <c r="SPA5" s="27"/>
      <c r="SPB5" s="27"/>
      <c r="SPC5" s="27"/>
      <c r="SPD5" s="27"/>
      <c r="SPE5" s="27"/>
      <c r="SPF5" s="27"/>
      <c r="SPG5" s="27"/>
      <c r="SPH5" s="27"/>
      <c r="SPI5" s="27"/>
      <c r="SPJ5" s="27"/>
      <c r="SPK5" s="27"/>
      <c r="SPL5" s="27"/>
      <c r="SPM5" s="27"/>
      <c r="SPN5" s="27"/>
      <c r="SPO5" s="27"/>
      <c r="SPP5" s="27"/>
      <c r="SPQ5" s="27"/>
      <c r="SPR5" s="27"/>
      <c r="SPS5" s="27"/>
      <c r="SPT5" s="27"/>
      <c r="SPU5" s="27"/>
      <c r="SPV5" s="27"/>
      <c r="SPW5" s="27"/>
      <c r="SPX5" s="27"/>
      <c r="SPY5" s="27"/>
      <c r="SPZ5" s="27"/>
      <c r="SQA5" s="27"/>
      <c r="SQB5" s="27"/>
      <c r="SQC5" s="27"/>
      <c r="SQD5" s="27"/>
      <c r="SQE5" s="27"/>
      <c r="SQF5" s="27"/>
      <c r="SQG5" s="27"/>
      <c r="SQH5" s="27"/>
      <c r="SQI5" s="27"/>
      <c r="SQJ5" s="27"/>
      <c r="SQK5" s="27"/>
      <c r="SQL5" s="27"/>
      <c r="SQM5" s="27"/>
      <c r="SQN5" s="27"/>
      <c r="SQO5" s="27"/>
      <c r="SQP5" s="27"/>
      <c r="SQQ5" s="27"/>
      <c r="SQR5" s="27"/>
      <c r="SQS5" s="27"/>
      <c r="SQT5" s="27"/>
      <c r="SQU5" s="27"/>
      <c r="SQV5" s="27"/>
      <c r="SQW5" s="27"/>
      <c r="SQX5" s="27"/>
      <c r="SQY5" s="27"/>
      <c r="SQZ5" s="27"/>
      <c r="SRA5" s="27"/>
      <c r="SRB5" s="27"/>
      <c r="SRC5" s="27"/>
      <c r="SRD5" s="27"/>
      <c r="SRE5" s="27"/>
      <c r="SRF5" s="27"/>
      <c r="SRG5" s="27"/>
      <c r="SRH5" s="27"/>
      <c r="SRI5" s="27"/>
      <c r="SRJ5" s="27"/>
      <c r="SRK5" s="27"/>
      <c r="SRL5" s="27"/>
      <c r="SRM5" s="27"/>
      <c r="SRN5" s="27"/>
      <c r="SRO5" s="27"/>
      <c r="SRP5" s="27"/>
      <c r="SRQ5" s="27"/>
      <c r="SRR5" s="27"/>
      <c r="SRS5" s="27"/>
      <c r="SRT5" s="27"/>
      <c r="SRU5" s="27"/>
      <c r="SRV5" s="27"/>
      <c r="SRW5" s="27"/>
      <c r="SRX5" s="27"/>
      <c r="SRY5" s="27"/>
      <c r="SRZ5" s="27"/>
      <c r="SSA5" s="27"/>
      <c r="SSB5" s="27"/>
      <c r="SSC5" s="27"/>
      <c r="SSD5" s="27"/>
      <c r="SSE5" s="27"/>
      <c r="SSF5" s="27"/>
      <c r="SSG5" s="27"/>
      <c r="SSH5" s="27"/>
      <c r="SSI5" s="27"/>
      <c r="SSJ5" s="27"/>
      <c r="SSK5" s="27"/>
      <c r="SSL5" s="27"/>
      <c r="SSM5" s="27"/>
      <c r="SSN5" s="27"/>
      <c r="SSO5" s="27"/>
      <c r="SSP5" s="27"/>
      <c r="SSQ5" s="27"/>
      <c r="SSR5" s="27"/>
      <c r="SSS5" s="27"/>
      <c r="SST5" s="27"/>
      <c r="SSU5" s="27"/>
      <c r="SSV5" s="27"/>
      <c r="SSW5" s="27"/>
      <c r="SSX5" s="27"/>
      <c r="SSY5" s="27"/>
      <c r="SSZ5" s="27"/>
      <c r="STA5" s="27"/>
      <c r="STB5" s="27"/>
      <c r="STC5" s="27"/>
      <c r="STD5" s="27"/>
      <c r="STE5" s="27"/>
      <c r="STF5" s="27"/>
      <c r="STG5" s="27"/>
      <c r="STH5" s="27"/>
      <c r="STI5" s="27"/>
      <c r="STJ5" s="27"/>
      <c r="STK5" s="27"/>
      <c r="STL5" s="27"/>
      <c r="STM5" s="27"/>
      <c r="STN5" s="27"/>
      <c r="STO5" s="27"/>
      <c r="STP5" s="27"/>
      <c r="STQ5" s="27"/>
      <c r="STR5" s="27"/>
      <c r="STS5" s="27"/>
      <c r="STT5" s="27"/>
      <c r="STU5" s="27"/>
      <c r="STV5" s="27"/>
      <c r="STW5" s="27"/>
      <c r="STX5" s="27"/>
      <c r="STY5" s="27"/>
      <c r="STZ5" s="27"/>
      <c r="SUA5" s="27"/>
      <c r="SUB5" s="27"/>
      <c r="SUC5" s="27"/>
      <c r="SUD5" s="27"/>
      <c r="SUE5" s="27"/>
      <c r="SUF5" s="27"/>
      <c r="SUG5" s="27"/>
      <c r="SUH5" s="27"/>
      <c r="SUI5" s="27"/>
      <c r="SUJ5" s="27"/>
      <c r="SUK5" s="27"/>
      <c r="SUL5" s="27"/>
      <c r="SUM5" s="27"/>
      <c r="SUN5" s="27"/>
      <c r="SUO5" s="27"/>
      <c r="SUP5" s="27"/>
      <c r="SUQ5" s="27"/>
      <c r="SUR5" s="27"/>
      <c r="SUS5" s="27"/>
      <c r="SUT5" s="27"/>
      <c r="SUU5" s="27"/>
      <c r="SUV5" s="27"/>
      <c r="SUW5" s="27"/>
      <c r="SUX5" s="27"/>
      <c r="SUY5" s="27"/>
      <c r="SUZ5" s="27"/>
      <c r="SVA5" s="27"/>
      <c r="SVB5" s="27"/>
      <c r="SVC5" s="27"/>
      <c r="SVD5" s="27"/>
      <c r="SVE5" s="27"/>
      <c r="SVF5" s="27"/>
      <c r="SVG5" s="27"/>
      <c r="SVH5" s="27"/>
      <c r="SVI5" s="27"/>
      <c r="SVJ5" s="27"/>
      <c r="SVK5" s="27"/>
      <c r="SVL5" s="27"/>
      <c r="SVM5" s="27"/>
      <c r="SVN5" s="27"/>
      <c r="SVO5" s="27"/>
      <c r="SVP5" s="27"/>
      <c r="SVQ5" s="27"/>
      <c r="SVR5" s="27"/>
      <c r="SVS5" s="27"/>
      <c r="SVT5" s="27"/>
      <c r="SVU5" s="27"/>
      <c r="SVV5" s="27"/>
      <c r="SVW5" s="27"/>
      <c r="SVX5" s="27"/>
      <c r="SVY5" s="27"/>
      <c r="SVZ5" s="27"/>
      <c r="SWA5" s="27"/>
      <c r="SWB5" s="27"/>
      <c r="SWC5" s="27"/>
      <c r="SWD5" s="27"/>
      <c r="SWE5" s="27"/>
      <c r="SWF5" s="27"/>
      <c r="SWG5" s="27"/>
      <c r="SWH5" s="27"/>
      <c r="SWI5" s="27"/>
      <c r="SWJ5" s="27"/>
      <c r="SWK5" s="27"/>
      <c r="SWL5" s="27"/>
      <c r="SWM5" s="27"/>
      <c r="SWN5" s="27"/>
      <c r="SWO5" s="27"/>
      <c r="SWP5" s="27"/>
      <c r="SWQ5" s="27"/>
      <c r="SWR5" s="27"/>
      <c r="SWS5" s="27"/>
      <c r="SWT5" s="27"/>
      <c r="SWU5" s="27"/>
      <c r="SWV5" s="27"/>
      <c r="SWW5" s="27"/>
      <c r="SWX5" s="27"/>
      <c r="SWY5" s="27"/>
      <c r="SWZ5" s="27"/>
      <c r="SXA5" s="27"/>
      <c r="SXB5" s="27"/>
      <c r="SXC5" s="27"/>
      <c r="SXD5" s="27"/>
      <c r="SXE5" s="27"/>
      <c r="SXF5" s="27"/>
      <c r="SXG5" s="27"/>
      <c r="SXH5" s="27"/>
      <c r="SXI5" s="27"/>
      <c r="SXJ5" s="27"/>
      <c r="SXK5" s="27"/>
      <c r="SXL5" s="27"/>
      <c r="SXM5" s="27"/>
      <c r="SXN5" s="27"/>
      <c r="SXO5" s="27"/>
      <c r="SXP5" s="27"/>
      <c r="SXQ5" s="27"/>
      <c r="SXR5" s="27"/>
      <c r="SXS5" s="27"/>
      <c r="SXT5" s="27"/>
      <c r="SXU5" s="27"/>
      <c r="SXV5" s="27"/>
      <c r="SXW5" s="27"/>
      <c r="SXX5" s="27"/>
      <c r="SXY5" s="27"/>
      <c r="SXZ5" s="27"/>
      <c r="SYA5" s="27"/>
      <c r="SYB5" s="27"/>
      <c r="SYC5" s="27"/>
      <c r="SYD5" s="27"/>
      <c r="SYE5" s="27"/>
      <c r="SYF5" s="27"/>
      <c r="SYG5" s="27"/>
      <c r="SYH5" s="27"/>
      <c r="SYI5" s="27"/>
      <c r="SYJ5" s="27"/>
      <c r="SYK5" s="27"/>
      <c r="SYL5" s="27"/>
      <c r="SYM5" s="27"/>
      <c r="SYN5" s="27"/>
      <c r="SYO5" s="27"/>
      <c r="SYP5" s="27"/>
      <c r="SYQ5" s="27"/>
      <c r="SYR5" s="27"/>
      <c r="SYS5" s="27"/>
      <c r="SYT5" s="27"/>
      <c r="SYU5" s="27"/>
      <c r="SYV5" s="27"/>
      <c r="SYW5" s="27"/>
      <c r="SYX5" s="27"/>
      <c r="SYY5" s="27"/>
      <c r="SYZ5" s="27"/>
      <c r="SZA5" s="27"/>
      <c r="SZB5" s="27"/>
      <c r="SZC5" s="27"/>
      <c r="SZD5" s="27"/>
      <c r="SZE5" s="27"/>
      <c r="SZF5" s="27"/>
      <c r="SZG5" s="27"/>
      <c r="SZH5" s="27"/>
      <c r="SZI5" s="27"/>
      <c r="SZJ5" s="27"/>
      <c r="SZK5" s="27"/>
      <c r="SZL5" s="27"/>
      <c r="SZM5" s="27"/>
      <c r="SZN5" s="27"/>
      <c r="SZO5" s="27"/>
      <c r="SZP5" s="27"/>
      <c r="SZQ5" s="27"/>
      <c r="SZR5" s="27"/>
      <c r="SZS5" s="27"/>
      <c r="SZT5" s="27"/>
      <c r="SZU5" s="27"/>
      <c r="SZV5" s="27"/>
      <c r="SZW5" s="27"/>
      <c r="SZX5" s="27"/>
      <c r="SZY5" s="27"/>
      <c r="SZZ5" s="27"/>
      <c r="TAA5" s="27"/>
      <c r="TAB5" s="27"/>
      <c r="TAC5" s="27"/>
      <c r="TAD5" s="27"/>
      <c r="TAE5" s="27"/>
      <c r="TAF5" s="27"/>
      <c r="TAG5" s="27"/>
      <c r="TAH5" s="27"/>
      <c r="TAI5" s="27"/>
      <c r="TAJ5" s="27"/>
      <c r="TAK5" s="27"/>
      <c r="TAL5" s="27"/>
      <c r="TAM5" s="27"/>
      <c r="TAN5" s="27"/>
      <c r="TAO5" s="27"/>
      <c r="TAP5" s="27"/>
      <c r="TAQ5" s="27"/>
      <c r="TAR5" s="27"/>
      <c r="TAS5" s="27"/>
      <c r="TAT5" s="27"/>
      <c r="TAU5" s="27"/>
      <c r="TAV5" s="27"/>
      <c r="TAW5" s="27"/>
      <c r="TAX5" s="27"/>
      <c r="TAY5" s="27"/>
      <c r="TAZ5" s="27"/>
      <c r="TBA5" s="27"/>
      <c r="TBB5" s="27"/>
      <c r="TBC5" s="27"/>
      <c r="TBD5" s="27"/>
      <c r="TBE5" s="27"/>
      <c r="TBF5" s="27"/>
      <c r="TBG5" s="27"/>
      <c r="TBH5" s="27"/>
      <c r="TBI5" s="27"/>
      <c r="TBJ5" s="27"/>
      <c r="TBK5" s="27"/>
      <c r="TBL5" s="27"/>
      <c r="TBM5" s="27"/>
      <c r="TBN5" s="27"/>
      <c r="TBO5" s="27"/>
      <c r="TBP5" s="27"/>
      <c r="TBQ5" s="27"/>
      <c r="TBR5" s="27"/>
      <c r="TBS5" s="27"/>
      <c r="TBT5" s="27"/>
      <c r="TBU5" s="27"/>
      <c r="TBV5" s="27"/>
      <c r="TBW5" s="27"/>
      <c r="TBX5" s="27"/>
      <c r="TBY5" s="27"/>
      <c r="TBZ5" s="27"/>
      <c r="TCA5" s="27"/>
      <c r="TCB5" s="27"/>
      <c r="TCC5" s="27"/>
      <c r="TCD5" s="27"/>
      <c r="TCE5" s="27"/>
      <c r="TCF5" s="27"/>
      <c r="TCG5" s="27"/>
      <c r="TCH5" s="27"/>
      <c r="TCI5" s="27"/>
      <c r="TCJ5" s="27"/>
      <c r="TCK5" s="27"/>
      <c r="TCL5" s="27"/>
      <c r="TCM5" s="27"/>
      <c r="TCN5" s="27"/>
      <c r="TCO5" s="27"/>
      <c r="TCP5" s="27"/>
      <c r="TCQ5" s="27"/>
      <c r="TCR5" s="27"/>
      <c r="TCS5" s="27"/>
      <c r="TCT5" s="27"/>
      <c r="TCU5" s="27"/>
      <c r="TCV5" s="27"/>
      <c r="TCW5" s="27"/>
      <c r="TCX5" s="27"/>
      <c r="TCY5" s="27"/>
      <c r="TCZ5" s="27"/>
      <c r="TDA5" s="27"/>
      <c r="TDB5" s="27"/>
      <c r="TDC5" s="27"/>
      <c r="TDD5" s="27"/>
      <c r="TDE5" s="27"/>
      <c r="TDF5" s="27"/>
      <c r="TDG5" s="27"/>
      <c r="TDH5" s="27"/>
      <c r="TDI5" s="27"/>
      <c r="TDJ5" s="27"/>
      <c r="TDK5" s="27"/>
      <c r="TDL5" s="27"/>
      <c r="TDM5" s="27"/>
      <c r="TDN5" s="27"/>
      <c r="TDO5" s="27"/>
      <c r="TDP5" s="27"/>
      <c r="TDQ5" s="27"/>
      <c r="TDR5" s="27"/>
      <c r="TDS5" s="27"/>
      <c r="TDT5" s="27"/>
      <c r="TDU5" s="27"/>
      <c r="TDV5" s="27"/>
      <c r="TDW5" s="27"/>
      <c r="TDX5" s="27"/>
      <c r="TDY5" s="27"/>
      <c r="TDZ5" s="27"/>
      <c r="TEA5" s="27"/>
      <c r="TEB5" s="27"/>
      <c r="TEC5" s="27"/>
      <c r="TED5" s="27"/>
      <c r="TEE5" s="27"/>
      <c r="TEF5" s="27"/>
      <c r="TEG5" s="27"/>
      <c r="TEH5" s="27"/>
      <c r="TEI5" s="27"/>
      <c r="TEJ5" s="27"/>
      <c r="TEK5" s="27"/>
      <c r="TEL5" s="27"/>
      <c r="TEM5" s="27"/>
      <c r="TEN5" s="27"/>
      <c r="TEO5" s="27"/>
      <c r="TEP5" s="27"/>
      <c r="TEQ5" s="27"/>
      <c r="TER5" s="27"/>
      <c r="TES5" s="27"/>
      <c r="TET5" s="27"/>
      <c r="TEU5" s="27"/>
      <c r="TEV5" s="27"/>
      <c r="TEW5" s="27"/>
      <c r="TEX5" s="27"/>
      <c r="TEY5" s="27"/>
      <c r="TEZ5" s="27"/>
      <c r="TFA5" s="27"/>
      <c r="TFB5" s="27"/>
      <c r="TFC5" s="27"/>
      <c r="TFD5" s="27"/>
      <c r="TFE5" s="27"/>
      <c r="TFF5" s="27"/>
      <c r="TFG5" s="27"/>
      <c r="TFH5" s="27"/>
      <c r="TFI5" s="27"/>
      <c r="TFJ5" s="27"/>
      <c r="TFK5" s="27"/>
      <c r="TFL5" s="27"/>
      <c r="TFM5" s="27"/>
      <c r="TFN5" s="27"/>
      <c r="TFO5" s="27"/>
      <c r="TFP5" s="27"/>
      <c r="TFQ5" s="27"/>
      <c r="TFR5" s="27"/>
      <c r="TFS5" s="27"/>
      <c r="TFT5" s="27"/>
      <c r="TFU5" s="27"/>
      <c r="TFV5" s="27"/>
      <c r="TFW5" s="27"/>
      <c r="TFX5" s="27"/>
      <c r="TFY5" s="27"/>
      <c r="TFZ5" s="27"/>
      <c r="TGA5" s="27"/>
      <c r="TGB5" s="27"/>
      <c r="TGC5" s="27"/>
      <c r="TGD5" s="27"/>
      <c r="TGE5" s="27"/>
      <c r="TGF5" s="27"/>
      <c r="TGG5" s="27"/>
      <c r="TGH5" s="27"/>
      <c r="TGI5" s="27"/>
      <c r="TGJ5" s="27"/>
      <c r="TGK5" s="27"/>
      <c r="TGL5" s="27"/>
      <c r="TGM5" s="27"/>
      <c r="TGN5" s="27"/>
      <c r="TGO5" s="27"/>
      <c r="TGP5" s="27"/>
      <c r="TGQ5" s="27"/>
      <c r="TGR5" s="27"/>
      <c r="TGS5" s="27"/>
      <c r="TGT5" s="27"/>
      <c r="TGU5" s="27"/>
      <c r="TGV5" s="27"/>
      <c r="TGW5" s="27"/>
      <c r="TGX5" s="27"/>
      <c r="TGY5" s="27"/>
      <c r="TGZ5" s="27"/>
      <c r="THA5" s="27"/>
      <c r="THB5" s="27"/>
      <c r="THC5" s="27"/>
      <c r="THD5" s="27"/>
      <c r="THE5" s="27"/>
      <c r="THF5" s="27"/>
      <c r="THG5" s="27"/>
      <c r="THH5" s="27"/>
      <c r="THI5" s="27"/>
      <c r="THJ5" s="27"/>
      <c r="THK5" s="27"/>
      <c r="THL5" s="27"/>
      <c r="THM5" s="27"/>
      <c r="THN5" s="27"/>
      <c r="THO5" s="27"/>
      <c r="THP5" s="27"/>
      <c r="THQ5" s="27"/>
      <c r="THR5" s="27"/>
      <c r="THS5" s="27"/>
      <c r="THT5" s="27"/>
      <c r="THU5" s="27"/>
      <c r="THV5" s="27"/>
      <c r="THW5" s="27"/>
      <c r="THX5" s="27"/>
      <c r="THY5" s="27"/>
      <c r="THZ5" s="27"/>
      <c r="TIA5" s="27"/>
      <c r="TIB5" s="27"/>
      <c r="TIC5" s="27"/>
      <c r="TID5" s="27"/>
      <c r="TIE5" s="27"/>
      <c r="TIF5" s="27"/>
      <c r="TIG5" s="27"/>
      <c r="TIH5" s="27"/>
      <c r="TII5" s="27"/>
      <c r="TIJ5" s="27"/>
      <c r="TIK5" s="27"/>
      <c r="TIL5" s="27"/>
      <c r="TIM5" s="27"/>
      <c r="TIN5" s="27"/>
      <c r="TIO5" s="27"/>
      <c r="TIP5" s="27"/>
      <c r="TIQ5" s="27"/>
      <c r="TIR5" s="27"/>
      <c r="TIS5" s="27"/>
      <c r="TIT5" s="27"/>
      <c r="TIU5" s="27"/>
      <c r="TIV5" s="27"/>
      <c r="TIW5" s="27"/>
      <c r="TIX5" s="27"/>
      <c r="TIY5" s="27"/>
      <c r="TIZ5" s="27"/>
      <c r="TJA5" s="27"/>
      <c r="TJB5" s="27"/>
      <c r="TJC5" s="27"/>
      <c r="TJD5" s="27"/>
      <c r="TJE5" s="27"/>
      <c r="TJF5" s="27"/>
      <c r="TJG5" s="27"/>
      <c r="TJH5" s="27"/>
      <c r="TJI5" s="27"/>
      <c r="TJJ5" s="27"/>
      <c r="TJK5" s="27"/>
      <c r="TJL5" s="27"/>
      <c r="TJM5" s="27"/>
      <c r="TJN5" s="27"/>
      <c r="TJO5" s="27"/>
      <c r="TJP5" s="27"/>
      <c r="TJQ5" s="27"/>
      <c r="TJR5" s="27"/>
      <c r="TJS5" s="27"/>
      <c r="TJT5" s="27"/>
      <c r="TJU5" s="27"/>
      <c r="TJV5" s="27"/>
      <c r="TJW5" s="27"/>
      <c r="TJX5" s="27"/>
      <c r="TJY5" s="27"/>
      <c r="TJZ5" s="27"/>
      <c r="TKA5" s="27"/>
      <c r="TKB5" s="27"/>
      <c r="TKC5" s="27"/>
      <c r="TKD5" s="27"/>
      <c r="TKE5" s="27"/>
      <c r="TKF5" s="27"/>
      <c r="TKG5" s="27"/>
      <c r="TKH5" s="27"/>
      <c r="TKI5" s="27"/>
      <c r="TKJ5" s="27"/>
      <c r="TKK5" s="27"/>
      <c r="TKL5" s="27"/>
      <c r="TKM5" s="27"/>
      <c r="TKN5" s="27"/>
      <c r="TKO5" s="27"/>
      <c r="TKP5" s="27"/>
      <c r="TKQ5" s="27"/>
      <c r="TKR5" s="27"/>
      <c r="TKS5" s="27"/>
      <c r="TKT5" s="27"/>
      <c r="TKU5" s="27"/>
      <c r="TKV5" s="27"/>
      <c r="TKW5" s="27"/>
      <c r="TKX5" s="27"/>
      <c r="TKY5" s="27"/>
      <c r="TKZ5" s="27"/>
      <c r="TLA5" s="27"/>
      <c r="TLB5" s="27"/>
      <c r="TLC5" s="27"/>
      <c r="TLD5" s="27"/>
      <c r="TLE5" s="27"/>
      <c r="TLF5" s="27"/>
      <c r="TLG5" s="27"/>
      <c r="TLH5" s="27"/>
      <c r="TLI5" s="27"/>
      <c r="TLJ5" s="27"/>
      <c r="TLK5" s="27"/>
      <c r="TLL5" s="27"/>
      <c r="TLM5" s="27"/>
      <c r="TLN5" s="27"/>
      <c r="TLO5" s="27"/>
      <c r="TLP5" s="27"/>
      <c r="TLQ5" s="27"/>
      <c r="TLR5" s="27"/>
      <c r="TLS5" s="27"/>
      <c r="TLT5" s="27"/>
      <c r="TLU5" s="27"/>
      <c r="TLV5" s="27"/>
      <c r="TLW5" s="27"/>
      <c r="TLX5" s="27"/>
      <c r="TLY5" s="27"/>
      <c r="TLZ5" s="27"/>
      <c r="TMA5" s="27"/>
      <c r="TMB5" s="27"/>
      <c r="TMC5" s="27"/>
      <c r="TMD5" s="27"/>
      <c r="TME5" s="27"/>
      <c r="TMF5" s="27"/>
      <c r="TMG5" s="27"/>
      <c r="TMH5" s="27"/>
      <c r="TMI5" s="27"/>
      <c r="TMJ5" s="27"/>
      <c r="TMK5" s="27"/>
      <c r="TML5" s="27"/>
      <c r="TMM5" s="27"/>
      <c r="TMN5" s="27"/>
      <c r="TMO5" s="27"/>
      <c r="TMP5" s="27"/>
      <c r="TMQ5" s="27"/>
      <c r="TMR5" s="27"/>
      <c r="TMS5" s="27"/>
      <c r="TMT5" s="27"/>
      <c r="TMU5" s="27"/>
      <c r="TMV5" s="27"/>
      <c r="TMW5" s="27"/>
      <c r="TMX5" s="27"/>
      <c r="TMY5" s="27"/>
      <c r="TMZ5" s="27"/>
      <c r="TNA5" s="27"/>
      <c r="TNB5" s="27"/>
      <c r="TNC5" s="27"/>
      <c r="TND5" s="27"/>
      <c r="TNE5" s="27"/>
      <c r="TNF5" s="27"/>
      <c r="TNG5" s="27"/>
      <c r="TNH5" s="27"/>
      <c r="TNI5" s="27"/>
      <c r="TNJ5" s="27"/>
      <c r="TNK5" s="27"/>
      <c r="TNL5" s="27"/>
      <c r="TNM5" s="27"/>
      <c r="TNN5" s="27"/>
      <c r="TNO5" s="27"/>
      <c r="TNP5" s="27"/>
      <c r="TNQ5" s="27"/>
      <c r="TNR5" s="27"/>
      <c r="TNS5" s="27"/>
      <c r="TNT5" s="27"/>
      <c r="TNU5" s="27"/>
      <c r="TNV5" s="27"/>
      <c r="TNW5" s="27"/>
      <c r="TNX5" s="27"/>
      <c r="TNY5" s="27"/>
      <c r="TNZ5" s="27"/>
      <c r="TOA5" s="27"/>
      <c r="TOB5" s="27"/>
      <c r="TOC5" s="27"/>
      <c r="TOD5" s="27"/>
      <c r="TOE5" s="27"/>
      <c r="TOF5" s="27"/>
      <c r="TOG5" s="27"/>
      <c r="TOH5" s="27"/>
      <c r="TOI5" s="27"/>
      <c r="TOJ5" s="27"/>
      <c r="TOK5" s="27"/>
      <c r="TOL5" s="27"/>
      <c r="TOM5" s="27"/>
      <c r="TON5" s="27"/>
      <c r="TOO5" s="27"/>
      <c r="TOP5" s="27"/>
      <c r="TOQ5" s="27"/>
      <c r="TOR5" s="27"/>
      <c r="TOS5" s="27"/>
      <c r="TOT5" s="27"/>
      <c r="TOU5" s="27"/>
      <c r="TOV5" s="27"/>
      <c r="TOW5" s="27"/>
      <c r="TOX5" s="27"/>
      <c r="TOY5" s="27"/>
      <c r="TOZ5" s="27"/>
      <c r="TPA5" s="27"/>
      <c r="TPB5" s="27"/>
      <c r="TPC5" s="27"/>
      <c r="TPD5" s="27"/>
      <c r="TPE5" s="27"/>
      <c r="TPF5" s="27"/>
      <c r="TPG5" s="27"/>
      <c r="TPH5" s="27"/>
      <c r="TPI5" s="27"/>
      <c r="TPJ5" s="27"/>
      <c r="TPK5" s="27"/>
      <c r="TPL5" s="27"/>
      <c r="TPM5" s="27"/>
      <c r="TPN5" s="27"/>
      <c r="TPO5" s="27"/>
      <c r="TPP5" s="27"/>
      <c r="TPQ5" s="27"/>
      <c r="TPR5" s="27"/>
      <c r="TPS5" s="27"/>
      <c r="TPT5" s="27"/>
      <c r="TPU5" s="27"/>
      <c r="TPV5" s="27"/>
      <c r="TPW5" s="27"/>
      <c r="TPX5" s="27"/>
      <c r="TPY5" s="27"/>
      <c r="TPZ5" s="27"/>
      <c r="TQA5" s="27"/>
      <c r="TQB5" s="27"/>
      <c r="TQC5" s="27"/>
      <c r="TQD5" s="27"/>
      <c r="TQE5" s="27"/>
      <c r="TQF5" s="27"/>
      <c r="TQG5" s="27"/>
      <c r="TQH5" s="27"/>
      <c r="TQI5" s="27"/>
      <c r="TQJ5" s="27"/>
      <c r="TQK5" s="27"/>
      <c r="TQL5" s="27"/>
      <c r="TQM5" s="27"/>
      <c r="TQN5" s="27"/>
      <c r="TQO5" s="27"/>
      <c r="TQP5" s="27"/>
      <c r="TQQ5" s="27"/>
      <c r="TQR5" s="27"/>
      <c r="TQS5" s="27"/>
      <c r="TQT5" s="27"/>
      <c r="TQU5" s="27"/>
      <c r="TQV5" s="27"/>
      <c r="TQW5" s="27"/>
      <c r="TQX5" s="27"/>
      <c r="TQY5" s="27"/>
      <c r="TQZ5" s="27"/>
      <c r="TRA5" s="27"/>
      <c r="TRB5" s="27"/>
      <c r="TRC5" s="27"/>
      <c r="TRD5" s="27"/>
      <c r="TRE5" s="27"/>
      <c r="TRF5" s="27"/>
      <c r="TRG5" s="27"/>
      <c r="TRH5" s="27"/>
      <c r="TRI5" s="27"/>
      <c r="TRJ5" s="27"/>
      <c r="TRK5" s="27"/>
      <c r="TRL5" s="27"/>
      <c r="TRM5" s="27"/>
      <c r="TRN5" s="27"/>
      <c r="TRO5" s="27"/>
      <c r="TRP5" s="27"/>
      <c r="TRQ5" s="27"/>
      <c r="TRR5" s="27"/>
      <c r="TRS5" s="27"/>
      <c r="TRT5" s="27"/>
      <c r="TRU5" s="27"/>
      <c r="TRV5" s="27"/>
      <c r="TRW5" s="27"/>
      <c r="TRX5" s="27"/>
      <c r="TRY5" s="27"/>
      <c r="TRZ5" s="27"/>
      <c r="TSA5" s="27"/>
      <c r="TSB5" s="27"/>
      <c r="TSC5" s="27"/>
      <c r="TSD5" s="27"/>
      <c r="TSE5" s="27"/>
      <c r="TSF5" s="27"/>
      <c r="TSG5" s="27"/>
      <c r="TSH5" s="27"/>
      <c r="TSI5" s="27"/>
      <c r="TSJ5" s="27"/>
      <c r="TSK5" s="27"/>
      <c r="TSL5" s="27"/>
      <c r="TSM5" s="27"/>
      <c r="TSN5" s="27"/>
      <c r="TSO5" s="27"/>
      <c r="TSP5" s="27"/>
      <c r="TSQ5" s="27"/>
      <c r="TSR5" s="27"/>
      <c r="TSS5" s="27"/>
      <c r="TST5" s="27"/>
      <c r="TSU5" s="27"/>
      <c r="TSV5" s="27"/>
      <c r="TSW5" s="27"/>
      <c r="TSX5" s="27"/>
      <c r="TSY5" s="27"/>
      <c r="TSZ5" s="27"/>
      <c r="TTA5" s="27"/>
      <c r="TTB5" s="27"/>
      <c r="TTC5" s="27"/>
      <c r="TTD5" s="27"/>
      <c r="TTE5" s="27"/>
      <c r="TTF5" s="27"/>
      <c r="TTG5" s="27"/>
      <c r="TTH5" s="27"/>
      <c r="TTI5" s="27"/>
      <c r="TTJ5" s="27"/>
      <c r="TTK5" s="27"/>
      <c r="TTL5" s="27"/>
      <c r="TTM5" s="27"/>
      <c r="TTN5" s="27"/>
      <c r="TTO5" s="27"/>
      <c r="TTP5" s="27"/>
      <c r="TTQ5" s="27"/>
      <c r="TTR5" s="27"/>
      <c r="TTS5" s="27"/>
      <c r="TTT5" s="27"/>
      <c r="TTU5" s="27"/>
      <c r="TTV5" s="27"/>
      <c r="TTW5" s="27"/>
      <c r="TTX5" s="27"/>
      <c r="TTY5" s="27"/>
      <c r="TTZ5" s="27"/>
      <c r="TUA5" s="27"/>
      <c r="TUB5" s="27"/>
      <c r="TUC5" s="27"/>
      <c r="TUD5" s="27"/>
      <c r="TUE5" s="27"/>
      <c r="TUF5" s="27"/>
      <c r="TUG5" s="27"/>
      <c r="TUH5" s="27"/>
      <c r="TUI5" s="27"/>
      <c r="TUJ5" s="27"/>
      <c r="TUK5" s="27"/>
      <c r="TUL5" s="27"/>
      <c r="TUM5" s="27"/>
      <c r="TUN5" s="27"/>
      <c r="TUO5" s="27"/>
      <c r="TUP5" s="27"/>
      <c r="TUQ5" s="27"/>
      <c r="TUR5" s="27"/>
      <c r="TUS5" s="27"/>
      <c r="TUT5" s="27"/>
      <c r="TUU5" s="27"/>
      <c r="TUV5" s="27"/>
      <c r="TUW5" s="27"/>
      <c r="TUX5" s="27"/>
      <c r="TUY5" s="27"/>
      <c r="TUZ5" s="27"/>
      <c r="TVA5" s="27"/>
      <c r="TVB5" s="27"/>
      <c r="TVC5" s="27"/>
      <c r="TVD5" s="27"/>
      <c r="TVE5" s="27"/>
      <c r="TVF5" s="27"/>
      <c r="TVG5" s="27"/>
      <c r="TVH5" s="27"/>
      <c r="TVI5" s="27"/>
      <c r="TVJ5" s="27"/>
      <c r="TVK5" s="27"/>
      <c r="TVL5" s="27"/>
      <c r="TVM5" s="27"/>
      <c r="TVN5" s="27"/>
      <c r="TVO5" s="27"/>
      <c r="TVP5" s="27"/>
      <c r="TVQ5" s="27"/>
      <c r="TVR5" s="27"/>
      <c r="TVS5" s="27"/>
      <c r="TVT5" s="27"/>
      <c r="TVU5" s="27"/>
      <c r="TVV5" s="27"/>
      <c r="TVW5" s="27"/>
      <c r="TVX5" s="27"/>
      <c r="TVY5" s="27"/>
      <c r="TVZ5" s="27"/>
      <c r="TWA5" s="27"/>
      <c r="TWB5" s="27"/>
      <c r="TWC5" s="27"/>
      <c r="TWD5" s="27"/>
      <c r="TWE5" s="27"/>
      <c r="TWF5" s="27"/>
      <c r="TWG5" s="27"/>
      <c r="TWH5" s="27"/>
      <c r="TWI5" s="27"/>
      <c r="TWJ5" s="27"/>
      <c r="TWK5" s="27"/>
      <c r="TWL5" s="27"/>
      <c r="TWM5" s="27"/>
      <c r="TWN5" s="27"/>
      <c r="TWO5" s="27"/>
      <c r="TWP5" s="27"/>
      <c r="TWQ5" s="27"/>
      <c r="TWR5" s="27"/>
      <c r="TWS5" s="27"/>
      <c r="TWT5" s="27"/>
      <c r="TWU5" s="27"/>
      <c r="TWV5" s="27"/>
      <c r="TWW5" s="27"/>
      <c r="TWX5" s="27"/>
      <c r="TWY5" s="27"/>
      <c r="TWZ5" s="27"/>
      <c r="TXA5" s="27"/>
      <c r="TXB5" s="27"/>
      <c r="TXC5" s="27"/>
      <c r="TXD5" s="27"/>
      <c r="TXE5" s="27"/>
      <c r="TXF5" s="27"/>
      <c r="TXG5" s="27"/>
      <c r="TXH5" s="27"/>
      <c r="TXI5" s="27"/>
      <c r="TXJ5" s="27"/>
      <c r="TXK5" s="27"/>
      <c r="TXL5" s="27"/>
      <c r="TXM5" s="27"/>
      <c r="TXN5" s="27"/>
      <c r="TXO5" s="27"/>
      <c r="TXP5" s="27"/>
      <c r="TXQ5" s="27"/>
      <c r="TXR5" s="27"/>
      <c r="TXS5" s="27"/>
      <c r="TXT5" s="27"/>
      <c r="TXU5" s="27"/>
      <c r="TXV5" s="27"/>
      <c r="TXW5" s="27"/>
      <c r="TXX5" s="27"/>
      <c r="TXY5" s="27"/>
      <c r="TXZ5" s="27"/>
      <c r="TYA5" s="27"/>
      <c r="TYB5" s="27"/>
      <c r="TYC5" s="27"/>
      <c r="TYD5" s="27"/>
      <c r="TYE5" s="27"/>
      <c r="TYF5" s="27"/>
      <c r="TYG5" s="27"/>
      <c r="TYH5" s="27"/>
      <c r="TYI5" s="27"/>
      <c r="TYJ5" s="27"/>
      <c r="TYK5" s="27"/>
      <c r="TYL5" s="27"/>
      <c r="TYM5" s="27"/>
      <c r="TYN5" s="27"/>
      <c r="TYO5" s="27"/>
      <c r="TYP5" s="27"/>
      <c r="TYQ5" s="27"/>
      <c r="TYR5" s="27"/>
      <c r="TYS5" s="27"/>
      <c r="TYT5" s="27"/>
      <c r="TYU5" s="27"/>
      <c r="TYV5" s="27"/>
      <c r="TYW5" s="27"/>
      <c r="TYX5" s="27"/>
      <c r="TYY5" s="27"/>
      <c r="TYZ5" s="27"/>
      <c r="TZA5" s="27"/>
      <c r="TZB5" s="27"/>
      <c r="TZC5" s="27"/>
      <c r="TZD5" s="27"/>
      <c r="TZE5" s="27"/>
      <c r="TZF5" s="27"/>
      <c r="TZG5" s="27"/>
      <c r="TZH5" s="27"/>
      <c r="TZI5" s="27"/>
      <c r="TZJ5" s="27"/>
      <c r="TZK5" s="27"/>
      <c r="TZL5" s="27"/>
      <c r="TZM5" s="27"/>
      <c r="TZN5" s="27"/>
      <c r="TZO5" s="27"/>
      <c r="TZP5" s="27"/>
      <c r="TZQ5" s="27"/>
      <c r="TZR5" s="27"/>
      <c r="TZS5" s="27"/>
      <c r="TZT5" s="27"/>
      <c r="TZU5" s="27"/>
      <c r="TZV5" s="27"/>
      <c r="TZW5" s="27"/>
      <c r="TZX5" s="27"/>
      <c r="TZY5" s="27"/>
      <c r="TZZ5" s="27"/>
      <c r="UAA5" s="27"/>
      <c r="UAB5" s="27"/>
      <c r="UAC5" s="27"/>
      <c r="UAD5" s="27"/>
      <c r="UAE5" s="27"/>
      <c r="UAF5" s="27"/>
      <c r="UAG5" s="27"/>
      <c r="UAH5" s="27"/>
      <c r="UAI5" s="27"/>
      <c r="UAJ5" s="27"/>
      <c r="UAK5" s="27"/>
      <c r="UAL5" s="27"/>
      <c r="UAM5" s="27"/>
      <c r="UAN5" s="27"/>
      <c r="UAO5" s="27"/>
      <c r="UAP5" s="27"/>
      <c r="UAQ5" s="27"/>
      <c r="UAR5" s="27"/>
      <c r="UAS5" s="27"/>
      <c r="UAT5" s="27"/>
      <c r="UAU5" s="27"/>
      <c r="UAV5" s="27"/>
      <c r="UAW5" s="27"/>
      <c r="UAX5" s="27"/>
      <c r="UAY5" s="27"/>
      <c r="UAZ5" s="27"/>
      <c r="UBA5" s="27"/>
      <c r="UBB5" s="27"/>
      <c r="UBC5" s="27"/>
      <c r="UBD5" s="27"/>
      <c r="UBE5" s="27"/>
      <c r="UBF5" s="27"/>
      <c r="UBG5" s="27"/>
      <c r="UBH5" s="27"/>
      <c r="UBI5" s="27"/>
      <c r="UBJ5" s="27"/>
      <c r="UBK5" s="27"/>
      <c r="UBL5" s="27"/>
      <c r="UBM5" s="27"/>
      <c r="UBN5" s="27"/>
      <c r="UBO5" s="27"/>
      <c r="UBP5" s="27"/>
      <c r="UBQ5" s="27"/>
      <c r="UBR5" s="27"/>
      <c r="UBS5" s="27"/>
      <c r="UBT5" s="27"/>
      <c r="UBU5" s="27"/>
      <c r="UBV5" s="27"/>
      <c r="UBW5" s="27"/>
      <c r="UBX5" s="27"/>
      <c r="UBY5" s="27"/>
      <c r="UBZ5" s="27"/>
      <c r="UCA5" s="27"/>
      <c r="UCB5" s="27"/>
      <c r="UCC5" s="27"/>
      <c r="UCD5" s="27"/>
      <c r="UCE5" s="27"/>
      <c r="UCF5" s="27"/>
      <c r="UCG5" s="27"/>
      <c r="UCH5" s="27"/>
      <c r="UCI5" s="27"/>
      <c r="UCJ5" s="27"/>
      <c r="UCK5" s="27"/>
      <c r="UCL5" s="27"/>
      <c r="UCM5" s="27"/>
      <c r="UCN5" s="27"/>
      <c r="UCO5" s="27"/>
      <c r="UCP5" s="27"/>
      <c r="UCQ5" s="27"/>
      <c r="UCR5" s="27"/>
      <c r="UCS5" s="27"/>
      <c r="UCT5" s="27"/>
      <c r="UCU5" s="27"/>
      <c r="UCV5" s="27"/>
      <c r="UCW5" s="27"/>
      <c r="UCX5" s="27"/>
      <c r="UCY5" s="27"/>
      <c r="UCZ5" s="27"/>
      <c r="UDA5" s="27"/>
      <c r="UDB5" s="27"/>
      <c r="UDC5" s="27"/>
      <c r="UDD5" s="27"/>
      <c r="UDE5" s="27"/>
      <c r="UDF5" s="27"/>
      <c r="UDG5" s="27"/>
      <c r="UDH5" s="27"/>
      <c r="UDI5" s="27"/>
      <c r="UDJ5" s="27"/>
      <c r="UDK5" s="27"/>
      <c r="UDL5" s="27"/>
      <c r="UDM5" s="27"/>
      <c r="UDN5" s="27"/>
      <c r="UDO5" s="27"/>
      <c r="UDP5" s="27"/>
      <c r="UDQ5" s="27"/>
      <c r="UDR5" s="27"/>
      <c r="UDS5" s="27"/>
      <c r="UDT5" s="27"/>
      <c r="UDU5" s="27"/>
      <c r="UDV5" s="27"/>
      <c r="UDW5" s="27"/>
      <c r="UDX5" s="27"/>
      <c r="UDY5" s="27"/>
      <c r="UDZ5" s="27"/>
      <c r="UEA5" s="27"/>
      <c r="UEB5" s="27"/>
      <c r="UEC5" s="27"/>
      <c r="UED5" s="27"/>
      <c r="UEE5" s="27"/>
      <c r="UEF5" s="27"/>
      <c r="UEG5" s="27"/>
      <c r="UEH5" s="27"/>
      <c r="UEI5" s="27"/>
      <c r="UEJ5" s="27"/>
      <c r="UEK5" s="27"/>
      <c r="UEL5" s="27"/>
      <c r="UEM5" s="27"/>
      <c r="UEN5" s="27"/>
      <c r="UEO5" s="27"/>
      <c r="UEP5" s="27"/>
      <c r="UEQ5" s="27"/>
      <c r="UER5" s="27"/>
      <c r="UES5" s="27"/>
      <c r="UET5" s="27"/>
      <c r="UEU5" s="27"/>
      <c r="UEV5" s="27"/>
      <c r="UEW5" s="27"/>
      <c r="UEX5" s="27"/>
      <c r="UEY5" s="27"/>
      <c r="UEZ5" s="27"/>
      <c r="UFA5" s="27"/>
      <c r="UFB5" s="27"/>
      <c r="UFC5" s="27"/>
      <c r="UFD5" s="27"/>
      <c r="UFE5" s="27"/>
      <c r="UFF5" s="27"/>
      <c r="UFG5" s="27"/>
      <c r="UFH5" s="27"/>
      <c r="UFI5" s="27"/>
      <c r="UFJ5" s="27"/>
      <c r="UFK5" s="27"/>
      <c r="UFL5" s="27"/>
      <c r="UFM5" s="27"/>
      <c r="UFN5" s="27"/>
      <c r="UFO5" s="27"/>
      <c r="UFP5" s="27"/>
      <c r="UFQ5" s="27"/>
      <c r="UFR5" s="27"/>
      <c r="UFS5" s="27"/>
      <c r="UFT5" s="27"/>
      <c r="UFU5" s="27"/>
      <c r="UFV5" s="27"/>
      <c r="UFW5" s="27"/>
      <c r="UFX5" s="27"/>
      <c r="UFY5" s="27"/>
      <c r="UFZ5" s="27"/>
      <c r="UGA5" s="27"/>
      <c r="UGB5" s="27"/>
      <c r="UGC5" s="27"/>
      <c r="UGD5" s="27"/>
      <c r="UGE5" s="27"/>
      <c r="UGF5" s="27"/>
      <c r="UGG5" s="27"/>
      <c r="UGH5" s="27"/>
      <c r="UGI5" s="27"/>
      <c r="UGJ5" s="27"/>
      <c r="UGK5" s="27"/>
      <c r="UGL5" s="27"/>
      <c r="UGM5" s="27"/>
      <c r="UGN5" s="27"/>
      <c r="UGO5" s="27"/>
      <c r="UGP5" s="27"/>
      <c r="UGQ5" s="27"/>
      <c r="UGR5" s="27"/>
      <c r="UGS5" s="27"/>
      <c r="UGT5" s="27"/>
      <c r="UGU5" s="27"/>
      <c r="UGV5" s="27"/>
      <c r="UGW5" s="27"/>
      <c r="UGX5" s="27"/>
      <c r="UGY5" s="27"/>
      <c r="UGZ5" s="27"/>
      <c r="UHA5" s="27"/>
      <c r="UHB5" s="27"/>
      <c r="UHC5" s="27"/>
      <c r="UHD5" s="27"/>
      <c r="UHE5" s="27"/>
      <c r="UHF5" s="27"/>
      <c r="UHG5" s="27"/>
      <c r="UHH5" s="27"/>
      <c r="UHI5" s="27"/>
      <c r="UHJ5" s="27"/>
      <c r="UHK5" s="27"/>
      <c r="UHL5" s="27"/>
      <c r="UHM5" s="27"/>
      <c r="UHN5" s="27"/>
      <c r="UHO5" s="27"/>
      <c r="UHP5" s="27"/>
      <c r="UHQ5" s="27"/>
      <c r="UHR5" s="27"/>
      <c r="UHS5" s="27"/>
      <c r="UHT5" s="27"/>
      <c r="UHU5" s="27"/>
      <c r="UHV5" s="27"/>
      <c r="UHW5" s="27"/>
      <c r="UHX5" s="27"/>
      <c r="UHY5" s="27"/>
      <c r="UHZ5" s="27"/>
      <c r="UIA5" s="27"/>
      <c r="UIB5" s="27"/>
      <c r="UIC5" s="27"/>
      <c r="UID5" s="27"/>
      <c r="UIE5" s="27"/>
      <c r="UIF5" s="27"/>
      <c r="UIG5" s="27"/>
      <c r="UIH5" s="27"/>
      <c r="UII5" s="27"/>
      <c r="UIJ5" s="27"/>
      <c r="UIK5" s="27"/>
      <c r="UIL5" s="27"/>
      <c r="UIM5" s="27"/>
      <c r="UIN5" s="27"/>
      <c r="UIO5" s="27"/>
      <c r="UIP5" s="27"/>
      <c r="UIQ5" s="27"/>
      <c r="UIR5" s="27"/>
      <c r="UIS5" s="27"/>
      <c r="UIT5" s="27"/>
      <c r="UIU5" s="27"/>
      <c r="UIV5" s="27"/>
      <c r="UIW5" s="27"/>
      <c r="UIX5" s="27"/>
      <c r="UIY5" s="27"/>
      <c r="UIZ5" s="27"/>
      <c r="UJA5" s="27"/>
      <c r="UJB5" s="27"/>
      <c r="UJC5" s="27"/>
      <c r="UJD5" s="27"/>
      <c r="UJE5" s="27"/>
      <c r="UJF5" s="27"/>
      <c r="UJG5" s="27"/>
      <c r="UJH5" s="27"/>
      <c r="UJI5" s="27"/>
      <c r="UJJ5" s="27"/>
      <c r="UJK5" s="27"/>
      <c r="UJL5" s="27"/>
      <c r="UJM5" s="27"/>
      <c r="UJN5" s="27"/>
      <c r="UJO5" s="27"/>
      <c r="UJP5" s="27"/>
      <c r="UJQ5" s="27"/>
      <c r="UJR5" s="27"/>
      <c r="UJS5" s="27"/>
      <c r="UJT5" s="27"/>
      <c r="UJU5" s="27"/>
      <c r="UJV5" s="27"/>
      <c r="UJW5" s="27"/>
      <c r="UJX5" s="27"/>
      <c r="UJY5" s="27"/>
      <c r="UJZ5" s="27"/>
      <c r="UKA5" s="27"/>
      <c r="UKB5" s="27"/>
      <c r="UKC5" s="27"/>
      <c r="UKD5" s="27"/>
      <c r="UKE5" s="27"/>
      <c r="UKF5" s="27"/>
      <c r="UKG5" s="27"/>
      <c r="UKH5" s="27"/>
      <c r="UKI5" s="27"/>
      <c r="UKJ5" s="27"/>
      <c r="UKK5" s="27"/>
      <c r="UKL5" s="27"/>
      <c r="UKM5" s="27"/>
      <c r="UKN5" s="27"/>
      <c r="UKO5" s="27"/>
      <c r="UKP5" s="27"/>
      <c r="UKQ5" s="27"/>
      <c r="UKR5" s="27"/>
      <c r="UKS5" s="27"/>
      <c r="UKT5" s="27"/>
      <c r="UKU5" s="27"/>
      <c r="UKV5" s="27"/>
      <c r="UKW5" s="27"/>
      <c r="UKX5" s="27"/>
      <c r="UKY5" s="27"/>
      <c r="UKZ5" s="27"/>
      <c r="ULA5" s="27"/>
      <c r="ULB5" s="27"/>
      <c r="ULC5" s="27"/>
      <c r="ULD5" s="27"/>
      <c r="ULE5" s="27"/>
      <c r="ULF5" s="27"/>
      <c r="ULG5" s="27"/>
      <c r="ULH5" s="27"/>
      <c r="ULI5" s="27"/>
      <c r="ULJ5" s="27"/>
      <c r="ULK5" s="27"/>
      <c r="ULL5" s="27"/>
      <c r="ULM5" s="27"/>
      <c r="ULN5" s="27"/>
      <c r="ULO5" s="27"/>
      <c r="ULP5" s="27"/>
      <c r="ULQ5" s="27"/>
      <c r="ULR5" s="27"/>
      <c r="ULS5" s="27"/>
      <c r="ULT5" s="27"/>
      <c r="ULU5" s="27"/>
      <c r="ULV5" s="27"/>
      <c r="ULW5" s="27"/>
      <c r="ULX5" s="27"/>
      <c r="ULY5" s="27"/>
      <c r="ULZ5" s="27"/>
      <c r="UMA5" s="27"/>
      <c r="UMB5" s="27"/>
      <c r="UMC5" s="27"/>
      <c r="UMD5" s="27"/>
      <c r="UME5" s="27"/>
      <c r="UMF5" s="27"/>
      <c r="UMG5" s="27"/>
      <c r="UMH5" s="27"/>
      <c r="UMI5" s="27"/>
      <c r="UMJ5" s="27"/>
      <c r="UMK5" s="27"/>
      <c r="UML5" s="27"/>
      <c r="UMM5" s="27"/>
      <c r="UMN5" s="27"/>
      <c r="UMO5" s="27"/>
      <c r="UMP5" s="27"/>
      <c r="UMQ5" s="27"/>
      <c r="UMR5" s="27"/>
      <c r="UMS5" s="27"/>
      <c r="UMT5" s="27"/>
      <c r="UMU5" s="27"/>
      <c r="UMV5" s="27"/>
      <c r="UMW5" s="27"/>
      <c r="UMX5" s="27"/>
      <c r="UMY5" s="27"/>
      <c r="UMZ5" s="27"/>
      <c r="UNA5" s="27"/>
      <c r="UNB5" s="27"/>
      <c r="UNC5" s="27"/>
      <c r="UND5" s="27"/>
      <c r="UNE5" s="27"/>
      <c r="UNF5" s="27"/>
      <c r="UNG5" s="27"/>
      <c r="UNH5" s="27"/>
      <c r="UNI5" s="27"/>
      <c r="UNJ5" s="27"/>
      <c r="UNK5" s="27"/>
      <c r="UNL5" s="27"/>
      <c r="UNM5" s="27"/>
      <c r="UNN5" s="27"/>
      <c r="UNO5" s="27"/>
      <c r="UNP5" s="27"/>
      <c r="UNQ5" s="27"/>
      <c r="UNR5" s="27"/>
      <c r="UNS5" s="27"/>
      <c r="UNT5" s="27"/>
      <c r="UNU5" s="27"/>
      <c r="UNV5" s="27"/>
      <c r="UNW5" s="27"/>
      <c r="UNX5" s="27"/>
      <c r="UNY5" s="27"/>
      <c r="UNZ5" s="27"/>
      <c r="UOA5" s="27"/>
      <c r="UOB5" s="27"/>
      <c r="UOC5" s="27"/>
      <c r="UOD5" s="27"/>
      <c r="UOE5" s="27"/>
      <c r="UOF5" s="27"/>
      <c r="UOG5" s="27"/>
      <c r="UOH5" s="27"/>
      <c r="UOI5" s="27"/>
      <c r="UOJ5" s="27"/>
      <c r="UOK5" s="27"/>
      <c r="UOL5" s="27"/>
      <c r="UOM5" s="27"/>
      <c r="UON5" s="27"/>
      <c r="UOO5" s="27"/>
      <c r="UOP5" s="27"/>
      <c r="UOQ5" s="27"/>
      <c r="UOR5" s="27"/>
      <c r="UOS5" s="27"/>
      <c r="UOT5" s="27"/>
      <c r="UOU5" s="27"/>
      <c r="UOV5" s="27"/>
      <c r="UOW5" s="27"/>
      <c r="UOX5" s="27"/>
      <c r="UOY5" s="27"/>
      <c r="UOZ5" s="27"/>
      <c r="UPA5" s="27"/>
      <c r="UPB5" s="27"/>
      <c r="UPC5" s="27"/>
      <c r="UPD5" s="27"/>
      <c r="UPE5" s="27"/>
      <c r="UPF5" s="27"/>
      <c r="UPG5" s="27"/>
      <c r="UPH5" s="27"/>
      <c r="UPI5" s="27"/>
      <c r="UPJ5" s="27"/>
      <c r="UPK5" s="27"/>
      <c r="UPL5" s="27"/>
      <c r="UPM5" s="27"/>
      <c r="UPN5" s="27"/>
      <c r="UPO5" s="27"/>
      <c r="UPP5" s="27"/>
      <c r="UPQ5" s="27"/>
      <c r="UPR5" s="27"/>
      <c r="UPS5" s="27"/>
      <c r="UPT5" s="27"/>
      <c r="UPU5" s="27"/>
      <c r="UPV5" s="27"/>
      <c r="UPW5" s="27"/>
      <c r="UPX5" s="27"/>
      <c r="UPY5" s="27"/>
      <c r="UPZ5" s="27"/>
      <c r="UQA5" s="27"/>
      <c r="UQB5" s="27"/>
      <c r="UQC5" s="27"/>
      <c r="UQD5" s="27"/>
      <c r="UQE5" s="27"/>
      <c r="UQF5" s="27"/>
      <c r="UQG5" s="27"/>
      <c r="UQH5" s="27"/>
      <c r="UQI5" s="27"/>
      <c r="UQJ5" s="27"/>
      <c r="UQK5" s="27"/>
      <c r="UQL5" s="27"/>
      <c r="UQM5" s="27"/>
      <c r="UQN5" s="27"/>
      <c r="UQO5" s="27"/>
      <c r="UQP5" s="27"/>
      <c r="UQQ5" s="27"/>
      <c r="UQR5" s="27"/>
      <c r="UQS5" s="27"/>
      <c r="UQT5" s="27"/>
      <c r="UQU5" s="27"/>
      <c r="UQV5" s="27"/>
      <c r="UQW5" s="27"/>
      <c r="UQX5" s="27"/>
      <c r="UQY5" s="27"/>
      <c r="UQZ5" s="27"/>
      <c r="URA5" s="27"/>
      <c r="URB5" s="27"/>
      <c r="URC5" s="27"/>
      <c r="URD5" s="27"/>
      <c r="URE5" s="27"/>
      <c r="URF5" s="27"/>
      <c r="URG5" s="27"/>
      <c r="URH5" s="27"/>
      <c r="URI5" s="27"/>
      <c r="URJ5" s="27"/>
      <c r="URK5" s="27"/>
      <c r="URL5" s="27"/>
      <c r="URM5" s="27"/>
      <c r="URN5" s="27"/>
      <c r="URO5" s="27"/>
      <c r="URP5" s="27"/>
      <c r="URQ5" s="27"/>
      <c r="URR5" s="27"/>
      <c r="URS5" s="27"/>
      <c r="URT5" s="27"/>
      <c r="URU5" s="27"/>
      <c r="URV5" s="27"/>
      <c r="URW5" s="27"/>
      <c r="URX5" s="27"/>
      <c r="URY5" s="27"/>
      <c r="URZ5" s="27"/>
      <c r="USA5" s="27"/>
      <c r="USB5" s="27"/>
      <c r="USC5" s="27"/>
      <c r="USD5" s="27"/>
      <c r="USE5" s="27"/>
      <c r="USF5" s="27"/>
      <c r="USG5" s="27"/>
      <c r="USH5" s="27"/>
      <c r="USI5" s="27"/>
      <c r="USJ5" s="27"/>
      <c r="USK5" s="27"/>
      <c r="USL5" s="27"/>
      <c r="USM5" s="27"/>
      <c r="USN5" s="27"/>
      <c r="USO5" s="27"/>
      <c r="USP5" s="27"/>
      <c r="USQ5" s="27"/>
      <c r="USR5" s="27"/>
      <c r="USS5" s="27"/>
      <c r="UST5" s="27"/>
      <c r="USU5" s="27"/>
      <c r="USV5" s="27"/>
      <c r="USW5" s="27"/>
      <c r="USX5" s="27"/>
      <c r="USY5" s="27"/>
      <c r="USZ5" s="27"/>
      <c r="UTA5" s="27"/>
      <c r="UTB5" s="27"/>
      <c r="UTC5" s="27"/>
      <c r="UTD5" s="27"/>
      <c r="UTE5" s="27"/>
      <c r="UTF5" s="27"/>
      <c r="UTG5" s="27"/>
      <c r="UTH5" s="27"/>
      <c r="UTI5" s="27"/>
      <c r="UTJ5" s="27"/>
      <c r="UTK5" s="27"/>
      <c r="UTL5" s="27"/>
      <c r="UTM5" s="27"/>
      <c r="UTN5" s="27"/>
      <c r="UTO5" s="27"/>
      <c r="UTP5" s="27"/>
      <c r="UTQ5" s="27"/>
      <c r="UTR5" s="27"/>
      <c r="UTS5" s="27"/>
      <c r="UTT5" s="27"/>
      <c r="UTU5" s="27"/>
      <c r="UTV5" s="27"/>
      <c r="UTW5" s="27"/>
      <c r="UTX5" s="27"/>
      <c r="UTY5" s="27"/>
      <c r="UTZ5" s="27"/>
      <c r="UUA5" s="27"/>
      <c r="UUB5" s="27"/>
      <c r="UUC5" s="27"/>
      <c r="UUD5" s="27"/>
      <c r="UUE5" s="27"/>
      <c r="UUF5" s="27"/>
      <c r="UUG5" s="27"/>
      <c r="UUH5" s="27"/>
      <c r="UUI5" s="27"/>
      <c r="UUJ5" s="27"/>
      <c r="UUK5" s="27"/>
      <c r="UUL5" s="27"/>
      <c r="UUM5" s="27"/>
      <c r="UUN5" s="27"/>
      <c r="UUO5" s="27"/>
      <c r="UUP5" s="27"/>
      <c r="UUQ5" s="27"/>
      <c r="UUR5" s="27"/>
      <c r="UUS5" s="27"/>
      <c r="UUT5" s="27"/>
      <c r="UUU5" s="27"/>
      <c r="UUV5" s="27"/>
      <c r="UUW5" s="27"/>
      <c r="UUX5" s="27"/>
      <c r="UUY5" s="27"/>
      <c r="UUZ5" s="27"/>
      <c r="UVA5" s="27"/>
      <c r="UVB5" s="27"/>
      <c r="UVC5" s="27"/>
      <c r="UVD5" s="27"/>
      <c r="UVE5" s="27"/>
      <c r="UVF5" s="27"/>
      <c r="UVG5" s="27"/>
      <c r="UVH5" s="27"/>
      <c r="UVI5" s="27"/>
      <c r="UVJ5" s="27"/>
      <c r="UVK5" s="27"/>
      <c r="UVL5" s="27"/>
      <c r="UVM5" s="27"/>
      <c r="UVN5" s="27"/>
      <c r="UVO5" s="27"/>
      <c r="UVP5" s="27"/>
      <c r="UVQ5" s="27"/>
      <c r="UVR5" s="27"/>
      <c r="UVS5" s="27"/>
      <c r="UVT5" s="27"/>
      <c r="UVU5" s="27"/>
      <c r="UVV5" s="27"/>
      <c r="UVW5" s="27"/>
      <c r="UVX5" s="27"/>
      <c r="UVY5" s="27"/>
      <c r="UVZ5" s="27"/>
      <c r="UWA5" s="27"/>
      <c r="UWB5" s="27"/>
      <c r="UWC5" s="27"/>
      <c r="UWD5" s="27"/>
      <c r="UWE5" s="27"/>
      <c r="UWF5" s="27"/>
      <c r="UWG5" s="27"/>
      <c r="UWH5" s="27"/>
      <c r="UWI5" s="27"/>
      <c r="UWJ5" s="27"/>
      <c r="UWK5" s="27"/>
      <c r="UWL5" s="27"/>
      <c r="UWM5" s="27"/>
      <c r="UWN5" s="27"/>
      <c r="UWO5" s="27"/>
      <c r="UWP5" s="27"/>
      <c r="UWQ5" s="27"/>
      <c r="UWR5" s="27"/>
      <c r="UWS5" s="27"/>
      <c r="UWT5" s="27"/>
      <c r="UWU5" s="27"/>
      <c r="UWV5" s="27"/>
      <c r="UWW5" s="27"/>
      <c r="UWX5" s="27"/>
      <c r="UWY5" s="27"/>
      <c r="UWZ5" s="27"/>
      <c r="UXA5" s="27"/>
      <c r="UXB5" s="27"/>
      <c r="UXC5" s="27"/>
      <c r="UXD5" s="27"/>
      <c r="UXE5" s="27"/>
      <c r="UXF5" s="27"/>
      <c r="UXG5" s="27"/>
      <c r="UXH5" s="27"/>
      <c r="UXI5" s="27"/>
      <c r="UXJ5" s="27"/>
      <c r="UXK5" s="27"/>
      <c r="UXL5" s="27"/>
      <c r="UXM5" s="27"/>
      <c r="UXN5" s="27"/>
      <c r="UXO5" s="27"/>
      <c r="UXP5" s="27"/>
      <c r="UXQ5" s="27"/>
      <c r="UXR5" s="27"/>
      <c r="UXS5" s="27"/>
      <c r="UXT5" s="27"/>
      <c r="UXU5" s="27"/>
      <c r="UXV5" s="27"/>
      <c r="UXW5" s="27"/>
      <c r="UXX5" s="27"/>
      <c r="UXY5" s="27"/>
      <c r="UXZ5" s="27"/>
      <c r="UYA5" s="27"/>
      <c r="UYB5" s="27"/>
      <c r="UYC5" s="27"/>
      <c r="UYD5" s="27"/>
      <c r="UYE5" s="27"/>
      <c r="UYF5" s="27"/>
      <c r="UYG5" s="27"/>
      <c r="UYH5" s="27"/>
      <c r="UYI5" s="27"/>
      <c r="UYJ5" s="27"/>
      <c r="UYK5" s="27"/>
      <c r="UYL5" s="27"/>
      <c r="UYM5" s="27"/>
      <c r="UYN5" s="27"/>
      <c r="UYO5" s="27"/>
      <c r="UYP5" s="27"/>
      <c r="UYQ5" s="27"/>
      <c r="UYR5" s="27"/>
      <c r="UYS5" s="27"/>
      <c r="UYT5" s="27"/>
      <c r="UYU5" s="27"/>
      <c r="UYV5" s="27"/>
      <c r="UYW5" s="27"/>
      <c r="UYX5" s="27"/>
      <c r="UYY5" s="27"/>
      <c r="UYZ5" s="27"/>
      <c r="UZA5" s="27"/>
      <c r="UZB5" s="27"/>
      <c r="UZC5" s="27"/>
      <c r="UZD5" s="27"/>
      <c r="UZE5" s="27"/>
      <c r="UZF5" s="27"/>
      <c r="UZG5" s="27"/>
      <c r="UZH5" s="27"/>
      <c r="UZI5" s="27"/>
      <c r="UZJ5" s="27"/>
      <c r="UZK5" s="27"/>
      <c r="UZL5" s="27"/>
      <c r="UZM5" s="27"/>
      <c r="UZN5" s="27"/>
      <c r="UZO5" s="27"/>
      <c r="UZP5" s="27"/>
      <c r="UZQ5" s="27"/>
      <c r="UZR5" s="27"/>
      <c r="UZS5" s="27"/>
      <c r="UZT5" s="27"/>
      <c r="UZU5" s="27"/>
      <c r="UZV5" s="27"/>
      <c r="UZW5" s="27"/>
      <c r="UZX5" s="27"/>
      <c r="UZY5" s="27"/>
      <c r="UZZ5" s="27"/>
      <c r="VAA5" s="27"/>
      <c r="VAB5" s="27"/>
      <c r="VAC5" s="27"/>
      <c r="VAD5" s="27"/>
      <c r="VAE5" s="27"/>
      <c r="VAF5" s="27"/>
      <c r="VAG5" s="27"/>
      <c r="VAH5" s="27"/>
      <c r="VAI5" s="27"/>
      <c r="VAJ5" s="27"/>
      <c r="VAK5" s="27"/>
      <c r="VAL5" s="27"/>
      <c r="VAM5" s="27"/>
      <c r="VAN5" s="27"/>
      <c r="VAO5" s="27"/>
      <c r="VAP5" s="27"/>
      <c r="VAQ5" s="27"/>
      <c r="VAR5" s="27"/>
      <c r="VAS5" s="27"/>
      <c r="VAT5" s="27"/>
      <c r="VAU5" s="27"/>
      <c r="VAV5" s="27"/>
      <c r="VAW5" s="27"/>
      <c r="VAX5" s="27"/>
      <c r="VAY5" s="27"/>
      <c r="VAZ5" s="27"/>
      <c r="VBA5" s="27"/>
      <c r="VBB5" s="27"/>
      <c r="VBC5" s="27"/>
      <c r="VBD5" s="27"/>
      <c r="VBE5" s="27"/>
      <c r="VBF5" s="27"/>
      <c r="VBG5" s="27"/>
      <c r="VBH5" s="27"/>
      <c r="VBI5" s="27"/>
      <c r="VBJ5" s="27"/>
      <c r="VBK5" s="27"/>
      <c r="VBL5" s="27"/>
      <c r="VBM5" s="27"/>
      <c r="VBN5" s="27"/>
      <c r="VBO5" s="27"/>
      <c r="VBP5" s="27"/>
      <c r="VBQ5" s="27"/>
      <c r="VBR5" s="27"/>
      <c r="VBS5" s="27"/>
      <c r="VBT5" s="27"/>
      <c r="VBU5" s="27"/>
      <c r="VBV5" s="27"/>
      <c r="VBW5" s="27"/>
      <c r="VBX5" s="27"/>
      <c r="VBY5" s="27"/>
      <c r="VBZ5" s="27"/>
      <c r="VCA5" s="27"/>
      <c r="VCB5" s="27"/>
      <c r="VCC5" s="27"/>
      <c r="VCD5" s="27"/>
      <c r="VCE5" s="27"/>
      <c r="VCF5" s="27"/>
      <c r="VCG5" s="27"/>
      <c r="VCH5" s="27"/>
      <c r="VCI5" s="27"/>
      <c r="VCJ5" s="27"/>
      <c r="VCK5" s="27"/>
      <c r="VCL5" s="27"/>
      <c r="VCM5" s="27"/>
      <c r="VCN5" s="27"/>
      <c r="VCO5" s="27"/>
      <c r="VCP5" s="27"/>
      <c r="VCQ5" s="27"/>
      <c r="VCR5" s="27"/>
      <c r="VCS5" s="27"/>
      <c r="VCT5" s="27"/>
      <c r="VCU5" s="27"/>
      <c r="VCV5" s="27"/>
      <c r="VCW5" s="27"/>
      <c r="VCX5" s="27"/>
      <c r="VCY5" s="27"/>
      <c r="VCZ5" s="27"/>
      <c r="VDA5" s="27"/>
      <c r="VDB5" s="27"/>
      <c r="VDC5" s="27"/>
      <c r="VDD5" s="27"/>
      <c r="VDE5" s="27"/>
      <c r="VDF5" s="27"/>
      <c r="VDG5" s="27"/>
      <c r="VDH5" s="27"/>
      <c r="VDI5" s="27"/>
      <c r="VDJ5" s="27"/>
      <c r="VDK5" s="27"/>
      <c r="VDL5" s="27"/>
      <c r="VDM5" s="27"/>
      <c r="VDN5" s="27"/>
      <c r="VDO5" s="27"/>
      <c r="VDP5" s="27"/>
      <c r="VDQ5" s="27"/>
      <c r="VDR5" s="27"/>
      <c r="VDS5" s="27"/>
      <c r="VDT5" s="27"/>
      <c r="VDU5" s="27"/>
      <c r="VDV5" s="27"/>
      <c r="VDW5" s="27"/>
      <c r="VDX5" s="27"/>
      <c r="VDY5" s="27"/>
      <c r="VDZ5" s="27"/>
      <c r="VEA5" s="27"/>
      <c r="VEB5" s="27"/>
      <c r="VEC5" s="27"/>
      <c r="VED5" s="27"/>
      <c r="VEE5" s="27"/>
      <c r="VEF5" s="27"/>
      <c r="VEG5" s="27"/>
      <c r="VEH5" s="27"/>
      <c r="VEI5" s="27"/>
      <c r="VEJ5" s="27"/>
      <c r="VEK5" s="27"/>
      <c r="VEL5" s="27"/>
      <c r="VEM5" s="27"/>
      <c r="VEN5" s="27"/>
      <c r="VEO5" s="27"/>
      <c r="VEP5" s="27"/>
      <c r="VEQ5" s="27"/>
      <c r="VER5" s="27"/>
      <c r="VES5" s="27"/>
      <c r="VET5" s="27"/>
      <c r="VEU5" s="27"/>
      <c r="VEV5" s="27"/>
      <c r="VEW5" s="27"/>
      <c r="VEX5" s="27"/>
      <c r="VEY5" s="27"/>
      <c r="VEZ5" s="27"/>
      <c r="VFA5" s="27"/>
      <c r="VFB5" s="27"/>
      <c r="VFC5" s="27"/>
      <c r="VFD5" s="27"/>
      <c r="VFE5" s="27"/>
      <c r="VFF5" s="27"/>
      <c r="VFG5" s="27"/>
      <c r="VFH5" s="27"/>
      <c r="VFI5" s="27"/>
      <c r="VFJ5" s="27"/>
      <c r="VFK5" s="27"/>
      <c r="VFL5" s="27"/>
      <c r="VFM5" s="27"/>
      <c r="VFN5" s="27"/>
      <c r="VFO5" s="27"/>
      <c r="VFP5" s="27"/>
      <c r="VFQ5" s="27"/>
      <c r="VFR5" s="27"/>
      <c r="VFS5" s="27"/>
      <c r="VFT5" s="27"/>
      <c r="VFU5" s="27"/>
      <c r="VFV5" s="27"/>
      <c r="VFW5" s="27"/>
      <c r="VFX5" s="27"/>
      <c r="VFY5" s="27"/>
      <c r="VFZ5" s="27"/>
      <c r="VGA5" s="27"/>
      <c r="VGB5" s="27"/>
      <c r="VGC5" s="27"/>
      <c r="VGD5" s="27"/>
      <c r="VGE5" s="27"/>
      <c r="VGF5" s="27"/>
      <c r="VGG5" s="27"/>
      <c r="VGH5" s="27"/>
      <c r="VGI5" s="27"/>
      <c r="VGJ5" s="27"/>
      <c r="VGK5" s="27"/>
      <c r="VGL5" s="27"/>
      <c r="VGM5" s="27"/>
      <c r="VGN5" s="27"/>
      <c r="VGO5" s="27"/>
      <c r="VGP5" s="27"/>
      <c r="VGQ5" s="27"/>
      <c r="VGR5" s="27"/>
      <c r="VGS5" s="27"/>
      <c r="VGT5" s="27"/>
      <c r="VGU5" s="27"/>
      <c r="VGV5" s="27"/>
      <c r="VGW5" s="27"/>
      <c r="VGX5" s="27"/>
      <c r="VGY5" s="27"/>
      <c r="VGZ5" s="27"/>
      <c r="VHA5" s="27"/>
      <c r="VHB5" s="27"/>
      <c r="VHC5" s="27"/>
      <c r="VHD5" s="27"/>
      <c r="VHE5" s="27"/>
      <c r="VHF5" s="27"/>
      <c r="VHG5" s="27"/>
      <c r="VHH5" s="27"/>
      <c r="VHI5" s="27"/>
      <c r="VHJ5" s="27"/>
      <c r="VHK5" s="27"/>
      <c r="VHL5" s="27"/>
      <c r="VHM5" s="27"/>
      <c r="VHN5" s="27"/>
      <c r="VHO5" s="27"/>
      <c r="VHP5" s="27"/>
      <c r="VHQ5" s="27"/>
      <c r="VHR5" s="27"/>
      <c r="VHS5" s="27"/>
      <c r="VHT5" s="27"/>
      <c r="VHU5" s="27"/>
      <c r="VHV5" s="27"/>
      <c r="VHW5" s="27"/>
      <c r="VHX5" s="27"/>
      <c r="VHY5" s="27"/>
      <c r="VHZ5" s="27"/>
      <c r="VIA5" s="27"/>
      <c r="VIB5" s="27"/>
      <c r="VIC5" s="27"/>
      <c r="VID5" s="27"/>
      <c r="VIE5" s="27"/>
      <c r="VIF5" s="27"/>
      <c r="VIG5" s="27"/>
      <c r="VIH5" s="27"/>
      <c r="VII5" s="27"/>
      <c r="VIJ5" s="27"/>
      <c r="VIK5" s="27"/>
      <c r="VIL5" s="27"/>
      <c r="VIM5" s="27"/>
      <c r="VIN5" s="27"/>
      <c r="VIO5" s="27"/>
      <c r="VIP5" s="27"/>
      <c r="VIQ5" s="27"/>
      <c r="VIR5" s="27"/>
      <c r="VIS5" s="27"/>
      <c r="VIT5" s="27"/>
      <c r="VIU5" s="27"/>
      <c r="VIV5" s="27"/>
      <c r="VIW5" s="27"/>
      <c r="VIX5" s="27"/>
      <c r="VIY5" s="27"/>
      <c r="VIZ5" s="27"/>
      <c r="VJA5" s="27"/>
      <c r="VJB5" s="27"/>
      <c r="VJC5" s="27"/>
      <c r="VJD5" s="27"/>
      <c r="VJE5" s="27"/>
      <c r="VJF5" s="27"/>
      <c r="VJG5" s="27"/>
      <c r="VJH5" s="27"/>
      <c r="VJI5" s="27"/>
      <c r="VJJ5" s="27"/>
      <c r="VJK5" s="27"/>
      <c r="VJL5" s="27"/>
      <c r="VJM5" s="27"/>
      <c r="VJN5" s="27"/>
      <c r="VJO5" s="27"/>
      <c r="VJP5" s="27"/>
      <c r="VJQ5" s="27"/>
      <c r="VJR5" s="27"/>
      <c r="VJS5" s="27"/>
      <c r="VJT5" s="27"/>
      <c r="VJU5" s="27"/>
      <c r="VJV5" s="27"/>
      <c r="VJW5" s="27"/>
      <c r="VJX5" s="27"/>
      <c r="VJY5" s="27"/>
      <c r="VJZ5" s="27"/>
      <c r="VKA5" s="27"/>
      <c r="VKB5" s="27"/>
      <c r="VKC5" s="27"/>
      <c r="VKD5" s="27"/>
      <c r="VKE5" s="27"/>
      <c r="VKF5" s="27"/>
      <c r="VKG5" s="27"/>
      <c r="VKH5" s="27"/>
      <c r="VKI5" s="27"/>
      <c r="VKJ5" s="27"/>
      <c r="VKK5" s="27"/>
      <c r="VKL5" s="27"/>
      <c r="VKM5" s="27"/>
      <c r="VKN5" s="27"/>
      <c r="VKO5" s="27"/>
      <c r="VKP5" s="27"/>
      <c r="VKQ5" s="27"/>
      <c r="VKR5" s="27"/>
      <c r="VKS5" s="27"/>
      <c r="VKT5" s="27"/>
      <c r="VKU5" s="27"/>
      <c r="VKV5" s="27"/>
      <c r="VKW5" s="27"/>
      <c r="VKX5" s="27"/>
      <c r="VKY5" s="27"/>
      <c r="VKZ5" s="27"/>
      <c r="VLA5" s="27"/>
      <c r="VLB5" s="27"/>
      <c r="VLC5" s="27"/>
      <c r="VLD5" s="27"/>
      <c r="VLE5" s="27"/>
      <c r="VLF5" s="27"/>
      <c r="VLG5" s="27"/>
      <c r="VLH5" s="27"/>
      <c r="VLI5" s="27"/>
      <c r="VLJ5" s="27"/>
      <c r="VLK5" s="27"/>
      <c r="VLL5" s="27"/>
      <c r="VLM5" s="27"/>
      <c r="VLN5" s="27"/>
      <c r="VLO5" s="27"/>
      <c r="VLP5" s="27"/>
      <c r="VLQ5" s="27"/>
      <c r="VLR5" s="27"/>
      <c r="VLS5" s="27"/>
      <c r="VLT5" s="27"/>
      <c r="VLU5" s="27"/>
      <c r="VLV5" s="27"/>
      <c r="VLW5" s="27"/>
      <c r="VLX5" s="27"/>
      <c r="VLY5" s="27"/>
      <c r="VLZ5" s="27"/>
      <c r="VMA5" s="27"/>
      <c r="VMB5" s="27"/>
      <c r="VMC5" s="27"/>
      <c r="VMD5" s="27"/>
      <c r="VME5" s="27"/>
      <c r="VMF5" s="27"/>
      <c r="VMG5" s="27"/>
      <c r="VMH5" s="27"/>
      <c r="VMI5" s="27"/>
      <c r="VMJ5" s="27"/>
      <c r="VMK5" s="27"/>
      <c r="VML5" s="27"/>
      <c r="VMM5" s="27"/>
      <c r="VMN5" s="27"/>
      <c r="VMO5" s="27"/>
      <c r="VMP5" s="27"/>
      <c r="VMQ5" s="27"/>
      <c r="VMR5" s="27"/>
      <c r="VMS5" s="27"/>
      <c r="VMT5" s="27"/>
      <c r="VMU5" s="27"/>
      <c r="VMV5" s="27"/>
      <c r="VMW5" s="27"/>
      <c r="VMX5" s="27"/>
      <c r="VMY5" s="27"/>
      <c r="VMZ5" s="27"/>
      <c r="VNA5" s="27"/>
      <c r="VNB5" s="27"/>
      <c r="VNC5" s="27"/>
      <c r="VND5" s="27"/>
      <c r="VNE5" s="27"/>
      <c r="VNF5" s="27"/>
      <c r="VNG5" s="27"/>
      <c r="VNH5" s="27"/>
      <c r="VNI5" s="27"/>
      <c r="VNJ5" s="27"/>
      <c r="VNK5" s="27"/>
      <c r="VNL5" s="27"/>
      <c r="VNM5" s="27"/>
      <c r="VNN5" s="27"/>
      <c r="VNO5" s="27"/>
      <c r="VNP5" s="27"/>
      <c r="VNQ5" s="27"/>
      <c r="VNR5" s="27"/>
      <c r="VNS5" s="27"/>
      <c r="VNT5" s="27"/>
      <c r="VNU5" s="27"/>
      <c r="VNV5" s="27"/>
      <c r="VNW5" s="27"/>
      <c r="VNX5" s="27"/>
      <c r="VNY5" s="27"/>
      <c r="VNZ5" s="27"/>
      <c r="VOA5" s="27"/>
      <c r="VOB5" s="27"/>
      <c r="VOC5" s="27"/>
      <c r="VOD5" s="27"/>
      <c r="VOE5" s="27"/>
      <c r="VOF5" s="27"/>
      <c r="VOG5" s="27"/>
      <c r="VOH5" s="27"/>
      <c r="VOI5" s="27"/>
      <c r="VOJ5" s="27"/>
      <c r="VOK5" s="27"/>
      <c r="VOL5" s="27"/>
      <c r="VOM5" s="27"/>
      <c r="VON5" s="27"/>
      <c r="VOO5" s="27"/>
      <c r="VOP5" s="27"/>
      <c r="VOQ5" s="27"/>
      <c r="VOR5" s="27"/>
      <c r="VOS5" s="27"/>
      <c r="VOT5" s="27"/>
      <c r="VOU5" s="27"/>
      <c r="VOV5" s="27"/>
      <c r="VOW5" s="27"/>
      <c r="VOX5" s="27"/>
      <c r="VOY5" s="27"/>
      <c r="VOZ5" s="27"/>
      <c r="VPA5" s="27"/>
      <c r="VPB5" s="27"/>
      <c r="VPC5" s="27"/>
      <c r="VPD5" s="27"/>
      <c r="VPE5" s="27"/>
      <c r="VPF5" s="27"/>
      <c r="VPG5" s="27"/>
      <c r="VPH5" s="27"/>
      <c r="VPI5" s="27"/>
      <c r="VPJ5" s="27"/>
      <c r="VPK5" s="27"/>
      <c r="VPL5" s="27"/>
      <c r="VPM5" s="27"/>
      <c r="VPN5" s="27"/>
      <c r="VPO5" s="27"/>
      <c r="VPP5" s="27"/>
      <c r="VPQ5" s="27"/>
      <c r="VPR5" s="27"/>
      <c r="VPS5" s="27"/>
      <c r="VPT5" s="27"/>
      <c r="VPU5" s="27"/>
      <c r="VPV5" s="27"/>
      <c r="VPW5" s="27"/>
      <c r="VPX5" s="27"/>
      <c r="VPY5" s="27"/>
      <c r="VPZ5" s="27"/>
      <c r="VQA5" s="27"/>
      <c r="VQB5" s="27"/>
      <c r="VQC5" s="27"/>
      <c r="VQD5" s="27"/>
      <c r="VQE5" s="27"/>
      <c r="VQF5" s="27"/>
      <c r="VQG5" s="27"/>
      <c r="VQH5" s="27"/>
      <c r="VQI5" s="27"/>
      <c r="VQJ5" s="27"/>
      <c r="VQK5" s="27"/>
      <c r="VQL5" s="27"/>
      <c r="VQM5" s="27"/>
      <c r="VQN5" s="27"/>
      <c r="VQO5" s="27"/>
      <c r="VQP5" s="27"/>
      <c r="VQQ5" s="27"/>
      <c r="VQR5" s="27"/>
      <c r="VQS5" s="27"/>
      <c r="VQT5" s="27"/>
      <c r="VQU5" s="27"/>
      <c r="VQV5" s="27"/>
      <c r="VQW5" s="27"/>
      <c r="VQX5" s="27"/>
      <c r="VQY5" s="27"/>
      <c r="VQZ5" s="27"/>
      <c r="VRA5" s="27"/>
      <c r="VRB5" s="27"/>
      <c r="VRC5" s="27"/>
      <c r="VRD5" s="27"/>
      <c r="VRE5" s="27"/>
      <c r="VRF5" s="27"/>
      <c r="VRG5" s="27"/>
      <c r="VRH5" s="27"/>
      <c r="VRI5" s="27"/>
      <c r="VRJ5" s="27"/>
      <c r="VRK5" s="27"/>
      <c r="VRL5" s="27"/>
      <c r="VRM5" s="27"/>
      <c r="VRN5" s="27"/>
      <c r="VRO5" s="27"/>
      <c r="VRP5" s="27"/>
      <c r="VRQ5" s="27"/>
      <c r="VRR5" s="27"/>
      <c r="VRS5" s="27"/>
      <c r="VRT5" s="27"/>
      <c r="VRU5" s="27"/>
      <c r="VRV5" s="27"/>
      <c r="VRW5" s="27"/>
      <c r="VRX5" s="27"/>
      <c r="VRY5" s="27"/>
      <c r="VRZ5" s="27"/>
      <c r="VSA5" s="27"/>
      <c r="VSB5" s="27"/>
      <c r="VSC5" s="27"/>
      <c r="VSD5" s="27"/>
      <c r="VSE5" s="27"/>
      <c r="VSF5" s="27"/>
      <c r="VSG5" s="27"/>
      <c r="VSH5" s="27"/>
      <c r="VSI5" s="27"/>
      <c r="VSJ5" s="27"/>
      <c r="VSK5" s="27"/>
      <c r="VSL5" s="27"/>
      <c r="VSM5" s="27"/>
      <c r="VSN5" s="27"/>
      <c r="VSO5" s="27"/>
      <c r="VSP5" s="27"/>
      <c r="VSQ5" s="27"/>
      <c r="VSR5" s="27"/>
      <c r="VSS5" s="27"/>
      <c r="VST5" s="27"/>
      <c r="VSU5" s="27"/>
      <c r="VSV5" s="27"/>
      <c r="VSW5" s="27"/>
      <c r="VSX5" s="27"/>
      <c r="VSY5" s="27"/>
      <c r="VSZ5" s="27"/>
      <c r="VTA5" s="27"/>
      <c r="VTB5" s="27"/>
      <c r="VTC5" s="27"/>
      <c r="VTD5" s="27"/>
      <c r="VTE5" s="27"/>
      <c r="VTF5" s="27"/>
      <c r="VTG5" s="27"/>
      <c r="VTH5" s="27"/>
      <c r="VTI5" s="27"/>
      <c r="VTJ5" s="27"/>
      <c r="VTK5" s="27"/>
      <c r="VTL5" s="27"/>
      <c r="VTM5" s="27"/>
      <c r="VTN5" s="27"/>
      <c r="VTO5" s="27"/>
      <c r="VTP5" s="27"/>
      <c r="VTQ5" s="27"/>
      <c r="VTR5" s="27"/>
      <c r="VTS5" s="27"/>
      <c r="VTT5" s="27"/>
      <c r="VTU5" s="27"/>
      <c r="VTV5" s="27"/>
      <c r="VTW5" s="27"/>
      <c r="VTX5" s="27"/>
      <c r="VTY5" s="27"/>
      <c r="VTZ5" s="27"/>
      <c r="VUA5" s="27"/>
      <c r="VUB5" s="27"/>
      <c r="VUC5" s="27"/>
      <c r="VUD5" s="27"/>
      <c r="VUE5" s="27"/>
      <c r="VUF5" s="27"/>
      <c r="VUG5" s="27"/>
      <c r="VUH5" s="27"/>
      <c r="VUI5" s="27"/>
      <c r="VUJ5" s="27"/>
      <c r="VUK5" s="27"/>
      <c r="VUL5" s="27"/>
      <c r="VUM5" s="27"/>
      <c r="VUN5" s="27"/>
      <c r="VUO5" s="27"/>
      <c r="VUP5" s="27"/>
      <c r="VUQ5" s="27"/>
      <c r="VUR5" s="27"/>
      <c r="VUS5" s="27"/>
      <c r="VUT5" s="27"/>
      <c r="VUU5" s="27"/>
      <c r="VUV5" s="27"/>
      <c r="VUW5" s="27"/>
      <c r="VUX5" s="27"/>
      <c r="VUY5" s="27"/>
      <c r="VUZ5" s="27"/>
      <c r="VVA5" s="27"/>
      <c r="VVB5" s="27"/>
      <c r="VVC5" s="27"/>
      <c r="VVD5" s="27"/>
      <c r="VVE5" s="27"/>
      <c r="VVF5" s="27"/>
      <c r="VVG5" s="27"/>
      <c r="VVH5" s="27"/>
      <c r="VVI5" s="27"/>
      <c r="VVJ5" s="27"/>
      <c r="VVK5" s="27"/>
      <c r="VVL5" s="27"/>
      <c r="VVM5" s="27"/>
      <c r="VVN5" s="27"/>
      <c r="VVO5" s="27"/>
      <c r="VVP5" s="27"/>
      <c r="VVQ5" s="27"/>
      <c r="VVR5" s="27"/>
      <c r="VVS5" s="27"/>
      <c r="VVT5" s="27"/>
      <c r="VVU5" s="27"/>
      <c r="VVV5" s="27"/>
      <c r="VVW5" s="27"/>
      <c r="VVX5" s="27"/>
      <c r="VVY5" s="27"/>
      <c r="VVZ5" s="27"/>
      <c r="VWA5" s="27"/>
      <c r="VWB5" s="27"/>
      <c r="VWC5" s="27"/>
      <c r="VWD5" s="27"/>
      <c r="VWE5" s="27"/>
      <c r="VWF5" s="27"/>
      <c r="VWG5" s="27"/>
      <c r="VWH5" s="27"/>
      <c r="VWI5" s="27"/>
      <c r="VWJ5" s="27"/>
      <c r="VWK5" s="27"/>
      <c r="VWL5" s="27"/>
      <c r="VWM5" s="27"/>
      <c r="VWN5" s="27"/>
      <c r="VWO5" s="27"/>
      <c r="VWP5" s="27"/>
      <c r="VWQ5" s="27"/>
      <c r="VWR5" s="27"/>
      <c r="VWS5" s="27"/>
      <c r="VWT5" s="27"/>
      <c r="VWU5" s="27"/>
      <c r="VWV5" s="27"/>
      <c r="VWW5" s="27"/>
      <c r="VWX5" s="27"/>
      <c r="VWY5" s="27"/>
      <c r="VWZ5" s="27"/>
      <c r="VXA5" s="27"/>
      <c r="VXB5" s="27"/>
      <c r="VXC5" s="27"/>
      <c r="VXD5" s="27"/>
      <c r="VXE5" s="27"/>
      <c r="VXF5" s="27"/>
      <c r="VXG5" s="27"/>
      <c r="VXH5" s="27"/>
      <c r="VXI5" s="27"/>
      <c r="VXJ5" s="27"/>
      <c r="VXK5" s="27"/>
      <c r="VXL5" s="27"/>
      <c r="VXM5" s="27"/>
      <c r="VXN5" s="27"/>
      <c r="VXO5" s="27"/>
      <c r="VXP5" s="27"/>
      <c r="VXQ5" s="27"/>
      <c r="VXR5" s="27"/>
      <c r="VXS5" s="27"/>
      <c r="VXT5" s="27"/>
      <c r="VXU5" s="27"/>
      <c r="VXV5" s="27"/>
      <c r="VXW5" s="27"/>
      <c r="VXX5" s="27"/>
      <c r="VXY5" s="27"/>
      <c r="VXZ5" s="27"/>
      <c r="VYA5" s="27"/>
      <c r="VYB5" s="27"/>
      <c r="VYC5" s="27"/>
      <c r="VYD5" s="27"/>
      <c r="VYE5" s="27"/>
      <c r="VYF5" s="27"/>
      <c r="VYG5" s="27"/>
      <c r="VYH5" s="27"/>
      <c r="VYI5" s="27"/>
      <c r="VYJ5" s="27"/>
      <c r="VYK5" s="27"/>
      <c r="VYL5" s="27"/>
      <c r="VYM5" s="27"/>
      <c r="VYN5" s="27"/>
      <c r="VYO5" s="27"/>
      <c r="VYP5" s="27"/>
      <c r="VYQ5" s="27"/>
      <c r="VYR5" s="27"/>
      <c r="VYS5" s="27"/>
      <c r="VYT5" s="27"/>
      <c r="VYU5" s="27"/>
      <c r="VYV5" s="27"/>
      <c r="VYW5" s="27"/>
      <c r="VYX5" s="27"/>
      <c r="VYY5" s="27"/>
      <c r="VYZ5" s="27"/>
      <c r="VZA5" s="27"/>
      <c r="VZB5" s="27"/>
      <c r="VZC5" s="27"/>
      <c r="VZD5" s="27"/>
      <c r="VZE5" s="27"/>
      <c r="VZF5" s="27"/>
      <c r="VZG5" s="27"/>
      <c r="VZH5" s="27"/>
      <c r="VZI5" s="27"/>
      <c r="VZJ5" s="27"/>
      <c r="VZK5" s="27"/>
      <c r="VZL5" s="27"/>
      <c r="VZM5" s="27"/>
      <c r="VZN5" s="27"/>
      <c r="VZO5" s="27"/>
      <c r="VZP5" s="27"/>
      <c r="VZQ5" s="27"/>
      <c r="VZR5" s="27"/>
      <c r="VZS5" s="27"/>
      <c r="VZT5" s="27"/>
      <c r="VZU5" s="27"/>
      <c r="VZV5" s="27"/>
      <c r="VZW5" s="27"/>
      <c r="VZX5" s="27"/>
      <c r="VZY5" s="27"/>
      <c r="VZZ5" s="27"/>
      <c r="WAA5" s="27"/>
      <c r="WAB5" s="27"/>
      <c r="WAC5" s="27"/>
      <c r="WAD5" s="27"/>
      <c r="WAE5" s="27"/>
      <c r="WAF5" s="27"/>
      <c r="WAG5" s="27"/>
      <c r="WAH5" s="27"/>
      <c r="WAI5" s="27"/>
      <c r="WAJ5" s="27"/>
      <c r="WAK5" s="27"/>
      <c r="WAL5" s="27"/>
      <c r="WAM5" s="27"/>
      <c r="WAN5" s="27"/>
      <c r="WAO5" s="27"/>
      <c r="WAP5" s="27"/>
      <c r="WAQ5" s="27"/>
      <c r="WAR5" s="27"/>
      <c r="WAS5" s="27"/>
      <c r="WAT5" s="27"/>
      <c r="WAU5" s="27"/>
      <c r="WAV5" s="27"/>
      <c r="WAW5" s="27"/>
      <c r="WAX5" s="27"/>
      <c r="WAY5" s="27"/>
      <c r="WAZ5" s="27"/>
      <c r="WBA5" s="27"/>
      <c r="WBB5" s="27"/>
      <c r="WBC5" s="27"/>
      <c r="WBD5" s="27"/>
      <c r="WBE5" s="27"/>
      <c r="WBF5" s="27"/>
      <c r="WBG5" s="27"/>
      <c r="WBH5" s="27"/>
      <c r="WBI5" s="27"/>
      <c r="WBJ5" s="27"/>
      <c r="WBK5" s="27"/>
      <c r="WBL5" s="27"/>
      <c r="WBM5" s="27"/>
      <c r="WBN5" s="27"/>
      <c r="WBO5" s="27"/>
      <c r="WBP5" s="27"/>
      <c r="WBQ5" s="27"/>
      <c r="WBR5" s="27"/>
      <c r="WBS5" s="27"/>
      <c r="WBT5" s="27"/>
      <c r="WBU5" s="27"/>
      <c r="WBV5" s="27"/>
      <c r="WBW5" s="27"/>
      <c r="WBX5" s="27"/>
      <c r="WBY5" s="27"/>
      <c r="WBZ5" s="27"/>
      <c r="WCA5" s="27"/>
      <c r="WCB5" s="27"/>
      <c r="WCC5" s="27"/>
      <c r="WCD5" s="27"/>
      <c r="WCE5" s="27"/>
      <c r="WCF5" s="27"/>
      <c r="WCG5" s="27"/>
      <c r="WCH5" s="27"/>
      <c r="WCI5" s="27"/>
      <c r="WCJ5" s="27"/>
      <c r="WCK5" s="27"/>
      <c r="WCL5" s="27"/>
      <c r="WCM5" s="27"/>
      <c r="WCN5" s="27"/>
      <c r="WCO5" s="27"/>
      <c r="WCP5" s="27"/>
      <c r="WCQ5" s="27"/>
      <c r="WCR5" s="27"/>
      <c r="WCS5" s="27"/>
      <c r="WCT5" s="27"/>
      <c r="WCU5" s="27"/>
      <c r="WCV5" s="27"/>
      <c r="WCW5" s="27"/>
      <c r="WCX5" s="27"/>
      <c r="WCY5" s="27"/>
      <c r="WCZ5" s="27"/>
      <c r="WDA5" s="27"/>
      <c r="WDB5" s="27"/>
      <c r="WDC5" s="27"/>
      <c r="WDD5" s="27"/>
      <c r="WDE5" s="27"/>
      <c r="WDF5" s="27"/>
      <c r="WDG5" s="27"/>
      <c r="WDH5" s="27"/>
      <c r="WDI5" s="27"/>
      <c r="WDJ5" s="27"/>
      <c r="WDK5" s="27"/>
      <c r="WDL5" s="27"/>
      <c r="WDM5" s="27"/>
      <c r="WDN5" s="27"/>
      <c r="WDO5" s="27"/>
      <c r="WDP5" s="27"/>
      <c r="WDQ5" s="27"/>
      <c r="WDR5" s="27"/>
      <c r="WDS5" s="27"/>
      <c r="WDT5" s="27"/>
      <c r="WDU5" s="27"/>
      <c r="WDV5" s="27"/>
      <c r="WDW5" s="27"/>
      <c r="WDX5" s="27"/>
      <c r="WDY5" s="27"/>
      <c r="WDZ5" s="27"/>
      <c r="WEA5" s="27"/>
      <c r="WEB5" s="27"/>
      <c r="WEC5" s="27"/>
      <c r="WED5" s="27"/>
      <c r="WEE5" s="27"/>
      <c r="WEF5" s="27"/>
      <c r="WEG5" s="27"/>
      <c r="WEH5" s="27"/>
      <c r="WEI5" s="27"/>
      <c r="WEJ5" s="27"/>
      <c r="WEK5" s="27"/>
      <c r="WEL5" s="27"/>
      <c r="WEM5" s="27"/>
      <c r="WEN5" s="27"/>
      <c r="WEO5" s="27"/>
      <c r="WEP5" s="27"/>
      <c r="WEQ5" s="27"/>
      <c r="WER5" s="27"/>
      <c r="WES5" s="27"/>
      <c r="WET5" s="27"/>
      <c r="WEU5" s="27"/>
      <c r="WEV5" s="27"/>
      <c r="WEW5" s="27"/>
      <c r="WEX5" s="27"/>
      <c r="WEY5" s="27"/>
      <c r="WEZ5" s="27"/>
      <c r="WFA5" s="27"/>
      <c r="WFB5" s="27"/>
      <c r="WFC5" s="27"/>
      <c r="WFD5" s="27"/>
      <c r="WFE5" s="27"/>
      <c r="WFF5" s="27"/>
      <c r="WFG5" s="27"/>
      <c r="WFH5" s="27"/>
      <c r="WFI5" s="27"/>
      <c r="WFJ5" s="27"/>
      <c r="WFK5" s="27"/>
      <c r="WFL5" s="27"/>
      <c r="WFM5" s="27"/>
      <c r="WFN5" s="27"/>
      <c r="WFO5" s="27"/>
      <c r="WFP5" s="27"/>
      <c r="WFQ5" s="27"/>
      <c r="WFR5" s="27"/>
      <c r="WFS5" s="27"/>
      <c r="WFT5" s="27"/>
      <c r="WFU5" s="27"/>
      <c r="WFV5" s="27"/>
      <c r="WFW5" s="27"/>
      <c r="WFX5" s="27"/>
      <c r="WFY5" s="27"/>
      <c r="WFZ5" s="27"/>
      <c r="WGA5" s="27"/>
      <c r="WGB5" s="27"/>
      <c r="WGC5" s="27"/>
      <c r="WGD5" s="27"/>
      <c r="WGE5" s="27"/>
      <c r="WGF5" s="27"/>
      <c r="WGG5" s="27"/>
      <c r="WGH5" s="27"/>
      <c r="WGI5" s="27"/>
      <c r="WGJ5" s="27"/>
      <c r="WGK5" s="27"/>
      <c r="WGL5" s="27"/>
      <c r="WGM5" s="27"/>
      <c r="WGN5" s="27"/>
      <c r="WGO5" s="27"/>
      <c r="WGP5" s="27"/>
      <c r="WGQ5" s="27"/>
      <c r="WGR5" s="27"/>
      <c r="WGS5" s="27"/>
      <c r="WGT5" s="27"/>
      <c r="WGU5" s="27"/>
      <c r="WGV5" s="27"/>
      <c r="WGW5" s="27"/>
      <c r="WGX5" s="27"/>
      <c r="WGY5" s="27"/>
      <c r="WGZ5" s="27"/>
      <c r="WHA5" s="27"/>
      <c r="WHB5" s="27"/>
      <c r="WHC5" s="27"/>
      <c r="WHD5" s="27"/>
      <c r="WHE5" s="27"/>
      <c r="WHF5" s="27"/>
      <c r="WHG5" s="27"/>
      <c r="WHH5" s="27"/>
      <c r="WHI5" s="27"/>
      <c r="WHJ5" s="27"/>
      <c r="WHK5" s="27"/>
      <c r="WHL5" s="27"/>
      <c r="WHM5" s="27"/>
      <c r="WHN5" s="27"/>
      <c r="WHO5" s="27"/>
      <c r="WHP5" s="27"/>
      <c r="WHQ5" s="27"/>
      <c r="WHR5" s="27"/>
      <c r="WHS5" s="27"/>
      <c r="WHT5" s="27"/>
      <c r="WHU5" s="27"/>
      <c r="WHV5" s="27"/>
      <c r="WHW5" s="27"/>
      <c r="WHX5" s="27"/>
      <c r="WHY5" s="27"/>
      <c r="WHZ5" s="27"/>
      <c r="WIA5" s="27"/>
      <c r="WIB5" s="27"/>
      <c r="WIC5" s="27"/>
      <c r="WID5" s="27"/>
      <c r="WIE5" s="27"/>
      <c r="WIF5" s="27"/>
      <c r="WIG5" s="27"/>
      <c r="WIH5" s="27"/>
      <c r="WII5" s="27"/>
      <c r="WIJ5" s="27"/>
      <c r="WIK5" s="27"/>
      <c r="WIL5" s="27"/>
      <c r="WIM5" s="27"/>
      <c r="WIN5" s="27"/>
      <c r="WIO5" s="27"/>
      <c r="WIP5" s="27"/>
      <c r="WIQ5" s="27"/>
      <c r="WIR5" s="27"/>
      <c r="WIS5" s="27"/>
      <c r="WIT5" s="27"/>
      <c r="WIU5" s="27"/>
      <c r="WIV5" s="27"/>
      <c r="WIW5" s="27"/>
      <c r="WIX5" s="27"/>
      <c r="WIY5" s="27"/>
      <c r="WIZ5" s="27"/>
      <c r="WJA5" s="27"/>
      <c r="WJB5" s="27"/>
      <c r="WJC5" s="27"/>
      <c r="WJD5" s="27"/>
      <c r="WJE5" s="27"/>
      <c r="WJF5" s="27"/>
      <c r="WJG5" s="27"/>
      <c r="WJH5" s="27"/>
      <c r="WJI5" s="27"/>
      <c r="WJJ5" s="27"/>
      <c r="WJK5" s="27"/>
      <c r="WJL5" s="27"/>
      <c r="WJM5" s="27"/>
      <c r="WJN5" s="27"/>
      <c r="WJO5" s="27"/>
      <c r="WJP5" s="27"/>
      <c r="WJQ5" s="27"/>
      <c r="WJR5" s="27"/>
      <c r="WJS5" s="27"/>
      <c r="WJT5" s="27"/>
      <c r="WJU5" s="27"/>
      <c r="WJV5" s="27"/>
      <c r="WJW5" s="27"/>
      <c r="WJX5" s="27"/>
      <c r="WJY5" s="27"/>
      <c r="WJZ5" s="27"/>
      <c r="WKA5" s="27"/>
      <c r="WKB5" s="27"/>
      <c r="WKC5" s="27"/>
      <c r="WKD5" s="27"/>
      <c r="WKE5" s="27"/>
      <c r="WKF5" s="27"/>
      <c r="WKG5" s="27"/>
      <c r="WKH5" s="27"/>
      <c r="WKI5" s="27"/>
      <c r="WKJ5" s="27"/>
      <c r="WKK5" s="27"/>
      <c r="WKL5" s="27"/>
      <c r="WKM5" s="27"/>
      <c r="WKN5" s="27"/>
      <c r="WKO5" s="27"/>
      <c r="WKP5" s="27"/>
      <c r="WKQ5" s="27"/>
      <c r="WKR5" s="27"/>
      <c r="WKS5" s="27"/>
      <c r="WKT5" s="27"/>
      <c r="WKU5" s="27"/>
      <c r="WKV5" s="27"/>
      <c r="WKW5" s="27"/>
      <c r="WKX5" s="27"/>
      <c r="WKY5" s="27"/>
      <c r="WKZ5" s="27"/>
      <c r="WLA5" s="27"/>
      <c r="WLB5" s="27"/>
      <c r="WLC5" s="27"/>
      <c r="WLD5" s="27"/>
      <c r="WLE5" s="27"/>
      <c r="WLF5" s="27"/>
      <c r="WLG5" s="27"/>
      <c r="WLH5" s="27"/>
      <c r="WLI5" s="27"/>
      <c r="WLJ5" s="27"/>
      <c r="WLK5" s="27"/>
      <c r="WLL5" s="27"/>
      <c r="WLM5" s="27"/>
      <c r="WLN5" s="27"/>
      <c r="WLO5" s="27"/>
      <c r="WLP5" s="27"/>
      <c r="WLQ5" s="27"/>
      <c r="WLR5" s="27"/>
      <c r="WLS5" s="27"/>
      <c r="WLT5" s="27"/>
      <c r="WLU5" s="27"/>
      <c r="WLV5" s="27"/>
      <c r="WLW5" s="27"/>
      <c r="WLX5" s="27"/>
      <c r="WLY5" s="27"/>
      <c r="WLZ5" s="27"/>
      <c r="WMA5" s="27"/>
      <c r="WMB5" s="27"/>
      <c r="WMC5" s="27"/>
      <c r="WMD5" s="27"/>
      <c r="WME5" s="27"/>
      <c r="WMF5" s="27"/>
      <c r="WMG5" s="27"/>
      <c r="WMH5" s="27"/>
      <c r="WMI5" s="27"/>
      <c r="WMJ5" s="27"/>
      <c r="WMK5" s="27"/>
      <c r="WML5" s="27"/>
      <c r="WMM5" s="27"/>
      <c r="WMN5" s="27"/>
      <c r="WMO5" s="27"/>
      <c r="WMP5" s="27"/>
      <c r="WMQ5" s="27"/>
      <c r="WMR5" s="27"/>
      <c r="WMS5" s="27"/>
      <c r="WMT5" s="27"/>
      <c r="WMU5" s="27"/>
      <c r="WMV5" s="27"/>
      <c r="WMW5" s="27"/>
      <c r="WMX5" s="27"/>
      <c r="WMY5" s="27"/>
      <c r="WMZ5" s="27"/>
      <c r="WNA5" s="27"/>
      <c r="WNB5" s="27"/>
      <c r="WNC5" s="27"/>
      <c r="WND5" s="27"/>
      <c r="WNE5" s="27"/>
      <c r="WNF5" s="27"/>
      <c r="WNG5" s="27"/>
      <c r="WNH5" s="27"/>
      <c r="WNI5" s="27"/>
      <c r="WNJ5" s="27"/>
      <c r="WNK5" s="27"/>
      <c r="WNL5" s="27"/>
      <c r="WNM5" s="27"/>
      <c r="WNN5" s="27"/>
      <c r="WNO5" s="27"/>
      <c r="WNP5" s="27"/>
      <c r="WNQ5" s="27"/>
      <c r="WNR5" s="27"/>
      <c r="WNS5" s="27"/>
      <c r="WNT5" s="27"/>
      <c r="WNU5" s="27"/>
      <c r="WNV5" s="27"/>
      <c r="WNW5" s="27"/>
      <c r="WNX5" s="27"/>
      <c r="WNY5" s="27"/>
      <c r="WNZ5" s="27"/>
      <c r="WOA5" s="27"/>
      <c r="WOB5" s="27"/>
      <c r="WOC5" s="27"/>
      <c r="WOD5" s="27"/>
      <c r="WOE5" s="27"/>
      <c r="WOF5" s="27"/>
      <c r="WOG5" s="27"/>
      <c r="WOH5" s="27"/>
      <c r="WOI5" s="27"/>
      <c r="WOJ5" s="27"/>
      <c r="WOK5" s="27"/>
      <c r="WOL5" s="27"/>
      <c r="WOM5" s="27"/>
      <c r="WON5" s="27"/>
      <c r="WOO5" s="27"/>
      <c r="WOP5" s="27"/>
      <c r="WOQ5" s="27"/>
      <c r="WOR5" s="27"/>
      <c r="WOS5" s="27"/>
      <c r="WOT5" s="27"/>
      <c r="WOU5" s="27"/>
      <c r="WOV5" s="27"/>
      <c r="WOW5" s="27"/>
      <c r="WOX5" s="27"/>
      <c r="WOY5" s="27"/>
      <c r="WOZ5" s="27"/>
      <c r="WPA5" s="27"/>
      <c r="WPB5" s="27"/>
      <c r="WPC5" s="27"/>
      <c r="WPD5" s="27"/>
      <c r="WPE5" s="27"/>
      <c r="WPF5" s="27"/>
      <c r="WPG5" s="27"/>
      <c r="WPH5" s="27"/>
      <c r="WPI5" s="27"/>
      <c r="WPJ5" s="27"/>
      <c r="WPK5" s="27"/>
      <c r="WPL5" s="27"/>
      <c r="WPM5" s="27"/>
      <c r="WPN5" s="27"/>
      <c r="WPO5" s="27"/>
      <c r="WPP5" s="27"/>
      <c r="WPQ5" s="27"/>
      <c r="WPR5" s="27"/>
      <c r="WPS5" s="27"/>
      <c r="WPT5" s="27"/>
      <c r="WPU5" s="27"/>
      <c r="WPV5" s="27"/>
      <c r="WPW5" s="27"/>
      <c r="WPX5" s="27"/>
      <c r="WPY5" s="27"/>
      <c r="WPZ5" s="27"/>
      <c r="WQA5" s="27"/>
      <c r="WQB5" s="27"/>
      <c r="WQC5" s="27"/>
      <c r="WQD5" s="27"/>
      <c r="WQE5" s="27"/>
      <c r="WQF5" s="27"/>
      <c r="WQG5" s="27"/>
      <c r="WQH5" s="27"/>
      <c r="WQI5" s="27"/>
      <c r="WQJ5" s="27"/>
      <c r="WQK5" s="27"/>
      <c r="WQL5" s="27"/>
      <c r="WQM5" s="27"/>
      <c r="WQN5" s="27"/>
      <c r="WQO5" s="27"/>
      <c r="WQP5" s="27"/>
      <c r="WQQ5" s="27"/>
      <c r="WQR5" s="27"/>
      <c r="WQS5" s="27"/>
      <c r="WQT5" s="27"/>
      <c r="WQU5" s="27"/>
      <c r="WQV5" s="27"/>
      <c r="WQW5" s="27"/>
      <c r="WQX5" s="27"/>
      <c r="WQY5" s="27"/>
      <c r="WQZ5" s="27"/>
      <c r="WRA5" s="27"/>
      <c r="WRB5" s="27"/>
      <c r="WRC5" s="27"/>
      <c r="WRD5" s="27"/>
      <c r="WRE5" s="27"/>
      <c r="WRF5" s="27"/>
      <c r="WRG5" s="27"/>
      <c r="WRH5" s="27"/>
      <c r="WRI5" s="27"/>
      <c r="WRJ5" s="27"/>
      <c r="WRK5" s="27"/>
      <c r="WRL5" s="27"/>
      <c r="WRM5" s="27"/>
      <c r="WRN5" s="27"/>
      <c r="WRO5" s="27"/>
      <c r="WRP5" s="27"/>
      <c r="WRQ5" s="27"/>
      <c r="WRR5" s="27"/>
      <c r="WRS5" s="27"/>
      <c r="WRT5" s="27"/>
      <c r="WRU5" s="27"/>
      <c r="WRV5" s="27"/>
      <c r="WRW5" s="27"/>
      <c r="WRX5" s="27"/>
      <c r="WRY5" s="27"/>
      <c r="WRZ5" s="27"/>
      <c r="WSA5" s="27"/>
      <c r="WSB5" s="27"/>
      <c r="WSC5" s="27"/>
      <c r="WSD5" s="27"/>
      <c r="WSE5" s="27"/>
      <c r="WSF5" s="27"/>
      <c r="WSG5" s="27"/>
      <c r="WSH5" s="27"/>
      <c r="WSI5" s="27"/>
      <c r="WSJ5" s="27"/>
      <c r="WSK5" s="27"/>
      <c r="WSL5" s="27"/>
      <c r="WSM5" s="27"/>
      <c r="WSN5" s="27"/>
      <c r="WSO5" s="27"/>
      <c r="WSP5" s="27"/>
      <c r="WSQ5" s="27"/>
      <c r="WSR5" s="27"/>
      <c r="WSS5" s="27"/>
      <c r="WST5" s="27"/>
      <c r="WSU5" s="27"/>
      <c r="WSV5" s="27"/>
      <c r="WSW5" s="27"/>
      <c r="WSX5" s="27"/>
      <c r="WSY5" s="27"/>
      <c r="WSZ5" s="27"/>
      <c r="WTA5" s="27"/>
      <c r="WTB5" s="27"/>
      <c r="WTC5" s="27"/>
      <c r="WTD5" s="27"/>
      <c r="WTE5" s="27"/>
      <c r="WTF5" s="27"/>
      <c r="WTG5" s="27"/>
      <c r="WTH5" s="27"/>
      <c r="WTI5" s="27"/>
      <c r="WTJ5" s="27"/>
      <c r="WTK5" s="27"/>
      <c r="WTL5" s="27"/>
      <c r="WTM5" s="27"/>
      <c r="WTN5" s="27"/>
      <c r="WTO5" s="27"/>
      <c r="WTP5" s="27"/>
      <c r="WTQ5" s="27"/>
      <c r="WTR5" s="27"/>
      <c r="WTS5" s="27"/>
      <c r="WTT5" s="27"/>
      <c r="WTU5" s="27"/>
      <c r="WTV5" s="27"/>
      <c r="WTW5" s="27"/>
      <c r="WTX5" s="27"/>
      <c r="WTY5" s="27"/>
      <c r="WTZ5" s="27"/>
      <c r="WUA5" s="27"/>
      <c r="WUB5" s="27"/>
      <c r="WUC5" s="27"/>
      <c r="WUD5" s="27"/>
      <c r="WUE5" s="27"/>
      <c r="WUF5" s="27"/>
      <c r="WUG5" s="27"/>
      <c r="WUH5" s="27"/>
      <c r="WUI5" s="27"/>
      <c r="WUJ5" s="27"/>
      <c r="WUK5" s="27"/>
      <c r="WUL5" s="27"/>
      <c r="WUM5" s="27"/>
      <c r="WUN5" s="27"/>
      <c r="WUO5" s="27"/>
      <c r="WUP5" s="27"/>
      <c r="WUQ5" s="27"/>
      <c r="WUR5" s="27"/>
      <c r="WUS5" s="27"/>
      <c r="WUT5" s="27"/>
      <c r="WUU5" s="27"/>
      <c r="WUV5" s="27"/>
      <c r="WUW5" s="27"/>
      <c r="WUX5" s="27"/>
      <c r="WUY5" s="27"/>
      <c r="WUZ5" s="27"/>
      <c r="WVA5" s="27"/>
      <c r="WVB5" s="27"/>
      <c r="WVC5" s="27"/>
      <c r="WVD5" s="27"/>
      <c r="WVE5" s="27"/>
      <c r="WVF5" s="27"/>
      <c r="WVG5" s="27"/>
      <c r="WVH5" s="27"/>
      <c r="WVI5" s="27"/>
      <c r="WVJ5" s="27"/>
      <c r="WVK5" s="27"/>
      <c r="WVL5" s="27"/>
      <c r="WVM5" s="27"/>
      <c r="WVN5" s="27"/>
      <c r="WVO5" s="27"/>
      <c r="WVP5" s="27"/>
      <c r="WVQ5" s="27"/>
      <c r="WVR5" s="27"/>
      <c r="WVS5" s="27"/>
      <c r="WVT5" s="27"/>
      <c r="WVU5" s="27"/>
      <c r="WVV5" s="27"/>
      <c r="WVW5" s="27"/>
      <c r="WVX5" s="27"/>
      <c r="WVY5" s="27"/>
      <c r="WVZ5" s="27"/>
      <c r="WWA5" s="27"/>
      <c r="WWB5" s="27"/>
      <c r="WWC5" s="27"/>
      <c r="WWD5" s="27"/>
      <c r="WWE5" s="27"/>
      <c r="WWF5" s="27"/>
      <c r="WWG5" s="27"/>
      <c r="WWH5" s="27"/>
      <c r="WWI5" s="27"/>
      <c r="WWJ5" s="27"/>
      <c r="WWK5" s="27"/>
      <c r="WWL5" s="27"/>
      <c r="WWM5" s="27"/>
      <c r="WWN5" s="27"/>
      <c r="WWO5" s="27"/>
      <c r="WWP5" s="27"/>
      <c r="WWQ5" s="27"/>
      <c r="WWR5" s="27"/>
      <c r="WWS5" s="27"/>
      <c r="WWT5" s="27"/>
      <c r="WWU5" s="27"/>
      <c r="WWV5" s="27"/>
      <c r="WWW5" s="27"/>
      <c r="WWX5" s="27"/>
      <c r="WWY5" s="27"/>
      <c r="WWZ5" s="27"/>
      <c r="WXA5" s="27"/>
      <c r="WXB5" s="27"/>
      <c r="WXC5" s="27"/>
      <c r="WXD5" s="27"/>
      <c r="WXE5" s="27"/>
      <c r="WXF5" s="27"/>
      <c r="WXG5" s="27"/>
      <c r="WXH5" s="27"/>
      <c r="WXI5" s="27"/>
      <c r="WXJ5" s="27"/>
      <c r="WXK5" s="27"/>
      <c r="WXL5" s="27"/>
      <c r="WXM5" s="27"/>
      <c r="WXN5" s="27"/>
      <c r="WXO5" s="27"/>
      <c r="WXP5" s="27"/>
      <c r="WXQ5" s="27"/>
      <c r="WXR5" s="27"/>
      <c r="WXS5" s="27"/>
      <c r="WXT5" s="27"/>
      <c r="WXU5" s="27"/>
      <c r="WXV5" s="27"/>
      <c r="WXW5" s="27"/>
      <c r="WXX5" s="27"/>
      <c r="WXY5" s="27"/>
      <c r="WXZ5" s="27"/>
      <c r="WYA5" s="27"/>
      <c r="WYB5" s="27"/>
      <c r="WYC5" s="27"/>
      <c r="WYD5" s="27"/>
      <c r="WYE5" s="27"/>
      <c r="WYF5" s="27"/>
      <c r="WYG5" s="27"/>
      <c r="WYH5" s="27"/>
      <c r="WYI5" s="27"/>
      <c r="WYJ5" s="27"/>
      <c r="WYK5" s="27"/>
      <c r="WYL5" s="27"/>
      <c r="WYM5" s="27"/>
      <c r="WYN5" s="27"/>
      <c r="WYO5" s="27"/>
      <c r="WYP5" s="27"/>
      <c r="WYQ5" s="27"/>
      <c r="WYR5" s="27"/>
      <c r="WYS5" s="27"/>
      <c r="WYT5" s="27"/>
      <c r="WYU5" s="27"/>
      <c r="WYV5" s="27"/>
      <c r="WYW5" s="27"/>
      <c r="WYX5" s="27"/>
      <c r="WYY5" s="27"/>
      <c r="WYZ5" s="27"/>
      <c r="WZA5" s="27"/>
      <c r="WZB5" s="27"/>
      <c r="WZC5" s="27"/>
      <c r="WZD5" s="27"/>
      <c r="WZE5" s="27"/>
      <c r="WZF5" s="27"/>
      <c r="WZG5" s="27"/>
      <c r="WZH5" s="27"/>
      <c r="WZI5" s="27"/>
      <c r="WZJ5" s="27"/>
      <c r="WZK5" s="27"/>
      <c r="WZL5" s="27"/>
      <c r="WZM5" s="27"/>
      <c r="WZN5" s="27"/>
      <c r="WZO5" s="27"/>
      <c r="WZP5" s="27"/>
      <c r="WZQ5" s="27"/>
      <c r="WZR5" s="27"/>
      <c r="WZS5" s="27"/>
      <c r="WZT5" s="27"/>
      <c r="WZU5" s="27"/>
      <c r="WZV5" s="27"/>
      <c r="WZW5" s="27"/>
      <c r="WZX5" s="27"/>
      <c r="WZY5" s="27"/>
      <c r="WZZ5" s="27"/>
      <c r="XAA5" s="27"/>
      <c r="XAB5" s="27"/>
      <c r="XAC5" s="27"/>
      <c r="XAD5" s="27"/>
      <c r="XAE5" s="27"/>
      <c r="XAF5" s="27"/>
      <c r="XAG5" s="27"/>
      <c r="XAH5" s="27"/>
      <c r="XAI5" s="27"/>
      <c r="XAJ5" s="27"/>
      <c r="XAK5" s="27"/>
      <c r="XAL5" s="27"/>
      <c r="XAM5" s="27"/>
      <c r="XAN5" s="27"/>
      <c r="XAO5" s="27"/>
      <c r="XAP5" s="27"/>
      <c r="XAQ5" s="27"/>
      <c r="XAR5" s="27"/>
      <c r="XAS5" s="27"/>
      <c r="XAT5" s="27"/>
      <c r="XAU5" s="27"/>
      <c r="XAV5" s="27"/>
      <c r="XAW5" s="27"/>
      <c r="XAX5" s="27"/>
      <c r="XAY5" s="27"/>
      <c r="XAZ5" s="27"/>
      <c r="XBA5" s="27"/>
      <c r="XBB5" s="27"/>
      <c r="XBC5" s="27"/>
      <c r="XBD5" s="27"/>
      <c r="XBE5" s="27"/>
      <c r="XBF5" s="27"/>
      <c r="XBG5" s="27"/>
      <c r="XBH5" s="27"/>
      <c r="XBI5" s="27"/>
      <c r="XBJ5" s="27"/>
      <c r="XBK5" s="27"/>
      <c r="XBL5" s="27"/>
      <c r="XBM5" s="27"/>
      <c r="XBN5" s="27"/>
      <c r="XBO5" s="27"/>
      <c r="XBP5" s="27"/>
      <c r="XBQ5" s="27"/>
      <c r="XBR5" s="27"/>
      <c r="XBS5" s="27"/>
      <c r="XBT5" s="27"/>
      <c r="XBU5" s="27"/>
      <c r="XBV5" s="27"/>
      <c r="XBW5" s="27"/>
      <c r="XBX5" s="27"/>
      <c r="XBY5" s="27"/>
      <c r="XBZ5" s="27"/>
      <c r="XCA5" s="27"/>
      <c r="XCB5" s="27"/>
      <c r="XCC5" s="27"/>
      <c r="XCD5" s="27"/>
      <c r="XCE5" s="27"/>
      <c r="XCF5" s="27"/>
      <c r="XCG5" s="27"/>
      <c r="XCH5" s="27"/>
      <c r="XCI5" s="27"/>
      <c r="XCJ5" s="27"/>
      <c r="XCK5" s="27"/>
      <c r="XCL5" s="27"/>
      <c r="XCM5" s="27"/>
      <c r="XCN5" s="27"/>
      <c r="XCO5" s="27"/>
      <c r="XCP5" s="27"/>
      <c r="XCQ5" s="27"/>
      <c r="XCR5" s="27"/>
      <c r="XCS5" s="27"/>
      <c r="XCT5" s="27"/>
      <c r="XCU5" s="27"/>
      <c r="XCV5" s="27"/>
      <c r="XCW5" s="27"/>
      <c r="XCX5" s="27"/>
      <c r="XCY5" s="27"/>
      <c r="XCZ5" s="27"/>
      <c r="XDA5" s="27"/>
      <c r="XDB5" s="27"/>
      <c r="XDC5" s="27"/>
      <c r="XDD5" s="27"/>
      <c r="XDE5" s="27"/>
      <c r="XDF5" s="27"/>
      <c r="XDG5" s="27"/>
      <c r="XDH5" s="27"/>
      <c r="XDI5" s="27"/>
      <c r="XDJ5" s="27"/>
      <c r="XDK5" s="27"/>
      <c r="XDL5" s="27"/>
      <c r="XDM5" s="27"/>
      <c r="XDN5" s="27"/>
      <c r="XDO5" s="27"/>
      <c r="XDP5" s="27"/>
      <c r="XDQ5" s="27"/>
      <c r="XDR5" s="27"/>
      <c r="XDS5" s="27"/>
      <c r="XDT5" s="27"/>
      <c r="XDU5" s="27"/>
      <c r="XDV5" s="27"/>
      <c r="XDW5" s="27"/>
      <c r="XDX5" s="27"/>
      <c r="XDY5" s="27"/>
      <c r="XDZ5" s="27"/>
      <c r="XEA5" s="27"/>
      <c r="XEB5" s="27"/>
      <c r="XEC5" s="27"/>
      <c r="XED5" s="27"/>
      <c r="XEE5" s="27"/>
      <c r="XEF5" s="27"/>
      <c r="XEG5" s="27"/>
      <c r="XEH5" s="27"/>
      <c r="XEI5" s="27"/>
      <c r="XEJ5" s="27"/>
      <c r="XEK5" s="27"/>
      <c r="XEL5" s="27"/>
      <c r="XEM5" s="27"/>
      <c r="XEN5" s="27"/>
      <c r="XEO5" s="27"/>
      <c r="XEP5" s="27"/>
      <c r="XEQ5" s="27"/>
      <c r="XER5" s="27"/>
      <c r="XES5" s="27"/>
      <c r="XET5" s="27"/>
      <c r="XEU5" s="27"/>
      <c r="XEV5" s="27"/>
      <c r="XEW5" s="27"/>
      <c r="XEX5" s="27"/>
      <c r="XEY5" s="27"/>
      <c r="XEZ5" s="27"/>
      <c r="XFA5" s="27"/>
      <c r="XFB5" s="27"/>
      <c r="XFC5" s="27"/>
      <c r="XFD5" s="27"/>
    </row>
    <row r="6" spans="2:16384" s="32" customFormat="1" ht="5.0999999999999996" customHeight="1" x14ac:dyDescent="0.3">
      <c r="B6" s="33"/>
      <c r="C6" s="33"/>
      <c r="D6" s="33"/>
      <c r="E6" s="102"/>
      <c r="F6" s="34"/>
      <c r="G6" s="105"/>
      <c r="H6" s="35"/>
      <c r="M6" s="34"/>
      <c r="N6" s="34"/>
      <c r="U6" s="34"/>
      <c r="V6" s="34"/>
      <c r="W6" s="36"/>
      <c r="X6" s="27"/>
      <c r="Y6" s="28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  <c r="XEH6" s="27"/>
      <c r="XEI6" s="27"/>
      <c r="XEJ6" s="27"/>
      <c r="XEK6" s="27"/>
      <c r="XEL6" s="27"/>
      <c r="XEM6" s="27"/>
      <c r="XEN6" s="27"/>
      <c r="XEO6" s="27"/>
      <c r="XEP6" s="27"/>
      <c r="XEQ6" s="27"/>
      <c r="XER6" s="27"/>
      <c r="XES6" s="27"/>
      <c r="XET6" s="27"/>
      <c r="XEU6" s="27"/>
      <c r="XEV6" s="27"/>
      <c r="XEW6" s="27"/>
      <c r="XEX6" s="27"/>
      <c r="XEY6" s="27"/>
      <c r="XEZ6" s="27"/>
      <c r="XFA6" s="27"/>
      <c r="XFB6" s="27"/>
      <c r="XFC6" s="27"/>
      <c r="XFD6" s="27"/>
    </row>
    <row r="7" spans="2:16384" s="32" customFormat="1" ht="20.100000000000001" customHeight="1" x14ac:dyDescent="0.3">
      <c r="B7" s="29" t="str">
        <f>IF($F$2="","INFORMAR A DATA DE ENCERRAMENTO DO BALANÇO","BALANÇO PATRIMONIAL E DEMONSTRAÇÃO DO RESULTADO EM "&amp;TEXT($F$2,"DD")&amp;" DE "&amp;UPPER(TEXT($F$2,"MMMM"))&amp;" DE "&amp;TEXT($F$2,"AAAA")&amp;" (SUJEITO A REVISÃO DA AUDITORIA)")</f>
        <v>BALANÇO PATRIMONIAL E DEMONSTRAÇÃO DO RESULTADO EM 31 DE DEZEMBRO DE 2024 (SUJEITO A REVISÃO DA AUDITORIA)</v>
      </c>
      <c r="C7" s="29"/>
      <c r="D7" s="29"/>
      <c r="E7" s="35"/>
      <c r="F7" s="37"/>
      <c r="G7" s="37"/>
      <c r="H7" s="35"/>
      <c r="I7" s="35"/>
      <c r="J7" s="35"/>
      <c r="K7" s="35" t="s">
        <v>242</v>
      </c>
      <c r="L7" s="35"/>
      <c r="M7" s="37"/>
      <c r="N7" s="37"/>
      <c r="O7" s="35"/>
      <c r="Q7" s="35"/>
      <c r="R7" s="35"/>
      <c r="S7" s="146"/>
      <c r="T7" s="35"/>
      <c r="U7" s="37"/>
      <c r="V7" s="37"/>
      <c r="W7" s="38"/>
      <c r="X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  <c r="XEH7" s="27"/>
      <c r="XEI7" s="27"/>
      <c r="XEJ7" s="27"/>
      <c r="XEK7" s="27"/>
      <c r="XEL7" s="27"/>
      <c r="XEM7" s="27"/>
      <c r="XEN7" s="27"/>
      <c r="XEO7" s="27"/>
      <c r="XEP7" s="27"/>
      <c r="XEQ7" s="27"/>
      <c r="XER7" s="27"/>
      <c r="XES7" s="27"/>
      <c r="XET7" s="27"/>
      <c r="XEU7" s="27"/>
      <c r="XEV7" s="27"/>
      <c r="XEW7" s="27"/>
      <c r="XEX7" s="27"/>
      <c r="XEY7" s="27"/>
      <c r="XEZ7" s="27"/>
      <c r="XFA7" s="27"/>
      <c r="XFB7" s="27"/>
      <c r="XFC7" s="27"/>
      <c r="XFD7" s="27"/>
    </row>
    <row r="8" spans="2:16384" s="32" customFormat="1" ht="5.0999999999999996" customHeight="1" x14ac:dyDescent="0.3">
      <c r="B8" s="35"/>
      <c r="C8" s="35"/>
      <c r="D8" s="35"/>
      <c r="E8" s="35"/>
      <c r="F8" s="37"/>
      <c r="G8" s="37"/>
      <c r="H8" s="35"/>
      <c r="I8" s="35"/>
      <c r="J8" s="35"/>
      <c r="K8" s="35"/>
      <c r="L8" s="35"/>
      <c r="M8" s="37"/>
      <c r="N8" s="37"/>
      <c r="O8" s="35"/>
      <c r="Q8" s="35"/>
      <c r="R8" s="35"/>
      <c r="S8" s="35"/>
      <c r="T8" s="35"/>
      <c r="U8" s="37"/>
      <c r="V8" s="37"/>
      <c r="W8" s="38"/>
      <c r="X8" s="27"/>
      <c r="Y8" s="28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  <c r="XEI8" s="27"/>
      <c r="XEJ8" s="27"/>
      <c r="XEK8" s="27"/>
      <c r="XEL8" s="27"/>
      <c r="XEM8" s="27"/>
      <c r="XEN8" s="27"/>
      <c r="XEO8" s="27"/>
      <c r="XEP8" s="27"/>
      <c r="XEQ8" s="27"/>
      <c r="XER8" s="27"/>
      <c r="XES8" s="27"/>
      <c r="XET8" s="27"/>
      <c r="XEU8" s="27"/>
      <c r="XEV8" s="27"/>
      <c r="XEW8" s="27"/>
      <c r="XEX8" s="27"/>
      <c r="XEY8" s="27"/>
      <c r="XEZ8" s="27"/>
      <c r="XFA8" s="27"/>
      <c r="XFB8" s="27"/>
      <c r="XFC8" s="27"/>
      <c r="XFD8" s="27"/>
    </row>
    <row r="9" spans="2:16384" s="32" customFormat="1" ht="21" customHeight="1" x14ac:dyDescent="0.3">
      <c r="B9" s="106" t="s">
        <v>73</v>
      </c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8"/>
      <c r="P9" s="39"/>
      <c r="Q9" s="106" t="s">
        <v>74</v>
      </c>
      <c r="R9" s="107"/>
      <c r="S9" s="107"/>
      <c r="T9" s="107"/>
      <c r="U9" s="107"/>
      <c r="V9" s="107"/>
      <c r="W9" s="108"/>
      <c r="X9" s="27"/>
      <c r="Y9" s="28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  <c r="XEJ9" s="27"/>
      <c r="XEK9" s="27"/>
      <c r="XEL9" s="27"/>
      <c r="XEM9" s="27"/>
      <c r="XEN9" s="27"/>
      <c r="XEO9" s="27"/>
      <c r="XEP9" s="27"/>
      <c r="XEQ9" s="27"/>
      <c r="XER9" s="27"/>
      <c r="XES9" s="27"/>
      <c r="XET9" s="27"/>
      <c r="XEU9" s="27"/>
      <c r="XEV9" s="27"/>
      <c r="XEW9" s="27"/>
      <c r="XEX9" s="27"/>
      <c r="XEY9" s="27"/>
      <c r="XEZ9" s="27"/>
      <c r="XFA9" s="27"/>
      <c r="XFB9" s="27"/>
      <c r="XFC9" s="27"/>
      <c r="XFD9" s="27"/>
    </row>
    <row r="10" spans="2:16384" s="32" customFormat="1" ht="15.6" x14ac:dyDescent="0.3">
      <c r="B10" s="109" t="s">
        <v>154</v>
      </c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1"/>
      <c r="P10" s="39"/>
      <c r="Q10" s="109" t="s">
        <v>154</v>
      </c>
      <c r="R10" s="112"/>
      <c r="S10" s="112"/>
      <c r="T10" s="112"/>
      <c r="U10" s="112"/>
      <c r="V10" s="112"/>
      <c r="W10" s="113"/>
      <c r="X10" s="27"/>
      <c r="Y10" s="28" t="s">
        <v>79</v>
      </c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  <c r="XEI10" s="27"/>
      <c r="XEJ10" s="27"/>
      <c r="XEK10" s="27"/>
      <c r="XEL10" s="27"/>
      <c r="XEM10" s="27"/>
      <c r="XEN10" s="27"/>
      <c r="XEO10" s="27"/>
      <c r="XEP10" s="27"/>
      <c r="XEQ10" s="27"/>
      <c r="XER10" s="27"/>
      <c r="XES10" s="27"/>
      <c r="XET10" s="27"/>
      <c r="XEU10" s="27"/>
      <c r="XEV10" s="27"/>
      <c r="XEW10" s="27"/>
      <c r="XEX10" s="27"/>
      <c r="XEY10" s="27"/>
      <c r="XEZ10" s="27"/>
      <c r="XFA10" s="27"/>
      <c r="XFB10" s="27"/>
      <c r="XFC10" s="27"/>
      <c r="XFD10" s="27"/>
    </row>
    <row r="11" spans="2:16384" ht="13.2" customHeight="1" x14ac:dyDescent="0.3">
      <c r="B11" s="40" t="s">
        <v>15</v>
      </c>
      <c r="C11" s="42"/>
      <c r="D11" s="90">
        <v>2024</v>
      </c>
      <c r="E11" s="103" t="s">
        <v>124</v>
      </c>
      <c r="F11" s="90">
        <v>2023</v>
      </c>
      <c r="G11" s="103" t="s">
        <v>124</v>
      </c>
      <c r="H11" s="41"/>
      <c r="I11" s="42" t="s">
        <v>17</v>
      </c>
      <c r="J11" s="42"/>
      <c r="K11" s="90">
        <v>2024</v>
      </c>
      <c r="L11" s="103" t="s">
        <v>124</v>
      </c>
      <c r="M11" s="90">
        <v>2023</v>
      </c>
      <c r="N11" s="103" t="s">
        <v>124</v>
      </c>
      <c r="O11" s="41"/>
      <c r="Q11" s="43"/>
      <c r="R11" s="72"/>
      <c r="S11" s="90">
        <v>2024</v>
      </c>
      <c r="T11" s="103" t="s">
        <v>124</v>
      </c>
      <c r="U11" s="90">
        <v>2023</v>
      </c>
      <c r="V11" s="103" t="s">
        <v>124</v>
      </c>
      <c r="W11" s="44"/>
      <c r="Y11" s="28">
        <v>45322</v>
      </c>
    </row>
    <row r="12" spans="2:16384" ht="13.2" customHeight="1" x14ac:dyDescent="0.3">
      <c r="B12" s="45"/>
      <c r="C12" s="47"/>
      <c r="E12" s="23"/>
      <c r="G12" s="24"/>
      <c r="H12" s="46"/>
      <c r="I12" s="47"/>
      <c r="J12" s="47"/>
      <c r="N12" s="23"/>
      <c r="O12" s="123"/>
      <c r="Q12" s="60"/>
      <c r="R12" s="27"/>
      <c r="S12" s="54"/>
      <c r="T12" s="54"/>
      <c r="U12" s="54"/>
      <c r="V12" s="54"/>
      <c r="W12" s="49"/>
      <c r="Y12" s="28">
        <v>45351</v>
      </c>
      <c r="AA12" s="50"/>
    </row>
    <row r="13" spans="2:16384" ht="13.2" customHeight="1" x14ac:dyDescent="0.3">
      <c r="B13" s="51" t="s">
        <v>31</v>
      </c>
      <c r="C13" s="62"/>
      <c r="D13" s="70"/>
      <c r="E13" s="70"/>
      <c r="F13" s="48"/>
      <c r="G13" s="48"/>
      <c r="H13" s="52"/>
      <c r="I13" s="53" t="s">
        <v>31</v>
      </c>
      <c r="J13" s="53"/>
      <c r="K13" s="124"/>
      <c r="L13" s="70"/>
      <c r="M13" s="48"/>
      <c r="N13" s="70"/>
      <c r="O13" s="52"/>
      <c r="Q13" s="100" t="s">
        <v>756</v>
      </c>
      <c r="R13" s="50" t="s">
        <v>101</v>
      </c>
      <c r="S13" s="133">
        <f ca="1">IF($F$2="",0,-SUMIFS(INDIRECT("Tab_00.Trial["&amp;TEXT($F$2,"MMMM")&amp;"]"),Tab_00.Trial[DC],$R13))</f>
        <v>13039607.33</v>
      </c>
      <c r="T13" s="117"/>
      <c r="U13" s="133">
        <f ca="1">IF($F$2="",0,-SUMIFS(INDIRECT("Tab_99.Trial["&amp;TEXT($F$2,"MMMM")&amp;"]"),Tab_99.Trial[DC],$R13))</f>
        <v>0</v>
      </c>
      <c r="V13" s="117"/>
      <c r="W13" s="59"/>
      <c r="Y13" s="28">
        <v>45382</v>
      </c>
    </row>
    <row r="14" spans="2:16384" ht="13.2" customHeight="1" x14ac:dyDescent="0.3">
      <c r="B14" s="55" t="s">
        <v>32</v>
      </c>
      <c r="C14" s="50" t="s">
        <v>38</v>
      </c>
      <c r="D14" s="127">
        <f ca="1">IF($F$2="",0,SUMIFS(INDIRECT("Tab_00.Trial["&amp;TEXT($F$2,"MMMM")&amp;"]"),Tab_00.Trial[DC],$C14))</f>
        <v>179814.8</v>
      </c>
      <c r="E14" s="114">
        <f t="shared" ref="E14:E22" ca="1" si="0">IFERROR($D14/$D$44,0)</f>
        <v>0</v>
      </c>
      <c r="F14" s="127">
        <f ca="1">IF($F$2="",0,SUMIFS(INDIRECT("Tab_99.Trial["&amp;TEXT($F$2,"MMMM")&amp;"]"),Tab_99.Trial[DC],$C14))</f>
        <v>0</v>
      </c>
      <c r="G14" s="114">
        <f t="shared" ref="G14:G22" ca="1" si="1">IFERROR($F14/$F$44,0)</f>
        <v>0</v>
      </c>
      <c r="H14" s="52"/>
      <c r="I14" s="63" t="s">
        <v>56</v>
      </c>
      <c r="J14" s="50" t="s">
        <v>50</v>
      </c>
      <c r="K14" s="147">
        <f ca="1">IF($F$2="",0,-SUMIFS(INDIRECT("Tab_00.Trial["&amp;TEXT($F$2,"MMMM")&amp;"]"),Tab_00.Trial[DC],$J14))</f>
        <v>350148.93</v>
      </c>
      <c r="L14" s="148">
        <f t="shared" ref="L14:L20" ca="1" si="2">IFERROR($K14/$K$44,0)</f>
        <v>0</v>
      </c>
      <c r="M14" s="147">
        <f ca="1">IF($F$2="",0,-SUMIFS(INDIRECT("Tab_99.Trial["&amp;TEXT($F$2,"MMMM")&amp;"]"),Tab_99.Trial[DC],$J14))</f>
        <v>0</v>
      </c>
      <c r="N14" s="114">
        <f t="shared" ref="N14:N20" ca="1" si="3">IFERROR($M14/$M$44,0)</f>
        <v>0</v>
      </c>
      <c r="O14" s="52"/>
      <c r="Q14" s="61" t="s">
        <v>155</v>
      </c>
      <c r="R14" s="50" t="s">
        <v>102</v>
      </c>
      <c r="S14" s="133">
        <f ca="1">IF($F$2="",0,-SUMIFS(INDIRECT("Tab_00.Trial["&amp;TEXT($F$2,"MMMM")&amp;"]"),Tab_00.Trial[DC],$R14))</f>
        <v>-14303.78</v>
      </c>
      <c r="T14" s="117"/>
      <c r="U14" s="133"/>
      <c r="V14" s="117"/>
      <c r="W14" s="49"/>
      <c r="Y14" s="28">
        <v>45412</v>
      </c>
    </row>
    <row r="15" spans="2:16384" ht="13.2" customHeight="1" x14ac:dyDescent="0.3">
      <c r="B15" s="55" t="s">
        <v>138</v>
      </c>
      <c r="C15" s="50" t="s">
        <v>39</v>
      </c>
      <c r="D15" s="127">
        <f ca="1">IF($F$2="",0,SUMIFS(INDIRECT("Tab_00.Trial["&amp;TEXT($F$2,"MMMM")&amp;"]"),Tab_00.Trial[DC],$C15))</f>
        <v>10969820.439999999</v>
      </c>
      <c r="E15" s="114">
        <f t="shared" ca="1" si="0"/>
        <v>0.13</v>
      </c>
      <c r="F15" s="127">
        <f ca="1">IF($F$2="",0,SUMIFS(INDIRECT("Tab_99.Trial["&amp;TEXT($F$2,"MMMM")&amp;"]"),Tab_99.Trial[DC],$C15))</f>
        <v>0</v>
      </c>
      <c r="G15" s="114">
        <f t="shared" ca="1" si="1"/>
        <v>0</v>
      </c>
      <c r="H15" s="52"/>
      <c r="I15" s="63" t="s">
        <v>57</v>
      </c>
      <c r="J15" s="50" t="s">
        <v>51</v>
      </c>
      <c r="K15" s="147">
        <f ca="1">IF($F$2="",0,-SUMIFS(INDIRECT("Tab_00.Trial["&amp;TEXT($F$2,"MMMM")&amp;"]"),Tab_00.Trial[DC],$J15))</f>
        <v>0</v>
      </c>
      <c r="L15" s="148">
        <f t="shared" ca="1" si="2"/>
        <v>0</v>
      </c>
      <c r="M15" s="147">
        <f ca="1">IF($F$2="",0,-SUMIFS(INDIRECT("Tab_99.Trial["&amp;TEXT($F$2,"MMMM")&amp;"]"),Tab_99.Trial[DC],$J15))</f>
        <v>0</v>
      </c>
      <c r="N15" s="114">
        <f t="shared" ca="1" si="3"/>
        <v>0</v>
      </c>
      <c r="O15" s="52"/>
      <c r="Q15" s="60"/>
      <c r="R15" s="27"/>
      <c r="S15" s="127"/>
      <c r="T15" s="54"/>
      <c r="U15" s="127"/>
      <c r="V15" s="54"/>
      <c r="W15" s="49"/>
      <c r="Y15" s="28">
        <v>45443</v>
      </c>
    </row>
    <row r="16" spans="2:16384" ht="13.2" customHeight="1" x14ac:dyDescent="0.3">
      <c r="B16" s="55" t="s">
        <v>99</v>
      </c>
      <c r="C16" s="50" t="s">
        <v>40</v>
      </c>
      <c r="D16" s="147">
        <f ca="1">IF($F$2="",0,SUMIFS(INDIRECT("Tab_00.Trial["&amp;TEXT($F$2,"MMMM")&amp;"]"),Tab_00.Trial[DC],$C16))</f>
        <v>4705.95</v>
      </c>
      <c r="E16" s="114">
        <f t="shared" ca="1" si="0"/>
        <v>0</v>
      </c>
      <c r="F16" s="127">
        <f ca="1">IF($F$2="",0,SUMIFS(INDIRECT("Tab_99.Trial["&amp;TEXT($F$2,"MMMM")&amp;"]"),Tab_99.Trial[DC],$C16))</f>
        <v>0</v>
      </c>
      <c r="G16" s="114">
        <f t="shared" ca="1" si="1"/>
        <v>0</v>
      </c>
      <c r="H16" s="52"/>
      <c r="I16" s="63" t="s">
        <v>88</v>
      </c>
      <c r="J16" s="50" t="s">
        <v>52</v>
      </c>
      <c r="K16" s="147">
        <f ca="1">IF($F$2="",0,-SUMIFS(INDIRECT("Tab_00.Trial["&amp;TEXT($F$2,"MMMM")&amp;"]"),Tab_00.Trial[DC],$J16))</f>
        <v>284492.44</v>
      </c>
      <c r="L16" s="148">
        <f t="shared" ca="1" si="2"/>
        <v>0</v>
      </c>
      <c r="M16" s="147">
        <f ca="1">IF($F$2="",0,-SUMIFS(INDIRECT("Tab_99.Trial["&amp;TEXT($F$2,"MMMM")&amp;"]"),Tab_99.Trial[DC],$J16))</f>
        <v>0</v>
      </c>
      <c r="N16" s="114">
        <f t="shared" ca="1" si="3"/>
        <v>0</v>
      </c>
      <c r="O16" s="52"/>
      <c r="Q16" s="93" t="s">
        <v>151</v>
      </c>
      <c r="R16" s="27"/>
      <c r="S16" s="134">
        <f ca="1">SUBTOTAL(9,S$12:S$15)</f>
        <v>13025303.550000001</v>
      </c>
      <c r="T16" s="115">
        <f ca="1">IFERROR($S16/$S$13,0)</f>
        <v>1</v>
      </c>
      <c r="U16" s="134">
        <f ca="1">SUBTOTAL(9,U$12:U$15)</f>
        <v>0</v>
      </c>
      <c r="V16" s="115">
        <f ca="1">IFERROR($U16/$U$13,0)</f>
        <v>0</v>
      </c>
      <c r="W16" s="49"/>
      <c r="Y16" s="28">
        <v>45473</v>
      </c>
    </row>
    <row r="17" spans="2:25" ht="13.2" customHeight="1" x14ac:dyDescent="0.3">
      <c r="B17" s="55" t="s">
        <v>33</v>
      </c>
      <c r="C17" s="50" t="s">
        <v>41</v>
      </c>
      <c r="D17" s="147">
        <f ca="1">IF($F$2="",0,SUMIFS(INDIRECT("Tab_00.Trial["&amp;TEXT($F$2,"MMMM")&amp;"]"),Tab_00.Trial[DC],$C17))</f>
        <v>255130.12</v>
      </c>
      <c r="E17" s="114">
        <f t="shared" ca="1" si="0"/>
        <v>0</v>
      </c>
      <c r="F17" s="127">
        <f ca="1">IF($F$2="",0,SUMIFS(INDIRECT("Tab_99.Trial["&amp;TEXT($F$2,"MMMM")&amp;"]"),Tab_99.Trial[DC],$C17))</f>
        <v>0</v>
      </c>
      <c r="G17" s="114">
        <f t="shared" ca="1" si="1"/>
        <v>0</v>
      </c>
      <c r="H17" s="52"/>
      <c r="I17" s="63" t="s">
        <v>58</v>
      </c>
      <c r="J17" s="50" t="s">
        <v>53</v>
      </c>
      <c r="K17" s="147">
        <f ca="1">IF($F$2="",0,-SUMIFS(INDIRECT("Tab_00.Trial["&amp;TEXT($F$2,"MMMM")&amp;"]"),Tab_00.Trial[DC],$J17))</f>
        <v>8253.76</v>
      </c>
      <c r="L17" s="148">
        <f t="shared" ca="1" si="2"/>
        <v>0</v>
      </c>
      <c r="M17" s="147">
        <f ca="1">IF($F$2="",0,-SUMIFS(INDIRECT("Tab_99.Trial["&amp;TEXT($F$2,"MMMM")&amp;"]"),Tab_99.Trial[DC],$J17))</f>
        <v>0</v>
      </c>
      <c r="N17" s="114">
        <f t="shared" ca="1" si="3"/>
        <v>0</v>
      </c>
      <c r="O17" s="52"/>
      <c r="Q17" s="60"/>
      <c r="R17" s="27"/>
      <c r="S17" s="127"/>
      <c r="T17" s="54"/>
      <c r="U17" s="127"/>
      <c r="V17" s="54"/>
      <c r="W17" s="49"/>
      <c r="Y17" s="28">
        <v>45504</v>
      </c>
    </row>
    <row r="18" spans="2:25" ht="13.2" customHeight="1" x14ac:dyDescent="0.3">
      <c r="B18" s="55" t="s">
        <v>87</v>
      </c>
      <c r="C18" s="50" t="s">
        <v>42</v>
      </c>
      <c r="D18" s="127">
        <f ca="1">IF($F$2="",0,SUMIFS(INDIRECT("Tab_00.Trial["&amp;TEXT($F$2,"MMMM")&amp;"]"),Tab_00.Trial[DC],$C18))</f>
        <v>7927.27</v>
      </c>
      <c r="E18" s="114">
        <f t="shared" ca="1" si="0"/>
        <v>0</v>
      </c>
      <c r="F18" s="127">
        <f ca="1">IF($F$2="",0,SUMIFS(INDIRECT("Tab_99.Trial["&amp;TEXT($F$2,"MMMM")&amp;"]"),Tab_99.Trial[DC],$C18))</f>
        <v>0</v>
      </c>
      <c r="G18" s="114">
        <f t="shared" ca="1" si="1"/>
        <v>0</v>
      </c>
      <c r="H18" s="52"/>
      <c r="I18" s="63" t="s">
        <v>144</v>
      </c>
      <c r="J18" s="50" t="s">
        <v>54</v>
      </c>
      <c r="K18" s="147">
        <f ca="1">IF($F$2="",0,-SUMIFS(INDIRECT("Tab_00.Trial["&amp;TEXT($F$2,"MMMM")&amp;"]"),Tab_00.Trial[DC],$J18))</f>
        <v>3849.2</v>
      </c>
      <c r="L18" s="148">
        <f t="shared" ca="1" si="2"/>
        <v>0</v>
      </c>
      <c r="M18" s="147">
        <f ca="1">IF($F$2="",0,-SUMIFS(INDIRECT("Tab_99.Trial["&amp;TEXT($F$2,"MMMM")&amp;"]"),Tab_99.Trial[DC],$J18))</f>
        <v>0</v>
      </c>
      <c r="N18" s="114">
        <f t="shared" ca="1" si="3"/>
        <v>0</v>
      </c>
      <c r="O18" s="52"/>
      <c r="Q18" s="93" t="s">
        <v>152</v>
      </c>
      <c r="R18" s="27"/>
      <c r="S18" s="135">
        <f ca="1">SUBTOTAL(9,S$19:S$20)</f>
        <v>-9088992.2300000004</v>
      </c>
      <c r="T18" s="116">
        <f ca="1">IFERROR($S18/$S$13,0)</f>
        <v>-0.7</v>
      </c>
      <c r="U18" s="135">
        <f ca="1">SUBTOTAL(9,U$19:U$20)</f>
        <v>0</v>
      </c>
      <c r="V18" s="116">
        <f ca="1">IFERROR($U18/$U$13,0)</f>
        <v>0</v>
      </c>
      <c r="W18" s="59"/>
      <c r="Y18" s="28">
        <v>45535</v>
      </c>
    </row>
    <row r="19" spans="2:25" ht="13.2" customHeight="1" x14ac:dyDescent="0.3">
      <c r="B19" s="55" t="s">
        <v>139</v>
      </c>
      <c r="C19" s="50" t="s">
        <v>43</v>
      </c>
      <c r="D19" s="127">
        <f ca="1">IF($F$2="",0,SUMIFS(INDIRECT("Tab_00.Trial["&amp;TEXT($F$2,"MMMM")&amp;"]"),Tab_00.Trial[DC],$C19))</f>
        <v>0</v>
      </c>
      <c r="E19" s="114">
        <f t="shared" ca="1" si="0"/>
        <v>0</v>
      </c>
      <c r="F19" s="127">
        <f ca="1">IF($F$2="",0,SUMIFS(INDIRECT("Tab_99.Trial["&amp;TEXT($F$2,"MMMM")&amp;"]"),Tab_99.Trial[DC],$C19))</f>
        <v>0</v>
      </c>
      <c r="G19" s="114">
        <f t="shared" ca="1" si="1"/>
        <v>0</v>
      </c>
      <c r="H19" s="52"/>
      <c r="I19" s="63" t="s">
        <v>89</v>
      </c>
      <c r="J19" s="50" t="s">
        <v>55</v>
      </c>
      <c r="K19" s="147">
        <f ca="1">IF($F$2="",0,-SUMIFS(INDIRECT("Tab_00.Trial["&amp;TEXT($F$2,"MMMM")&amp;"]"),Tab_00.Trial[DC],$J19))</f>
        <v>3198.94</v>
      </c>
      <c r="L19" s="148">
        <f t="shared" ca="1" si="2"/>
        <v>0</v>
      </c>
      <c r="M19" s="147">
        <f ca="1">IF($F$2="",0,-SUMIFS(INDIRECT("Tab_99.Trial["&amp;TEXT($F$2,"MMMM")&amp;"]"),Tab_99.Trial[DC],$J19))</f>
        <v>0</v>
      </c>
      <c r="N19" s="114">
        <f t="shared" ca="1" si="3"/>
        <v>0</v>
      </c>
      <c r="O19" s="52"/>
      <c r="Q19" s="92" t="s">
        <v>757</v>
      </c>
      <c r="R19" s="50" t="s">
        <v>103</v>
      </c>
      <c r="S19" s="133">
        <f ca="1">IF($F$2="",0,-SUMIFS(INDIRECT("Tab_00.Trial["&amp;TEXT($F$2,"MMMM")&amp;"]"),Tab_00.Trial[DC],$R19))</f>
        <v>-9088992.2300000004</v>
      </c>
      <c r="T19" s="114">
        <f ca="1">IFERROR($S19/$S$13,0)</f>
        <v>-0.7</v>
      </c>
      <c r="U19" s="133">
        <f ca="1">IF($F$2="",0,-SUMIFS(INDIRECT("Tab_99.Trial["&amp;TEXT($F$2,"MMMM")&amp;"]"),Tab_99.Trial[DC],$R19))</f>
        <v>0</v>
      </c>
      <c r="V19" s="114">
        <f ca="1">IFERROR($U19/$U$13,0)</f>
        <v>0</v>
      </c>
      <c r="W19" s="56"/>
      <c r="Y19" s="28">
        <v>45565</v>
      </c>
    </row>
    <row r="20" spans="2:25" s="27" customFormat="1" ht="13.2" customHeight="1" x14ac:dyDescent="0.3">
      <c r="B20" s="55" t="s">
        <v>140</v>
      </c>
      <c r="C20" s="50" t="s">
        <v>141</v>
      </c>
      <c r="D20" s="127">
        <f ca="1">IF($F$2="",0,SUMIFS(INDIRECT("Tab_00.Trial["&amp;TEXT($F$2,"MMMM")&amp;"]"),Tab_00.Trial[DC],$C20))</f>
        <v>2625.86</v>
      </c>
      <c r="E20" s="114">
        <f t="shared" ca="1" si="0"/>
        <v>0</v>
      </c>
      <c r="F20" s="127">
        <f ca="1">IF($F$2="",0,SUMIFS(INDIRECT("Tab_99.Trial["&amp;TEXT($F$2,"MMMM")&amp;"]"),Tab_99.Trial[DC],$C20))</f>
        <v>0</v>
      </c>
      <c r="G20" s="114">
        <f t="shared" ca="1" si="1"/>
        <v>0</v>
      </c>
      <c r="H20" s="52"/>
      <c r="I20" s="149"/>
      <c r="J20" s="50"/>
      <c r="K20" s="150">
        <f ca="1">SUBTOTAL(9,K$13:K$19)</f>
        <v>649943.27</v>
      </c>
      <c r="L20" s="151">
        <f t="shared" ca="1" si="2"/>
        <v>0.01</v>
      </c>
      <c r="M20" s="150">
        <f ca="1">SUBTOTAL(9,M$13:M$19)</f>
        <v>0</v>
      </c>
      <c r="N20" s="120">
        <f t="shared" ca="1" si="3"/>
        <v>0</v>
      </c>
      <c r="O20" s="52"/>
      <c r="P20" s="23"/>
      <c r="Q20" s="91"/>
      <c r="R20" s="50"/>
      <c r="S20" s="127"/>
      <c r="T20" s="114"/>
      <c r="U20" s="127"/>
      <c r="V20" s="114"/>
      <c r="W20" s="56"/>
      <c r="Y20" s="28">
        <v>45596</v>
      </c>
    </row>
    <row r="21" spans="2:25" s="27" customFormat="1" ht="13.2" customHeight="1" x14ac:dyDescent="0.3">
      <c r="B21" s="63" t="s">
        <v>119</v>
      </c>
      <c r="C21" s="50" t="s">
        <v>142</v>
      </c>
      <c r="D21" s="127">
        <f ca="1">IF($F$2="",0,SUMIFS(INDIRECT("Tab_00.Trial["&amp;TEXT($F$2,"MMMM")&amp;"]"),Tab_00.Trial[DC],$C21))</f>
        <v>0</v>
      </c>
      <c r="E21" s="114">
        <f t="shared" ca="1" si="0"/>
        <v>0</v>
      </c>
      <c r="F21" s="127">
        <f ca="1">IF($F$2="",0,SUMIFS(INDIRECT("Tab_99.Trial["&amp;TEXT($F$2,"MMMM")&amp;"]"),Tab_99.Trial[DC],$C21))</f>
        <v>0</v>
      </c>
      <c r="G21" s="114">
        <f t="shared" ca="1" si="1"/>
        <v>0</v>
      </c>
      <c r="H21" s="52"/>
      <c r="K21" s="130"/>
      <c r="L21" s="152"/>
      <c r="M21" s="130"/>
      <c r="N21" s="118"/>
      <c r="O21" s="52"/>
      <c r="P21" s="23"/>
      <c r="Q21" s="93" t="s">
        <v>75</v>
      </c>
      <c r="R21" s="50"/>
      <c r="S21" s="134">
        <f ca="1">SUBTOTAL(9,S$12:S$20)</f>
        <v>3936311.32</v>
      </c>
      <c r="T21" s="115">
        <f ca="1">IFERROR($S21/$S$13,0)</f>
        <v>0.3</v>
      </c>
      <c r="U21" s="134">
        <f ca="1">SUBTOTAL(9,U$12:U$20)</f>
        <v>0</v>
      </c>
      <c r="V21" s="115">
        <f ca="1">IFERROR($U21/$U$13,0)</f>
        <v>0</v>
      </c>
      <c r="W21" s="49"/>
      <c r="Y21" s="28">
        <v>45626</v>
      </c>
    </row>
    <row r="22" spans="2:25" s="27" customFormat="1" ht="13.2" customHeight="1" x14ac:dyDescent="0.3">
      <c r="B22" s="55"/>
      <c r="C22" s="50"/>
      <c r="D22" s="128">
        <f ca="1">SUBTOTAL(9,D$13:D$21)</f>
        <v>11420024.439999999</v>
      </c>
      <c r="E22" s="120">
        <f t="shared" ca="1" si="0"/>
        <v>0.13</v>
      </c>
      <c r="F22" s="128">
        <f ca="1">SUBTOTAL(9,F$13:F$21)</f>
        <v>0</v>
      </c>
      <c r="G22" s="120">
        <f t="shared" ca="1" si="1"/>
        <v>0</v>
      </c>
      <c r="H22" s="52"/>
      <c r="I22" s="149"/>
      <c r="J22" s="50"/>
      <c r="K22" s="147"/>
      <c r="L22" s="152"/>
      <c r="M22" s="147"/>
      <c r="N22" s="118"/>
      <c r="O22" s="52"/>
      <c r="P22" s="23"/>
      <c r="Q22" s="92"/>
      <c r="R22" s="50"/>
      <c r="S22" s="127"/>
      <c r="T22" s="114"/>
      <c r="U22" s="127"/>
      <c r="V22" s="114"/>
      <c r="W22" s="56"/>
      <c r="Y22" s="28">
        <v>45657</v>
      </c>
    </row>
    <row r="23" spans="2:25" s="27" customFormat="1" ht="13.2" customHeight="1" x14ac:dyDescent="0.3">
      <c r="B23" s="60"/>
      <c r="D23" s="129"/>
      <c r="E23" s="118"/>
      <c r="F23" s="129"/>
      <c r="G23" s="118"/>
      <c r="H23" s="52"/>
      <c r="I23" s="149"/>
      <c r="J23" s="50"/>
      <c r="K23" s="147"/>
      <c r="L23" s="152"/>
      <c r="M23" s="147"/>
      <c r="N23" s="118"/>
      <c r="O23" s="52"/>
      <c r="P23" s="23"/>
      <c r="Q23" s="93" t="s">
        <v>86</v>
      </c>
      <c r="R23" s="50"/>
      <c r="S23" s="135">
        <f ca="1">SUBTOTAL(9,S$24:S$31)</f>
        <v>-4782897.5</v>
      </c>
      <c r="T23" s="116">
        <f t="shared" ref="T23:T30" ca="1" si="4">IFERROR($S23/$S$13,0)</f>
        <v>-0.37</v>
      </c>
      <c r="U23" s="135">
        <f ca="1">SUBTOTAL(9,U$24:U$31)</f>
        <v>0</v>
      </c>
      <c r="V23" s="116">
        <f t="shared" ref="V23:V30" ca="1" si="5">IFERROR($U23/$U$13,0)</f>
        <v>0</v>
      </c>
      <c r="W23" s="58"/>
      <c r="Y23" s="28"/>
    </row>
    <row r="24" spans="2:25" s="27" customFormat="1" ht="13.2" customHeight="1" x14ac:dyDescent="0.3">
      <c r="B24" s="60"/>
      <c r="D24" s="129"/>
      <c r="E24" s="118"/>
      <c r="F24" s="129"/>
      <c r="G24" s="118"/>
      <c r="H24" s="52"/>
      <c r="I24" s="149"/>
      <c r="J24" s="50"/>
      <c r="K24" s="147"/>
      <c r="L24" s="152"/>
      <c r="M24" s="147"/>
      <c r="N24" s="118"/>
      <c r="O24" s="52"/>
      <c r="P24" s="23"/>
      <c r="Q24" s="92" t="s">
        <v>146</v>
      </c>
      <c r="R24" s="50" t="s">
        <v>104</v>
      </c>
      <c r="S24" s="133">
        <f ca="1">IF($F$2="",0,-SUMIFS(INDIRECT("Tab_00.Trial["&amp;TEXT($F$2,"MMMM")&amp;"]"),Tab_00.Trial[DC],$R24))</f>
        <v>-2518388.17</v>
      </c>
      <c r="T24" s="117">
        <f t="shared" ca="1" si="4"/>
        <v>-0.19</v>
      </c>
      <c r="U24" s="133">
        <f ca="1">IF($F$2="",0,-SUMIFS(INDIRECT("Tab_99.Trial["&amp;TEXT($F$2,"MMMM")&amp;"]"),Tab_99.Trial[DC],$R24))</f>
        <v>0</v>
      </c>
      <c r="V24" s="117">
        <f t="shared" ca="1" si="5"/>
        <v>0</v>
      </c>
      <c r="W24" s="59"/>
      <c r="Y24" s="28"/>
    </row>
    <row r="25" spans="2:25" s="27" customFormat="1" ht="13.2" customHeight="1" x14ac:dyDescent="0.3">
      <c r="B25" s="51" t="s">
        <v>76</v>
      </c>
      <c r="D25" s="129"/>
      <c r="E25" s="118"/>
      <c r="F25" s="129"/>
      <c r="G25" s="118"/>
      <c r="H25" s="52"/>
      <c r="I25" s="62" t="s">
        <v>76</v>
      </c>
      <c r="K25" s="153"/>
      <c r="L25" s="152"/>
      <c r="M25" s="153"/>
      <c r="N25" s="118"/>
      <c r="O25" s="52"/>
      <c r="P25" s="23"/>
      <c r="Q25" s="92" t="s">
        <v>82</v>
      </c>
      <c r="R25" s="50" t="s">
        <v>105</v>
      </c>
      <c r="S25" s="133">
        <f ca="1">IF($F$2="",0,-SUMIFS(INDIRECT("Tab_00.Trial["&amp;TEXT($F$2,"MMMM")&amp;"]"),Tab_00.Trial[DC],$R25))</f>
        <v>-1347301.21</v>
      </c>
      <c r="T25" s="117">
        <f t="shared" ca="1" si="4"/>
        <v>-0.1</v>
      </c>
      <c r="U25" s="133">
        <f ca="1">IF($F$2="",0,-SUMIFS(INDIRECT("Tab_99.Trial["&amp;TEXT($F$2,"MMMM")&amp;"]"),Tab_99.Trial[DC],$R25))</f>
        <v>0</v>
      </c>
      <c r="V25" s="117">
        <f t="shared" ca="1" si="5"/>
        <v>0</v>
      </c>
      <c r="W25" s="59"/>
      <c r="Y25" s="28"/>
    </row>
    <row r="26" spans="2:25" s="27" customFormat="1" ht="13.2" customHeight="1" x14ac:dyDescent="0.3">
      <c r="B26" s="55" t="s">
        <v>138</v>
      </c>
      <c r="C26" s="50" t="s">
        <v>92</v>
      </c>
      <c r="D26" s="127">
        <f ca="1">IF($F$2="",0,SUMIFS(INDIRECT("Tab_00.Trial["&amp;TEXT($F$2,"MMMM")&amp;"]"),Tab_00.Trial[DC],$C26))</f>
        <v>26183193</v>
      </c>
      <c r="E26" s="114">
        <f t="shared" ref="E26:E32" ca="1" si="6">IFERROR($D26/$D$44,0)</f>
        <v>0.31</v>
      </c>
      <c r="F26" s="127">
        <f ca="1">IF($F$2="",0,SUMIFS(INDIRECT("Tab_99.Trial["&amp;TEXT($F$2,"MMMM")&amp;"]"),Tab_99.Trial[DC],$C26))</f>
        <v>0</v>
      </c>
      <c r="G26" s="114">
        <f t="shared" ref="G26:G32" ca="1" si="7">IFERROR($F26/$F$44,0)</f>
        <v>0</v>
      </c>
      <c r="H26" s="52"/>
      <c r="I26" s="63" t="s">
        <v>57</v>
      </c>
      <c r="J26" s="50" t="s">
        <v>95</v>
      </c>
      <c r="K26" s="147">
        <f ca="1">IF($F$2="",0,-SUMIFS(INDIRECT("Tab_00.Trial["&amp;TEXT($F$2,"MMMM")&amp;"]"),Tab_00.Trial[DC],$J26))</f>
        <v>0</v>
      </c>
      <c r="L26" s="148">
        <f t="shared" ref="L26:L31" ca="1" si="8">IFERROR($K26/$K$44,0)</f>
        <v>0</v>
      </c>
      <c r="M26" s="147">
        <f ca="1">IF($F$2="",0,-SUMIFS(INDIRECT("Tab_99.Trial["&amp;TEXT($F$2,"MMMM")&amp;"]"),Tab_99.Trial[DC],$J26))</f>
        <v>0</v>
      </c>
      <c r="N26" s="114">
        <f t="shared" ref="N26:N31" ca="1" si="9">IFERROR($M26/$M$44,0)</f>
        <v>0</v>
      </c>
      <c r="O26" s="58"/>
      <c r="P26" s="23"/>
      <c r="Q26" s="92" t="s">
        <v>147</v>
      </c>
      <c r="R26" s="50" t="s">
        <v>106</v>
      </c>
      <c r="S26" s="167">
        <f ca="1">IF($F$2="",0,-SUMIFS(INDIRECT("Tab_00.Trial["&amp;TEXT($F$2,"MMMM")&amp;"]"),Tab_00.Trial[DC],$R26))</f>
        <v>-802954.04</v>
      </c>
      <c r="T26" s="117">
        <f t="shared" ca="1" si="4"/>
        <v>-0.06</v>
      </c>
      <c r="U26" s="133">
        <f ca="1">IF($F$2="",0,-SUMIFS(INDIRECT("Tab_99.Trial["&amp;TEXT($F$2,"MMMM")&amp;"]"),Tab_99.Trial[DC],$R26))</f>
        <v>0</v>
      </c>
      <c r="V26" s="117">
        <f t="shared" ca="1" si="5"/>
        <v>0</v>
      </c>
      <c r="W26" s="59"/>
      <c r="Y26" s="28"/>
    </row>
    <row r="27" spans="2:25" s="27" customFormat="1" ht="13.2" customHeight="1" x14ac:dyDescent="0.3">
      <c r="B27" s="63" t="s">
        <v>90</v>
      </c>
      <c r="C27" s="50" t="s">
        <v>93</v>
      </c>
      <c r="D27" s="147">
        <f ca="1">IF($F$2="",0,SUMIFS(INDIRECT("Tab_00.Trial["&amp;TEXT($F$2,"MMMM")&amp;"]"),Tab_00.Trial[DC],$C27))</f>
        <v>256983.97</v>
      </c>
      <c r="E27" s="114">
        <f t="shared" ca="1" si="6"/>
        <v>0</v>
      </c>
      <c r="F27" s="127">
        <f ca="1">IF($F$2="",0,SUMIFS(INDIRECT("Tab_99.Trial["&amp;TEXT($F$2,"MMMM")&amp;"]"),Tab_99.Trial[DC],$C27))</f>
        <v>0</v>
      </c>
      <c r="G27" s="114">
        <f t="shared" ca="1" si="7"/>
        <v>0</v>
      </c>
      <c r="H27" s="52"/>
      <c r="I27" s="63" t="s">
        <v>58</v>
      </c>
      <c r="J27" s="50" t="s">
        <v>97</v>
      </c>
      <c r="K27" s="147">
        <f ca="1">IF($F$2="",0,-SUMIFS(INDIRECT("Tab_00.Trial["&amp;TEXT($F$2,"MMMM")&amp;"]"),Tab_00.Trial[DC],$J27))</f>
        <v>0</v>
      </c>
      <c r="L27" s="148">
        <f t="shared" ca="1" si="8"/>
        <v>0</v>
      </c>
      <c r="M27" s="147">
        <f ca="1">IF($F$2="",0,-SUMIFS(INDIRECT("Tab_99.Trial["&amp;TEXT($F$2,"MMMM")&amp;"]"),Tab_99.Trial[DC],$J27))</f>
        <v>0</v>
      </c>
      <c r="N27" s="114">
        <f t="shared" ca="1" si="9"/>
        <v>0</v>
      </c>
      <c r="O27" s="58"/>
      <c r="P27" s="23"/>
      <c r="Q27" s="92" t="s">
        <v>167</v>
      </c>
      <c r="R27" s="50" t="s">
        <v>107</v>
      </c>
      <c r="S27" s="133">
        <f ca="1">IF($F$2="",0,-SUMIFS(INDIRECT("Tab_00.Trial["&amp;TEXT($F$2,"MMMM")&amp;"]"),Tab_00.Trial[DC],$R27))</f>
        <v>0</v>
      </c>
      <c r="T27" s="117">
        <f t="shared" ca="1" si="4"/>
        <v>0</v>
      </c>
      <c r="U27" s="133">
        <f ca="1">IF($F$2="",0,-SUMIFS(INDIRECT("Tab_99.Trial["&amp;TEXT($F$2,"MMMM")&amp;"]"),Tab_99.Trial[DC],$R27))</f>
        <v>0</v>
      </c>
      <c r="V27" s="117">
        <f t="shared" ca="1" si="5"/>
        <v>0</v>
      </c>
      <c r="W27" s="59"/>
      <c r="Y27" s="28"/>
    </row>
    <row r="28" spans="2:25" s="27" customFormat="1" ht="13.2" customHeight="1" x14ac:dyDescent="0.3">
      <c r="B28" s="63" t="s">
        <v>119</v>
      </c>
      <c r="C28" s="50" t="s">
        <v>91</v>
      </c>
      <c r="D28" s="127">
        <f ca="1">IF($F$2="",0,SUMIFS(INDIRECT("Tab_00.Trial["&amp;TEXT($F$2,"MMMM")&amp;"]"),Tab_00.Trial[DC],$C28))</f>
        <v>0</v>
      </c>
      <c r="E28" s="114">
        <f t="shared" ca="1" si="6"/>
        <v>0</v>
      </c>
      <c r="F28" s="127">
        <f ca="1">IF($F$2="",0,SUMIFS(INDIRECT("Tab_99.Trial["&amp;TEXT($F$2,"MMMM")&amp;"]"),Tab_99.Trial[DC],$C28))</f>
        <v>0</v>
      </c>
      <c r="G28" s="114">
        <f t="shared" ca="1" si="7"/>
        <v>0</v>
      </c>
      <c r="H28" s="52"/>
      <c r="I28" s="63" t="s">
        <v>119</v>
      </c>
      <c r="J28" s="50" t="s">
        <v>96</v>
      </c>
      <c r="K28" s="147">
        <f ca="1">IF($F$2="",0,-SUMIFS(INDIRECT("Tab_00.Trial["&amp;TEXT($F$2,"MMMM")&amp;"]"),Tab_00.Trial[DC],$J28))</f>
        <v>0</v>
      </c>
      <c r="L28" s="148">
        <f t="shared" ca="1" si="8"/>
        <v>0</v>
      </c>
      <c r="M28" s="147">
        <f ca="1">IF($F$2="",0,-SUMIFS(INDIRECT("Tab_99.Trial["&amp;TEXT($F$2,"MMMM")&amp;"]"),Tab_99.Trial[DC],$J28))</f>
        <v>0</v>
      </c>
      <c r="N28" s="114">
        <f t="shared" ca="1" si="9"/>
        <v>0</v>
      </c>
      <c r="O28" s="52"/>
      <c r="P28" s="23"/>
      <c r="Q28" s="92" t="s">
        <v>170</v>
      </c>
      <c r="R28" s="50" t="s">
        <v>108</v>
      </c>
      <c r="S28" s="133">
        <f ca="1">IF($F$2="",0,-SUMIFS(INDIRECT("Tab_00.Trial["&amp;TEXT($F$2,"MMMM")&amp;"]"),Tab_00.Trial[DC],$R28))</f>
        <v>-16854.34</v>
      </c>
      <c r="T28" s="117">
        <f t="shared" ca="1" si="4"/>
        <v>0</v>
      </c>
      <c r="U28" s="133">
        <f ca="1">IF($F$2="",0,-SUMIFS(INDIRECT("Tab_99.Trial["&amp;TEXT($F$2,"MMMM")&amp;"]"),Tab_99.Trial[DC],$R28))</f>
        <v>0</v>
      </c>
      <c r="V28" s="117">
        <f t="shared" ca="1" si="5"/>
        <v>0</v>
      </c>
      <c r="W28" s="59"/>
      <c r="Y28" s="28"/>
    </row>
    <row r="29" spans="2:25" s="27" customFormat="1" ht="13.2" customHeight="1" x14ac:dyDescent="0.3">
      <c r="B29" s="55" t="s">
        <v>100</v>
      </c>
      <c r="C29" s="50" t="s">
        <v>117</v>
      </c>
      <c r="D29" s="127">
        <f ca="1">IF($F$2="",0,SUMIFS(INDIRECT("Tab_00.Trial["&amp;TEXT($F$2,"MMMM")&amp;"]"),Tab_00.Trial[DC],$C29))</f>
        <v>45348993.07</v>
      </c>
      <c r="E29" s="114">
        <f t="shared" ca="1" si="6"/>
        <v>0.53</v>
      </c>
      <c r="F29" s="127">
        <f ca="1">IF($F$2="",0,SUMIFS(INDIRECT("Tab_99.Trial["&amp;TEXT($F$2,"MMMM")&amp;"]"),Tab_99.Trial[DC],$C29))</f>
        <v>0</v>
      </c>
      <c r="G29" s="114">
        <f t="shared" ca="1" si="7"/>
        <v>0</v>
      </c>
      <c r="H29" s="52"/>
      <c r="I29" s="63" t="s">
        <v>120</v>
      </c>
      <c r="J29" s="50" t="s">
        <v>94</v>
      </c>
      <c r="K29" s="147">
        <f ca="1">IF($F$2="",0,-SUMIFS(INDIRECT("Tab_00.Trial["&amp;TEXT($F$2,"MMMM")&amp;"]"),Tab_00.Trial[DC],$J29))</f>
        <v>0</v>
      </c>
      <c r="L29" s="148">
        <f t="shared" ca="1" si="8"/>
        <v>0</v>
      </c>
      <c r="M29" s="147">
        <f ca="1">IF($F$2="",0,-SUMIFS(INDIRECT("Tab_99.Trial["&amp;TEXT($F$2,"MMMM")&amp;"]"),Tab_99.Trial[DC],$J29))</f>
        <v>0</v>
      </c>
      <c r="N29" s="114">
        <f t="shared" ca="1" si="9"/>
        <v>0</v>
      </c>
      <c r="O29" s="52"/>
      <c r="P29" s="23"/>
      <c r="Q29" s="92" t="s">
        <v>150</v>
      </c>
      <c r="R29" s="50" t="s">
        <v>109</v>
      </c>
      <c r="S29" s="133">
        <f ca="1">IF($F$2="",0,-SUMIFS(INDIRECT("Tab_00.Trial["&amp;TEXT($F$2,"MMMM")&amp;"]"),Tab_00.Trial[DC],$R29))</f>
        <v>-47282.239999999998</v>
      </c>
      <c r="T29" s="117">
        <f t="shared" ca="1" si="4"/>
        <v>0</v>
      </c>
      <c r="U29" s="133">
        <f ca="1">IF($F$2="",0,-SUMIFS(INDIRECT("Tab_99.Trial["&amp;TEXT($F$2,"MMMM")&amp;"]"),Tab_99.Trial[DC],$R29))</f>
        <v>0</v>
      </c>
      <c r="V29" s="117">
        <f t="shared" ca="1" si="5"/>
        <v>0</v>
      </c>
      <c r="W29" s="59"/>
      <c r="Y29" s="28"/>
    </row>
    <row r="30" spans="2:25" s="27" customFormat="1" ht="13.2" customHeight="1" x14ac:dyDescent="0.3">
      <c r="B30" s="55" t="s">
        <v>35</v>
      </c>
      <c r="C30" s="50" t="s">
        <v>118</v>
      </c>
      <c r="D30" s="127">
        <f ca="1">IF($F$2="",0,SUMIFS(INDIRECT("Tab_00.Trial["&amp;TEXT($F$2,"MMMM")&amp;"]"),Tab_00.Trial[DC],$C30))</f>
        <v>2355889.34</v>
      </c>
      <c r="E30" s="114">
        <f t="shared" ca="1" si="6"/>
        <v>0.03</v>
      </c>
      <c r="F30" s="127">
        <f ca="1">IF($F$2="",0,SUMIFS(INDIRECT("Tab_99.Trial["&amp;TEXT($F$2,"MMMM")&amp;"]"),Tab_99.Trial[DC],$C30))</f>
        <v>0</v>
      </c>
      <c r="G30" s="114">
        <f t="shared" ca="1" si="7"/>
        <v>0</v>
      </c>
      <c r="H30" s="52"/>
      <c r="I30" s="63" t="s">
        <v>89</v>
      </c>
      <c r="J30" s="50" t="s">
        <v>122</v>
      </c>
      <c r="K30" s="147">
        <f ca="1">IF($F$2="",0,-SUMIFS(INDIRECT("Tab_00.Trial["&amp;TEXT($F$2,"MMMM")&amp;"]"),Tab_00.Trial[DC],$J30))</f>
        <v>0</v>
      </c>
      <c r="L30" s="148">
        <f t="shared" ca="1" si="8"/>
        <v>0</v>
      </c>
      <c r="M30" s="147">
        <f ca="1">IF($F$2="",0,-SUMIFS(INDIRECT("Tab_99.Trial["&amp;TEXT($F$2,"MMMM")&amp;"]"),Tab_99.Trial[DC],$J30))</f>
        <v>0</v>
      </c>
      <c r="N30" s="114">
        <f t="shared" ca="1" si="9"/>
        <v>0</v>
      </c>
      <c r="O30" s="52"/>
      <c r="P30" s="23"/>
      <c r="Q30" s="92" t="s">
        <v>123</v>
      </c>
      <c r="R30" s="50" t="s">
        <v>66</v>
      </c>
      <c r="S30" s="133">
        <f ca="1">IF($F$2="",0,-SUMIFS(INDIRECT("Tab_00.Trial["&amp;TEXT($F$2,"MMMM")&amp;"]"),Tab_00.Trial[DC],$R30))</f>
        <v>-50117.5</v>
      </c>
      <c r="T30" s="117">
        <f t="shared" ca="1" si="4"/>
        <v>0</v>
      </c>
      <c r="U30" s="133">
        <f ca="1">IF($F$2="",0,-SUMIFS(INDIRECT("Tab_99.Trial["&amp;TEXT($F$2,"MMMM")&amp;"]"),Tab_99.Trial[DC],$R30))</f>
        <v>0</v>
      </c>
      <c r="V30" s="117">
        <f t="shared" ca="1" si="5"/>
        <v>0</v>
      </c>
      <c r="W30" s="59"/>
      <c r="Y30" s="28"/>
    </row>
    <row r="31" spans="2:25" s="27" customFormat="1" ht="13.2" customHeight="1" x14ac:dyDescent="0.3">
      <c r="B31" s="55" t="s">
        <v>246</v>
      </c>
      <c r="C31" s="50" t="s">
        <v>143</v>
      </c>
      <c r="D31" s="127">
        <f ca="1">IF($F$2="",0,SUMIFS(INDIRECT("Tab_00.Trial["&amp;TEXT($F$2,"MMMM")&amp;"]"),Tab_00.Trial[DC],$C31))</f>
        <v>0</v>
      </c>
      <c r="E31" s="114">
        <f t="shared" ca="1" si="6"/>
        <v>0</v>
      </c>
      <c r="F31" s="127">
        <f ca="1">IF($F$2="",0,SUMIFS(INDIRECT("Tab_99.Trial["&amp;TEXT($F$2,"MMMM")&amp;"]"),Tab_99.Trial[DC],$C31))</f>
        <v>0</v>
      </c>
      <c r="G31" s="114">
        <f t="shared" ca="1" si="7"/>
        <v>0</v>
      </c>
      <c r="H31" s="52"/>
      <c r="I31" s="154"/>
      <c r="K31" s="150">
        <f ca="1">SUBTOTAL(9,K$25:K$30)</f>
        <v>0</v>
      </c>
      <c r="L31" s="151">
        <f t="shared" ca="1" si="8"/>
        <v>0</v>
      </c>
      <c r="M31" s="150">
        <f ca="1">SUBTOTAL(9,M$25:M$30)</f>
        <v>0</v>
      </c>
      <c r="N31" s="120">
        <f t="shared" ca="1" si="9"/>
        <v>0</v>
      </c>
      <c r="O31" s="52"/>
      <c r="P31" s="23"/>
      <c r="Q31" s="92"/>
      <c r="R31" s="50"/>
      <c r="S31" s="127"/>
      <c r="T31" s="114"/>
      <c r="U31" s="127"/>
      <c r="V31" s="114"/>
      <c r="W31" s="59"/>
      <c r="Y31" s="28"/>
    </row>
    <row r="32" spans="2:25" s="27" customFormat="1" ht="13.2" customHeight="1" x14ac:dyDescent="0.3">
      <c r="B32" s="60"/>
      <c r="D32" s="128">
        <f ca="1">SUBTOTAL(9,D$25:D$31)</f>
        <v>74145059.379999995</v>
      </c>
      <c r="E32" s="120">
        <f t="shared" ca="1" si="6"/>
        <v>0.87</v>
      </c>
      <c r="F32" s="128">
        <f ca="1">SUBTOTAL(9,F$25:F$31)</f>
        <v>0</v>
      </c>
      <c r="G32" s="120">
        <f t="shared" ca="1" si="7"/>
        <v>0</v>
      </c>
      <c r="H32" s="52"/>
      <c r="I32" s="154"/>
      <c r="K32" s="155"/>
      <c r="L32" s="121"/>
      <c r="M32" s="155"/>
      <c r="N32" s="121"/>
      <c r="O32" s="52"/>
      <c r="P32" s="23"/>
      <c r="Q32" s="93" t="s">
        <v>761</v>
      </c>
      <c r="R32" s="50"/>
      <c r="S32" s="134">
        <f ca="1">SUBTOTAL(9,S$12:S$31)</f>
        <v>-846586.18</v>
      </c>
      <c r="T32" s="115">
        <f ca="1">IFERROR($S32/$S$13,0)</f>
        <v>-0.06</v>
      </c>
      <c r="U32" s="134">
        <f ca="1">SUBTOTAL(9,U$12:U$31)</f>
        <v>0</v>
      </c>
      <c r="V32" s="115">
        <f ca="1">IFERROR($U32/$U$13,0)</f>
        <v>0</v>
      </c>
      <c r="W32" s="59"/>
      <c r="Y32" s="28"/>
    </row>
    <row r="33" spans="1:25" ht="13.2" customHeight="1" x14ac:dyDescent="0.3">
      <c r="A33" s="27"/>
      <c r="B33" s="60"/>
      <c r="C33" s="27"/>
      <c r="D33" s="130"/>
      <c r="E33" s="121"/>
      <c r="F33" s="130"/>
      <c r="G33" s="27"/>
      <c r="H33" s="52"/>
      <c r="I33" s="53" t="s">
        <v>60</v>
      </c>
      <c r="J33" s="27"/>
      <c r="K33" s="147"/>
      <c r="L33" s="121"/>
      <c r="M33" s="147"/>
      <c r="N33" s="121"/>
      <c r="O33" s="52"/>
      <c r="Q33" s="92"/>
      <c r="R33" s="50"/>
      <c r="S33" s="127"/>
      <c r="T33" s="114"/>
      <c r="U33" s="127"/>
      <c r="V33" s="114"/>
      <c r="W33" s="56"/>
    </row>
    <row r="34" spans="1:25" ht="13.2" customHeight="1" x14ac:dyDescent="0.3">
      <c r="A34" s="27"/>
      <c r="B34" s="60"/>
      <c r="C34" s="27"/>
      <c r="D34" s="130"/>
      <c r="E34" s="121"/>
      <c r="F34" s="130"/>
      <c r="G34" s="27"/>
      <c r="H34" s="27"/>
      <c r="I34" s="63" t="s">
        <v>758</v>
      </c>
      <c r="J34" s="50" t="s">
        <v>61</v>
      </c>
      <c r="K34" s="147">
        <f ca="1">IF($F$2="",0,-SUMIFS(INDIRECT("Tab_00.Trial["&amp;TEXT($F$2,"MMMM")&amp;"]"),Tab_00.Trial[DC],$J34))</f>
        <v>104784619.59999999</v>
      </c>
      <c r="L34" s="148">
        <f ca="1">IFERROR($K34/$K$44,0)</f>
        <v>1.22</v>
      </c>
      <c r="M34" s="147">
        <f ca="1">IF($F$2="",0,-SUMIFS(INDIRECT("Tab_99.Trial["&amp;TEXT($F$2,"MMMM")&amp;"]"),Tab_99.Trial[DC],$J34))</f>
        <v>0</v>
      </c>
      <c r="N34" s="114">
        <f ca="1">IFERROR($M34/$M$44,0)</f>
        <v>0</v>
      </c>
      <c r="O34" s="52"/>
      <c r="Q34" s="93" t="s">
        <v>85</v>
      </c>
      <c r="R34" s="50"/>
      <c r="S34" s="135">
        <f ca="1">SUBTOTAL(9,S$35:S$36)</f>
        <v>2635927.7599999998</v>
      </c>
      <c r="T34" s="116">
        <f ca="1">IFERROR($S34/$S$13,0)</f>
        <v>0.2</v>
      </c>
      <c r="U34" s="135">
        <f ca="1">SUBTOTAL(9,U$35:U$36)</f>
        <v>0</v>
      </c>
      <c r="V34" s="116">
        <f ca="1">IFERROR($U34/$U$13,0)</f>
        <v>0</v>
      </c>
      <c r="W34" s="59"/>
    </row>
    <row r="35" spans="1:25" ht="13.2" customHeight="1" x14ac:dyDescent="0.3">
      <c r="A35" s="27"/>
      <c r="B35" s="60"/>
      <c r="C35" s="27"/>
      <c r="D35" s="127"/>
      <c r="E35" s="114"/>
      <c r="F35" s="127"/>
      <c r="G35" s="54"/>
      <c r="H35" s="52"/>
      <c r="I35" s="63"/>
      <c r="J35" s="50"/>
      <c r="K35" s="147">
        <f ca="1">IF($F$2="",0,-SUMIFS(INDIRECT("Tab_00.Trial["&amp;TEXT($F$2,"MMMM")&amp;"]"),Tab_00.Trial[DC],$J35))</f>
        <v>0</v>
      </c>
      <c r="L35" s="148">
        <f ca="1">IFERROR($K35/$K$44,0)</f>
        <v>0</v>
      </c>
      <c r="M35" s="147">
        <f ca="1">IF($F$2="",0,-SUMIFS(INDIRECT("Tab_99.Trial["&amp;TEXT($F$2,"MMMM")&amp;"]"),Tab_99.Trial[DC],$J35))</f>
        <v>0</v>
      </c>
      <c r="N35" s="114">
        <f ca="1">IFERROR($M35/$M$44,0)</f>
        <v>0</v>
      </c>
      <c r="O35" s="52"/>
      <c r="Q35" s="92" t="s">
        <v>70</v>
      </c>
      <c r="R35" s="50" t="s">
        <v>67</v>
      </c>
      <c r="S35" s="133">
        <f ca="1">IF($F$2="",0,-SUMIFS(INDIRECT("Tab_00.Trial["&amp;TEXT($F$2,"MMMM")&amp;"]"),Tab_00.Trial[DC],$R35))</f>
        <v>-18976.77</v>
      </c>
      <c r="T35" s="114">
        <f ca="1">IFERROR($S35/$S$13,0)</f>
        <v>0</v>
      </c>
      <c r="U35" s="133">
        <f ca="1">IF($F$2="",0,-SUMIFS(INDIRECT("Tab_99.Trial["&amp;TEXT($F$2,"MMMM")&amp;"]"),Tab_99.Trial[DC],$R35))</f>
        <v>0</v>
      </c>
      <c r="V35" s="114">
        <f ca="1">IFERROR($U35/$U$13,0)</f>
        <v>0</v>
      </c>
      <c r="W35" s="56"/>
      <c r="Y35" s="144"/>
    </row>
    <row r="36" spans="1:25" ht="13.2" customHeight="1" x14ac:dyDescent="0.3">
      <c r="A36" s="27"/>
      <c r="B36" s="60"/>
      <c r="C36" s="27"/>
      <c r="D36" s="127"/>
      <c r="E36" s="114"/>
      <c r="F36" s="127"/>
      <c r="G36" s="54"/>
      <c r="H36" s="52"/>
      <c r="I36" s="63" t="s">
        <v>759</v>
      </c>
      <c r="J36" s="50" t="s">
        <v>163</v>
      </c>
      <c r="K36" s="147">
        <f ca="1">IF($F$2="",0,-SUMIFS(INDIRECT("Tab_00.Trial["&amp;TEXT($F$2,"MMMM")&amp;"]"),Tab_00.Trial[DC],$J36))</f>
        <v>-21658820.629999999</v>
      </c>
      <c r="L36" s="148">
        <f ca="1">IFERROR($K36/$K$44,0)</f>
        <v>-0.25</v>
      </c>
      <c r="M36" s="147">
        <f ca="1">IF($F$2="",0,-SUMIFS(INDIRECT("Tab_99.Trial["&amp;TEXT($F$2,"MMMM")&amp;"]"),Tab_99.Trial[DC],$J36))</f>
        <v>0</v>
      </c>
      <c r="N36" s="114">
        <f ca="1">IFERROR($M36/$M$44,0)</f>
        <v>0</v>
      </c>
      <c r="O36" s="52"/>
      <c r="Q36" s="92" t="s">
        <v>69</v>
      </c>
      <c r="R36" s="50" t="s">
        <v>71</v>
      </c>
      <c r="S36" s="133">
        <f ca="1">IF($F$2="",0,-SUMIFS(INDIRECT("Tab_00.Trial["&amp;TEXT($F$2,"MMMM")&amp;"]"),Tab_00.Trial[DC],$R36))</f>
        <v>2654904.5299999998</v>
      </c>
      <c r="T36" s="114">
        <f ca="1">IFERROR($S36/$S$13,0)</f>
        <v>0.2</v>
      </c>
      <c r="U36" s="133">
        <f ca="1">IF($F$2="",0,-SUMIFS(INDIRECT("Tab_99.Trial["&amp;TEXT($F$2,"MMMM")&amp;"]"),Tab_99.Trial[DC],$R36))</f>
        <v>0</v>
      </c>
      <c r="V36" s="114">
        <f ca="1">IFERROR($U36/$U$13,0)</f>
        <v>0</v>
      </c>
      <c r="W36" s="49"/>
    </row>
    <row r="37" spans="1:25" ht="13.2" customHeight="1" x14ac:dyDescent="0.3">
      <c r="A37" s="27"/>
      <c r="B37" s="60"/>
      <c r="C37" s="27"/>
      <c r="D37" s="127"/>
      <c r="E37" s="114"/>
      <c r="F37" s="127"/>
      <c r="G37" s="54"/>
      <c r="H37" s="52"/>
      <c r="I37" s="149" t="s">
        <v>760</v>
      </c>
      <c r="J37" s="50"/>
      <c r="K37" s="147">
        <f ca="1">$S$44</f>
        <v>1789341.58</v>
      </c>
      <c r="L37" s="148">
        <f ca="1">IFERROR($K37/$K$44,0)</f>
        <v>0.02</v>
      </c>
      <c r="M37" s="147">
        <f ca="1">$U$44</f>
        <v>0</v>
      </c>
      <c r="N37" s="114">
        <f ca="1">IFERROR($M37/$M$44,0)</f>
        <v>0</v>
      </c>
      <c r="O37" s="52"/>
      <c r="Q37" s="92"/>
      <c r="R37" s="50"/>
      <c r="S37" s="133"/>
      <c r="T37" s="114"/>
      <c r="U37" s="133"/>
      <c r="V37" s="114"/>
      <c r="W37" s="49"/>
    </row>
    <row r="38" spans="1:25" ht="13.2" customHeight="1" x14ac:dyDescent="0.3">
      <c r="A38" s="27"/>
      <c r="B38" s="60"/>
      <c r="C38" s="27"/>
      <c r="D38" s="129"/>
      <c r="E38" s="118"/>
      <c r="F38" s="129"/>
      <c r="G38" s="48"/>
      <c r="H38" s="52"/>
      <c r="I38" s="64"/>
      <c r="J38" s="27"/>
      <c r="K38" s="128">
        <f ca="1">SUBTOTAL(9,K$33:K$37)</f>
        <v>84915140.549999997</v>
      </c>
      <c r="L38" s="120">
        <f ca="1">IFERROR($K38/$K$44,0)</f>
        <v>0.99</v>
      </c>
      <c r="M38" s="128">
        <f ca="1">SUBTOTAL(9,M$33:M$37)</f>
        <v>0</v>
      </c>
      <c r="N38" s="120">
        <f ca="1">IFERROR($M38/$M$44,0)</f>
        <v>0</v>
      </c>
      <c r="O38" s="52"/>
      <c r="Q38" s="93"/>
      <c r="R38" s="50"/>
      <c r="S38" s="134">
        <f ca="1">SUBTOTAL(9,S$12:S$37)</f>
        <v>1789341.58</v>
      </c>
      <c r="T38" s="115">
        <f ca="1">IFERROR($S38/$S$13,0)</f>
        <v>0.14000000000000001</v>
      </c>
      <c r="U38" s="134">
        <f ca="1">SUBTOTAL(9,U$12:U$37)</f>
        <v>0</v>
      </c>
      <c r="V38" s="115">
        <f ca="1">IFERROR($U38/$U$13,0)</f>
        <v>0</v>
      </c>
      <c r="W38" s="59"/>
    </row>
    <row r="39" spans="1:25" ht="13.2" customHeight="1" x14ac:dyDescent="0.3">
      <c r="A39" s="27"/>
      <c r="B39" s="60"/>
      <c r="C39" s="27"/>
      <c r="D39" s="129"/>
      <c r="E39" s="118"/>
      <c r="F39" s="129"/>
      <c r="G39" s="48"/>
      <c r="H39" s="52"/>
      <c r="I39" s="64"/>
      <c r="J39" s="27"/>
      <c r="K39" s="127"/>
      <c r="L39" s="118"/>
      <c r="M39" s="127"/>
      <c r="N39" s="118"/>
      <c r="O39" s="52"/>
      <c r="Q39" s="91"/>
      <c r="R39" s="50"/>
      <c r="S39" s="129"/>
      <c r="T39" s="118"/>
      <c r="U39" s="129"/>
      <c r="V39" s="118"/>
      <c r="W39" s="56"/>
    </row>
    <row r="40" spans="1:25" ht="13.2" customHeight="1" x14ac:dyDescent="0.3">
      <c r="A40" s="27"/>
      <c r="B40" s="60"/>
      <c r="C40" s="27"/>
      <c r="D40" s="129"/>
      <c r="E40" s="118"/>
      <c r="F40" s="129"/>
      <c r="G40" s="48"/>
      <c r="H40" s="52"/>
      <c r="I40" s="64"/>
      <c r="J40" s="27"/>
      <c r="K40" s="127"/>
      <c r="L40" s="118"/>
      <c r="M40" s="127"/>
      <c r="N40" s="118"/>
      <c r="O40" s="52"/>
      <c r="Q40" s="93"/>
      <c r="R40" s="50"/>
      <c r="S40" s="174"/>
      <c r="T40" s="175"/>
      <c r="U40" s="174"/>
      <c r="V40" s="175"/>
      <c r="W40" s="59"/>
    </row>
    <row r="41" spans="1:25" ht="13.2" customHeight="1" x14ac:dyDescent="0.3">
      <c r="A41" s="27"/>
      <c r="B41" s="60"/>
      <c r="C41" s="27"/>
      <c r="D41" s="129"/>
      <c r="E41" s="118"/>
      <c r="F41" s="129"/>
      <c r="G41" s="48"/>
      <c r="H41" s="52"/>
      <c r="I41" s="64"/>
      <c r="J41" s="27"/>
      <c r="K41" s="127"/>
      <c r="L41" s="118"/>
      <c r="M41" s="127"/>
      <c r="N41" s="118"/>
      <c r="O41" s="52"/>
      <c r="Q41" s="92"/>
      <c r="R41" s="50"/>
      <c r="S41" s="133"/>
      <c r="T41" s="117"/>
      <c r="U41" s="133"/>
      <c r="V41" s="117"/>
      <c r="W41" s="56"/>
    </row>
    <row r="42" spans="1:25" ht="13.2" customHeight="1" x14ac:dyDescent="0.3">
      <c r="A42" s="27"/>
      <c r="B42" s="60"/>
      <c r="C42" s="27"/>
      <c r="D42" s="129"/>
      <c r="E42" s="118"/>
      <c r="F42" s="129"/>
      <c r="G42" s="48"/>
      <c r="H42" s="52"/>
      <c r="I42" s="64"/>
      <c r="J42" s="27"/>
      <c r="K42" s="127"/>
      <c r="L42" s="118"/>
      <c r="M42" s="127"/>
      <c r="N42" s="118"/>
      <c r="O42" s="52"/>
      <c r="Q42" s="92"/>
      <c r="R42" s="50"/>
      <c r="S42" s="133"/>
      <c r="T42" s="117"/>
      <c r="U42" s="133"/>
      <c r="V42" s="117"/>
      <c r="W42" s="49"/>
    </row>
    <row r="43" spans="1:25" ht="13.8" x14ac:dyDescent="0.3">
      <c r="A43" s="27"/>
      <c r="B43" s="60"/>
      <c r="C43" s="27"/>
      <c r="D43" s="131"/>
      <c r="E43" s="118"/>
      <c r="F43" s="131"/>
      <c r="G43" s="99"/>
      <c r="H43" s="52"/>
      <c r="I43" s="64"/>
      <c r="J43" s="27"/>
      <c r="K43" s="131"/>
      <c r="L43" s="118"/>
      <c r="M43" s="131"/>
      <c r="N43" s="118"/>
      <c r="O43" s="52"/>
      <c r="Q43" s="91"/>
      <c r="R43" s="50"/>
      <c r="S43" s="129"/>
      <c r="T43" s="118"/>
      <c r="U43" s="129"/>
      <c r="V43" s="118"/>
      <c r="W43" s="56"/>
    </row>
    <row r="44" spans="1:25" ht="20.100000000000001" customHeight="1" thickBot="1" x14ac:dyDescent="0.35">
      <c r="A44" s="27"/>
      <c r="B44" s="45" t="s">
        <v>77</v>
      </c>
      <c r="C44" s="27"/>
      <c r="D44" s="132">
        <f ca="1">SUBTOTAL(9,D$12:D$43)</f>
        <v>85565083.819999993</v>
      </c>
      <c r="E44" s="118"/>
      <c r="F44" s="132">
        <f ca="1">SUBTOTAL(9,F$12:F$43)</f>
        <v>0</v>
      </c>
      <c r="G44" s="98"/>
      <c r="H44" s="52"/>
      <c r="I44" s="65" t="s">
        <v>78</v>
      </c>
      <c r="J44" s="27"/>
      <c r="K44" s="132">
        <f ca="1">SUBTOTAL(9,K$12:K$43)</f>
        <v>85565083.819999993</v>
      </c>
      <c r="L44" s="118"/>
      <c r="M44" s="132">
        <f ca="1">SUBTOTAL(9,M$12:M$43)</f>
        <v>0</v>
      </c>
      <c r="N44" s="118"/>
      <c r="O44" s="52"/>
      <c r="Q44" s="93" t="s">
        <v>762</v>
      </c>
      <c r="R44" s="27"/>
      <c r="S44" s="136">
        <f ca="1">SUBTOTAL(9,S$12:S$43)</f>
        <v>1789341.58</v>
      </c>
      <c r="T44" s="119">
        <f ca="1">IFERROR($S44/$S$13,0)</f>
        <v>0.14000000000000001</v>
      </c>
      <c r="U44" s="136">
        <f ca="1">SUBTOTAL(9,U$12:U$43)</f>
        <v>0</v>
      </c>
      <c r="V44" s="119">
        <f ca="1">IFERROR($U44/$U$13,0)</f>
        <v>0</v>
      </c>
      <c r="W44" s="56"/>
      <c r="Y44" s="27"/>
    </row>
    <row r="45" spans="1:25" ht="13.2" customHeight="1" thickTop="1" x14ac:dyDescent="0.3">
      <c r="A45" s="27"/>
      <c r="B45" s="66"/>
      <c r="C45" s="68"/>
      <c r="D45" s="122"/>
      <c r="E45" s="122"/>
      <c r="F45" s="57"/>
      <c r="G45" s="57"/>
      <c r="H45" s="67"/>
      <c r="I45" s="68"/>
      <c r="J45" s="68"/>
      <c r="K45" s="122"/>
      <c r="L45" s="122"/>
      <c r="M45" s="69"/>
      <c r="N45" s="122"/>
      <c r="O45" s="67"/>
      <c r="Q45" s="66"/>
      <c r="R45" s="68"/>
      <c r="S45" s="122"/>
      <c r="T45" s="122"/>
      <c r="U45" s="69"/>
      <c r="V45" s="69"/>
      <c r="W45" s="67"/>
    </row>
    <row r="46" spans="1:25" ht="40.200000000000003" customHeight="1" x14ac:dyDescent="0.3">
      <c r="A46" s="27"/>
      <c r="H46" s="23"/>
      <c r="I46" s="143"/>
      <c r="O46" s="23"/>
      <c r="S46" s="143"/>
      <c r="W46" s="23"/>
      <c r="Y46" s="27"/>
    </row>
    <row r="47" spans="1:25" ht="40.200000000000003" customHeight="1" x14ac:dyDescent="0.3">
      <c r="A47" s="27"/>
      <c r="H47" s="23"/>
      <c r="I47" s="143"/>
      <c r="K47" s="183"/>
      <c r="O47" s="23"/>
      <c r="W47" s="23"/>
      <c r="Y47" s="27"/>
    </row>
    <row r="48" spans="1:25" ht="40.200000000000003" customHeight="1" x14ac:dyDescent="0.3">
      <c r="A48" s="27"/>
      <c r="H48" s="23"/>
      <c r="I48" s="143"/>
      <c r="O48" s="23"/>
      <c r="W48" s="23"/>
      <c r="Y48" s="27"/>
    </row>
    <row r="49" spans="1:25" ht="13.2" customHeight="1" x14ac:dyDescent="0.3">
      <c r="A49" s="27"/>
      <c r="H49" s="23"/>
      <c r="K49" s="47" t="s">
        <v>164</v>
      </c>
      <c r="O49" s="23"/>
      <c r="R49" s="47"/>
      <c r="S49" s="47"/>
      <c r="T49" s="47" t="s">
        <v>164</v>
      </c>
      <c r="W49" s="23"/>
    </row>
    <row r="50" spans="1:25" ht="13.2" customHeight="1" x14ac:dyDescent="0.3">
      <c r="A50" s="27"/>
      <c r="B50" s="70"/>
      <c r="C50" s="70"/>
      <c r="D50" s="70"/>
      <c r="E50" s="103"/>
      <c r="H50" s="23"/>
      <c r="K50" s="64" t="s">
        <v>165</v>
      </c>
      <c r="O50" s="23"/>
      <c r="R50" s="64"/>
      <c r="S50" s="64"/>
      <c r="T50" s="64" t="s">
        <v>165</v>
      </c>
      <c r="W50" s="23"/>
    </row>
    <row r="51" spans="1:25" ht="13.2" customHeight="1" x14ac:dyDescent="0.3">
      <c r="A51" s="27"/>
      <c r="H51" s="23"/>
      <c r="K51" s="64" t="s">
        <v>166</v>
      </c>
      <c r="O51" s="23"/>
      <c r="Q51" s="27"/>
      <c r="R51" s="64"/>
      <c r="S51" s="64"/>
      <c r="T51" s="64" t="s">
        <v>166</v>
      </c>
      <c r="W51" s="23"/>
    </row>
    <row r="52" spans="1:25" ht="13.2" customHeight="1" x14ac:dyDescent="0.3">
      <c r="A52" s="27"/>
      <c r="H52" s="23"/>
      <c r="K52" s="64"/>
      <c r="O52" s="23"/>
      <c r="Q52" s="27"/>
      <c r="R52" s="64"/>
      <c r="S52" s="64"/>
      <c r="T52" s="64"/>
      <c r="W52" s="23"/>
    </row>
    <row r="53" spans="1:25" ht="40.200000000000003" customHeight="1" x14ac:dyDescent="0.3">
      <c r="A53" s="27"/>
      <c r="H53" s="23"/>
      <c r="O53" s="23"/>
      <c r="Q53" s="145"/>
      <c r="W53" s="23"/>
      <c r="Y53" s="27"/>
    </row>
    <row r="54" spans="1:25" ht="13.2" customHeight="1" x14ac:dyDescent="0.3">
      <c r="A54" s="27"/>
      <c r="H54" s="23"/>
      <c r="K54" s="47" t="s">
        <v>171</v>
      </c>
      <c r="O54" s="23"/>
      <c r="Q54" s="27"/>
      <c r="R54" s="47"/>
      <c r="S54" s="47"/>
      <c r="T54" s="47" t="s">
        <v>171</v>
      </c>
      <c r="W54" s="23"/>
    </row>
    <row r="55" spans="1:25" ht="13.2" customHeight="1" x14ac:dyDescent="0.3">
      <c r="A55" s="27"/>
      <c r="B55" s="70"/>
      <c r="C55" s="70"/>
      <c r="D55" s="70"/>
      <c r="E55" s="103"/>
      <c r="H55" s="23"/>
      <c r="K55" s="64" t="s">
        <v>172</v>
      </c>
      <c r="O55" s="23"/>
      <c r="Q55" s="27"/>
      <c r="R55" s="64"/>
      <c r="S55" s="64"/>
      <c r="T55" s="64" t="s">
        <v>172</v>
      </c>
      <c r="W55" s="23"/>
    </row>
    <row r="56" spans="1:25" ht="13.2" customHeight="1" x14ac:dyDescent="0.3">
      <c r="A56" s="27"/>
      <c r="H56" s="23"/>
      <c r="K56" s="64" t="s">
        <v>173</v>
      </c>
      <c r="O56" s="23"/>
      <c r="Q56" s="27"/>
      <c r="R56" s="64"/>
      <c r="S56" s="64"/>
      <c r="T56" s="64" t="s">
        <v>173</v>
      </c>
      <c r="W56" s="23"/>
    </row>
    <row r="58" spans="1:25" ht="13.2" customHeight="1" x14ac:dyDescent="0.3">
      <c r="S58" s="24"/>
      <c r="T58" s="24"/>
    </row>
  </sheetData>
  <sheetProtection autoFilter="0"/>
  <phoneticPr fontId="9" type="noConversion"/>
  <conditionalFormatting sqref="Q1:Q2">
    <cfRule type="cellIs" dxfId="2" priority="1" operator="notEqual">
      <formula>""</formula>
    </cfRule>
  </conditionalFormatting>
  <dataValidations disablePrompts="1" count="1">
    <dataValidation type="list" allowBlank="1" showInputMessage="1" showErrorMessage="1" sqref="F2" xr:uid="{AF43AFB4-640B-4109-AF9B-155BFAD42D46}">
      <formula1>int_Data</formula1>
    </dataValidation>
  </dataValidations>
  <printOptions horizontalCentered="1"/>
  <pageMargins left="0.19685039370078741" right="0.19685039370078741" top="0.19685039370078741" bottom="0.19685039370078741" header="0.39370078740157483" footer="0.39370078740157483"/>
  <pageSetup paperSize="9" scale="69" orientation="landscape" r:id="rId1"/>
  <headerFooter alignWithMargins="0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0BF6F-5235-4CA6-959F-E46E60A83B2E}">
  <sheetPr codeName="Planilha19"/>
  <dimension ref="B1:O302"/>
  <sheetViews>
    <sheetView showGridLines="0" showRowColHeaders="0" zoomScale="85" zoomScaleNormal="85" workbookViewId="0">
      <pane xSplit="7" ySplit="14" topLeftCell="J287" activePane="bottomRight" state="frozen"/>
      <selection activeCell="I305" sqref="I305"/>
      <selection pane="topRight" activeCell="I305" sqref="I305"/>
      <selection pane="bottomLeft" activeCell="I305" sqref="I305"/>
      <selection pane="bottomRight" activeCell="I294" sqref="D291:I294"/>
    </sheetView>
  </sheetViews>
  <sheetFormatPr defaultColWidth="8.88671875" defaultRowHeight="13.8" outlineLevelRow="1" x14ac:dyDescent="0.3"/>
  <cols>
    <col min="1" max="1" width="2.6640625" style="1" customWidth="1"/>
    <col min="2" max="2" width="4.6640625" customWidth="1"/>
    <col min="3" max="5" width="4.6640625" style="2" customWidth="1"/>
    <col min="6" max="7" width="20.6640625" style="4" customWidth="1"/>
    <col min="8" max="8" width="15.6640625" customWidth="1"/>
    <col min="9" max="9" width="17.6640625" customWidth="1"/>
    <col min="10" max="10" width="75.6640625" customWidth="1"/>
    <col min="11" max="11" width="20.6640625" style="2" customWidth="1"/>
    <col min="12" max="13" width="20.6640625" style="3" customWidth="1"/>
    <col min="14" max="15" width="20.6640625" style="4" customWidth="1"/>
    <col min="16" max="16384" width="8.88671875" style="1"/>
  </cols>
  <sheetData>
    <row r="1" spans="2:15" x14ac:dyDescent="0.3">
      <c r="B1" s="2"/>
      <c r="H1" s="3"/>
      <c r="I1" s="3"/>
      <c r="J1" s="3"/>
      <c r="K1" s="4"/>
      <c r="L1" s="4"/>
      <c r="M1" s="4"/>
    </row>
    <row r="2" spans="2:15" outlineLevel="1" x14ac:dyDescent="0.3">
      <c r="B2" s="2" t="s">
        <v>16</v>
      </c>
      <c r="F2" s="7">
        <f ca="1">SUMIFS(INDIRECT("Tab_09.Set["&amp;F$14&amp;"]"),Tab_09.Set[TP],$B2,Tab_09.Set[NV],"A")</f>
        <v>0</v>
      </c>
      <c r="G2" s="7">
        <f ca="1">SUMIFS(INDIRECT("Tab_09.Set["&amp;G$14&amp;"]"),Tab_09.Set[TP],$B2,Tab_09.Set[NV],"A")</f>
        <v>0</v>
      </c>
      <c r="H2" s="3"/>
      <c r="I2" s="3"/>
      <c r="J2" s="88" t="s">
        <v>15</v>
      </c>
      <c r="K2" s="7">
        <f ca="1">SUMIFS(INDIRECT("Tab_09.Set["&amp;K$14&amp;"]"),Tab_09.Set[TP],$B2,Tab_09.Set[S/A],"A")</f>
        <v>85129496.230000004</v>
      </c>
      <c r="L2" s="7">
        <f ca="1">SUMIFS(INDIRECT("Tab_09.Set["&amp;L$14&amp;"]"),Tab_09.Set[TP],$B2,Tab_09.Set[S/A],"A")</f>
        <v>1688798.45</v>
      </c>
      <c r="M2" s="7">
        <f ca="1">SUMIFS(INDIRECT("Tab_09.Set["&amp;M$14&amp;"]"),Tab_09.Set[TP],$B2,Tab_09.Set[S/A],"A")</f>
        <v>1688875.51</v>
      </c>
      <c r="N2" s="7">
        <f ca="1">SUMIFS(INDIRECT("Tab_09.Set["&amp;N$14&amp;"]"),Tab_09.Set[TP],$B2,Tab_09.Set[S/A],"A")</f>
        <v>85129419.170000002</v>
      </c>
      <c r="O2" s="7">
        <f ca="1">SUMIFS(INDIRECT("Tab_09.Set["&amp;O$14&amp;"]"),Tab_09.Set[TP],$B2,Tab_09.Set[S/A],"A")</f>
        <v>-77.06</v>
      </c>
    </row>
    <row r="3" spans="2:15" outlineLevel="1" x14ac:dyDescent="0.3">
      <c r="B3" s="2" t="s">
        <v>116</v>
      </c>
      <c r="F3" s="7">
        <f ca="1">SUMIFS(INDIRECT("Tab_09.Set["&amp;F$14&amp;"]"),Tab_09.Set[TP],$B3,Tab_09.Set[NV],"A")</f>
        <v>0</v>
      </c>
      <c r="G3" s="7">
        <f ca="1">SUMIFS(INDIRECT("Tab_09.Set["&amp;G$14&amp;"]"),Tab_09.Set[TP],$B3,Tab_09.Set[NV],"A")</f>
        <v>0</v>
      </c>
      <c r="H3" s="3"/>
      <c r="I3" s="3"/>
      <c r="J3" s="88" t="s">
        <v>110</v>
      </c>
      <c r="K3" s="7">
        <f ca="1">SUMIFS(INDIRECT("Tab_09.Set["&amp;K$14&amp;"]"),Tab_09.Set[TP],$B3,Tab_09.Set[S/A],"A")</f>
        <v>-83640031.019999996</v>
      </c>
      <c r="L3" s="7">
        <f ca="1">SUMIFS(INDIRECT("Tab_09.Set["&amp;L$14&amp;"]"),Tab_09.Set[TP],$B3,Tab_09.Set[S/A],"A")</f>
        <v>649591.49</v>
      </c>
      <c r="M3" s="7">
        <f ca="1">SUMIFS(INDIRECT("Tab_09.Set["&amp;M$14&amp;"]"),Tab_09.Set[TP],$B3,Tab_09.Set[S/A],"A")</f>
        <v>586886.37</v>
      </c>
      <c r="N3" s="7">
        <f ca="1">SUMIFS(INDIRECT("Tab_09.Set["&amp;N$14&amp;"]"),Tab_09.Set[TP],$B3,Tab_09.Set[S/A],"A")</f>
        <v>-83577325.900000006</v>
      </c>
      <c r="O3" s="7">
        <f ca="1">SUMIFS(INDIRECT("Tab_09.Set["&amp;O$14&amp;"]"),Tab_09.Set[TP],$B3,Tab_09.Set[S/A],"A")</f>
        <v>62705.120000000003</v>
      </c>
    </row>
    <row r="4" spans="2:15" outlineLevel="1" x14ac:dyDescent="0.3">
      <c r="B4" s="2"/>
      <c r="F4" s="8">
        <f ca="1">SUM(F$2:F$3)</f>
        <v>0</v>
      </c>
      <c r="G4" s="8">
        <f ca="1">SUM(G$2:G$3)</f>
        <v>0</v>
      </c>
      <c r="H4" s="3"/>
      <c r="I4" s="3"/>
      <c r="J4" s="88"/>
      <c r="K4" s="8">
        <f t="shared" ref="K4:O4" ca="1" si="0">SUM(K$2:K$3)</f>
        <v>1489465.21</v>
      </c>
      <c r="L4" s="8">
        <f t="shared" ca="1" si="0"/>
        <v>2338389.94</v>
      </c>
      <c r="M4" s="8">
        <f t="shared" ca="1" si="0"/>
        <v>2275761.88</v>
      </c>
      <c r="N4" s="8">
        <f ca="1">SUM(N$2:N$3)</f>
        <v>1552093.27</v>
      </c>
      <c r="O4" s="8">
        <f t="shared" ca="1" si="0"/>
        <v>62628.06</v>
      </c>
    </row>
    <row r="5" spans="2:15" ht="5.0999999999999996" customHeight="1" outlineLevel="1" x14ac:dyDescent="0.3">
      <c r="B5" s="2"/>
      <c r="H5" s="3"/>
      <c r="I5" s="3"/>
      <c r="J5" s="89"/>
      <c r="K5" s="4"/>
      <c r="L5" s="4"/>
      <c r="M5" s="4"/>
    </row>
    <row r="6" spans="2:15" outlineLevel="1" x14ac:dyDescent="0.3">
      <c r="B6" s="2" t="s">
        <v>19</v>
      </c>
      <c r="F6" s="7">
        <f ca="1">SUMIFS(INDIRECT("Tab_09.Set["&amp;F$14&amp;"]"),Tab_09.Set[TP],$B6,Tab_09.Set[NV],"A")</f>
        <v>0</v>
      </c>
      <c r="G6" s="7">
        <f ca="1">SUMIFS(INDIRECT("Tab_09.Set["&amp;G$14&amp;"]"),Tab_09.Set[TP],$B6,Tab_09.Set[NV],"A")</f>
        <v>0</v>
      </c>
      <c r="H6" s="3"/>
      <c r="I6" s="3"/>
      <c r="J6" s="88" t="s">
        <v>18</v>
      </c>
      <c r="K6" s="7">
        <f ca="1">SUMIFS(INDIRECT("Tab_09.Set["&amp;K$14&amp;"]"),Tab_09.Set[TP],$B6,Tab_09.Set[S/A],"A")</f>
        <v>-10466674.550000001</v>
      </c>
      <c r="L6" s="7">
        <f ca="1">SUMIFS(INDIRECT("Tab_09.Set["&amp;L$14&amp;"]"),Tab_09.Set[TP],$B6,Tab_09.Set[S/A],"A")</f>
        <v>12078.33</v>
      </c>
      <c r="M6" s="7">
        <f ca="1">SUMIFS(INDIRECT("Tab_09.Set["&amp;M$14&amp;"]"),Tab_09.Set[TP],$B6,Tab_09.Set[S/A],"A")</f>
        <v>1128995</v>
      </c>
      <c r="N6" s="7">
        <f ca="1">SUMIFS(INDIRECT("Tab_09.Set["&amp;N$14&amp;"]"),Tab_09.Set[TP],$B6,Tab_09.Set[S/A],"A")</f>
        <v>-11583591.220000001</v>
      </c>
      <c r="O6" s="7">
        <f ca="1">SUMIFS(INDIRECT("Tab_09.Set["&amp;O$14&amp;"]"),Tab_09.Set[TP],$B6,Tab_09.Set[S/A],"A")</f>
        <v>-1116916.67</v>
      </c>
    </row>
    <row r="7" spans="2:15" outlineLevel="1" x14ac:dyDescent="0.3">
      <c r="B7" s="2" t="s">
        <v>20</v>
      </c>
      <c r="F7" s="7">
        <f ca="1">SUMIFS(INDIRECT("Tab_09.Set["&amp;F$14&amp;"]"),Tab_09.Set[TP],$B7,Tab_09.Set[NV],"A")</f>
        <v>0</v>
      </c>
      <c r="G7" s="7">
        <f ca="1">SUMIFS(INDIRECT("Tab_09.Set["&amp;G$14&amp;"]"),Tab_09.Set[TP],$B7,Tab_09.Set[NV],"A")</f>
        <v>0</v>
      </c>
      <c r="H7" s="3"/>
      <c r="I7" s="3"/>
      <c r="J7" s="88" t="s">
        <v>111</v>
      </c>
      <c r="K7" s="7">
        <f ca="1">SUMIFS(INDIRECT("Tab_09.Set["&amp;K$14&amp;"]"),Tab_09.Set[TP],$B7,Tab_09.Set[S/A],"A")</f>
        <v>8977209.3399999999</v>
      </c>
      <c r="L7" s="7">
        <f ca="1">SUMIFS(INDIRECT("Tab_09.Set["&amp;L$14&amp;"]"),Tab_09.Set[TP],$B7,Tab_09.Set[S/A],"A")</f>
        <v>1093444.1200000001</v>
      </c>
      <c r="M7" s="7">
        <f ca="1">SUMIFS(INDIRECT("Tab_09.Set["&amp;M$14&amp;"]"),Tab_09.Set[TP],$B7,Tab_09.Set[S/A],"A")</f>
        <v>39155.51</v>
      </c>
      <c r="N7" s="7">
        <f ca="1">SUMIFS(INDIRECT("Tab_09.Set["&amp;N$14&amp;"]"),Tab_09.Set[TP],$B7,Tab_09.Set[S/A],"A")</f>
        <v>10031497.949999999</v>
      </c>
      <c r="O7" s="7">
        <f ca="1">SUMIFS(INDIRECT("Tab_09.Set["&amp;O$14&amp;"]"),Tab_09.Set[TP],$B7,Tab_09.Set[S/A],"A")</f>
        <v>1054288.6100000001</v>
      </c>
    </row>
    <row r="8" spans="2:15" outlineLevel="1" x14ac:dyDescent="0.3">
      <c r="B8" s="2"/>
      <c r="F8" s="8">
        <f ca="1">SUM(F$6:F$7)</f>
        <v>0</v>
      </c>
      <c r="G8" s="8">
        <f ca="1">SUM(G$6:G$7)</f>
        <v>0</v>
      </c>
      <c r="H8" s="3"/>
      <c r="I8" s="3"/>
      <c r="J8" s="88"/>
      <c r="K8" s="8">
        <f ca="1">SUM(K$6:K$7)</f>
        <v>-1489465.21</v>
      </c>
      <c r="L8" s="8">
        <f ca="1">SUM(L$6:L$7)</f>
        <v>1105522.45</v>
      </c>
      <c r="M8" s="8">
        <f ca="1">SUM(M$6:M$7)</f>
        <v>1168150.51</v>
      </c>
      <c r="N8" s="8">
        <f ca="1">SUM(N$6:N$7)</f>
        <v>-1552093.27</v>
      </c>
      <c r="O8" s="8">
        <f ca="1">SUM(O$6:O$7)</f>
        <v>-62628.06</v>
      </c>
    </row>
    <row r="9" spans="2:15" ht="5.0999999999999996" customHeight="1" outlineLevel="1" x14ac:dyDescent="0.3">
      <c r="B9" s="2"/>
      <c r="H9" s="3"/>
      <c r="I9" s="3"/>
      <c r="J9" s="89"/>
      <c r="K9" s="4"/>
      <c r="L9" s="4"/>
      <c r="M9" s="4"/>
    </row>
    <row r="10" spans="2:15" x14ac:dyDescent="0.3">
      <c r="B10" s="2"/>
      <c r="F10" s="11">
        <f ca="1">SUM(F$4,F$8)</f>
        <v>0</v>
      </c>
      <c r="G10" s="11">
        <f ca="1">SUM(G$4,G$8)</f>
        <v>0</v>
      </c>
      <c r="H10" s="3"/>
      <c r="I10" s="3"/>
      <c r="J10" s="88" t="s">
        <v>22</v>
      </c>
      <c r="K10" s="11">
        <f t="shared" ref="K10:O10" ca="1" si="1">SUM(K$4,K$8)</f>
        <v>0</v>
      </c>
      <c r="L10" s="11">
        <f t="shared" ca="1" si="1"/>
        <v>3443912.39</v>
      </c>
      <c r="M10" s="11">
        <f t="shared" ca="1" si="1"/>
        <v>3443912.39</v>
      </c>
      <c r="N10" s="11">
        <f ca="1">SUM(N$4,N$8)</f>
        <v>0</v>
      </c>
      <c r="O10" s="11">
        <f t="shared" ca="1" si="1"/>
        <v>0</v>
      </c>
    </row>
    <row r="11" spans="2:15" ht="5.0999999999999996" customHeight="1" x14ac:dyDescent="0.3">
      <c r="B11" s="2"/>
      <c r="H11" s="3"/>
      <c r="I11" s="3"/>
      <c r="J11" s="3"/>
      <c r="K11" s="4"/>
      <c r="L11" s="4"/>
      <c r="M11" s="4"/>
    </row>
    <row r="12" spans="2:15" x14ac:dyDescent="0.3">
      <c r="B12" s="2"/>
      <c r="F12" s="7">
        <f>SUBTOTAL(9,Tab_09.Set[SALDO FINAL
ANTERIOR])</f>
        <v>0</v>
      </c>
      <c r="G12" s="7">
        <f>SUBTOTAL(9,Tab_09.Set[DIFERENÇA])</f>
        <v>0</v>
      </c>
      <c r="H12" s="3"/>
      <c r="I12" s="3"/>
      <c r="J12" s="3"/>
      <c r="K12" s="7">
        <f>SUBTOTAL(9,Tab_09.Set[SALDO
ANTERIOR])</f>
        <v>0</v>
      </c>
      <c r="L12" s="7">
        <f>SUBTOTAL(9,Tab_09.Set[DÉBITO])</f>
        <v>17219561.949999999</v>
      </c>
      <c r="M12" s="7">
        <f>SUBTOTAL(9,Tab_09.Set[CRÉDITO])</f>
        <v>17219561.949999999</v>
      </c>
      <c r="N12" s="7">
        <f>SUBTOTAL(9,Tab_09.Set[SALDO
ATUAL])</f>
        <v>0</v>
      </c>
      <c r="O12" s="7">
        <f>SUBTOTAL(9,Tab_09.Set[MOVIMENTO])</f>
        <v>0</v>
      </c>
    </row>
    <row r="13" spans="2:15" ht="5.0999999999999996" customHeight="1" x14ac:dyDescent="0.3">
      <c r="B13" s="2"/>
      <c r="H13" s="3"/>
      <c r="I13" s="3"/>
      <c r="J13" s="3"/>
      <c r="K13" s="4"/>
      <c r="L13" s="4"/>
      <c r="M13" s="4"/>
    </row>
    <row r="14" spans="2:15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5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SUMIFS(Tab_08.Ago[SALDO
ATUAL],Tab_08.Ago[CONTA],$I15)</f>
        <v>85129496.230000004</v>
      </c>
      <c r="G15" s="4">
        <f>$F15-$K15</f>
        <v>0</v>
      </c>
      <c r="H15" s="2">
        <v>10000</v>
      </c>
      <c r="I15" s="3">
        <v>1</v>
      </c>
      <c r="J15" s="3" t="s">
        <v>637</v>
      </c>
      <c r="K15" s="173">
        <v>85129496.230000004</v>
      </c>
      <c r="L15" s="173">
        <v>1688798.45</v>
      </c>
      <c r="M15" s="173">
        <v>1688875.51</v>
      </c>
      <c r="N15" s="173">
        <v>85129419.170000002</v>
      </c>
      <c r="O15" s="4">
        <f>Tab_09.Set[[#This Row],[DÉBITO]]-Tab_09.Set[[#This Row],[CRÉDITO]]</f>
        <v>-77.06</v>
      </c>
    </row>
    <row r="16" spans="2:15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SUMIFS(Tab_08.Ago[SALDO
ATUAL],Tab_08.Ago[CONTA],$I16)</f>
        <v>11252115.48</v>
      </c>
      <c r="G16" s="4">
        <f>$F16-$K16</f>
        <v>0</v>
      </c>
      <c r="H16" s="2">
        <v>10015</v>
      </c>
      <c r="I16" s="3" t="s">
        <v>197</v>
      </c>
      <c r="J16" s="3" t="s">
        <v>247</v>
      </c>
      <c r="K16" s="173">
        <v>11252115.48</v>
      </c>
      <c r="L16" s="173">
        <v>1626517.93</v>
      </c>
      <c r="M16" s="173">
        <v>1682608.76</v>
      </c>
      <c r="N16" s="173">
        <v>11196024.65</v>
      </c>
      <c r="O16" s="4">
        <f>Tab_09.Set[[#This Row],[DÉBITO]]-Tab_09.Set[[#This Row],[CRÉDITO]]</f>
        <v>-56090.83</v>
      </c>
    </row>
    <row r="17" spans="2:15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SUMIFS(Tab_08.Ago[SALDO
ATUAL],Tab_08.Ago[CONTA],$I17)</f>
        <v>10799966.9</v>
      </c>
      <c r="G17" s="4">
        <f>$F17-$K17</f>
        <v>0</v>
      </c>
      <c r="H17" s="2">
        <v>10030</v>
      </c>
      <c r="I17" s="3" t="s">
        <v>199</v>
      </c>
      <c r="J17" s="3" t="s">
        <v>638</v>
      </c>
      <c r="K17" s="173">
        <v>10799966.9</v>
      </c>
      <c r="L17" s="173">
        <v>1609977.6</v>
      </c>
      <c r="M17" s="173">
        <v>1577184.33</v>
      </c>
      <c r="N17" s="173">
        <v>10832760.17</v>
      </c>
      <c r="O17" s="4">
        <f>Tab_09.Set[[#This Row],[DÉBITO]]-Tab_09.Set[[#This Row],[CRÉDITO]]</f>
        <v>32793.269999999997</v>
      </c>
    </row>
    <row r="18" spans="2:15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SUMIFS(Tab_08.Ago[SALDO
ATUAL],Tab_08.Ago[CONTA],$I18)</f>
        <v>1928.97</v>
      </c>
      <c r="G18" s="4">
        <f t="shared" ref="G18:G49" si="2">$F18-$K18</f>
        <v>0</v>
      </c>
      <c r="H18" s="192">
        <v>10045</v>
      </c>
      <c r="I18" s="3" t="s">
        <v>201</v>
      </c>
      <c r="J18" s="3" t="s">
        <v>639</v>
      </c>
      <c r="K18" s="173">
        <v>1928.97</v>
      </c>
      <c r="L18" s="173">
        <v>0</v>
      </c>
      <c r="M18" s="173">
        <v>600.34</v>
      </c>
      <c r="N18" s="173">
        <v>1328.63</v>
      </c>
      <c r="O18" s="4">
        <f>Tab_09.Set[[#This Row],[DÉBITO]]-Tab_09.Set[[#This Row],[CRÉDITO]]</f>
        <v>-600.34</v>
      </c>
    </row>
    <row r="19" spans="2:15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SUMIFS(Tab_08.Ago[SALDO
ATUAL],Tab_08.Ago[CONTA],$I19)</f>
        <v>1928.97</v>
      </c>
      <c r="G19" s="4">
        <f t="shared" si="2"/>
        <v>0</v>
      </c>
      <c r="H19" s="192">
        <v>10075</v>
      </c>
      <c r="I19" s="3" t="s">
        <v>176</v>
      </c>
      <c r="J19" s="3" t="s">
        <v>274</v>
      </c>
      <c r="K19" s="1">
        <v>1928.97</v>
      </c>
      <c r="L19" s="173">
        <v>0</v>
      </c>
      <c r="M19" s="173">
        <v>600.34</v>
      </c>
      <c r="N19" s="1">
        <v>1328.63</v>
      </c>
      <c r="O19" s="4">
        <f>Tab_09.Set[[#This Row],[DÉBITO]]-Tab_09.Set[[#This Row],[CRÉDITO]]</f>
        <v>-600.34</v>
      </c>
    </row>
    <row r="20" spans="2:15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SUMIFS(Tab_08.Ago[SALDO
ATUAL],Tab_08.Ago[CONTA],$I20)</f>
        <v>38448.61</v>
      </c>
      <c r="G20" s="4">
        <f t="shared" si="2"/>
        <v>0</v>
      </c>
      <c r="H20" s="192">
        <v>10090</v>
      </c>
      <c r="I20" s="3" t="s">
        <v>202</v>
      </c>
      <c r="J20" s="3" t="s">
        <v>640</v>
      </c>
      <c r="K20" s="173">
        <v>38448.61</v>
      </c>
      <c r="L20" s="1">
        <v>1071425.67</v>
      </c>
      <c r="M20" s="1">
        <v>1063241.51</v>
      </c>
      <c r="N20" s="173">
        <v>46632.77</v>
      </c>
      <c r="O20" s="4">
        <f>Tab_09.Set[[#This Row],[DÉBITO]]-Tab_09.Set[[#This Row],[CRÉDITO]]</f>
        <v>8184.16</v>
      </c>
    </row>
    <row r="21" spans="2:15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SUMIFS(Tab_08.Ago[SALDO
ATUAL],Tab_08.Ago[CONTA],$I21)</f>
        <v>1.02</v>
      </c>
      <c r="G21" s="4">
        <f t="shared" si="2"/>
        <v>0</v>
      </c>
      <c r="H21" s="192">
        <v>10110</v>
      </c>
      <c r="I21" s="3" t="s">
        <v>277</v>
      </c>
      <c r="J21" s="3" t="s">
        <v>278</v>
      </c>
      <c r="K21" s="173">
        <v>1.02</v>
      </c>
      <c r="L21" s="173">
        <v>1025745.4</v>
      </c>
      <c r="M21" s="173">
        <v>1025745.4</v>
      </c>
      <c r="N21" s="173">
        <v>1.02</v>
      </c>
      <c r="O21" s="4">
        <f>Tab_09.Set[[#This Row],[DÉBITO]]-Tab_09.Set[[#This Row],[CRÉDITO]]</f>
        <v>0</v>
      </c>
    </row>
    <row r="22" spans="2:15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SUMIFS(Tab_08.Ago[SALDO
ATUAL],Tab_08.Ago[CONTA],$I22)</f>
        <v>34147.730000000003</v>
      </c>
      <c r="G22" s="4">
        <f t="shared" si="2"/>
        <v>0</v>
      </c>
      <c r="H22" s="192">
        <v>10131</v>
      </c>
      <c r="I22" s="3" t="s">
        <v>177</v>
      </c>
      <c r="J22" s="3" t="s">
        <v>279</v>
      </c>
      <c r="K22" s="1">
        <v>34147.730000000003</v>
      </c>
      <c r="L22" s="173">
        <v>40680.269999999997</v>
      </c>
      <c r="M22" s="173">
        <v>37375.11</v>
      </c>
      <c r="N22" s="1">
        <v>37452.89</v>
      </c>
      <c r="O22" s="4">
        <f>Tab_09.Set[[#This Row],[DÉBITO]]-Tab_09.Set[[#This Row],[CRÉDITO]]</f>
        <v>3305.16</v>
      </c>
    </row>
    <row r="23" spans="2:15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SUMIFS(Tab_08.Ago[SALDO
ATUAL],Tab_08.Ago[CONTA],$I23)</f>
        <v>4299.8599999999997</v>
      </c>
      <c r="G23" s="4">
        <f t="shared" si="2"/>
        <v>0</v>
      </c>
      <c r="H23" s="192">
        <v>10132</v>
      </c>
      <c r="I23" s="3" t="s">
        <v>280</v>
      </c>
      <c r="J23" s="3" t="s">
        <v>281</v>
      </c>
      <c r="K23" s="173">
        <v>4299.8599999999997</v>
      </c>
      <c r="L23" s="173">
        <v>5000</v>
      </c>
      <c r="M23" s="173">
        <v>121</v>
      </c>
      <c r="N23" s="173">
        <v>9178.86</v>
      </c>
      <c r="O23" s="4">
        <f>Tab_09.Set[[#This Row],[DÉBITO]]-Tab_09.Set[[#This Row],[CRÉDITO]]</f>
        <v>4879</v>
      </c>
    </row>
    <row r="24" spans="2:15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S</v>
      </c>
      <c r="E24" s="2">
        <f>IF($I24="","",COUNTIFS(Tab_00.Trial[CONTA],$I24))</f>
        <v>1</v>
      </c>
      <c r="F24" s="4">
        <f>SUMIFS(Tab_08.Ago[SALDO
ATUAL],Tab_08.Ago[CONTA],$I24)</f>
        <v>10759589.32</v>
      </c>
      <c r="G24" s="4">
        <f t="shared" si="2"/>
        <v>0</v>
      </c>
      <c r="H24" s="192">
        <v>10180</v>
      </c>
      <c r="I24" s="3" t="s">
        <v>203</v>
      </c>
      <c r="J24" s="3" t="s">
        <v>641</v>
      </c>
      <c r="K24" s="173">
        <v>10759589.32</v>
      </c>
      <c r="L24" s="1">
        <v>538551.93000000005</v>
      </c>
      <c r="M24" s="1">
        <v>513342.48</v>
      </c>
      <c r="N24" s="173">
        <v>10784798.77</v>
      </c>
      <c r="O24" s="4">
        <f>Tab_09.Set[[#This Row],[DÉBITO]]-Tab_09.Set[[#This Row],[CRÉDITO]]</f>
        <v>25209.45</v>
      </c>
    </row>
    <row r="25" spans="2:15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A</v>
      </c>
      <c r="E25" s="2">
        <f>IF($I25="","",COUNTIFS(Tab_00.Trial[CONTA],$I25))</f>
        <v>1</v>
      </c>
      <c r="F25" s="4">
        <f>SUMIFS(Tab_08.Ago[SALDO
ATUAL],Tab_08.Ago[CONTA],$I25)</f>
        <v>4958969.7300000004</v>
      </c>
      <c r="G25" s="4">
        <f t="shared" si="2"/>
        <v>0</v>
      </c>
      <c r="H25" s="192">
        <v>10200</v>
      </c>
      <c r="I25" s="3" t="s">
        <v>178</v>
      </c>
      <c r="J25" s="3" t="s">
        <v>284</v>
      </c>
      <c r="K25" s="173">
        <v>4958969.7300000004</v>
      </c>
      <c r="L25" s="1">
        <v>490869.01</v>
      </c>
      <c r="M25" s="1">
        <v>513342.48</v>
      </c>
      <c r="N25" s="173">
        <v>4936496.26</v>
      </c>
      <c r="O25" s="4">
        <f>Tab_09.Set[[#This Row],[DÉBITO]]-Tab_09.Set[[#This Row],[CRÉDITO]]</f>
        <v>-22473.47</v>
      </c>
    </row>
    <row r="26" spans="2:15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SUMIFS(Tab_08.Ago[SALDO
ATUAL],Tab_08.Ago[CONTA],$I26)</f>
        <v>5800619.5899999999</v>
      </c>
      <c r="G26" s="4">
        <f t="shared" si="2"/>
        <v>0</v>
      </c>
      <c r="H26" s="192">
        <v>10223</v>
      </c>
      <c r="I26" s="3" t="s">
        <v>287</v>
      </c>
      <c r="J26" s="3" t="s">
        <v>288</v>
      </c>
      <c r="K26" s="173">
        <v>5800619.5899999999</v>
      </c>
      <c r="L26" s="173">
        <v>47682.92</v>
      </c>
      <c r="M26" s="173">
        <v>0</v>
      </c>
      <c r="N26" s="173">
        <v>5848302.5099999998</v>
      </c>
      <c r="O26" s="4">
        <f>Tab_09.Set[[#This Row],[DÉBITO]]-Tab_09.Set[[#This Row],[CRÉDITO]]</f>
        <v>47682.92</v>
      </c>
    </row>
    <row r="27" spans="2:15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S</v>
      </c>
      <c r="E27" s="2">
        <f>IF($I27="","",COUNTIFS(Tab_00.Trial[CONTA],$I27))</f>
        <v>1</v>
      </c>
      <c r="F27" s="4">
        <f>SUMIFS(Tab_08.Ago[SALDO
ATUAL],Tab_08.Ago[CONTA],$I27)</f>
        <v>99274.97</v>
      </c>
      <c r="G27" s="4">
        <f t="shared" si="2"/>
        <v>0</v>
      </c>
      <c r="H27" s="192">
        <v>10270</v>
      </c>
      <c r="I27" s="3" t="s">
        <v>204</v>
      </c>
      <c r="J27" s="3" t="s">
        <v>642</v>
      </c>
      <c r="K27" s="173">
        <v>99274.97</v>
      </c>
      <c r="L27" s="173">
        <v>5000</v>
      </c>
      <c r="M27" s="173">
        <v>5000</v>
      </c>
      <c r="N27" s="173">
        <v>99274.97</v>
      </c>
      <c r="O27" s="4">
        <f>Tab_09.Set[[#This Row],[DÉBITO]]-Tab_09.Set[[#This Row],[CRÉDITO]]</f>
        <v>0</v>
      </c>
    </row>
    <row r="28" spans="2:15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SUMIFS(Tab_08.Ago[SALDO
ATUAL],Tab_08.Ago[CONTA],$I28)</f>
        <v>99274.97</v>
      </c>
      <c r="G28" s="4">
        <f t="shared" si="2"/>
        <v>0</v>
      </c>
      <c r="H28" s="192">
        <v>10345</v>
      </c>
      <c r="I28" s="3" t="s">
        <v>205</v>
      </c>
      <c r="J28" s="3" t="s">
        <v>643</v>
      </c>
      <c r="K28" s="173">
        <v>99274.97</v>
      </c>
      <c r="L28" s="173">
        <v>5000</v>
      </c>
      <c r="M28" s="1">
        <v>5000</v>
      </c>
      <c r="N28" s="173">
        <v>99274.97</v>
      </c>
      <c r="O28" s="4">
        <f>Tab_09.Set[[#This Row],[DÉBITO]]-Tab_09.Set[[#This Row],[CRÉDITO]]</f>
        <v>0</v>
      </c>
    </row>
    <row r="29" spans="2:15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A</v>
      </c>
      <c r="E29" s="2">
        <f>IF($I29="","",COUNTIFS(Tab_00.Trial[CONTA],$I29))</f>
        <v>1</v>
      </c>
      <c r="F29" s="4">
        <f>SUMIFS(Tab_08.Ago[SALDO
ATUAL],Tab_08.Ago[CONTA],$I29)</f>
        <v>99274.97</v>
      </c>
      <c r="G29" s="4">
        <f t="shared" si="2"/>
        <v>0</v>
      </c>
      <c r="H29" s="192">
        <v>10377</v>
      </c>
      <c r="I29" s="3" t="s">
        <v>291</v>
      </c>
      <c r="J29" s="3" t="s">
        <v>292</v>
      </c>
      <c r="K29" s="173">
        <v>99274.97</v>
      </c>
      <c r="L29" s="1">
        <v>5000</v>
      </c>
      <c r="M29" s="1">
        <v>5000</v>
      </c>
      <c r="N29" s="173">
        <v>99274.97</v>
      </c>
      <c r="O29" s="4">
        <f>Tab_09.Set[[#This Row],[DÉBITO]]-Tab_09.Set[[#This Row],[CRÉDITO]]</f>
        <v>0</v>
      </c>
    </row>
    <row r="30" spans="2:15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S</v>
      </c>
      <c r="E30" s="2">
        <f>IF($I30="","",COUNTIFS(Tab_00.Trial[CONTA],$I30))</f>
        <v>1</v>
      </c>
      <c r="F30" s="4">
        <f>SUMIFS(Tab_08.Ago[SALDO
ATUAL],Tab_08.Ago[CONTA],$I30)</f>
        <v>41321.86</v>
      </c>
      <c r="G30" s="4">
        <f t="shared" si="2"/>
        <v>0</v>
      </c>
      <c r="H30" s="192">
        <v>10630</v>
      </c>
      <c r="I30" s="3" t="s">
        <v>206</v>
      </c>
      <c r="J30" s="3" t="s">
        <v>644</v>
      </c>
      <c r="K30" s="173">
        <v>41321.86</v>
      </c>
      <c r="L30" s="1">
        <v>5296.85</v>
      </c>
      <c r="M30" s="1">
        <v>38205.65</v>
      </c>
      <c r="N30" s="173">
        <v>8413.06</v>
      </c>
      <c r="O30" s="4">
        <f>Tab_09.Set[[#This Row],[DÉBITO]]-Tab_09.Set[[#This Row],[CRÉDITO]]</f>
        <v>-32908.800000000003</v>
      </c>
    </row>
    <row r="31" spans="2:15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S</v>
      </c>
      <c r="E31" s="2">
        <f>IF($I31="","",COUNTIFS(Tab_00.Trial[CONTA],$I31))</f>
        <v>1</v>
      </c>
      <c r="F31" s="4">
        <f>SUMIFS(Tab_08.Ago[SALDO
ATUAL],Tab_08.Ago[CONTA],$I31)</f>
        <v>26127.32</v>
      </c>
      <c r="G31" s="4">
        <f t="shared" si="2"/>
        <v>0</v>
      </c>
      <c r="H31" s="192">
        <v>10645</v>
      </c>
      <c r="I31" s="3" t="s">
        <v>208</v>
      </c>
      <c r="J31" s="3" t="s">
        <v>139</v>
      </c>
      <c r="K31" s="173">
        <v>26127.32</v>
      </c>
      <c r="L31" s="1">
        <v>306.7</v>
      </c>
      <c r="M31" s="1">
        <v>26127.32</v>
      </c>
      <c r="N31" s="173">
        <v>306.7</v>
      </c>
      <c r="O31" s="4">
        <f>Tab_09.Set[[#This Row],[DÉBITO]]-Tab_09.Set[[#This Row],[CRÉDITO]]</f>
        <v>-25820.62</v>
      </c>
    </row>
    <row r="32" spans="2:15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A</v>
      </c>
      <c r="E32" s="2">
        <f>IF($I32="","",COUNTIFS(Tab_00.Trial[CONTA],$I32))</f>
        <v>1</v>
      </c>
      <c r="F32" s="4">
        <f>SUMIFS(Tab_08.Ago[SALDO
ATUAL],Tab_08.Ago[CONTA],$I32)</f>
        <v>26127.32</v>
      </c>
      <c r="G32" s="4">
        <f t="shared" si="2"/>
        <v>0</v>
      </c>
      <c r="H32" s="192">
        <v>10735</v>
      </c>
      <c r="I32" s="3" t="s">
        <v>294</v>
      </c>
      <c r="J32" s="3" t="s">
        <v>295</v>
      </c>
      <c r="K32" s="173">
        <v>26127.32</v>
      </c>
      <c r="L32" s="1">
        <v>306.7</v>
      </c>
      <c r="M32" s="1">
        <v>26127.32</v>
      </c>
      <c r="N32" s="173">
        <v>306.7</v>
      </c>
      <c r="O32" s="4">
        <f>Tab_09.Set[[#This Row],[DÉBITO]]-Tab_09.Set[[#This Row],[CRÉDITO]]</f>
        <v>-25820.62</v>
      </c>
    </row>
    <row r="33" spans="2:15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S</v>
      </c>
      <c r="E33" s="2">
        <f>IF($I33="","",COUNTIFS(Tab_00.Trial[CONTA],$I33))</f>
        <v>1</v>
      </c>
      <c r="F33" s="4">
        <f>SUMIFS(Tab_08.Ago[SALDO
ATUAL],Tab_08.Ago[CONTA],$I33)</f>
        <v>15194.54</v>
      </c>
      <c r="G33" s="4">
        <f t="shared" si="2"/>
        <v>0</v>
      </c>
      <c r="H33" s="192">
        <v>10765</v>
      </c>
      <c r="I33" s="3" t="s">
        <v>551</v>
      </c>
      <c r="J33" s="3" t="s">
        <v>645</v>
      </c>
      <c r="K33" s="173">
        <v>15194.54</v>
      </c>
      <c r="L33" s="1">
        <v>4990.1499999999996</v>
      </c>
      <c r="M33" s="1">
        <v>12078.33</v>
      </c>
      <c r="N33" s="173">
        <v>8106.36</v>
      </c>
      <c r="O33" s="4">
        <f>Tab_09.Set[[#This Row],[DÉBITO]]-Tab_09.Set[[#This Row],[CRÉDITO]]</f>
        <v>-7088.18</v>
      </c>
    </row>
    <row r="34" spans="2:15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A</v>
      </c>
      <c r="E34" s="2">
        <f>IF($I34="","",COUNTIFS(Tab_00.Trial[CONTA],$I34))</f>
        <v>1</v>
      </c>
      <c r="F34" s="4">
        <f>SUMIFS(Tab_08.Ago[SALDO
ATUAL],Tab_08.Ago[CONTA],$I34)</f>
        <v>15194.54</v>
      </c>
      <c r="G34" s="4">
        <f t="shared" si="2"/>
        <v>0</v>
      </c>
      <c r="H34" s="192">
        <v>10867</v>
      </c>
      <c r="I34" s="3" t="s">
        <v>831</v>
      </c>
      <c r="J34" s="3" t="s">
        <v>832</v>
      </c>
      <c r="K34" s="173">
        <v>15194.54</v>
      </c>
      <c r="L34" s="1">
        <v>4990.1499999999996</v>
      </c>
      <c r="M34" s="1">
        <v>12078.33</v>
      </c>
      <c r="N34" s="173">
        <v>8106.36</v>
      </c>
      <c r="O34" s="4">
        <f>Tab_09.Set[[#This Row],[DÉBITO]]-Tab_09.Set[[#This Row],[CRÉDITO]]</f>
        <v>-7088.18</v>
      </c>
    </row>
    <row r="35" spans="2:15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S</v>
      </c>
      <c r="E35" s="2">
        <f>IF($I35="","",COUNTIFS(Tab_00.Trial[CONTA],$I35))</f>
        <v>1</v>
      </c>
      <c r="F35" s="4">
        <f>SUMIFS(Tab_08.Ago[SALDO
ATUAL],Tab_08.Ago[CONTA],$I35)</f>
        <v>311276.59999999998</v>
      </c>
      <c r="G35" s="4">
        <f t="shared" si="2"/>
        <v>0</v>
      </c>
      <c r="H35" s="192">
        <v>10840</v>
      </c>
      <c r="I35" s="3" t="s">
        <v>840</v>
      </c>
      <c r="J35" s="3" t="s">
        <v>841</v>
      </c>
      <c r="K35" s="173">
        <v>311276.59999999998</v>
      </c>
      <c r="L35" s="1">
        <v>6243.48</v>
      </c>
      <c r="M35" s="1">
        <v>61943.63</v>
      </c>
      <c r="N35" s="173">
        <v>255576.45</v>
      </c>
      <c r="O35" s="4">
        <f>Tab_09.Set[[#This Row],[DÉBITO]]-Tab_09.Set[[#This Row],[CRÉDITO]]</f>
        <v>-55700.15</v>
      </c>
    </row>
    <row r="36" spans="2:15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S</v>
      </c>
      <c r="E36" s="2">
        <f>IF($I36="","",COUNTIFS(Tab_00.Trial[CONTA],$I36))</f>
        <v>1</v>
      </c>
      <c r="F36" s="4">
        <f>SUMIFS(Tab_08.Ago[SALDO
ATUAL],Tab_08.Ago[CONTA],$I36)</f>
        <v>311276.59999999998</v>
      </c>
      <c r="G36" s="4">
        <f t="shared" si="2"/>
        <v>0</v>
      </c>
      <c r="H36" s="192">
        <v>10965</v>
      </c>
      <c r="I36" s="3" t="s">
        <v>842</v>
      </c>
      <c r="J36" s="3" t="s">
        <v>843</v>
      </c>
      <c r="K36" s="173">
        <v>311276.59999999998</v>
      </c>
      <c r="L36" s="1">
        <v>0</v>
      </c>
      <c r="M36" s="1">
        <v>55700.15</v>
      </c>
      <c r="N36" s="173">
        <v>255576.45</v>
      </c>
      <c r="O36" s="4">
        <f>Tab_09.Set[[#This Row],[DÉBITO]]-Tab_09.Set[[#This Row],[CRÉDITO]]</f>
        <v>-55700.15</v>
      </c>
    </row>
    <row r="37" spans="2:15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A</v>
      </c>
      <c r="E37" s="2">
        <f>IF($I37="","",COUNTIFS(Tab_00.Trial[CONTA],$I37))</f>
        <v>1</v>
      </c>
      <c r="F37" s="4">
        <f>SUMIFS(Tab_08.Ago[SALDO
ATUAL],Tab_08.Ago[CONTA],$I37)</f>
        <v>311276.59999999998</v>
      </c>
      <c r="G37" s="4">
        <f t="shared" si="2"/>
        <v>0</v>
      </c>
      <c r="H37" s="192">
        <v>10874</v>
      </c>
      <c r="I37" s="3" t="s">
        <v>844</v>
      </c>
      <c r="J37" s="3" t="s">
        <v>843</v>
      </c>
      <c r="K37" s="1">
        <v>311276.59999999998</v>
      </c>
      <c r="L37" s="1">
        <v>0</v>
      </c>
      <c r="M37" s="1">
        <v>55700.15</v>
      </c>
      <c r="N37" s="1">
        <v>255576.45</v>
      </c>
      <c r="O37" s="4">
        <f>Tab_09.Set[[#This Row],[DÉBITO]]-Tab_09.Set[[#This Row],[CRÉDITO]]</f>
        <v>-55700.15</v>
      </c>
    </row>
    <row r="38" spans="2:15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S</v>
      </c>
      <c r="E38" s="2">
        <f>IF($I38="","",COUNTIFS(Tab_00.Trial[CONTA],$I38))</f>
        <v>1</v>
      </c>
      <c r="F38" s="4">
        <f>SUMIFS(Tab_08.Ago[SALDO
ATUAL],Tab_08.Ago[CONTA],$I38)</f>
        <v>0</v>
      </c>
      <c r="G38" s="4">
        <f t="shared" si="2"/>
        <v>0</v>
      </c>
      <c r="H38" s="192">
        <v>10881</v>
      </c>
      <c r="I38" s="3" t="s">
        <v>864</v>
      </c>
      <c r="J38" s="3" t="s">
        <v>865</v>
      </c>
      <c r="K38" s="1">
        <v>0</v>
      </c>
      <c r="L38" s="1">
        <v>6243.48</v>
      </c>
      <c r="M38" s="1">
        <v>6243.48</v>
      </c>
      <c r="N38" s="1">
        <v>0</v>
      </c>
      <c r="O38" s="4">
        <f>Tab_09.Set[[#This Row],[DÉBITO]]-Tab_09.Set[[#This Row],[CRÉDITO]]</f>
        <v>0</v>
      </c>
    </row>
    <row r="39" spans="2:15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A</v>
      </c>
      <c r="E39" s="2">
        <f>IF($I39="","",COUNTIFS(Tab_00.Trial[CONTA],$I39))</f>
        <v>1</v>
      </c>
      <c r="F39" s="4">
        <f>SUMIFS(Tab_08.Ago[SALDO
ATUAL],Tab_08.Ago[CONTA],$I39)</f>
        <v>0</v>
      </c>
      <c r="G39" s="4">
        <f t="shared" si="2"/>
        <v>0</v>
      </c>
      <c r="H39" s="192">
        <v>10888</v>
      </c>
      <c r="I39" s="3" t="s">
        <v>867</v>
      </c>
      <c r="J39" s="3" t="s">
        <v>868</v>
      </c>
      <c r="K39" s="1">
        <v>0</v>
      </c>
      <c r="L39" s="1">
        <v>6243.48</v>
      </c>
      <c r="M39" s="1">
        <v>6243.48</v>
      </c>
      <c r="N39" s="1">
        <v>0</v>
      </c>
      <c r="O39" s="4">
        <f>Tab_09.Set[[#This Row],[DÉBITO]]-Tab_09.Set[[#This Row],[CRÉDITO]]</f>
        <v>0</v>
      </c>
    </row>
    <row r="40" spans="2:15" x14ac:dyDescent="0.3">
      <c r="B40" s="2" t="str">
        <f>_xlfn.XLOOKUP($I40,Tab_00.Trial[CONTA],Tab_00.Trial[TP],"",0,1)</f>
        <v>A</v>
      </c>
      <c r="C40" s="2">
        <f>_xlfn.XLOOKUP($I40,Tab_00.Trial[CONTA],Tab_00.Trial[NV],"",0,1)</f>
        <v>5</v>
      </c>
      <c r="D40" s="2" t="str">
        <f>_xlfn.XLOOKUP($I40,Tab_00.Trial[CONTA],Tab_00.Trial[S/A],"",0,1)</f>
        <v>S</v>
      </c>
      <c r="E40" s="2">
        <f>IF($I40="","",COUNTIFS(Tab_00.Trial[CONTA],$I40))</f>
        <v>1</v>
      </c>
      <c r="F40" s="4">
        <f>SUMIFS(Tab_08.Ago[SALDO
ATUAL],Tab_08.Ago[CONTA],$I40)</f>
        <v>275.14999999999998</v>
      </c>
      <c r="G40" s="4">
        <f t="shared" si="2"/>
        <v>0</v>
      </c>
      <c r="H40" s="192">
        <v>10975</v>
      </c>
      <c r="I40" s="3" t="s">
        <v>209</v>
      </c>
      <c r="J40" s="3" t="s">
        <v>646</v>
      </c>
      <c r="K40" s="173">
        <v>275.14999999999998</v>
      </c>
      <c r="L40" s="173">
        <v>0</v>
      </c>
      <c r="M40" s="173">
        <v>275.14999999999998</v>
      </c>
      <c r="N40" s="173">
        <v>0</v>
      </c>
      <c r="O40" s="4">
        <f>Tab_09.Set[[#This Row],[DÉBITO]]-Tab_09.Set[[#This Row],[CRÉDITO]]</f>
        <v>-275.14999999999998</v>
      </c>
    </row>
    <row r="41" spans="2:15" x14ac:dyDescent="0.3">
      <c r="B41" s="2" t="str">
        <f>_xlfn.XLOOKUP($I41,Tab_00.Trial[CONTA],Tab_00.Trial[TP],"",0,1)</f>
        <v>A</v>
      </c>
      <c r="C41" s="2">
        <f>_xlfn.XLOOKUP($I41,Tab_00.Trial[CONTA],Tab_00.Trial[NV],"",0,1)</f>
        <v>5</v>
      </c>
      <c r="D41" s="2" t="str">
        <f>_xlfn.XLOOKUP($I41,Tab_00.Trial[CONTA],Tab_00.Trial[S/A],"",0,1)</f>
        <v>S</v>
      </c>
      <c r="E41" s="2">
        <f>IF($I41="","",COUNTIFS(Tab_00.Trial[CONTA],$I41))</f>
        <v>1</v>
      </c>
      <c r="F41" s="4">
        <f>SUMIFS(Tab_08.Ago[SALDO
ATUAL],Tab_08.Ago[CONTA],$I41)</f>
        <v>275.14999999999998</v>
      </c>
      <c r="G41" s="4">
        <f t="shared" si="2"/>
        <v>0</v>
      </c>
      <c r="H41" s="192">
        <v>10990</v>
      </c>
      <c r="I41" s="3" t="s">
        <v>210</v>
      </c>
      <c r="J41" s="3" t="s">
        <v>646</v>
      </c>
      <c r="K41" s="173">
        <v>275.14999999999998</v>
      </c>
      <c r="L41" s="1">
        <v>0</v>
      </c>
      <c r="M41" s="1">
        <v>275.14999999999998</v>
      </c>
      <c r="N41" s="173">
        <v>0</v>
      </c>
      <c r="O41" s="4">
        <f>Tab_09.Set[[#This Row],[DÉBITO]]-Tab_09.Set[[#This Row],[CRÉDITO]]</f>
        <v>-275.14999999999998</v>
      </c>
    </row>
    <row r="42" spans="2:15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A</v>
      </c>
      <c r="E42" s="2">
        <f>IF($I42="","",COUNTIFS(Tab_00.Trial[CONTA],$I42))</f>
        <v>1</v>
      </c>
      <c r="F42" s="4">
        <f>SUMIFS(Tab_08.Ago[SALDO
ATUAL],Tab_08.Ago[CONTA],$I42)</f>
        <v>275.14999999999998</v>
      </c>
      <c r="G42" s="4">
        <f t="shared" si="2"/>
        <v>0</v>
      </c>
      <c r="H42" s="192">
        <v>11005</v>
      </c>
      <c r="I42" s="3" t="s">
        <v>298</v>
      </c>
      <c r="J42" s="3" t="s">
        <v>299</v>
      </c>
      <c r="K42" s="173">
        <v>275.14999999999998</v>
      </c>
      <c r="L42" s="1">
        <v>0</v>
      </c>
      <c r="M42" s="1">
        <v>275.14999999999998</v>
      </c>
      <c r="N42" s="173">
        <v>0</v>
      </c>
      <c r="O42" s="4">
        <f>Tab_09.Set[[#This Row],[DÉBITO]]-Tab_09.Set[[#This Row],[CRÉDITO]]</f>
        <v>-275.14999999999998</v>
      </c>
    </row>
    <row r="43" spans="2:15" x14ac:dyDescent="0.3">
      <c r="B43" s="2" t="str">
        <f>_xlfn.XLOOKUP($I43,Tab_00.Trial[CONTA],Tab_00.Trial[TP],"",0,1)</f>
        <v>A</v>
      </c>
      <c r="C43" s="2">
        <f>_xlfn.XLOOKUP($I43,Tab_00.Trial[CONTA],Tab_00.Trial[NV],"",0,1)</f>
        <v>2</v>
      </c>
      <c r="D43" s="2" t="str">
        <f>_xlfn.XLOOKUP($I43,Tab_00.Trial[CONTA],Tab_00.Trial[S/A],"",0,1)</f>
        <v>S</v>
      </c>
      <c r="E43" s="2">
        <f>IF($I43="","",COUNTIFS(Tab_00.Trial[CONTA],$I43))</f>
        <v>1</v>
      </c>
      <c r="F43" s="4">
        <f>SUMIFS(Tab_08.Ago[SALDO
ATUAL],Tab_08.Ago[CONTA],$I43)</f>
        <v>73877380.75</v>
      </c>
      <c r="G43" s="4">
        <f t="shared" si="2"/>
        <v>0</v>
      </c>
      <c r="H43" s="192">
        <v>11065</v>
      </c>
      <c r="I43" s="3" t="s">
        <v>211</v>
      </c>
      <c r="J43" s="3" t="s">
        <v>76</v>
      </c>
      <c r="K43" s="173">
        <v>73877380.75</v>
      </c>
      <c r="L43" s="1">
        <v>62280.52</v>
      </c>
      <c r="M43" s="1">
        <v>6266.75</v>
      </c>
      <c r="N43" s="173">
        <v>73933394.519999996</v>
      </c>
      <c r="O43" s="4">
        <f>Tab_09.Set[[#This Row],[DÉBITO]]-Tab_09.Set[[#This Row],[CRÉDITO]]</f>
        <v>56013.77</v>
      </c>
    </row>
    <row r="44" spans="2:15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S</v>
      </c>
      <c r="E44" s="2">
        <f>IF($I44="","",COUNTIFS(Tab_00.Trial[CONTA],$I44))</f>
        <v>1</v>
      </c>
      <c r="F44" s="4">
        <f>SUMIFS(Tab_08.Ago[SALDO
ATUAL],Tab_08.Ago[CONTA],$I44)</f>
        <v>255568.62</v>
      </c>
      <c r="G44" s="4">
        <f t="shared" si="2"/>
        <v>0</v>
      </c>
      <c r="H44" s="192">
        <v>11080</v>
      </c>
      <c r="I44" s="3" t="s">
        <v>552</v>
      </c>
      <c r="J44" s="3" t="s">
        <v>647</v>
      </c>
      <c r="K44" s="173">
        <v>255568.62</v>
      </c>
      <c r="L44" s="173">
        <v>286.52</v>
      </c>
      <c r="M44" s="1">
        <v>0</v>
      </c>
      <c r="N44" s="173">
        <v>255855.14</v>
      </c>
      <c r="O44" s="4">
        <f>Tab_09.Set[[#This Row],[DÉBITO]]-Tab_09.Set[[#This Row],[CRÉDITO]]</f>
        <v>286.52</v>
      </c>
    </row>
    <row r="45" spans="2:15" x14ac:dyDescent="0.3">
      <c r="B45" s="2" t="str">
        <f>_xlfn.XLOOKUP($I45,Tab_00.Trial[CONTA],Tab_00.Trial[TP],"",0,1)</f>
        <v>A</v>
      </c>
      <c r="C45" s="2">
        <f>_xlfn.XLOOKUP($I45,Tab_00.Trial[CONTA],Tab_00.Trial[NV],"",0,1)</f>
        <v>5</v>
      </c>
      <c r="D45" s="2" t="str">
        <f>_xlfn.XLOOKUP($I45,Tab_00.Trial[CONTA],Tab_00.Trial[S/A],"",0,1)</f>
        <v>S</v>
      </c>
      <c r="E45" s="2">
        <f>IF($I45="","",COUNTIFS(Tab_00.Trial[CONTA],$I45))</f>
        <v>1</v>
      </c>
      <c r="F45" s="4">
        <f>SUMIFS(Tab_08.Ago[SALDO
ATUAL],Tab_08.Ago[CONTA],$I45)</f>
        <v>255568.62</v>
      </c>
      <c r="G45" s="4">
        <f t="shared" si="2"/>
        <v>0</v>
      </c>
      <c r="H45" s="192">
        <v>11125</v>
      </c>
      <c r="I45" s="3" t="s">
        <v>553</v>
      </c>
      <c r="J45" s="3" t="s">
        <v>301</v>
      </c>
      <c r="K45" s="173">
        <v>255568.62</v>
      </c>
      <c r="L45" s="1">
        <v>286.52</v>
      </c>
      <c r="M45" s="1">
        <v>0</v>
      </c>
      <c r="N45" s="173">
        <v>255855.14</v>
      </c>
      <c r="O45" s="4">
        <f>Tab_09.Set[[#This Row],[DÉBITO]]-Tab_09.Set[[#This Row],[CRÉDITO]]</f>
        <v>286.52</v>
      </c>
    </row>
    <row r="46" spans="2:15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A</v>
      </c>
      <c r="E46" s="2">
        <f>IF($I46="","",COUNTIFS(Tab_00.Trial[CONTA],$I46))</f>
        <v>1</v>
      </c>
      <c r="F46" s="4">
        <f>SUMIFS(Tab_08.Ago[SALDO
ATUAL],Tab_08.Ago[CONTA],$I46)</f>
        <v>255568.62</v>
      </c>
      <c r="G46" s="4">
        <f t="shared" si="2"/>
        <v>0</v>
      </c>
      <c r="H46" s="192">
        <v>11140</v>
      </c>
      <c r="I46" s="3" t="s">
        <v>300</v>
      </c>
      <c r="J46" s="3" t="s">
        <v>301</v>
      </c>
      <c r="K46" s="173">
        <v>255568.62</v>
      </c>
      <c r="L46" s="1">
        <v>286.52</v>
      </c>
      <c r="M46" s="1">
        <v>0</v>
      </c>
      <c r="N46" s="173">
        <v>255855.14</v>
      </c>
      <c r="O46" s="4">
        <f>Tab_09.Set[[#This Row],[DÉBITO]]-Tab_09.Set[[#This Row],[CRÉDITO]]</f>
        <v>286.52</v>
      </c>
    </row>
    <row r="47" spans="2:15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S</v>
      </c>
      <c r="E47" s="2">
        <f>IF($I47="","",COUNTIFS(Tab_00.Trial[CONTA],$I47))</f>
        <v>1</v>
      </c>
      <c r="F47" s="4">
        <f>SUMIFS(Tab_08.Ago[SALDO
ATUAL],Tab_08.Ago[CONTA],$I47)</f>
        <v>71257602.069999993</v>
      </c>
      <c r="G47" s="4">
        <f t="shared" si="2"/>
        <v>0</v>
      </c>
      <c r="H47" s="192">
        <v>11170</v>
      </c>
      <c r="I47" s="3" t="s">
        <v>554</v>
      </c>
      <c r="J47" s="3" t="s">
        <v>648</v>
      </c>
      <c r="K47" s="173">
        <v>71257602.069999993</v>
      </c>
      <c r="L47" s="1">
        <v>61994</v>
      </c>
      <c r="M47" s="1">
        <v>2600</v>
      </c>
      <c r="N47" s="173">
        <v>71316996.069999993</v>
      </c>
      <c r="O47" s="4">
        <f>Tab_09.Set[[#This Row],[DÉBITO]]-Tab_09.Set[[#This Row],[CRÉDITO]]</f>
        <v>59394</v>
      </c>
    </row>
    <row r="48" spans="2:15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S</v>
      </c>
      <c r="E48" s="2">
        <f>IF($I48="","",COUNTIFS(Tab_00.Trial[CONTA],$I48))</f>
        <v>1</v>
      </c>
      <c r="F48" s="4">
        <f>SUMIFS(Tab_08.Ago[SALDO
ATUAL],Tab_08.Ago[CONTA],$I48)</f>
        <v>45344232.229999997</v>
      </c>
      <c r="G48" s="4">
        <f t="shared" si="2"/>
        <v>0</v>
      </c>
      <c r="H48" s="192">
        <v>11185</v>
      </c>
      <c r="I48" s="3" t="s">
        <v>555</v>
      </c>
      <c r="J48" s="3" t="s">
        <v>649</v>
      </c>
      <c r="K48" s="173">
        <v>45344232.229999997</v>
      </c>
      <c r="L48" s="1">
        <v>0</v>
      </c>
      <c r="M48" s="1">
        <v>0</v>
      </c>
      <c r="N48" s="173">
        <v>45344232.229999997</v>
      </c>
      <c r="O48" s="4">
        <f>Tab_09.Set[[#This Row],[DÉBITO]]-Tab_09.Set[[#This Row],[CRÉDITO]]</f>
        <v>0</v>
      </c>
    </row>
    <row r="49" spans="2:15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A</v>
      </c>
      <c r="E49" s="2">
        <f>IF($I49="","",COUNTIFS(Tab_00.Trial[CONTA],$I49))</f>
        <v>1</v>
      </c>
      <c r="F49" s="4">
        <f>SUMIFS(Tab_08.Ago[SALDO
ATUAL],Tab_08.Ago[CONTA],$I49)</f>
        <v>42477392.43</v>
      </c>
      <c r="G49" s="4">
        <f t="shared" si="2"/>
        <v>0</v>
      </c>
      <c r="H49" s="192">
        <v>11205</v>
      </c>
      <c r="I49" s="3" t="s">
        <v>302</v>
      </c>
      <c r="J49" s="3" t="s">
        <v>303</v>
      </c>
      <c r="K49" s="173">
        <v>42477392.43</v>
      </c>
      <c r="L49" s="1">
        <v>0</v>
      </c>
      <c r="M49" s="1">
        <v>0</v>
      </c>
      <c r="N49" s="173">
        <v>42477392.43</v>
      </c>
      <c r="O49" s="4">
        <f>Tab_09.Set[[#This Row],[DÉBITO]]-Tab_09.Set[[#This Row],[CRÉDITO]]</f>
        <v>0</v>
      </c>
    </row>
    <row r="50" spans="2:15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A</v>
      </c>
      <c r="E50" s="2">
        <f>IF($I50="","",COUNTIFS(Tab_00.Trial[CONTA],$I50))</f>
        <v>1</v>
      </c>
      <c r="F50" s="4">
        <f>SUMIFS(Tab_08.Ago[SALDO
ATUAL],Tab_08.Ago[CONTA],$I50)</f>
        <v>2866839.8</v>
      </c>
      <c r="G50" s="4">
        <f t="shared" ref="G50:G81" si="3">$F50-$K50</f>
        <v>0</v>
      </c>
      <c r="H50" s="192">
        <v>11210</v>
      </c>
      <c r="I50" s="3" t="s">
        <v>304</v>
      </c>
      <c r="J50" s="3" t="s">
        <v>305</v>
      </c>
      <c r="K50" s="173">
        <v>2866839.8</v>
      </c>
      <c r="L50" s="173">
        <v>0</v>
      </c>
      <c r="M50" s="1">
        <v>0</v>
      </c>
      <c r="N50" s="173">
        <v>2866839.8</v>
      </c>
      <c r="O50" s="4">
        <f>Tab_09.Set[[#This Row],[DÉBITO]]-Tab_09.Set[[#This Row],[CRÉDITO]]</f>
        <v>0</v>
      </c>
    </row>
    <row r="51" spans="2:15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S</v>
      </c>
      <c r="E51" s="2">
        <f>IF($I51="","",COUNTIFS(Tab_00.Trial[CONTA],$I51))</f>
        <v>1</v>
      </c>
      <c r="F51" s="4">
        <f>SUMIFS(Tab_08.Ago[SALDO
ATUAL],Tab_08.Ago[CONTA],$I51)</f>
        <v>4760.84</v>
      </c>
      <c r="G51" s="4">
        <f t="shared" si="3"/>
        <v>0</v>
      </c>
      <c r="H51" s="192">
        <v>11215</v>
      </c>
      <c r="I51" s="3" t="s">
        <v>556</v>
      </c>
      <c r="J51" s="3" t="s">
        <v>650</v>
      </c>
      <c r="K51" s="173">
        <v>4760.84</v>
      </c>
      <c r="L51" s="173">
        <v>0</v>
      </c>
      <c r="M51" s="1">
        <v>0</v>
      </c>
      <c r="N51" s="173">
        <v>4760.84</v>
      </c>
      <c r="O51" s="4">
        <f>Tab_09.Set[[#This Row],[DÉBITO]]-Tab_09.Set[[#This Row],[CRÉDITO]]</f>
        <v>0</v>
      </c>
    </row>
    <row r="52" spans="2:15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A</v>
      </c>
      <c r="E52" s="2">
        <f>IF($I52="","",COUNTIFS(Tab_00.Trial[CONTA],$I52))</f>
        <v>1</v>
      </c>
      <c r="F52" s="4">
        <f>SUMIFS(Tab_08.Ago[SALDO
ATUAL],Tab_08.Ago[CONTA],$I52)</f>
        <v>4760.84</v>
      </c>
      <c r="G52" s="4">
        <f t="shared" si="3"/>
        <v>0</v>
      </c>
      <c r="H52" s="192">
        <v>11230</v>
      </c>
      <c r="I52" s="3" t="s">
        <v>306</v>
      </c>
      <c r="J52" s="3" t="s">
        <v>307</v>
      </c>
      <c r="K52" s="173">
        <v>4760.84</v>
      </c>
      <c r="L52" s="173">
        <v>0</v>
      </c>
      <c r="M52" s="173">
        <v>0</v>
      </c>
      <c r="N52" s="173">
        <v>4760.84</v>
      </c>
      <c r="O52" s="4">
        <f>Tab_09.Set[[#This Row],[DÉBITO]]-Tab_09.Set[[#This Row],[CRÉDITO]]</f>
        <v>0</v>
      </c>
    </row>
    <row r="53" spans="2:15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S</v>
      </c>
      <c r="E53" s="2">
        <f>IF($I53="","",COUNTIFS(Tab_00.Trial[CONTA],$I53))</f>
        <v>1</v>
      </c>
      <c r="F53" s="4">
        <f>SUMIFS(Tab_08.Ago[SALDO
ATUAL],Tab_08.Ago[CONTA],$I53)</f>
        <v>25908609</v>
      </c>
      <c r="G53" s="4">
        <f t="shared" si="3"/>
        <v>0</v>
      </c>
      <c r="H53" s="192">
        <v>11235</v>
      </c>
      <c r="I53" s="3" t="s">
        <v>557</v>
      </c>
      <c r="J53" s="3" t="s">
        <v>309</v>
      </c>
      <c r="K53" s="173">
        <v>25908609</v>
      </c>
      <c r="L53" s="173">
        <v>61994</v>
      </c>
      <c r="M53" s="1">
        <v>2600</v>
      </c>
      <c r="N53" s="173">
        <v>25968003</v>
      </c>
      <c r="O53" s="4">
        <f>Tab_09.Set[[#This Row],[DÉBITO]]-Tab_09.Set[[#This Row],[CRÉDITO]]</f>
        <v>59394</v>
      </c>
    </row>
    <row r="54" spans="2:15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A</v>
      </c>
      <c r="E54" s="2">
        <f>IF($I54="","",COUNTIFS(Tab_00.Trial[CONTA],$I54))</f>
        <v>1</v>
      </c>
      <c r="F54" s="4">
        <f>SUMIFS(Tab_08.Ago[SALDO
ATUAL],Tab_08.Ago[CONTA],$I54)</f>
        <v>25908609</v>
      </c>
      <c r="G54" s="4">
        <f t="shared" si="3"/>
        <v>0</v>
      </c>
      <c r="H54" s="192">
        <v>11240</v>
      </c>
      <c r="I54" s="3" t="s">
        <v>308</v>
      </c>
      <c r="J54" s="3" t="s">
        <v>309</v>
      </c>
      <c r="K54" s="173">
        <v>25908609</v>
      </c>
      <c r="L54" s="1">
        <v>61994</v>
      </c>
      <c r="M54" s="1">
        <v>2600</v>
      </c>
      <c r="N54" s="173">
        <v>25968003</v>
      </c>
      <c r="O54" s="4">
        <f>Tab_09.Set[[#This Row],[DÉBITO]]-Tab_09.Set[[#This Row],[CRÉDITO]]</f>
        <v>59394</v>
      </c>
    </row>
    <row r="55" spans="2:15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S</v>
      </c>
      <c r="E55" s="2">
        <f>IF($I55="","",COUNTIFS(Tab_00.Trial[CONTA],$I55))</f>
        <v>1</v>
      </c>
      <c r="F55" s="4">
        <f>SUMIFS(Tab_08.Ago[SALDO
ATUAL],Tab_08.Ago[CONTA],$I55)</f>
        <v>2364210.06</v>
      </c>
      <c r="G55" s="4">
        <f t="shared" si="3"/>
        <v>0</v>
      </c>
      <c r="H55" s="192">
        <v>11245</v>
      </c>
      <c r="I55" s="3" t="s">
        <v>213</v>
      </c>
      <c r="J55" s="3" t="s">
        <v>35</v>
      </c>
      <c r="K55" s="173">
        <v>2364210.06</v>
      </c>
      <c r="L55" s="173">
        <v>0</v>
      </c>
      <c r="M55" s="1">
        <v>3666.75</v>
      </c>
      <c r="N55" s="173">
        <v>2360543.31</v>
      </c>
      <c r="O55" s="4">
        <f>Tab_09.Set[[#This Row],[DÉBITO]]-Tab_09.Set[[#This Row],[CRÉDITO]]</f>
        <v>-3666.75</v>
      </c>
    </row>
    <row r="56" spans="2:15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S</v>
      </c>
      <c r="E56" s="2">
        <f>IF($I56="","",COUNTIFS(Tab_00.Trial[CONTA],$I56))</f>
        <v>1</v>
      </c>
      <c r="F56" s="4">
        <f>SUMIFS(Tab_08.Ago[SALDO
ATUAL],Tab_08.Ago[CONTA],$I56)</f>
        <v>3548599.31</v>
      </c>
      <c r="G56" s="4">
        <f t="shared" si="3"/>
        <v>0</v>
      </c>
      <c r="H56" s="192">
        <v>11260</v>
      </c>
      <c r="I56" s="3" t="s">
        <v>214</v>
      </c>
      <c r="J56" s="3" t="s">
        <v>651</v>
      </c>
      <c r="K56" s="173">
        <v>3548599.31</v>
      </c>
      <c r="L56" s="1">
        <v>0</v>
      </c>
      <c r="M56" s="1">
        <v>0</v>
      </c>
      <c r="N56" s="173">
        <v>3548599.31</v>
      </c>
      <c r="O56" s="4">
        <f>Tab_09.Set[[#This Row],[DÉBITO]]-Tab_09.Set[[#This Row],[CRÉDITO]]</f>
        <v>0</v>
      </c>
    </row>
    <row r="57" spans="2:15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A</v>
      </c>
      <c r="E57" s="2">
        <f>IF($I57="","",COUNTIFS(Tab_00.Trial[CONTA],$I57))</f>
        <v>1</v>
      </c>
      <c r="F57" s="4">
        <f>SUMIFS(Tab_08.Ago[SALDO
ATUAL],Tab_08.Ago[CONTA],$I57)</f>
        <v>1379260.84</v>
      </c>
      <c r="G57" s="4">
        <f t="shared" si="3"/>
        <v>0</v>
      </c>
      <c r="H57" s="192">
        <v>11275</v>
      </c>
      <c r="I57" s="3" t="s">
        <v>310</v>
      </c>
      <c r="J57" s="3" t="s">
        <v>311</v>
      </c>
      <c r="K57" s="173">
        <v>1379260.84</v>
      </c>
      <c r="L57" s="1">
        <v>0</v>
      </c>
      <c r="M57" s="1">
        <v>0</v>
      </c>
      <c r="N57" s="173">
        <v>1379260.84</v>
      </c>
      <c r="O57" s="4">
        <f>Tab_09.Set[[#This Row],[DÉBITO]]-Tab_09.Set[[#This Row],[CRÉDITO]]</f>
        <v>0</v>
      </c>
    </row>
    <row r="58" spans="2:15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A</v>
      </c>
      <c r="E58" s="2">
        <f>IF($I58="","",COUNTIFS(Tab_00.Trial[CONTA],$I58))</f>
        <v>1</v>
      </c>
      <c r="F58" s="4">
        <f>SUMIFS(Tab_08.Ago[SALDO
ATUAL],Tab_08.Ago[CONTA],$I58)</f>
        <v>1293371.25</v>
      </c>
      <c r="G58" s="4">
        <f t="shared" si="3"/>
        <v>0</v>
      </c>
      <c r="H58" s="192">
        <v>11290</v>
      </c>
      <c r="I58" s="3" t="s">
        <v>312</v>
      </c>
      <c r="J58" s="3" t="s">
        <v>313</v>
      </c>
      <c r="K58" s="173">
        <v>1293371.25</v>
      </c>
      <c r="L58" s="173">
        <v>0</v>
      </c>
      <c r="M58" s="1">
        <v>0</v>
      </c>
      <c r="N58" s="173">
        <v>1293371.25</v>
      </c>
      <c r="O58" s="4">
        <f>Tab_09.Set[[#This Row],[DÉBITO]]-Tab_09.Set[[#This Row],[CRÉDITO]]</f>
        <v>0</v>
      </c>
    </row>
    <row r="59" spans="2:15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A</v>
      </c>
      <c r="E59" s="2">
        <f>IF($I59="","",COUNTIFS(Tab_00.Trial[CONTA],$I59))</f>
        <v>1</v>
      </c>
      <c r="F59" s="4">
        <f>SUMIFS(Tab_08.Ago[SALDO
ATUAL],Tab_08.Ago[CONTA],$I59)</f>
        <v>23000</v>
      </c>
      <c r="G59" s="4">
        <f t="shared" si="3"/>
        <v>0</v>
      </c>
      <c r="H59" s="192">
        <v>11320</v>
      </c>
      <c r="I59" s="3" t="s">
        <v>181</v>
      </c>
      <c r="J59" s="3" t="s">
        <v>314</v>
      </c>
      <c r="K59" s="173">
        <v>23000</v>
      </c>
      <c r="L59" s="1">
        <v>0</v>
      </c>
      <c r="M59" s="1">
        <v>0</v>
      </c>
      <c r="N59" s="173">
        <v>23000</v>
      </c>
      <c r="O59" s="4">
        <f>Tab_09.Set[[#This Row],[DÉBITO]]-Tab_09.Set[[#This Row],[CRÉDITO]]</f>
        <v>0</v>
      </c>
    </row>
    <row r="60" spans="2:15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A</v>
      </c>
      <c r="E60" s="2">
        <f>IF($I60="","",COUNTIFS(Tab_00.Trial[CONTA],$I60))</f>
        <v>1</v>
      </c>
      <c r="F60" s="4">
        <f>SUMIFS(Tab_08.Ago[SALDO
ATUAL],Tab_08.Ago[CONTA],$I60)</f>
        <v>12594</v>
      </c>
      <c r="G60" s="4">
        <f t="shared" si="3"/>
        <v>0</v>
      </c>
      <c r="H60" s="192">
        <v>11335</v>
      </c>
      <c r="I60" s="3" t="s">
        <v>182</v>
      </c>
      <c r="J60" s="3" t="s">
        <v>315</v>
      </c>
      <c r="K60" s="173">
        <v>12594</v>
      </c>
      <c r="L60" s="1">
        <v>0</v>
      </c>
      <c r="M60" s="1">
        <v>0</v>
      </c>
      <c r="N60" s="173">
        <v>12594</v>
      </c>
      <c r="O60" s="4">
        <f>Tab_09.Set[[#This Row],[DÉBITO]]-Tab_09.Set[[#This Row],[CRÉDITO]]</f>
        <v>0</v>
      </c>
    </row>
    <row r="61" spans="2:15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SUMIFS(Tab_08.Ago[SALDO
ATUAL],Tab_08.Ago[CONTA],$I61)</f>
        <v>224642.85</v>
      </c>
      <c r="G61" s="4">
        <f t="shared" si="3"/>
        <v>0</v>
      </c>
      <c r="H61" s="192">
        <v>11350</v>
      </c>
      <c r="I61" s="3" t="s">
        <v>183</v>
      </c>
      <c r="J61" s="3" t="s">
        <v>316</v>
      </c>
      <c r="K61" s="173">
        <v>224642.85</v>
      </c>
      <c r="L61" s="1">
        <v>0</v>
      </c>
      <c r="M61" s="1">
        <v>0</v>
      </c>
      <c r="N61" s="173">
        <v>224642.85</v>
      </c>
      <c r="O61" s="4">
        <f>Tab_09.Set[[#This Row],[DÉBITO]]-Tab_09.Set[[#This Row],[CRÉDITO]]</f>
        <v>0</v>
      </c>
    </row>
    <row r="62" spans="2:15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SUMIFS(Tab_08.Ago[SALDO
ATUAL],Tab_08.Ago[CONTA],$I62)</f>
        <v>7349.9</v>
      </c>
      <c r="G62" s="4">
        <f t="shared" si="3"/>
        <v>0</v>
      </c>
      <c r="H62" s="192">
        <v>11365</v>
      </c>
      <c r="I62" s="3" t="s">
        <v>317</v>
      </c>
      <c r="J62" s="3" t="s">
        <v>318</v>
      </c>
      <c r="K62" s="173">
        <v>7349.9</v>
      </c>
      <c r="L62" s="1">
        <v>0</v>
      </c>
      <c r="M62" s="1">
        <v>0</v>
      </c>
      <c r="N62" s="173">
        <v>7349.9</v>
      </c>
      <c r="O62" s="4">
        <f>Tab_09.Set[[#This Row],[DÉBITO]]-Tab_09.Set[[#This Row],[CRÉDITO]]</f>
        <v>0</v>
      </c>
    </row>
    <row r="63" spans="2:15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A</v>
      </c>
      <c r="E63" s="2">
        <f>IF($I63="","",COUNTIFS(Tab_00.Trial[CONTA],$I63))</f>
        <v>1</v>
      </c>
      <c r="F63" s="4">
        <f>SUMIFS(Tab_08.Ago[SALDO
ATUAL],Tab_08.Ago[CONTA],$I63)</f>
        <v>128697.03</v>
      </c>
      <c r="G63" s="4">
        <f t="shared" si="3"/>
        <v>0</v>
      </c>
      <c r="H63" s="192">
        <v>11380</v>
      </c>
      <c r="I63" s="3" t="s">
        <v>184</v>
      </c>
      <c r="J63" s="3" t="s">
        <v>319</v>
      </c>
      <c r="K63" s="173">
        <v>128697.03</v>
      </c>
      <c r="L63" s="1">
        <v>0</v>
      </c>
      <c r="M63" s="173">
        <v>0</v>
      </c>
      <c r="N63" s="173">
        <v>128697.03</v>
      </c>
      <c r="O63" s="4">
        <f>Tab_09.Set[[#This Row],[DÉBITO]]-Tab_09.Set[[#This Row],[CRÉDITO]]</f>
        <v>0</v>
      </c>
    </row>
    <row r="64" spans="2:15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A</v>
      </c>
      <c r="E64" s="2">
        <f>IF($I64="","",COUNTIFS(Tab_00.Trial[CONTA],$I64))</f>
        <v>1</v>
      </c>
      <c r="F64" s="4">
        <f>SUMIFS(Tab_08.Ago[SALDO
ATUAL],Tab_08.Ago[CONTA],$I64)</f>
        <v>15029.74</v>
      </c>
      <c r="G64" s="4">
        <f t="shared" si="3"/>
        <v>0</v>
      </c>
      <c r="H64" s="192">
        <v>11410</v>
      </c>
      <c r="I64" s="3" t="s">
        <v>185</v>
      </c>
      <c r="J64" s="3" t="s">
        <v>320</v>
      </c>
      <c r="K64" s="173">
        <v>15029.74</v>
      </c>
      <c r="L64" s="1">
        <v>0</v>
      </c>
      <c r="M64" s="173">
        <v>0</v>
      </c>
      <c r="N64" s="173">
        <v>15029.74</v>
      </c>
      <c r="O64" s="4">
        <f>Tab_09.Set[[#This Row],[DÉBITO]]-Tab_09.Set[[#This Row],[CRÉDITO]]</f>
        <v>0</v>
      </c>
    </row>
    <row r="65" spans="2:15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SUMIFS(Tab_08.Ago[SALDO
ATUAL],Tab_08.Ago[CONTA],$I65)</f>
        <v>464653.7</v>
      </c>
      <c r="G65" s="4">
        <f t="shared" si="3"/>
        <v>0</v>
      </c>
      <c r="H65" s="192">
        <v>11415</v>
      </c>
      <c r="I65" s="3" t="s">
        <v>321</v>
      </c>
      <c r="J65" s="3" t="s">
        <v>322</v>
      </c>
      <c r="K65" s="173">
        <v>464653.7</v>
      </c>
      <c r="L65" s="1">
        <v>0</v>
      </c>
      <c r="M65" s="1">
        <v>0</v>
      </c>
      <c r="N65" s="173">
        <v>464653.7</v>
      </c>
      <c r="O65" s="4">
        <f>Tab_09.Set[[#This Row],[DÉBITO]]-Tab_09.Set[[#This Row],[CRÉDITO]]</f>
        <v>0</v>
      </c>
    </row>
    <row r="66" spans="2:15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S</v>
      </c>
      <c r="E66" s="2">
        <f>IF($I66="","",COUNTIFS(Tab_00.Trial[CONTA],$I66))</f>
        <v>1</v>
      </c>
      <c r="F66" s="4">
        <f>SUMIFS(Tab_08.Ago[SALDO
ATUAL],Tab_08.Ago[CONTA],$I66)</f>
        <v>-1184389.25</v>
      </c>
      <c r="G66" s="4">
        <f t="shared" si="3"/>
        <v>0</v>
      </c>
      <c r="H66" s="192">
        <v>11425</v>
      </c>
      <c r="I66" s="3" t="s">
        <v>215</v>
      </c>
      <c r="J66" s="3" t="s">
        <v>652</v>
      </c>
      <c r="K66" s="173">
        <v>-1184389.25</v>
      </c>
      <c r="L66" s="1">
        <v>0</v>
      </c>
      <c r="M66" s="1">
        <v>3666.75</v>
      </c>
      <c r="N66" s="173">
        <v>-1188056</v>
      </c>
      <c r="O66" s="4">
        <f>Tab_09.Set[[#This Row],[DÉBITO]]-Tab_09.Set[[#This Row],[CRÉDITO]]</f>
        <v>-3666.75</v>
      </c>
    </row>
    <row r="67" spans="2:15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SUMIFS(Tab_08.Ago[SALDO
ATUAL],Tab_08.Ago[CONTA],$I67)</f>
        <v>-667864.55000000005</v>
      </c>
      <c r="G67" s="4">
        <f t="shared" si="3"/>
        <v>0</v>
      </c>
      <c r="H67" s="192">
        <v>11440</v>
      </c>
      <c r="I67" s="3" t="s">
        <v>186</v>
      </c>
      <c r="J67" s="3" t="s">
        <v>313</v>
      </c>
      <c r="K67" s="173">
        <v>-667864.55000000005</v>
      </c>
      <c r="L67" s="1">
        <v>0</v>
      </c>
      <c r="M67" s="173">
        <v>2997.93</v>
      </c>
      <c r="N67" s="173">
        <v>-670862.48</v>
      </c>
      <c r="O67" s="4">
        <f>Tab_09.Set[[#This Row],[DÉBITO]]-Tab_09.Set[[#This Row],[CRÉDITO]]</f>
        <v>-2997.93</v>
      </c>
    </row>
    <row r="68" spans="2:15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A</v>
      </c>
      <c r="E68" s="2">
        <f>IF($I68="","",COUNTIFS(Tab_00.Trial[CONTA],$I68))</f>
        <v>1</v>
      </c>
      <c r="F68" s="4">
        <f>SUMIFS(Tab_08.Ago[SALDO
ATUAL],Tab_08.Ago[CONTA],$I68)</f>
        <v>-21398.22</v>
      </c>
      <c r="G68" s="4">
        <f t="shared" si="3"/>
        <v>0</v>
      </c>
      <c r="H68" s="192">
        <v>11470</v>
      </c>
      <c r="I68" s="3" t="s">
        <v>187</v>
      </c>
      <c r="J68" s="3" t="s">
        <v>314</v>
      </c>
      <c r="K68" s="173">
        <v>-21398.22</v>
      </c>
      <c r="L68" s="1">
        <v>0</v>
      </c>
      <c r="M68" s="1">
        <v>191.67</v>
      </c>
      <c r="N68" s="173">
        <v>-21589.89</v>
      </c>
      <c r="O68" s="4">
        <f>Tab_09.Set[[#This Row],[DÉBITO]]-Tab_09.Set[[#This Row],[CRÉDITO]]</f>
        <v>-191.67</v>
      </c>
    </row>
    <row r="69" spans="2:15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SUMIFS(Tab_08.Ago[SALDO
ATUAL],Tab_08.Ago[CONTA],$I69)</f>
        <v>-6893.71</v>
      </c>
      <c r="G69" s="4">
        <f t="shared" si="3"/>
        <v>0</v>
      </c>
      <c r="H69" s="192">
        <v>11485</v>
      </c>
      <c r="I69" s="3" t="s">
        <v>188</v>
      </c>
      <c r="J69" s="3" t="s">
        <v>315</v>
      </c>
      <c r="K69" s="173">
        <v>-6893.71</v>
      </c>
      <c r="L69" s="1">
        <v>0</v>
      </c>
      <c r="M69" s="173">
        <v>104.95</v>
      </c>
      <c r="N69" s="173">
        <v>-6998.66</v>
      </c>
      <c r="O69" s="4">
        <f>Tab_09.Set[[#This Row],[DÉBITO]]-Tab_09.Set[[#This Row],[CRÉDITO]]</f>
        <v>-104.95</v>
      </c>
    </row>
    <row r="70" spans="2:15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SUMIFS(Tab_08.Ago[SALDO
ATUAL],Tab_08.Ago[CONTA],$I70)</f>
        <v>-224642.85</v>
      </c>
      <c r="G70" s="4">
        <f t="shared" si="3"/>
        <v>0</v>
      </c>
      <c r="H70" s="192">
        <v>11500</v>
      </c>
      <c r="I70" s="3" t="s">
        <v>189</v>
      </c>
      <c r="J70" s="3" t="s">
        <v>316</v>
      </c>
      <c r="K70" s="173">
        <v>-224642.85</v>
      </c>
      <c r="L70" s="1">
        <v>0</v>
      </c>
      <c r="M70" s="1">
        <v>0</v>
      </c>
      <c r="N70" s="173">
        <v>-224642.85</v>
      </c>
      <c r="O70" s="4">
        <f>Tab_09.Set[[#This Row],[DÉBITO]]-Tab_09.Set[[#This Row],[CRÉDITO]]</f>
        <v>0</v>
      </c>
    </row>
    <row r="71" spans="2:15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SUMIFS(Tab_08.Ago[SALDO
ATUAL],Tab_08.Ago[CONTA],$I71)</f>
        <v>-4431.4399999999996</v>
      </c>
      <c r="G71" s="4">
        <f t="shared" si="3"/>
        <v>0</v>
      </c>
      <c r="H71" s="192">
        <v>11515</v>
      </c>
      <c r="I71" s="3" t="s">
        <v>190</v>
      </c>
      <c r="J71" s="3" t="s">
        <v>318</v>
      </c>
      <c r="K71" s="173">
        <v>-4431.4399999999996</v>
      </c>
      <c r="L71" s="1">
        <v>0</v>
      </c>
      <c r="M71" s="1">
        <v>122.2</v>
      </c>
      <c r="N71" s="173">
        <v>-4553.6400000000003</v>
      </c>
      <c r="O71" s="4">
        <f>Tab_09.Set[[#This Row],[DÉBITO]]-Tab_09.Set[[#This Row],[CRÉDITO]]</f>
        <v>-122.2</v>
      </c>
    </row>
    <row r="72" spans="2:15" x14ac:dyDescent="0.3">
      <c r="B72" s="2" t="str">
        <f>_xlfn.XLOOKUP($I72,Tab_00.Trial[CONTA],Tab_00.Trial[TP],"",0,1)</f>
        <v>A</v>
      </c>
      <c r="C72" s="2">
        <f>_xlfn.XLOOKUP($I72,Tab_00.Trial[CONTA],Tab_00.Trial[NV],"",0,1)</f>
        <v>5</v>
      </c>
      <c r="D72" s="2" t="str">
        <f>_xlfn.XLOOKUP($I72,Tab_00.Trial[CONTA],Tab_00.Trial[S/A],"",0,1)</f>
        <v>A</v>
      </c>
      <c r="E72" s="2">
        <f>IF($I72="","",COUNTIFS(Tab_00.Trial[CONTA],$I72))</f>
        <v>1</v>
      </c>
      <c r="F72" s="4">
        <f>SUMIFS(Tab_08.Ago[SALDO
ATUAL],Tab_08.Ago[CONTA],$I72)</f>
        <v>-128697.03</v>
      </c>
      <c r="G72" s="4">
        <f t="shared" si="3"/>
        <v>0</v>
      </c>
      <c r="H72" s="192">
        <v>11530</v>
      </c>
      <c r="I72" s="3" t="s">
        <v>323</v>
      </c>
      <c r="J72" s="3" t="s">
        <v>319</v>
      </c>
      <c r="K72" s="173">
        <v>-128697.03</v>
      </c>
      <c r="L72" s="173">
        <v>0</v>
      </c>
      <c r="M72" s="173">
        <v>0</v>
      </c>
      <c r="N72" s="173">
        <v>-128697.03</v>
      </c>
      <c r="O72" s="4">
        <f>Tab_09.Set[[#This Row],[DÉBITO]]-Tab_09.Set[[#This Row],[CRÉDITO]]</f>
        <v>0</v>
      </c>
    </row>
    <row r="73" spans="2:15" x14ac:dyDescent="0.3">
      <c r="B73" s="2" t="str">
        <f>_xlfn.XLOOKUP($I73,Tab_00.Trial[CONTA],Tab_00.Trial[TP],"",0,1)</f>
        <v>A</v>
      </c>
      <c r="C73" s="2">
        <f>_xlfn.XLOOKUP($I73,Tab_00.Trial[CONTA],Tab_00.Trial[NV],"",0,1)</f>
        <v>5</v>
      </c>
      <c r="D73" s="2" t="str">
        <f>_xlfn.XLOOKUP($I73,Tab_00.Trial[CONTA],Tab_00.Trial[S/A],"",0,1)</f>
        <v>A</v>
      </c>
      <c r="E73" s="2">
        <f>IF($I73="","",COUNTIFS(Tab_00.Trial[CONTA],$I73))</f>
        <v>1</v>
      </c>
      <c r="F73" s="4">
        <f>SUMIFS(Tab_08.Ago[SALDO
ATUAL],Tab_08.Ago[CONTA],$I73)</f>
        <v>-15029.74</v>
      </c>
      <c r="G73" s="4">
        <f t="shared" si="3"/>
        <v>0</v>
      </c>
      <c r="H73" s="192">
        <v>11560</v>
      </c>
      <c r="I73" s="3" t="s">
        <v>324</v>
      </c>
      <c r="J73" s="3" t="s">
        <v>320</v>
      </c>
      <c r="K73" s="173">
        <v>-15029.74</v>
      </c>
      <c r="L73" s="173">
        <v>0</v>
      </c>
      <c r="M73" s="173">
        <v>0</v>
      </c>
      <c r="N73" s="173">
        <v>-15029.74</v>
      </c>
      <c r="O73" s="4">
        <f>Tab_09.Set[[#This Row],[DÉBITO]]-Tab_09.Set[[#This Row],[CRÉDITO]]</f>
        <v>0</v>
      </c>
    </row>
    <row r="74" spans="2:15" x14ac:dyDescent="0.3">
      <c r="B74" s="2" t="str">
        <f>_xlfn.XLOOKUP($I74,Tab_00.Trial[CONTA],Tab_00.Trial[TP],"",0,1)</f>
        <v>A</v>
      </c>
      <c r="C74" s="2">
        <f>_xlfn.XLOOKUP($I74,Tab_00.Trial[CONTA],Tab_00.Trial[NV],"",0,1)</f>
        <v>5</v>
      </c>
      <c r="D74" s="2" t="str">
        <f>_xlfn.XLOOKUP($I74,Tab_00.Trial[CONTA],Tab_00.Trial[S/A],"",0,1)</f>
        <v>A</v>
      </c>
      <c r="E74" s="2">
        <f>IF($I74="","",COUNTIFS(Tab_00.Trial[CONTA],$I74))</f>
        <v>1</v>
      </c>
      <c r="F74" s="4">
        <f>SUMIFS(Tab_08.Ago[SALDO
ATUAL],Tab_08.Ago[CONTA],$I74)</f>
        <v>-115431.71</v>
      </c>
      <c r="G74" s="4">
        <f t="shared" si="3"/>
        <v>0</v>
      </c>
      <c r="H74" s="192">
        <v>11565</v>
      </c>
      <c r="I74" s="3" t="s">
        <v>325</v>
      </c>
      <c r="J74" s="3" t="s">
        <v>322</v>
      </c>
      <c r="K74" s="173">
        <v>-115431.71</v>
      </c>
      <c r="L74" s="173">
        <v>0</v>
      </c>
      <c r="M74" s="173">
        <v>250</v>
      </c>
      <c r="N74" s="173">
        <v>-115681.71</v>
      </c>
      <c r="O74" s="4">
        <f>Tab_09.Set[[#This Row],[DÉBITO]]-Tab_09.Set[[#This Row],[CRÉDITO]]</f>
        <v>-250</v>
      </c>
    </row>
    <row r="75" spans="2:15" x14ac:dyDescent="0.3">
      <c r="B75" s="2" t="str">
        <f>_xlfn.XLOOKUP($I75,Tab_00.Trial[CONTA],Tab_00.Trial[TP],"",0,1)</f>
        <v>P</v>
      </c>
      <c r="C75" s="2">
        <f>_xlfn.XLOOKUP($I75,Tab_00.Trial[CONTA],Tab_00.Trial[NV],"",0,1)</f>
        <v>1</v>
      </c>
      <c r="D75" s="2" t="str">
        <f>_xlfn.XLOOKUP($I75,Tab_00.Trial[CONTA],Tab_00.Trial[S/A],"",0,1)</f>
        <v>S</v>
      </c>
      <c r="E75" s="2">
        <f>IF($I75="","",COUNTIFS(Tab_00.Trial[CONTA],$I75))</f>
        <v>1</v>
      </c>
      <c r="F75" s="4">
        <f>SUMIFS(Tab_08.Ago[SALDO
ATUAL],Tab_08.Ago[CONTA],$I75)</f>
        <v>-83640031.019999996</v>
      </c>
      <c r="G75" s="4">
        <f t="shared" si="3"/>
        <v>0</v>
      </c>
      <c r="H75" s="192">
        <v>20000</v>
      </c>
      <c r="I75" s="3">
        <v>2</v>
      </c>
      <c r="J75" s="3" t="s">
        <v>653</v>
      </c>
      <c r="K75" s="1">
        <v>-83640031.019999996</v>
      </c>
      <c r="L75" s="173">
        <v>649591.49</v>
      </c>
      <c r="M75" s="173">
        <v>586886.37</v>
      </c>
      <c r="N75" s="1">
        <v>-83577325.900000006</v>
      </c>
      <c r="O75" s="4">
        <f>Tab_09.Set[[#This Row],[DÉBITO]]-Tab_09.Set[[#This Row],[CRÉDITO]]</f>
        <v>62705.120000000003</v>
      </c>
    </row>
    <row r="76" spans="2:15" x14ac:dyDescent="0.3">
      <c r="B76" s="2" t="str">
        <f>_xlfn.XLOOKUP($I76,Tab_00.Trial[CONTA],Tab_00.Trial[TP],"",0,1)</f>
        <v>P</v>
      </c>
      <c r="C76" s="2">
        <f>_xlfn.XLOOKUP($I76,Tab_00.Trial[CONTA],Tab_00.Trial[NV],"",0,1)</f>
        <v>2</v>
      </c>
      <c r="D76" s="2" t="str">
        <f>_xlfn.XLOOKUP($I76,Tab_00.Trial[CONTA],Tab_00.Trial[S/A],"",0,1)</f>
        <v>S</v>
      </c>
      <c r="E76" s="2">
        <f>IF($I76="","",COUNTIFS(Tab_00.Trial[CONTA],$I76))</f>
        <v>1</v>
      </c>
      <c r="F76" s="4">
        <f>SUMIFS(Tab_08.Ago[SALDO
ATUAL],Tab_08.Ago[CONTA],$I76)</f>
        <v>-1505129.25</v>
      </c>
      <c r="G76" s="4">
        <f t="shared" si="3"/>
        <v>0</v>
      </c>
      <c r="H76" s="192">
        <v>20015</v>
      </c>
      <c r="I76" s="3" t="s">
        <v>216</v>
      </c>
      <c r="J76" s="3" t="s">
        <v>31</v>
      </c>
      <c r="K76" s="1">
        <v>-1505129.25</v>
      </c>
      <c r="L76" s="173">
        <v>649591.49</v>
      </c>
      <c r="M76" s="173">
        <v>586886.37</v>
      </c>
      <c r="N76" s="1">
        <v>-1442424.13</v>
      </c>
      <c r="O76" s="4">
        <f>Tab_09.Set[[#This Row],[DÉBITO]]-Tab_09.Set[[#This Row],[CRÉDITO]]</f>
        <v>62705.120000000003</v>
      </c>
    </row>
    <row r="77" spans="2:15" x14ac:dyDescent="0.3">
      <c r="B77" s="2" t="str">
        <f>_xlfn.XLOOKUP($I77,Tab_00.Trial[CONTA],Tab_00.Trial[TP],"",0,1)</f>
        <v>P</v>
      </c>
      <c r="C77" s="2">
        <f>_xlfn.XLOOKUP($I77,Tab_00.Trial[CONTA],Tab_00.Trial[NV],"",0,1)</f>
        <v>5</v>
      </c>
      <c r="D77" s="2" t="str">
        <f>_xlfn.XLOOKUP($I77,Tab_00.Trial[CONTA],Tab_00.Trial[S/A],"",0,1)</f>
        <v>S</v>
      </c>
      <c r="E77" s="2">
        <f>IF($I77="","",COUNTIFS(Tab_00.Trial[CONTA],$I77))</f>
        <v>1</v>
      </c>
      <c r="F77" s="4">
        <f>SUMIFS(Tab_08.Ago[SALDO
ATUAL],Tab_08.Ago[CONTA],$I77)</f>
        <v>-363978.86</v>
      </c>
      <c r="G77" s="4">
        <f t="shared" si="3"/>
        <v>0</v>
      </c>
      <c r="H77" s="192">
        <v>20030</v>
      </c>
      <c r="I77" s="3" t="s">
        <v>558</v>
      </c>
      <c r="J77" s="3" t="s">
        <v>654</v>
      </c>
      <c r="K77" s="1">
        <v>-363978.86</v>
      </c>
      <c r="L77" s="173">
        <v>173822.74</v>
      </c>
      <c r="M77" s="173">
        <v>161450.46</v>
      </c>
      <c r="N77" s="1">
        <v>-351606.58</v>
      </c>
      <c r="O77" s="4">
        <f>Tab_09.Set[[#This Row],[DÉBITO]]-Tab_09.Set[[#This Row],[CRÉDITO]]</f>
        <v>12372.28</v>
      </c>
    </row>
    <row r="78" spans="2:15" x14ac:dyDescent="0.3">
      <c r="B78" s="2" t="str">
        <f>_xlfn.XLOOKUP($I78,Tab_00.Trial[CONTA],Tab_00.Trial[TP],"",0,1)</f>
        <v>P</v>
      </c>
      <c r="C78" s="2">
        <f>_xlfn.XLOOKUP($I78,Tab_00.Trial[CONTA],Tab_00.Trial[NV],"",0,1)</f>
        <v>5</v>
      </c>
      <c r="D78" s="2" t="str">
        <f>_xlfn.XLOOKUP($I78,Tab_00.Trial[CONTA],Tab_00.Trial[S/A],"",0,1)</f>
        <v>S</v>
      </c>
      <c r="E78" s="2">
        <f>IF($I78="","",COUNTIFS(Tab_00.Trial[CONTA],$I78))</f>
        <v>1</v>
      </c>
      <c r="F78" s="4">
        <f>SUMIFS(Tab_08.Ago[SALDO
ATUAL],Tab_08.Ago[CONTA],$I78)</f>
        <v>0</v>
      </c>
      <c r="G78" s="4">
        <f t="shared" si="3"/>
        <v>0</v>
      </c>
      <c r="H78" s="192">
        <v>20045</v>
      </c>
      <c r="I78" s="3" t="s">
        <v>559</v>
      </c>
      <c r="J78" s="3" t="s">
        <v>655</v>
      </c>
      <c r="K78" s="173">
        <v>0</v>
      </c>
      <c r="L78" s="1">
        <v>81200.479999999996</v>
      </c>
      <c r="M78" s="173">
        <v>81200.479999999996</v>
      </c>
      <c r="N78" s="173">
        <v>0</v>
      </c>
      <c r="O78" s="4">
        <f>Tab_09.Set[[#This Row],[DÉBITO]]-Tab_09.Set[[#This Row],[CRÉDITO]]</f>
        <v>0</v>
      </c>
    </row>
    <row r="79" spans="2:15" x14ac:dyDescent="0.3">
      <c r="B79" s="2" t="str">
        <f>_xlfn.XLOOKUP($I79,Tab_00.Trial[CONTA],Tab_00.Trial[TP],"",0,1)</f>
        <v>P</v>
      </c>
      <c r="C79" s="2">
        <f>_xlfn.XLOOKUP($I79,Tab_00.Trial[CONTA],Tab_00.Trial[NV],"",0,1)</f>
        <v>5</v>
      </c>
      <c r="D79" s="2" t="str">
        <f>_xlfn.XLOOKUP($I79,Tab_00.Trial[CONTA],Tab_00.Trial[S/A],"",0,1)</f>
        <v>A</v>
      </c>
      <c r="E79" s="2">
        <f>IF($I79="","",COUNTIFS(Tab_00.Trial[CONTA],$I79))</f>
        <v>1</v>
      </c>
      <c r="F79" s="4">
        <f>SUMIFS(Tab_08.Ago[SALDO
ATUAL],Tab_08.Ago[CONTA],$I79)</f>
        <v>0</v>
      </c>
      <c r="G79" s="4">
        <f t="shared" si="3"/>
        <v>0</v>
      </c>
      <c r="H79" s="192">
        <v>20060</v>
      </c>
      <c r="I79" s="3" t="s">
        <v>326</v>
      </c>
      <c r="J79" s="3" t="s">
        <v>327</v>
      </c>
      <c r="K79" s="173">
        <v>0</v>
      </c>
      <c r="L79" s="1">
        <v>78068.479999999996</v>
      </c>
      <c r="M79" s="173">
        <v>78068.479999999996</v>
      </c>
      <c r="N79" s="173">
        <v>0</v>
      </c>
      <c r="O79" s="4">
        <f>Tab_09.Set[[#This Row],[DÉBITO]]-Tab_09.Set[[#This Row],[CRÉDITO]]</f>
        <v>0</v>
      </c>
    </row>
    <row r="80" spans="2:15" x14ac:dyDescent="0.3">
      <c r="B80" s="2" t="str">
        <f>_xlfn.XLOOKUP($I80,Tab_00.Trial[CONTA],Tab_00.Trial[TP],"",0,1)</f>
        <v>P</v>
      </c>
      <c r="C80" s="2">
        <f>_xlfn.XLOOKUP($I80,Tab_00.Trial[CONTA],Tab_00.Trial[NV],"",0,1)</f>
        <v>5</v>
      </c>
      <c r="D80" s="2" t="str">
        <f>_xlfn.XLOOKUP($I80,Tab_00.Trial[CONTA],Tab_00.Trial[S/A],"",0,1)</f>
        <v>A</v>
      </c>
      <c r="E80" s="2">
        <f>IF($I80="","",COUNTIFS(Tab_00.Trial[CONTA],$I80))</f>
        <v>1</v>
      </c>
      <c r="F80" s="4">
        <f>SUMIFS(Tab_08.Ago[SALDO
ATUAL],Tab_08.Ago[CONTA],$I80)</f>
        <v>0</v>
      </c>
      <c r="G80" s="4">
        <f t="shared" si="3"/>
        <v>0</v>
      </c>
      <c r="H80" s="192">
        <v>20105</v>
      </c>
      <c r="I80" s="3" t="s">
        <v>330</v>
      </c>
      <c r="J80" s="3" t="s">
        <v>331</v>
      </c>
      <c r="K80" s="173">
        <v>0</v>
      </c>
      <c r="L80" s="1">
        <v>3132</v>
      </c>
      <c r="M80" s="173">
        <v>3132</v>
      </c>
      <c r="N80" s="173">
        <v>0</v>
      </c>
      <c r="O80" s="4">
        <f>Tab_09.Set[[#This Row],[DÉBITO]]-Tab_09.Set[[#This Row],[CRÉDITO]]</f>
        <v>0</v>
      </c>
    </row>
    <row r="81" spans="2:15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S</v>
      </c>
      <c r="E81" s="2">
        <f>IF($I81="","",COUNTIFS(Tab_00.Trial[CONTA],$I81))</f>
        <v>1</v>
      </c>
      <c r="F81" s="4">
        <f>SUMIFS(Tab_08.Ago[SALDO
ATUAL],Tab_08.Ago[CONTA],$I81)</f>
        <v>-90283.63</v>
      </c>
      <c r="G81" s="4">
        <f t="shared" si="3"/>
        <v>0</v>
      </c>
      <c r="H81" s="192">
        <v>20120</v>
      </c>
      <c r="I81" s="3" t="s">
        <v>560</v>
      </c>
      <c r="J81" s="3" t="s">
        <v>656</v>
      </c>
      <c r="K81" s="173">
        <v>-90283.63</v>
      </c>
      <c r="L81" s="1">
        <v>1007.59</v>
      </c>
      <c r="M81" s="173">
        <v>14343.28</v>
      </c>
      <c r="N81" s="173">
        <v>-103619.32</v>
      </c>
      <c r="O81" s="4">
        <f>Tab_09.Set[[#This Row],[DÉBITO]]-Tab_09.Set[[#This Row],[CRÉDITO]]</f>
        <v>-13335.69</v>
      </c>
    </row>
    <row r="82" spans="2:15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A</v>
      </c>
      <c r="E82" s="2">
        <f>IF($I82="","",COUNTIFS(Tab_00.Trial[CONTA],$I82))</f>
        <v>1</v>
      </c>
      <c r="F82" s="4">
        <f>SUMIFS(Tab_08.Ago[SALDO
ATUAL],Tab_08.Ago[CONTA],$I82)</f>
        <v>-66073.52</v>
      </c>
      <c r="G82" s="4">
        <f t="shared" ref="G82:G113" si="4">$F82-$K82</f>
        <v>0</v>
      </c>
      <c r="H82" s="192">
        <v>20135</v>
      </c>
      <c r="I82" s="3" t="s">
        <v>332</v>
      </c>
      <c r="J82" s="3" t="s">
        <v>333</v>
      </c>
      <c r="K82" s="173">
        <v>-66073.52</v>
      </c>
      <c r="L82" s="173">
        <v>742.69</v>
      </c>
      <c r="M82" s="173">
        <v>10839.36</v>
      </c>
      <c r="N82" s="173">
        <v>-76170.19</v>
      </c>
      <c r="O82" s="4">
        <f>Tab_09.Set[[#This Row],[DÉBITO]]-Tab_09.Set[[#This Row],[CRÉDITO]]</f>
        <v>-10096.67</v>
      </c>
    </row>
    <row r="83" spans="2:15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A</v>
      </c>
      <c r="E83" s="2">
        <f>IF($I83="","",COUNTIFS(Tab_00.Trial[CONTA],$I83))</f>
        <v>1</v>
      </c>
      <c r="F83" s="4">
        <f>SUMIFS(Tab_08.Ago[SALDO
ATUAL],Tab_08.Ago[CONTA],$I83)</f>
        <v>-5285.81</v>
      </c>
      <c r="G83" s="4">
        <f t="shared" si="4"/>
        <v>0</v>
      </c>
      <c r="H83" s="192">
        <v>20150</v>
      </c>
      <c r="I83" s="3" t="s">
        <v>778</v>
      </c>
      <c r="J83" s="3" t="s">
        <v>779</v>
      </c>
      <c r="K83" s="173">
        <v>-5285.81</v>
      </c>
      <c r="L83" s="173">
        <v>59.41</v>
      </c>
      <c r="M83" s="173">
        <v>867.15</v>
      </c>
      <c r="N83" s="173">
        <v>-6093.55</v>
      </c>
      <c r="O83" s="4">
        <f>Tab_09.Set[[#This Row],[DÉBITO]]-Tab_09.Set[[#This Row],[CRÉDITO]]</f>
        <v>-807.74</v>
      </c>
    </row>
    <row r="84" spans="2:15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A</v>
      </c>
      <c r="E84" s="2">
        <f>IF($I84="","",COUNTIFS(Tab_00.Trial[CONTA],$I84))</f>
        <v>1</v>
      </c>
      <c r="F84" s="4">
        <f>SUMIFS(Tab_08.Ago[SALDO
ATUAL],Tab_08.Ago[CONTA],$I84)</f>
        <v>-680.79</v>
      </c>
      <c r="G84" s="4">
        <f t="shared" si="4"/>
        <v>0</v>
      </c>
      <c r="H84" s="192">
        <v>20165</v>
      </c>
      <c r="I84" s="3" t="s">
        <v>780</v>
      </c>
      <c r="J84" s="3" t="s">
        <v>781</v>
      </c>
      <c r="K84" s="1">
        <v>-680.79</v>
      </c>
      <c r="L84" s="1">
        <v>7.43</v>
      </c>
      <c r="M84" s="1">
        <v>94.82</v>
      </c>
      <c r="N84" s="1">
        <v>-768.18</v>
      </c>
      <c r="O84" s="4">
        <f>Tab_09.Set[[#This Row],[DÉBITO]]-Tab_09.Set[[#This Row],[CRÉDITO]]</f>
        <v>-87.39</v>
      </c>
    </row>
    <row r="85" spans="2:15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A</v>
      </c>
      <c r="E85" s="2">
        <f>IF($I85="","",COUNTIFS(Tab_00.Trial[CONTA],$I85))</f>
        <v>1</v>
      </c>
      <c r="F85" s="4">
        <f>SUMIFS(Tab_08.Ago[SALDO
ATUAL],Tab_08.Ago[CONTA],$I85)</f>
        <v>-18243.509999999998</v>
      </c>
      <c r="G85" s="4">
        <f t="shared" si="4"/>
        <v>0</v>
      </c>
      <c r="H85" s="192">
        <v>10097</v>
      </c>
      <c r="I85" s="3" t="s">
        <v>782</v>
      </c>
      <c r="J85" s="3" t="s">
        <v>783</v>
      </c>
      <c r="K85" s="173">
        <v>-18243.509999999998</v>
      </c>
      <c r="L85" s="173">
        <v>198.06</v>
      </c>
      <c r="M85" s="173">
        <v>2541.9499999999998</v>
      </c>
      <c r="N85" s="173">
        <v>-20587.400000000001</v>
      </c>
      <c r="O85" s="4">
        <f>Tab_09.Set[[#This Row],[DÉBITO]]-Tab_09.Set[[#This Row],[CRÉDITO]]</f>
        <v>-2343.89</v>
      </c>
    </row>
    <row r="86" spans="2:15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S</v>
      </c>
      <c r="E86" s="2">
        <f>IF($I86="","",COUNTIFS(Tab_00.Trial[CONTA],$I86))</f>
        <v>1</v>
      </c>
      <c r="F86" s="4">
        <f>SUMIFS(Tab_08.Ago[SALDO
ATUAL],Tab_08.Ago[CONTA],$I86)</f>
        <v>-225937.45</v>
      </c>
      <c r="G86" s="4">
        <f t="shared" si="4"/>
        <v>0</v>
      </c>
      <c r="H86" s="192">
        <v>20180</v>
      </c>
      <c r="I86" s="3" t="s">
        <v>561</v>
      </c>
      <c r="J86" s="3" t="s">
        <v>657</v>
      </c>
      <c r="K86" s="173">
        <v>-225937.45</v>
      </c>
      <c r="L86" s="173">
        <v>43293.85</v>
      </c>
      <c r="M86" s="173">
        <v>19508.8</v>
      </c>
      <c r="N86" s="173">
        <v>-202152.4</v>
      </c>
      <c r="O86" s="4">
        <f>Tab_09.Set[[#This Row],[DÉBITO]]-Tab_09.Set[[#This Row],[CRÉDITO]]</f>
        <v>23785.05</v>
      </c>
    </row>
    <row r="87" spans="2:15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A</v>
      </c>
      <c r="E87" s="2">
        <f>IF($I87="","",COUNTIFS(Tab_00.Trial[CONTA],$I87))</f>
        <v>1</v>
      </c>
      <c r="F87" s="4">
        <f>SUMIFS(Tab_08.Ago[SALDO
ATUAL],Tab_08.Ago[CONTA],$I87)</f>
        <v>-166254.06</v>
      </c>
      <c r="G87" s="4">
        <f t="shared" si="4"/>
        <v>0</v>
      </c>
      <c r="H87" s="192">
        <v>20195</v>
      </c>
      <c r="I87" s="3" t="s">
        <v>334</v>
      </c>
      <c r="J87" s="3" t="s">
        <v>335</v>
      </c>
      <c r="K87" s="173">
        <v>-166254.06</v>
      </c>
      <c r="L87" s="173">
        <v>31978.55</v>
      </c>
      <c r="M87" s="173">
        <v>14395.62</v>
      </c>
      <c r="N87" s="173">
        <v>-148671.13</v>
      </c>
      <c r="O87" s="4">
        <f>Tab_09.Set[[#This Row],[DÉBITO]]-Tab_09.Set[[#This Row],[CRÉDITO]]</f>
        <v>17582.93</v>
      </c>
    </row>
    <row r="88" spans="2:15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A</v>
      </c>
      <c r="E88" s="2">
        <f>IF($I88="","",COUNTIFS(Tab_00.Trial[CONTA],$I88))</f>
        <v>1</v>
      </c>
      <c r="F88" s="4">
        <f>SUMIFS(Tab_08.Ago[SALDO
ATUAL],Tab_08.Ago[CONTA],$I88)</f>
        <v>-13292.85</v>
      </c>
      <c r="G88" s="4">
        <f t="shared" si="4"/>
        <v>0</v>
      </c>
      <c r="H88" s="192">
        <v>20210</v>
      </c>
      <c r="I88" s="3" t="s">
        <v>784</v>
      </c>
      <c r="J88" s="3" t="s">
        <v>785</v>
      </c>
      <c r="K88" s="173">
        <v>-13292.85</v>
      </c>
      <c r="L88" s="173">
        <v>2556.58</v>
      </c>
      <c r="M88" s="173">
        <v>1142.5999999999999</v>
      </c>
      <c r="N88" s="173">
        <v>-11878.87</v>
      </c>
      <c r="O88" s="4">
        <f>Tab_09.Set[[#This Row],[DÉBITO]]-Tab_09.Set[[#This Row],[CRÉDITO]]</f>
        <v>1413.98</v>
      </c>
    </row>
    <row r="89" spans="2:15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A</v>
      </c>
      <c r="E89" s="2">
        <f>IF($I89="","",COUNTIFS(Tab_00.Trial[CONTA],$I89))</f>
        <v>1</v>
      </c>
      <c r="F89" s="4">
        <f>SUMIFS(Tab_08.Ago[SALDO
ATUAL],Tab_08.Ago[CONTA],$I89)</f>
        <v>-1859</v>
      </c>
      <c r="G89" s="4">
        <f t="shared" si="4"/>
        <v>0</v>
      </c>
      <c r="H89" s="192">
        <v>20225</v>
      </c>
      <c r="I89" s="3" t="s">
        <v>786</v>
      </c>
      <c r="J89" s="3" t="s">
        <v>787</v>
      </c>
      <c r="K89" s="173">
        <v>-1859</v>
      </c>
      <c r="L89" s="173">
        <v>194.15</v>
      </c>
      <c r="M89" s="173">
        <v>142.82</v>
      </c>
      <c r="N89" s="173">
        <v>-1807.67</v>
      </c>
      <c r="O89" s="4">
        <f>Tab_09.Set[[#This Row],[DÉBITO]]-Tab_09.Set[[#This Row],[CRÉDITO]]</f>
        <v>51.33</v>
      </c>
    </row>
    <row r="90" spans="2:15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A</v>
      </c>
      <c r="E90" s="2">
        <f>IF($I90="","",COUNTIFS(Tab_00.Trial[CONTA],$I90))</f>
        <v>1</v>
      </c>
      <c r="F90" s="4">
        <f>SUMIFS(Tab_08.Ago[SALDO
ATUAL],Tab_08.Ago[CONTA],$I90)</f>
        <v>-44531.54</v>
      </c>
      <c r="G90" s="4">
        <f t="shared" si="4"/>
        <v>0</v>
      </c>
      <c r="H90" s="192">
        <v>10104</v>
      </c>
      <c r="I90" s="3" t="s">
        <v>788</v>
      </c>
      <c r="J90" s="3" t="s">
        <v>789</v>
      </c>
      <c r="K90" s="173">
        <v>-44531.54</v>
      </c>
      <c r="L90" s="173">
        <v>8564.57</v>
      </c>
      <c r="M90" s="173">
        <v>3827.76</v>
      </c>
      <c r="N90" s="173">
        <v>-39794.730000000003</v>
      </c>
      <c r="O90" s="4">
        <f>Tab_09.Set[[#This Row],[DÉBITO]]-Tab_09.Set[[#This Row],[CRÉDITO]]</f>
        <v>4736.8100000000004</v>
      </c>
    </row>
    <row r="91" spans="2:15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S</v>
      </c>
      <c r="E91" s="2">
        <f>IF($I91="","",COUNTIFS(Tab_00.Trial[CONTA],$I91))</f>
        <v>1</v>
      </c>
      <c r="F91" s="4">
        <f>SUMIFS(Tab_08.Ago[SALDO
ATUAL],Tab_08.Ago[CONTA],$I91)</f>
        <v>-37587.78</v>
      </c>
      <c r="G91" s="4">
        <f t="shared" si="4"/>
        <v>0</v>
      </c>
      <c r="H91" s="192">
        <v>20240</v>
      </c>
      <c r="I91" s="3" t="s">
        <v>562</v>
      </c>
      <c r="J91" s="3" t="s">
        <v>658</v>
      </c>
      <c r="K91" s="173">
        <v>-37587.78</v>
      </c>
      <c r="L91" s="173">
        <v>38223.97</v>
      </c>
      <c r="M91" s="173">
        <v>36631.97</v>
      </c>
      <c r="N91" s="173">
        <v>-35995.78</v>
      </c>
      <c r="O91" s="4">
        <f>Tab_09.Set[[#This Row],[DÉBITO]]-Tab_09.Set[[#This Row],[CRÉDITO]]</f>
        <v>1592</v>
      </c>
    </row>
    <row r="92" spans="2:15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A</v>
      </c>
      <c r="E92" s="2">
        <f>IF($I92="","",COUNTIFS(Tab_00.Trial[CONTA],$I92))</f>
        <v>1</v>
      </c>
      <c r="F92" s="4">
        <f>SUMIFS(Tab_08.Ago[SALDO
ATUAL],Tab_08.Ago[CONTA],$I92)</f>
        <v>-37003.699999999997</v>
      </c>
      <c r="G92" s="4">
        <f t="shared" si="4"/>
        <v>0</v>
      </c>
      <c r="H92" s="192">
        <v>20255</v>
      </c>
      <c r="I92" s="3" t="s">
        <v>336</v>
      </c>
      <c r="J92" s="3" t="s">
        <v>337</v>
      </c>
      <c r="K92" s="173">
        <v>-37003.699999999997</v>
      </c>
      <c r="L92" s="173">
        <v>37639.89</v>
      </c>
      <c r="M92" s="173">
        <v>36631.97</v>
      </c>
      <c r="N92" s="173">
        <v>-35995.78</v>
      </c>
      <c r="O92" s="4">
        <f>Tab_09.Set[[#This Row],[DÉBITO]]-Tab_09.Set[[#This Row],[CRÉDITO]]</f>
        <v>1007.92</v>
      </c>
    </row>
    <row r="93" spans="2:15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A</v>
      </c>
      <c r="E93" s="2">
        <f>IF($I93="","",COUNTIFS(Tab_00.Trial[CONTA],$I93))</f>
        <v>1</v>
      </c>
      <c r="F93" s="4">
        <f>SUMIFS(Tab_08.Ago[SALDO
ATUAL],Tab_08.Ago[CONTA],$I93)</f>
        <v>-584.08000000000004</v>
      </c>
      <c r="G93" s="4">
        <f t="shared" si="4"/>
        <v>0</v>
      </c>
      <c r="H93" s="192">
        <v>20270</v>
      </c>
      <c r="I93" s="3" t="s">
        <v>338</v>
      </c>
      <c r="J93" s="3" t="s">
        <v>339</v>
      </c>
      <c r="K93" s="173">
        <v>-584.08000000000004</v>
      </c>
      <c r="L93" s="173">
        <v>584.08000000000004</v>
      </c>
      <c r="M93" s="173">
        <v>0</v>
      </c>
      <c r="N93" s="173">
        <v>0</v>
      </c>
      <c r="O93" s="4">
        <f>Tab_09.Set[[#This Row],[DÉBITO]]-Tab_09.Set[[#This Row],[CRÉDITO]]</f>
        <v>584.08000000000004</v>
      </c>
    </row>
    <row r="94" spans="2:15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S</v>
      </c>
      <c r="E94" s="2">
        <f>IF($I94="","",COUNTIFS(Tab_00.Trial[CONTA],$I94))</f>
        <v>1</v>
      </c>
      <c r="F94" s="4">
        <f>SUMIFS(Tab_08.Ago[SALDO
ATUAL],Tab_08.Ago[CONTA],$I94)</f>
        <v>-10170</v>
      </c>
      <c r="G94" s="4">
        <f t="shared" si="4"/>
        <v>0</v>
      </c>
      <c r="H94" s="192">
        <v>20345</v>
      </c>
      <c r="I94" s="3" t="s">
        <v>563</v>
      </c>
      <c r="J94" s="3" t="s">
        <v>659</v>
      </c>
      <c r="K94" s="173">
        <v>-10170</v>
      </c>
      <c r="L94" s="173">
        <v>10096.85</v>
      </c>
      <c r="M94" s="173">
        <v>9765.93</v>
      </c>
      <c r="N94" s="173">
        <v>-9839.08</v>
      </c>
      <c r="O94" s="4">
        <f>Tab_09.Set[[#This Row],[DÉBITO]]-Tab_09.Set[[#This Row],[CRÉDITO]]</f>
        <v>330.92</v>
      </c>
    </row>
    <row r="95" spans="2:15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A</v>
      </c>
      <c r="E95" s="2">
        <f>IF($I95="","",COUNTIFS(Tab_00.Trial[CONTA],$I95))</f>
        <v>1</v>
      </c>
      <c r="F95" s="4">
        <f>SUMIFS(Tab_08.Ago[SALDO
ATUAL],Tab_08.Ago[CONTA],$I95)</f>
        <v>-8992.7800000000007</v>
      </c>
      <c r="G95" s="4">
        <f t="shared" si="4"/>
        <v>0</v>
      </c>
      <c r="H95" s="192">
        <v>20360</v>
      </c>
      <c r="I95" s="3" t="s">
        <v>340</v>
      </c>
      <c r="J95" s="3" t="s">
        <v>341</v>
      </c>
      <c r="K95" s="1">
        <v>-8992.7800000000007</v>
      </c>
      <c r="L95" s="173">
        <v>8992.7800000000007</v>
      </c>
      <c r="M95" s="1">
        <v>8680.81</v>
      </c>
      <c r="N95" s="1">
        <v>-8680.81</v>
      </c>
      <c r="O95" s="4">
        <f>Tab_09.Set[[#This Row],[DÉBITO]]-Tab_09.Set[[#This Row],[CRÉDITO]]</f>
        <v>311.97000000000003</v>
      </c>
    </row>
    <row r="96" spans="2:15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A</v>
      </c>
      <c r="E96" s="2">
        <f>IF($I96="","",COUNTIFS(Tab_00.Trial[CONTA],$I96))</f>
        <v>1</v>
      </c>
      <c r="F96" s="4">
        <f>SUMIFS(Tab_08.Ago[SALDO
ATUAL],Tab_08.Ago[CONTA],$I96)</f>
        <v>-1177.22</v>
      </c>
      <c r="G96" s="4">
        <f t="shared" si="4"/>
        <v>0</v>
      </c>
      <c r="H96" s="192">
        <v>20375</v>
      </c>
      <c r="I96" s="3" t="s">
        <v>342</v>
      </c>
      <c r="J96" s="3" t="s">
        <v>343</v>
      </c>
      <c r="K96" s="173">
        <v>-1177.22</v>
      </c>
      <c r="L96" s="173">
        <v>1104.07</v>
      </c>
      <c r="M96" s="173">
        <v>1085.1199999999999</v>
      </c>
      <c r="N96" s="173">
        <v>-1158.27</v>
      </c>
      <c r="O96" s="4">
        <f>Tab_09.Set[[#This Row],[DÉBITO]]-Tab_09.Set[[#This Row],[CRÉDITO]]</f>
        <v>18.95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S</v>
      </c>
      <c r="E97" s="2">
        <f>IF($I97="","",COUNTIFS(Tab_00.Trial[CONTA],$I97))</f>
        <v>1</v>
      </c>
      <c r="F97" s="4">
        <f>SUMIFS(Tab_08.Ago[SALDO
ATUAL],Tab_08.Ago[CONTA],$I97)</f>
        <v>-1095717.71</v>
      </c>
      <c r="G97" s="4">
        <f t="shared" si="4"/>
        <v>0</v>
      </c>
      <c r="H97" s="192">
        <v>20390</v>
      </c>
      <c r="I97" s="3" t="s">
        <v>218</v>
      </c>
      <c r="J97" s="3" t="s">
        <v>660</v>
      </c>
      <c r="K97" s="1">
        <v>-1095717.71</v>
      </c>
      <c r="L97" s="1">
        <v>438885.9</v>
      </c>
      <c r="M97" s="1">
        <v>392368.99</v>
      </c>
      <c r="N97" s="1">
        <v>-1049200.8</v>
      </c>
      <c r="O97" s="4">
        <f>Tab_09.Set[[#This Row],[DÉBITO]]-Tab_09.Set[[#This Row],[CRÉDITO]]</f>
        <v>46516.91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S</v>
      </c>
      <c r="E98" s="2">
        <f>IF($I98="","",COUNTIFS(Tab_00.Trial[CONTA],$I98))</f>
        <v>1</v>
      </c>
      <c r="F98" s="4">
        <f>SUMIFS(Tab_08.Ago[SALDO
ATUAL],Tab_08.Ago[CONTA],$I98)</f>
        <v>-59317.56</v>
      </c>
      <c r="G98" s="4">
        <f t="shared" si="4"/>
        <v>0</v>
      </c>
      <c r="H98" s="192">
        <v>20405</v>
      </c>
      <c r="I98" s="3" t="s">
        <v>219</v>
      </c>
      <c r="J98" s="3" t="s">
        <v>56</v>
      </c>
      <c r="K98" s="173">
        <v>-59317.56</v>
      </c>
      <c r="L98" s="173">
        <v>151834.34</v>
      </c>
      <c r="M98" s="173">
        <v>147983</v>
      </c>
      <c r="N98" s="173">
        <v>-55466.22</v>
      </c>
      <c r="O98" s="4">
        <f>Tab_09.Set[[#This Row],[DÉBITO]]-Tab_09.Set[[#This Row],[CRÉDITO]]</f>
        <v>3851.34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A</v>
      </c>
      <c r="E99" s="2">
        <f>IF($I99="","",COUNTIFS(Tab_00.Trial[CONTA],$I99))</f>
        <v>1</v>
      </c>
      <c r="F99" s="4">
        <f>SUMIFS(Tab_08.Ago[SALDO
ATUAL],Tab_08.Ago[CONTA],$I99)</f>
        <v>-59317.56</v>
      </c>
      <c r="G99" s="4">
        <f t="shared" si="4"/>
        <v>0</v>
      </c>
      <c r="H99" s="192">
        <v>20420</v>
      </c>
      <c r="I99" s="3" t="s">
        <v>344</v>
      </c>
      <c r="J99" s="3" t="s">
        <v>56</v>
      </c>
      <c r="K99" s="1">
        <v>-59317.56</v>
      </c>
      <c r="L99" s="1">
        <v>151834.34</v>
      </c>
      <c r="M99" s="1">
        <v>147983</v>
      </c>
      <c r="N99" s="1">
        <v>-55466.22</v>
      </c>
      <c r="O99" s="4">
        <f>Tab_09.Set[[#This Row],[DÉBITO]]-Tab_09.Set[[#This Row],[CRÉDITO]]</f>
        <v>3851.34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S</v>
      </c>
      <c r="E100" s="2">
        <f>IF($I100="","",COUNTIFS(Tab_00.Trial[CONTA],$I100))</f>
        <v>1</v>
      </c>
      <c r="F100" s="4">
        <f>SUMIFS(Tab_08.Ago[SALDO
ATUAL],Tab_08.Ago[CONTA],$I100)</f>
        <v>-1036400.15</v>
      </c>
      <c r="G100" s="4">
        <f t="shared" si="4"/>
        <v>0</v>
      </c>
      <c r="H100" s="192">
        <v>20455</v>
      </c>
      <c r="I100" s="3" t="s">
        <v>220</v>
      </c>
      <c r="J100" s="3" t="s">
        <v>346</v>
      </c>
      <c r="K100" s="1">
        <v>-1036400.15</v>
      </c>
      <c r="L100" s="1">
        <v>287051.56</v>
      </c>
      <c r="M100" s="1">
        <v>244385.99</v>
      </c>
      <c r="N100" s="1">
        <v>-993734.58</v>
      </c>
      <c r="O100" s="4">
        <f>Tab_09.Set[[#This Row],[DÉBITO]]-Tab_09.Set[[#This Row],[CRÉDITO]]</f>
        <v>42665.57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A</v>
      </c>
      <c r="E101" s="2">
        <f>IF($I101="","",COUNTIFS(Tab_00.Trial[CONTA],$I101))</f>
        <v>1</v>
      </c>
      <c r="F101" s="4">
        <f>SUMIFS(Tab_08.Ago[SALDO
ATUAL],Tab_08.Ago[CONTA],$I101)</f>
        <v>-1036400.15</v>
      </c>
      <c r="G101" s="4">
        <f t="shared" si="4"/>
        <v>0</v>
      </c>
      <c r="H101" s="192">
        <v>20460</v>
      </c>
      <c r="I101" s="3" t="s">
        <v>345</v>
      </c>
      <c r="J101" s="3" t="s">
        <v>346</v>
      </c>
      <c r="K101" s="1">
        <v>-1036400.15</v>
      </c>
      <c r="L101" s="1">
        <v>287051.56</v>
      </c>
      <c r="M101" s="1">
        <v>244385.99</v>
      </c>
      <c r="N101" s="1">
        <v>-993734.58</v>
      </c>
      <c r="O101" s="4">
        <f>Tab_09.Set[[#This Row],[DÉBITO]]-Tab_09.Set[[#This Row],[CRÉDITO]]</f>
        <v>42665.57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S</v>
      </c>
      <c r="E102" s="2">
        <f>IF($I102="","",COUNTIFS(Tab_00.Trial[CONTA],$I102))</f>
        <v>1</v>
      </c>
      <c r="F102" s="4">
        <f>SUMIFS(Tab_08.Ago[SALDO
ATUAL],Tab_08.Ago[CONTA],$I102)</f>
        <v>-19182.21</v>
      </c>
      <c r="G102" s="4">
        <f t="shared" si="4"/>
        <v>0</v>
      </c>
      <c r="H102" s="192">
        <v>20465</v>
      </c>
      <c r="I102" s="3" t="s">
        <v>221</v>
      </c>
      <c r="J102" s="3" t="s">
        <v>661</v>
      </c>
      <c r="K102" s="173">
        <v>-19182.21</v>
      </c>
      <c r="L102" s="1">
        <v>36317.949999999997</v>
      </c>
      <c r="M102" s="1">
        <v>32455.58</v>
      </c>
      <c r="N102" s="173">
        <v>-15319.84</v>
      </c>
      <c r="O102" s="4">
        <f>Tab_09.Set[[#This Row],[DÉBITO]]-Tab_09.Set[[#This Row],[CRÉDITO]]</f>
        <v>3862.37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S</v>
      </c>
      <c r="E103" s="2">
        <f>IF($I103="","",COUNTIFS(Tab_00.Trial[CONTA],$I103))</f>
        <v>1</v>
      </c>
      <c r="F103" s="4">
        <f>SUMIFS(Tab_08.Ago[SALDO
ATUAL],Tab_08.Ago[CONTA],$I103)</f>
        <v>-19182.21</v>
      </c>
      <c r="G103" s="4">
        <f t="shared" si="4"/>
        <v>0</v>
      </c>
      <c r="H103" s="192">
        <v>20480</v>
      </c>
      <c r="I103" s="3" t="s">
        <v>222</v>
      </c>
      <c r="J103" s="3" t="s">
        <v>662</v>
      </c>
      <c r="K103" s="173">
        <v>-19182.21</v>
      </c>
      <c r="L103" s="1">
        <v>24239.62</v>
      </c>
      <c r="M103" s="1">
        <v>20377.25</v>
      </c>
      <c r="N103" s="173">
        <v>-15319.84</v>
      </c>
      <c r="O103" s="4">
        <f>Tab_09.Set[[#This Row],[DÉBITO]]-Tab_09.Set[[#This Row],[CRÉDITO]]</f>
        <v>3862.37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A</v>
      </c>
      <c r="E104" s="2">
        <f>IF($I104="","",COUNTIFS(Tab_00.Trial[CONTA],$I104))</f>
        <v>1</v>
      </c>
      <c r="F104" s="4">
        <f>SUMIFS(Tab_08.Ago[SALDO
ATUAL],Tab_08.Ago[CONTA],$I104)</f>
        <v>-925.74</v>
      </c>
      <c r="G104" s="4">
        <f t="shared" si="4"/>
        <v>0</v>
      </c>
      <c r="H104" s="192">
        <v>20495</v>
      </c>
      <c r="I104" s="3" t="s">
        <v>191</v>
      </c>
      <c r="J104" s="3" t="s">
        <v>347</v>
      </c>
      <c r="K104" s="173">
        <v>-925.74</v>
      </c>
      <c r="L104" s="1">
        <v>1092</v>
      </c>
      <c r="M104" s="1">
        <v>1000.27</v>
      </c>
      <c r="N104" s="173">
        <v>-834.01</v>
      </c>
      <c r="O104" s="4">
        <f>Tab_09.Set[[#This Row],[DÉBITO]]-Tab_09.Set[[#This Row],[CRÉDITO]]</f>
        <v>91.73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A</v>
      </c>
      <c r="E105" s="2">
        <f>IF($I105="","",COUNTIFS(Tab_00.Trial[CONTA],$I105))</f>
        <v>1</v>
      </c>
      <c r="F105" s="4">
        <f>SUMIFS(Tab_08.Ago[SALDO
ATUAL],Tab_08.Ago[CONTA],$I105)</f>
        <v>-15739.83</v>
      </c>
      <c r="G105" s="4">
        <f t="shared" si="4"/>
        <v>0</v>
      </c>
      <c r="H105" s="192">
        <v>20510</v>
      </c>
      <c r="I105" s="3" t="s">
        <v>192</v>
      </c>
      <c r="J105" s="3" t="s">
        <v>348</v>
      </c>
      <c r="K105" s="173">
        <v>-15739.83</v>
      </c>
      <c r="L105" s="1">
        <v>19429.55</v>
      </c>
      <c r="M105" s="1">
        <v>16179.66</v>
      </c>
      <c r="N105" s="173">
        <v>-12489.94</v>
      </c>
      <c r="O105" s="4">
        <f>Tab_09.Set[[#This Row],[DÉBITO]]-Tab_09.Set[[#This Row],[CRÉDITO]]</f>
        <v>3249.89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A</v>
      </c>
      <c r="E106" s="2">
        <f>IF($I106="","",COUNTIFS(Tab_00.Trial[CONTA],$I106))</f>
        <v>1</v>
      </c>
      <c r="F106" s="4">
        <f>SUMIFS(Tab_08.Ago[SALDO
ATUAL],Tab_08.Ago[CONTA],$I106)</f>
        <v>-2494.19</v>
      </c>
      <c r="G106" s="4">
        <f t="shared" si="4"/>
        <v>0</v>
      </c>
      <c r="H106" s="192">
        <v>20525</v>
      </c>
      <c r="I106" s="3" t="s">
        <v>350</v>
      </c>
      <c r="J106" s="3" t="s">
        <v>351</v>
      </c>
      <c r="K106" s="173">
        <v>-2494.19</v>
      </c>
      <c r="L106" s="1">
        <v>3706.9</v>
      </c>
      <c r="M106" s="1">
        <v>3197.32</v>
      </c>
      <c r="N106" s="173">
        <v>-1984.61</v>
      </c>
      <c r="O106" s="4">
        <f>Tab_09.Set[[#This Row],[DÉBITO]]-Tab_09.Set[[#This Row],[CRÉDITO]]</f>
        <v>509.58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A</v>
      </c>
      <c r="E107" s="2">
        <f>IF($I107="","",COUNTIFS(Tab_00.Trial[CONTA],$I107))</f>
        <v>1</v>
      </c>
      <c r="F107" s="4">
        <f>SUMIFS(Tab_08.Ago[SALDO
ATUAL],Tab_08.Ago[CONTA],$I107)</f>
        <v>-22.45</v>
      </c>
      <c r="G107" s="4">
        <f t="shared" si="4"/>
        <v>0</v>
      </c>
      <c r="H107" s="192">
        <v>20540</v>
      </c>
      <c r="I107" s="3" t="s">
        <v>352</v>
      </c>
      <c r="J107" s="3" t="s">
        <v>353</v>
      </c>
      <c r="K107" s="173">
        <v>-22.45</v>
      </c>
      <c r="L107" s="1">
        <v>11.17</v>
      </c>
      <c r="M107" s="1">
        <v>0</v>
      </c>
      <c r="N107" s="173">
        <v>-11.28</v>
      </c>
      <c r="O107" s="4">
        <f>Tab_09.Set[[#This Row],[DÉBITO]]-Tab_09.Set[[#This Row],[CRÉDITO]]</f>
        <v>11.17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S</v>
      </c>
      <c r="E108" s="2">
        <f>IF($I108="","",COUNTIFS(Tab_00.Trial[CONTA],$I108))</f>
        <v>1</v>
      </c>
      <c r="F108" s="4">
        <f>SUMIFS(Tab_08.Ago[SALDO
ATUAL],Tab_08.Ago[CONTA],$I108)</f>
        <v>0</v>
      </c>
      <c r="G108" s="4">
        <f t="shared" si="4"/>
        <v>0</v>
      </c>
      <c r="H108" s="192">
        <v>20565</v>
      </c>
      <c r="I108" s="3" t="s">
        <v>223</v>
      </c>
      <c r="J108" s="3" t="s">
        <v>663</v>
      </c>
      <c r="K108" s="173">
        <v>0</v>
      </c>
      <c r="L108" s="1">
        <v>12078.33</v>
      </c>
      <c r="M108" s="1">
        <v>12078.33</v>
      </c>
      <c r="N108" s="173">
        <v>0</v>
      </c>
      <c r="O108" s="4">
        <f>Tab_09.Set[[#This Row],[DÉBITO]]-Tab_09.Set[[#This Row],[CRÉDITO]]</f>
        <v>0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A</v>
      </c>
      <c r="E109" s="2">
        <f>IF($I109="","",COUNTIFS(Tab_00.Trial[CONTA],$I109))</f>
        <v>1</v>
      </c>
      <c r="F109" s="4">
        <f>SUMIFS(Tab_08.Ago[SALDO
ATUAL],Tab_08.Ago[CONTA],$I109)</f>
        <v>0</v>
      </c>
      <c r="G109" s="4">
        <f t="shared" si="4"/>
        <v>0</v>
      </c>
      <c r="H109" s="192">
        <v>20576</v>
      </c>
      <c r="I109" s="3" t="s">
        <v>354</v>
      </c>
      <c r="J109" s="3" t="s">
        <v>355</v>
      </c>
      <c r="K109" s="173">
        <v>0</v>
      </c>
      <c r="L109" s="1">
        <v>12078.33</v>
      </c>
      <c r="M109" s="1">
        <v>12078.33</v>
      </c>
      <c r="N109" s="173">
        <v>0</v>
      </c>
      <c r="O109" s="4">
        <f>Tab_09.Set[[#This Row],[DÉBITO]]-Tab_09.Set[[#This Row],[CRÉDITO]]</f>
        <v>0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S</v>
      </c>
      <c r="E110" s="2">
        <f>IF($I110="","",COUNTIFS(Tab_00.Trial[CONTA],$I110))</f>
        <v>1</v>
      </c>
      <c r="F110" s="4">
        <f>SUMIFS(Tab_08.Ago[SALDO
ATUAL],Tab_08.Ago[CONTA],$I110)</f>
        <v>-22401.27</v>
      </c>
      <c r="G110" s="4">
        <f t="shared" si="4"/>
        <v>0</v>
      </c>
      <c r="H110" s="192">
        <v>20690</v>
      </c>
      <c r="I110" s="3" t="s">
        <v>224</v>
      </c>
      <c r="J110" s="3" t="s">
        <v>664</v>
      </c>
      <c r="K110" s="173">
        <v>-22401.27</v>
      </c>
      <c r="L110" s="1">
        <v>564.9</v>
      </c>
      <c r="M110" s="1">
        <v>611.34</v>
      </c>
      <c r="N110" s="173">
        <v>-22447.71</v>
      </c>
      <c r="O110" s="4">
        <f>Tab_09.Set[[#This Row],[DÉBITO]]-Tab_09.Set[[#This Row],[CRÉDITO]]</f>
        <v>-46.44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S</v>
      </c>
      <c r="E111" s="2">
        <f>IF($I111="","",COUNTIFS(Tab_00.Trial[CONTA],$I111))</f>
        <v>1</v>
      </c>
      <c r="F111" s="4">
        <f>SUMIFS(Tab_08.Ago[SALDO
ATUAL],Tab_08.Ago[CONTA],$I111)</f>
        <v>-22401.27</v>
      </c>
      <c r="G111" s="4">
        <f t="shared" si="4"/>
        <v>0</v>
      </c>
      <c r="H111" s="192">
        <v>20705</v>
      </c>
      <c r="I111" s="3" t="s">
        <v>225</v>
      </c>
      <c r="J111" s="3" t="s">
        <v>665</v>
      </c>
      <c r="K111" s="173">
        <v>-22401.27</v>
      </c>
      <c r="L111" s="1">
        <v>564.9</v>
      </c>
      <c r="M111" s="1">
        <v>611.34</v>
      </c>
      <c r="N111" s="173">
        <v>-22447.71</v>
      </c>
      <c r="O111" s="4">
        <f>Tab_09.Set[[#This Row],[DÉBITO]]-Tab_09.Set[[#This Row],[CRÉDITO]]</f>
        <v>-46.44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A</v>
      </c>
      <c r="E112" s="2">
        <f>IF($I112="","",COUNTIFS(Tab_00.Trial[CONTA],$I112))</f>
        <v>1</v>
      </c>
      <c r="F112" s="4">
        <f>SUMIFS(Tab_08.Ago[SALDO
ATUAL],Tab_08.Ago[CONTA],$I112)</f>
        <v>-22401.27</v>
      </c>
      <c r="G112" s="4">
        <f t="shared" si="4"/>
        <v>0</v>
      </c>
      <c r="H112" s="192">
        <v>20750</v>
      </c>
      <c r="I112" s="3" t="s">
        <v>356</v>
      </c>
      <c r="J112" s="3" t="s">
        <v>357</v>
      </c>
      <c r="K112" s="173">
        <v>-22401.27</v>
      </c>
      <c r="L112" s="1">
        <v>564.9</v>
      </c>
      <c r="M112" s="1">
        <v>611.34</v>
      </c>
      <c r="N112" s="173">
        <v>-22447.71</v>
      </c>
      <c r="O112" s="4">
        <f>Tab_09.Set[[#This Row],[DÉBITO]]-Tab_09.Set[[#This Row],[CRÉDITO]]</f>
        <v>-46.44</v>
      </c>
    </row>
    <row r="113" spans="2:15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S</v>
      </c>
      <c r="E113" s="2">
        <f>IF($I113="","",COUNTIFS(Tab_00.Trial[CONTA],$I113))</f>
        <v>1</v>
      </c>
      <c r="F113" s="4">
        <f>SUMIFS(Tab_08.Ago[SALDO
ATUAL],Tab_08.Ago[CONTA],$I113)</f>
        <v>-3849.2</v>
      </c>
      <c r="G113" s="4">
        <f t="shared" si="4"/>
        <v>0</v>
      </c>
      <c r="H113" s="192">
        <v>20765</v>
      </c>
      <c r="I113" s="3" t="s">
        <v>564</v>
      </c>
      <c r="J113" s="3" t="s">
        <v>666</v>
      </c>
      <c r="K113" s="173">
        <v>-3849.2</v>
      </c>
      <c r="L113" s="1">
        <v>0</v>
      </c>
      <c r="M113" s="1">
        <v>0</v>
      </c>
      <c r="N113" s="173">
        <v>-3849.2</v>
      </c>
      <c r="O113" s="4">
        <f>Tab_09.Set[[#This Row],[DÉBITO]]-Tab_09.Set[[#This Row],[CRÉDITO]]</f>
        <v>0</v>
      </c>
    </row>
    <row r="114" spans="2:15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5</v>
      </c>
      <c r="D114" s="2" t="str">
        <f>_xlfn.XLOOKUP($I114,Tab_00.Trial[CONTA],Tab_00.Trial[S/A],"",0,1)</f>
        <v>S</v>
      </c>
      <c r="E114" s="2">
        <f>IF($I114="","",COUNTIFS(Tab_00.Trial[CONTA],$I114))</f>
        <v>1</v>
      </c>
      <c r="F114" s="4">
        <f>SUMIFS(Tab_08.Ago[SALDO
ATUAL],Tab_08.Ago[CONTA],$I114)</f>
        <v>-3849.2</v>
      </c>
      <c r="G114" s="4">
        <f t="shared" ref="G114:G145" si="5">$F114-$K114</f>
        <v>0</v>
      </c>
      <c r="H114" s="192">
        <v>20780</v>
      </c>
      <c r="I114" s="3" t="s">
        <v>565</v>
      </c>
      <c r="J114" s="3" t="s">
        <v>667</v>
      </c>
      <c r="K114" s="173">
        <v>-3849.2</v>
      </c>
      <c r="L114" s="1">
        <v>0</v>
      </c>
      <c r="M114" s="1">
        <v>0</v>
      </c>
      <c r="N114" s="173">
        <v>-3849.2</v>
      </c>
      <c r="O114" s="4">
        <f>Tab_09.Set[[#This Row],[DÉBITO]]-Tab_09.Set[[#This Row],[CRÉDITO]]</f>
        <v>0</v>
      </c>
    </row>
    <row r="115" spans="2:15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5</v>
      </c>
      <c r="D115" s="2" t="str">
        <f>_xlfn.XLOOKUP($I115,Tab_00.Trial[CONTA],Tab_00.Trial[S/A],"",0,1)</f>
        <v>A</v>
      </c>
      <c r="E115" s="2">
        <f>IF($I115="","",COUNTIFS(Tab_00.Trial[CONTA],$I115))</f>
        <v>1</v>
      </c>
      <c r="F115" s="4">
        <f>SUMIFS(Tab_08.Ago[SALDO
ATUAL],Tab_08.Ago[CONTA],$I115)</f>
        <v>-3849.2</v>
      </c>
      <c r="G115" s="4">
        <f t="shared" si="5"/>
        <v>0</v>
      </c>
      <c r="H115" s="192">
        <v>20790</v>
      </c>
      <c r="I115" s="3" t="s">
        <v>358</v>
      </c>
      <c r="J115" s="3" t="s">
        <v>359</v>
      </c>
      <c r="K115" s="173">
        <v>-3849.2</v>
      </c>
      <c r="L115" s="1">
        <v>0</v>
      </c>
      <c r="M115" s="1">
        <v>0</v>
      </c>
      <c r="N115" s="173">
        <v>-3849.2</v>
      </c>
      <c r="O115" s="4">
        <f>Tab_09.Set[[#This Row],[DÉBITO]]-Tab_09.Set[[#This Row],[CRÉDITO]]</f>
        <v>0</v>
      </c>
    </row>
    <row r="116" spans="2:15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2</v>
      </c>
      <c r="D116" s="2" t="str">
        <f>_xlfn.XLOOKUP($I116,Tab_00.Trial[CONTA],Tab_00.Trial[S/A],"",0,1)</f>
        <v>S</v>
      </c>
      <c r="E116" s="2">
        <f>IF($I116="","",COUNTIFS(Tab_00.Trial[CONTA],$I116))</f>
        <v>1</v>
      </c>
      <c r="F116" s="4">
        <f>SUMIFS(Tab_08.Ago[SALDO
ATUAL],Tab_08.Ago[CONTA],$I116)</f>
        <v>-46934.04</v>
      </c>
      <c r="G116" s="4">
        <f t="shared" si="5"/>
        <v>0</v>
      </c>
      <c r="H116" s="192">
        <v>20885</v>
      </c>
      <c r="I116" s="3" t="s">
        <v>226</v>
      </c>
      <c r="J116" s="3" t="s">
        <v>76</v>
      </c>
      <c r="K116" s="173">
        <v>-46934.04</v>
      </c>
      <c r="L116" s="1">
        <v>0</v>
      </c>
      <c r="M116" s="1">
        <v>0</v>
      </c>
      <c r="N116" s="173">
        <v>-46934.04</v>
      </c>
      <c r="O116" s="4">
        <f>Tab_09.Set[[#This Row],[DÉBITO]]-Tab_09.Set[[#This Row],[CRÉDITO]]</f>
        <v>0</v>
      </c>
    </row>
    <row r="117" spans="2:15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5</v>
      </c>
      <c r="D117" s="2" t="str">
        <f>_xlfn.XLOOKUP($I117,Tab_00.Trial[CONTA],Tab_00.Trial[S/A],"",0,1)</f>
        <v>S</v>
      </c>
      <c r="E117" s="2">
        <f>IF($I117="","",COUNTIFS(Tab_00.Trial[CONTA],$I117))</f>
        <v>1</v>
      </c>
      <c r="F117" s="4">
        <f>SUMIFS(Tab_08.Ago[SALDO
ATUAL],Tab_08.Ago[CONTA],$I117)</f>
        <v>-46934.04</v>
      </c>
      <c r="G117" s="4">
        <f t="shared" si="5"/>
        <v>0</v>
      </c>
      <c r="H117" s="192">
        <v>21110</v>
      </c>
      <c r="I117" s="3" t="s">
        <v>566</v>
      </c>
      <c r="J117" s="3" t="s">
        <v>668</v>
      </c>
      <c r="K117" s="173">
        <v>-46934.04</v>
      </c>
      <c r="L117" s="1">
        <v>0</v>
      </c>
      <c r="M117" s="1">
        <v>0</v>
      </c>
      <c r="N117" s="173">
        <v>-46934.04</v>
      </c>
      <c r="O117" s="4">
        <f>Tab_09.Set[[#This Row],[DÉBITO]]-Tab_09.Set[[#This Row],[CRÉDITO]]</f>
        <v>0</v>
      </c>
    </row>
    <row r="118" spans="2:15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5</v>
      </c>
      <c r="D118" s="2" t="str">
        <f>_xlfn.XLOOKUP($I118,Tab_00.Trial[CONTA],Tab_00.Trial[S/A],"",0,1)</f>
        <v>S</v>
      </c>
      <c r="E118" s="2">
        <f>IF($I118="","",COUNTIFS(Tab_00.Trial[CONTA],$I118))</f>
        <v>1</v>
      </c>
      <c r="F118" s="4">
        <f>SUMIFS(Tab_08.Ago[SALDO
ATUAL],Tab_08.Ago[CONTA],$I118)</f>
        <v>-46934.04</v>
      </c>
      <c r="G118" s="4">
        <f t="shared" si="5"/>
        <v>0</v>
      </c>
      <c r="H118" s="192">
        <v>21125</v>
      </c>
      <c r="I118" s="3" t="s">
        <v>567</v>
      </c>
      <c r="J118" s="3" t="s">
        <v>669</v>
      </c>
      <c r="K118" s="173">
        <v>-46934.04</v>
      </c>
      <c r="L118" s="1">
        <v>0</v>
      </c>
      <c r="M118" s="1">
        <v>0</v>
      </c>
      <c r="N118" s="173">
        <v>-46934.04</v>
      </c>
      <c r="O118" s="4">
        <f>Tab_09.Set[[#This Row],[DÉBITO]]-Tab_09.Set[[#This Row],[CRÉDITO]]</f>
        <v>0</v>
      </c>
    </row>
    <row r="119" spans="2:15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5</v>
      </c>
      <c r="D119" s="2" t="str">
        <f>_xlfn.XLOOKUP($I119,Tab_00.Trial[CONTA],Tab_00.Trial[S/A],"",0,1)</f>
        <v>A</v>
      </c>
      <c r="E119" s="2">
        <f>IF($I119="","",COUNTIFS(Tab_00.Trial[CONTA],$I119))</f>
        <v>1</v>
      </c>
      <c r="F119" s="4">
        <f>SUMIFS(Tab_08.Ago[SALDO
ATUAL],Tab_08.Ago[CONTA],$I119)</f>
        <v>-31934.04</v>
      </c>
      <c r="G119" s="4">
        <f t="shared" si="5"/>
        <v>0</v>
      </c>
      <c r="H119" s="192">
        <v>21170</v>
      </c>
      <c r="I119" s="3" t="s">
        <v>360</v>
      </c>
      <c r="J119" s="3" t="s">
        <v>361</v>
      </c>
      <c r="K119" s="173">
        <v>-31934.04</v>
      </c>
      <c r="L119" s="173">
        <v>0</v>
      </c>
      <c r="M119" s="173">
        <v>0</v>
      </c>
      <c r="N119" s="173">
        <v>-31934.04</v>
      </c>
      <c r="O119" s="4">
        <f>Tab_09.Set[[#This Row],[DÉBITO]]-Tab_09.Set[[#This Row],[CRÉDITO]]</f>
        <v>0</v>
      </c>
    </row>
    <row r="120" spans="2:15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5</v>
      </c>
      <c r="D120" s="2" t="str">
        <f>_xlfn.XLOOKUP($I120,Tab_00.Trial[CONTA],Tab_00.Trial[S/A],"",0,1)</f>
        <v>A</v>
      </c>
      <c r="E120" s="2">
        <f>IF($I120="","",COUNTIFS(Tab_00.Trial[CONTA],$I120))</f>
        <v>1</v>
      </c>
      <c r="F120" s="4">
        <f>SUMIFS(Tab_08.Ago[SALDO
ATUAL],Tab_08.Ago[CONTA],$I120)</f>
        <v>-15000</v>
      </c>
      <c r="G120" s="4">
        <f t="shared" si="5"/>
        <v>0</v>
      </c>
      <c r="H120" s="192">
        <v>21185</v>
      </c>
      <c r="I120" s="3" t="s">
        <v>362</v>
      </c>
      <c r="J120" s="3" t="s">
        <v>363</v>
      </c>
      <c r="K120" s="173">
        <v>-15000</v>
      </c>
      <c r="L120" s="173">
        <v>0</v>
      </c>
      <c r="M120" s="173">
        <v>0</v>
      </c>
      <c r="N120" s="173">
        <v>-15000</v>
      </c>
      <c r="O120" s="4">
        <f>Tab_09.Set[[#This Row],[DÉBITO]]-Tab_09.Set[[#This Row],[CRÉDITO]]</f>
        <v>0</v>
      </c>
    </row>
    <row r="121" spans="2:15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2</v>
      </c>
      <c r="D121" s="2" t="str">
        <f>_xlfn.XLOOKUP($I121,Tab_00.Trial[CONTA],Tab_00.Trial[S/A],"",0,1)</f>
        <v>S</v>
      </c>
      <c r="E121" s="2">
        <f>IF($I121="","",COUNTIFS(Tab_00.Trial[CONTA],$I121))</f>
        <v>1</v>
      </c>
      <c r="F121" s="4">
        <f>SUMIFS(Tab_08.Ago[SALDO
ATUAL],Tab_08.Ago[CONTA],$I121)</f>
        <v>-82087967.730000004</v>
      </c>
      <c r="G121" s="4">
        <f t="shared" si="5"/>
        <v>0</v>
      </c>
      <c r="H121" s="192">
        <v>21200</v>
      </c>
      <c r="I121" s="3" t="s">
        <v>228</v>
      </c>
      <c r="J121" s="3" t="s">
        <v>670</v>
      </c>
      <c r="K121" s="173">
        <v>-82087967.730000004</v>
      </c>
      <c r="L121" s="1">
        <v>0</v>
      </c>
      <c r="M121" s="1">
        <v>0</v>
      </c>
      <c r="N121" s="173">
        <v>-82087967.730000004</v>
      </c>
      <c r="O121" s="4">
        <f>Tab_09.Set[[#This Row],[DÉBITO]]-Tab_09.Set[[#This Row],[CRÉDITO]]</f>
        <v>0</v>
      </c>
    </row>
    <row r="122" spans="2:15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5</v>
      </c>
      <c r="D122" s="2" t="str">
        <f>_xlfn.XLOOKUP($I122,Tab_00.Trial[CONTA],Tab_00.Trial[S/A],"",0,1)</f>
        <v>S</v>
      </c>
      <c r="E122" s="2">
        <f>IF($I122="","",COUNTIFS(Tab_00.Trial[CONTA],$I122))</f>
        <v>1</v>
      </c>
      <c r="F122" s="4">
        <f>SUMIFS(Tab_08.Ago[SALDO
ATUAL],Tab_08.Ago[CONTA],$I122)</f>
        <v>-82087967.730000004</v>
      </c>
      <c r="G122" s="4">
        <f t="shared" si="5"/>
        <v>0</v>
      </c>
      <c r="H122" s="192">
        <v>21215</v>
      </c>
      <c r="I122" s="3" t="s">
        <v>229</v>
      </c>
      <c r="J122" s="3" t="s">
        <v>670</v>
      </c>
      <c r="K122" s="173">
        <v>-82087967.730000004</v>
      </c>
      <c r="L122" s="1">
        <v>0</v>
      </c>
      <c r="M122" s="1">
        <v>0</v>
      </c>
      <c r="N122" s="173">
        <v>-82087967.730000004</v>
      </c>
      <c r="O122" s="4">
        <f>Tab_09.Set[[#This Row],[DÉBITO]]-Tab_09.Set[[#This Row],[CRÉDITO]]</f>
        <v>0</v>
      </c>
    </row>
    <row r="123" spans="2:15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S</v>
      </c>
      <c r="E123" s="2">
        <f>IF($I123="","",COUNTIFS(Tab_00.Trial[CONTA],$I123))</f>
        <v>1</v>
      </c>
      <c r="F123" s="4">
        <f>SUMIFS(Tab_08.Ago[SALDO
ATUAL],Tab_08.Ago[CONTA],$I123)</f>
        <v>-104784619.59999999</v>
      </c>
      <c r="G123" s="4">
        <f t="shared" si="5"/>
        <v>0</v>
      </c>
      <c r="H123" s="192">
        <v>21230</v>
      </c>
      <c r="I123" s="3" t="s">
        <v>230</v>
      </c>
      <c r="J123" s="3" t="s">
        <v>364</v>
      </c>
      <c r="K123" s="173">
        <v>-104784619.59999999</v>
      </c>
      <c r="L123" s="1">
        <v>0</v>
      </c>
      <c r="M123" s="1">
        <v>0</v>
      </c>
      <c r="N123" s="173">
        <v>-104784619.59999999</v>
      </c>
      <c r="O123" s="4">
        <f>Tab_09.Set[[#This Row],[DÉBITO]]-Tab_09.Set[[#This Row],[CRÉDITO]]</f>
        <v>0</v>
      </c>
    </row>
    <row r="124" spans="2:15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5</v>
      </c>
      <c r="D124" s="2" t="str">
        <f>_xlfn.XLOOKUP($I124,Tab_00.Trial[CONTA],Tab_00.Trial[S/A],"",0,1)</f>
        <v>A</v>
      </c>
      <c r="E124" s="2">
        <f>IF($I124="","",COUNTIFS(Tab_00.Trial[CONTA],$I124))</f>
        <v>1</v>
      </c>
      <c r="F124" s="4">
        <f>SUMIFS(Tab_08.Ago[SALDO
ATUAL],Tab_08.Ago[CONTA],$I124)</f>
        <v>-104784619.59999999</v>
      </c>
      <c r="G124" s="4">
        <f t="shared" si="5"/>
        <v>0</v>
      </c>
      <c r="H124" s="192">
        <v>21245</v>
      </c>
      <c r="I124" s="3" t="s">
        <v>193</v>
      </c>
      <c r="J124" s="3" t="s">
        <v>364</v>
      </c>
      <c r="K124" s="173">
        <v>-104784619.59999999</v>
      </c>
      <c r="L124" s="173">
        <v>0</v>
      </c>
      <c r="M124" s="173">
        <v>0</v>
      </c>
      <c r="N124" s="173">
        <v>-104784619.59999999</v>
      </c>
      <c r="O124" s="4">
        <f>Tab_09.Set[[#This Row],[DÉBITO]]-Tab_09.Set[[#This Row],[CRÉDITO]]</f>
        <v>0</v>
      </c>
    </row>
    <row r="125" spans="2:15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5</v>
      </c>
      <c r="D125" s="2" t="str">
        <f>_xlfn.XLOOKUP($I125,Tab_00.Trial[CONTA],Tab_00.Trial[S/A],"",0,1)</f>
        <v>S</v>
      </c>
      <c r="E125" s="2">
        <f>IF($I125="","",COUNTIFS(Tab_00.Trial[CONTA],$I125))</f>
        <v>1</v>
      </c>
      <c r="F125" s="4">
        <f>SUMIFS(Tab_08.Ago[SALDO
ATUAL],Tab_08.Ago[CONTA],$I125)</f>
        <v>32587250.850000001</v>
      </c>
      <c r="G125" s="4">
        <f t="shared" si="5"/>
        <v>0</v>
      </c>
      <c r="H125" s="192">
        <v>21305</v>
      </c>
      <c r="I125" s="3" t="s">
        <v>568</v>
      </c>
      <c r="J125" s="3" t="s">
        <v>671</v>
      </c>
      <c r="K125" s="173">
        <v>32587250.850000001</v>
      </c>
      <c r="L125" s="173">
        <v>0</v>
      </c>
      <c r="M125" s="173">
        <v>0</v>
      </c>
      <c r="N125" s="173">
        <v>32587250.850000001</v>
      </c>
      <c r="O125" s="4">
        <f>Tab_09.Set[[#This Row],[DÉBITO]]-Tab_09.Set[[#This Row],[CRÉDITO]]</f>
        <v>0</v>
      </c>
    </row>
    <row r="126" spans="2:15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A</v>
      </c>
      <c r="E126" s="2">
        <f>IF($I126="","",COUNTIFS(Tab_00.Trial[CONTA],$I126))</f>
        <v>1</v>
      </c>
      <c r="F126" s="4">
        <f>SUMIFS(Tab_08.Ago[SALDO
ATUAL],Tab_08.Ago[CONTA],$I126)</f>
        <v>-827719.82</v>
      </c>
      <c r="G126" s="4">
        <f t="shared" si="5"/>
        <v>0</v>
      </c>
      <c r="H126" s="192">
        <v>21320</v>
      </c>
      <c r="I126" s="3" t="s">
        <v>743</v>
      </c>
      <c r="J126" s="3" t="s">
        <v>744</v>
      </c>
      <c r="K126" s="173">
        <v>-827719.82</v>
      </c>
      <c r="L126" s="1">
        <v>0</v>
      </c>
      <c r="M126" s="173">
        <v>0</v>
      </c>
      <c r="N126" s="173">
        <v>-827719.82</v>
      </c>
      <c r="O126" s="4">
        <f>Tab_09.Set[[#This Row],[DÉBITO]]-Tab_09.Set[[#This Row],[CRÉDITO]]</f>
        <v>0</v>
      </c>
    </row>
    <row r="127" spans="2:15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A</v>
      </c>
      <c r="E127" s="2">
        <f>IF($I127="","",COUNTIFS(Tab_00.Trial[CONTA],$I127))</f>
        <v>1</v>
      </c>
      <c r="F127" s="4">
        <f>SUMIFS(Tab_08.Ago[SALDO
ATUAL],Tab_08.Ago[CONTA],$I127)</f>
        <v>33414970.670000002</v>
      </c>
      <c r="G127" s="4">
        <f t="shared" si="5"/>
        <v>0</v>
      </c>
      <c r="H127" s="192">
        <v>21335</v>
      </c>
      <c r="I127" s="3" t="s">
        <v>365</v>
      </c>
      <c r="J127" s="3" t="s">
        <v>366</v>
      </c>
      <c r="K127" s="173">
        <v>33414970.670000002</v>
      </c>
      <c r="L127" s="173">
        <v>0</v>
      </c>
      <c r="M127" s="173">
        <v>0</v>
      </c>
      <c r="N127" s="173">
        <v>33414970.670000002</v>
      </c>
      <c r="O127" s="4">
        <f>Tab_09.Set[[#This Row],[DÉBITO]]-Tab_09.Set[[#This Row],[CRÉDITO]]</f>
        <v>0</v>
      </c>
    </row>
    <row r="128" spans="2:15" x14ac:dyDescent="0.3">
      <c r="B128" s="2" t="str">
        <f>_xlfn.XLOOKUP($I128,Tab_00.Trial[CONTA],Tab_00.Trial[TP],"",0,1)</f>
        <v>P</v>
      </c>
      <c r="C128" s="2">
        <f>_xlfn.XLOOKUP($I128,Tab_00.Trial[CONTA],Tab_00.Trial[NV],"",0,1)</f>
        <v>5</v>
      </c>
      <c r="D128" s="2" t="str">
        <f>_xlfn.XLOOKUP($I128,Tab_00.Trial[CONTA],Tab_00.Trial[S/A],"",0,1)</f>
        <v>S</v>
      </c>
      <c r="E128" s="2">
        <f>IF($I128="","",COUNTIFS(Tab_00.Trial[CONTA],$I128))</f>
        <v>1</v>
      </c>
      <c r="F128" s="4">
        <f>SUMIFS(Tab_08.Ago[SALDO
ATUAL],Tab_08.Ago[CONTA],$I128)</f>
        <v>-9890598.9800000004</v>
      </c>
      <c r="G128" s="4">
        <f t="shared" si="5"/>
        <v>0</v>
      </c>
      <c r="H128" s="192">
        <v>21350</v>
      </c>
      <c r="I128" s="3" t="s">
        <v>745</v>
      </c>
      <c r="J128" s="3" t="s">
        <v>746</v>
      </c>
      <c r="K128" s="173">
        <v>-9890598.9800000004</v>
      </c>
      <c r="L128" s="1">
        <v>0</v>
      </c>
      <c r="M128" s="1">
        <v>0</v>
      </c>
      <c r="N128" s="173">
        <v>-9890598.9800000004</v>
      </c>
      <c r="O128" s="4">
        <f>Tab_09.Set[[#This Row],[DÉBITO]]-Tab_09.Set[[#This Row],[CRÉDITO]]</f>
        <v>0</v>
      </c>
    </row>
    <row r="129" spans="2:15" x14ac:dyDescent="0.3">
      <c r="B129" s="2" t="str">
        <f>_xlfn.XLOOKUP($I129,Tab_00.Trial[CONTA],Tab_00.Trial[TP],"",0,1)</f>
        <v>P</v>
      </c>
      <c r="C129" s="2">
        <f>_xlfn.XLOOKUP($I129,Tab_00.Trial[CONTA],Tab_00.Trial[NV],"",0,1)</f>
        <v>5</v>
      </c>
      <c r="D129" s="2" t="str">
        <f>_xlfn.XLOOKUP($I129,Tab_00.Trial[CONTA],Tab_00.Trial[S/A],"",0,1)</f>
        <v>A</v>
      </c>
      <c r="E129" s="2">
        <f>IF($I129="","",COUNTIFS(Tab_00.Trial[CONTA],$I129))</f>
        <v>1</v>
      </c>
      <c r="F129" s="4">
        <f>SUMIFS(Tab_08.Ago[SALDO
ATUAL],Tab_08.Ago[CONTA],$I129)</f>
        <v>-9890598.9800000004</v>
      </c>
      <c r="G129" s="4">
        <f t="shared" si="5"/>
        <v>0</v>
      </c>
      <c r="H129" s="192">
        <v>21365</v>
      </c>
      <c r="I129" s="3" t="s">
        <v>747</v>
      </c>
      <c r="J129" s="3" t="s">
        <v>746</v>
      </c>
      <c r="K129" s="173">
        <v>-9890598.9800000004</v>
      </c>
      <c r="L129" s="1">
        <v>0</v>
      </c>
      <c r="M129" s="1">
        <v>0</v>
      </c>
      <c r="N129" s="173">
        <v>-9890598.9800000004</v>
      </c>
      <c r="O129" s="4">
        <f>Tab_09.Set[[#This Row],[DÉBITO]]-Tab_09.Set[[#This Row],[CRÉDITO]]</f>
        <v>0</v>
      </c>
    </row>
    <row r="130" spans="2:15" x14ac:dyDescent="0.3">
      <c r="B130" s="2" t="str">
        <f>_xlfn.XLOOKUP($I130,Tab_00.Trial[CONTA],Tab_00.Trial[TP],"",0,1)</f>
        <v>R</v>
      </c>
      <c r="C130" s="2">
        <f>_xlfn.XLOOKUP($I130,Tab_00.Trial[CONTA],Tab_00.Trial[NV],"",0,1)</f>
        <v>1</v>
      </c>
      <c r="D130" s="2" t="str">
        <f>_xlfn.XLOOKUP($I130,Tab_00.Trial[CONTA],Tab_00.Trial[S/A],"",0,1)</f>
        <v>S</v>
      </c>
      <c r="E130" s="2">
        <f>IF($I130="","",COUNTIFS(Tab_00.Trial[CONTA],$I130))</f>
        <v>1</v>
      </c>
      <c r="F130" s="4">
        <f>SUMIFS(Tab_08.Ago[SALDO
ATUAL],Tab_08.Ago[CONTA],$I130)</f>
        <v>-10466674.550000001</v>
      </c>
      <c r="G130" s="4">
        <f t="shared" si="5"/>
        <v>0</v>
      </c>
      <c r="H130" s="192">
        <v>30000</v>
      </c>
      <c r="I130" s="3">
        <v>3</v>
      </c>
      <c r="J130" s="3" t="s">
        <v>672</v>
      </c>
      <c r="K130" s="173">
        <v>-10466674.550000001</v>
      </c>
      <c r="L130" s="1">
        <v>12078.33</v>
      </c>
      <c r="M130" s="173">
        <v>1128995</v>
      </c>
      <c r="N130" s="173">
        <v>-11583591.220000001</v>
      </c>
      <c r="O130" s="4">
        <f>Tab_09.Set[[#This Row],[DÉBITO]]-Tab_09.Set[[#This Row],[CRÉDITO]]</f>
        <v>-1116916.67</v>
      </c>
    </row>
    <row r="131" spans="2:15" x14ac:dyDescent="0.3">
      <c r="B131" s="2" t="str">
        <f>_xlfn.XLOOKUP($I131,Tab_00.Trial[CONTA],Tab_00.Trial[TP],"",0,1)</f>
        <v>R</v>
      </c>
      <c r="C131" s="2">
        <f>_xlfn.XLOOKUP($I131,Tab_00.Trial[CONTA],Tab_00.Trial[NV],"",0,1)</f>
        <v>2</v>
      </c>
      <c r="D131" s="2" t="str">
        <f>_xlfn.XLOOKUP($I131,Tab_00.Trial[CONTA],Tab_00.Trial[S/A],"",0,1)</f>
        <v>S</v>
      </c>
      <c r="E131" s="2">
        <f>IF($I131="","",COUNTIFS(Tab_00.Trial[CONTA],$I131))</f>
        <v>1</v>
      </c>
      <c r="F131" s="4">
        <f>SUMIFS(Tab_08.Ago[SALDO
ATUAL],Tab_08.Ago[CONTA],$I131)</f>
        <v>-4887417.67</v>
      </c>
      <c r="G131" s="4">
        <f t="shared" si="5"/>
        <v>0</v>
      </c>
      <c r="H131" s="192">
        <v>30030</v>
      </c>
      <c r="I131" s="3" t="s">
        <v>231</v>
      </c>
      <c r="J131" s="3" t="s">
        <v>673</v>
      </c>
      <c r="K131" s="173">
        <v>-4887417.67</v>
      </c>
      <c r="L131" s="1">
        <v>0</v>
      </c>
      <c r="M131" s="173">
        <v>515698.95</v>
      </c>
      <c r="N131" s="173">
        <v>-5403116.6200000001</v>
      </c>
      <c r="O131" s="4">
        <f>Tab_09.Set[[#This Row],[DÉBITO]]-Tab_09.Set[[#This Row],[CRÉDITO]]</f>
        <v>-515698.95</v>
      </c>
    </row>
    <row r="132" spans="2:15" x14ac:dyDescent="0.3">
      <c r="B132" s="2" t="str">
        <f>_xlfn.XLOOKUP($I132,Tab_00.Trial[CONTA],Tab_00.Trial[TP],"",0,1)</f>
        <v>R</v>
      </c>
      <c r="C132" s="2">
        <f>_xlfn.XLOOKUP($I132,Tab_00.Trial[CONTA],Tab_00.Trial[NV],"",0,1)</f>
        <v>5</v>
      </c>
      <c r="D132" s="2" t="str">
        <f>_xlfn.XLOOKUP($I132,Tab_00.Trial[CONTA],Tab_00.Trial[S/A],"",0,1)</f>
        <v>S</v>
      </c>
      <c r="E132" s="2">
        <f>IF($I132="","",COUNTIFS(Tab_00.Trial[CONTA],$I132))</f>
        <v>1</v>
      </c>
      <c r="F132" s="4">
        <f>SUMIFS(Tab_08.Ago[SALDO
ATUAL],Tab_08.Ago[CONTA],$I132)</f>
        <v>-2983334.09</v>
      </c>
      <c r="G132" s="4">
        <f t="shared" si="5"/>
        <v>0</v>
      </c>
      <c r="H132" s="192">
        <v>30045</v>
      </c>
      <c r="I132" s="3" t="s">
        <v>232</v>
      </c>
      <c r="J132" s="3" t="s">
        <v>674</v>
      </c>
      <c r="K132" s="173">
        <v>-2983334.09</v>
      </c>
      <c r="L132" s="1">
        <v>0</v>
      </c>
      <c r="M132" s="173">
        <v>326915.51</v>
      </c>
      <c r="N132" s="173">
        <v>-3310249.6</v>
      </c>
      <c r="O132" s="4">
        <f>Tab_09.Set[[#This Row],[DÉBITO]]-Tab_09.Set[[#This Row],[CRÉDITO]]</f>
        <v>-326915.51</v>
      </c>
    </row>
    <row r="133" spans="2:15" x14ac:dyDescent="0.3">
      <c r="B133" s="2" t="str">
        <f>_xlfn.XLOOKUP($I133,Tab_00.Trial[CONTA],Tab_00.Trial[TP],"",0,1)</f>
        <v>R</v>
      </c>
      <c r="C133" s="2">
        <f>_xlfn.XLOOKUP($I133,Tab_00.Trial[CONTA],Tab_00.Trial[NV],"",0,1)</f>
        <v>5</v>
      </c>
      <c r="D133" s="2" t="str">
        <f>_xlfn.XLOOKUP($I133,Tab_00.Trial[CONTA],Tab_00.Trial[S/A],"",0,1)</f>
        <v>S</v>
      </c>
      <c r="E133" s="2">
        <f>IF($I133="","",COUNTIFS(Tab_00.Trial[CONTA],$I133))</f>
        <v>1</v>
      </c>
      <c r="F133" s="4">
        <f>SUMIFS(Tab_08.Ago[SALDO
ATUAL],Tab_08.Ago[CONTA],$I133)</f>
        <v>-1056206.8400000001</v>
      </c>
      <c r="G133" s="4">
        <f t="shared" si="5"/>
        <v>0</v>
      </c>
      <c r="H133" s="192">
        <v>30470</v>
      </c>
      <c r="I133" s="3" t="s">
        <v>233</v>
      </c>
      <c r="J133" s="3" t="s">
        <v>675</v>
      </c>
      <c r="K133" s="173">
        <v>-1056206.8400000001</v>
      </c>
      <c r="L133" s="1">
        <v>0</v>
      </c>
      <c r="M133" s="173">
        <v>128578.44</v>
      </c>
      <c r="N133" s="173">
        <v>-1184785.28</v>
      </c>
      <c r="O133" s="4">
        <f>Tab_09.Set[[#This Row],[DÉBITO]]-Tab_09.Set[[#This Row],[CRÉDITO]]</f>
        <v>-128578.44</v>
      </c>
    </row>
    <row r="134" spans="2:15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5</v>
      </c>
      <c r="D134" s="2" t="str">
        <f>_xlfn.XLOOKUP($I134,Tab_00.Trial[CONTA],Tab_00.Trial[S/A],"",0,1)</f>
        <v>A</v>
      </c>
      <c r="E134" s="2">
        <f>IF($I134="","",COUNTIFS(Tab_00.Trial[CONTA],$I134))</f>
        <v>1</v>
      </c>
      <c r="F134" s="4">
        <f>SUMIFS(Tab_08.Ago[SALDO
ATUAL],Tab_08.Ago[CONTA],$I134)</f>
        <v>-1056206.8400000001</v>
      </c>
      <c r="G134" s="4">
        <f t="shared" si="5"/>
        <v>0</v>
      </c>
      <c r="H134" s="192">
        <v>30471</v>
      </c>
      <c r="I134" s="3" t="s">
        <v>194</v>
      </c>
      <c r="J134" s="3" t="s">
        <v>367</v>
      </c>
      <c r="K134" s="173">
        <v>-1056206.8400000001</v>
      </c>
      <c r="L134" s="1">
        <v>0</v>
      </c>
      <c r="M134" s="173">
        <v>128578.44</v>
      </c>
      <c r="N134" s="173">
        <v>-1184785.28</v>
      </c>
      <c r="O134" s="4">
        <f>Tab_09.Set[[#This Row],[DÉBITO]]-Tab_09.Set[[#This Row],[CRÉDITO]]</f>
        <v>-128578.44</v>
      </c>
    </row>
    <row r="135" spans="2:15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5</v>
      </c>
      <c r="D135" s="2" t="str">
        <f>_xlfn.XLOOKUP($I135,Tab_00.Trial[CONTA],Tab_00.Trial[S/A],"",0,1)</f>
        <v>S</v>
      </c>
      <c r="E135" s="2">
        <f>IF($I135="","",COUNTIFS(Tab_00.Trial[CONTA],$I135))</f>
        <v>1</v>
      </c>
      <c r="F135" s="4">
        <f>SUMIFS(Tab_08.Ago[SALDO
ATUAL],Tab_08.Ago[CONTA],$I135)</f>
        <v>-1927127.25</v>
      </c>
      <c r="G135" s="4">
        <f t="shared" si="5"/>
        <v>0</v>
      </c>
      <c r="H135" s="192">
        <v>30475</v>
      </c>
      <c r="I135" s="3" t="s">
        <v>735</v>
      </c>
      <c r="J135" s="3" t="s">
        <v>736</v>
      </c>
      <c r="K135" s="173">
        <v>-1927127.25</v>
      </c>
      <c r="L135" s="1">
        <v>0</v>
      </c>
      <c r="M135" s="1">
        <v>198337.07</v>
      </c>
      <c r="N135" s="173">
        <v>-2125464.3199999998</v>
      </c>
      <c r="O135" s="4">
        <f>Tab_09.Set[[#This Row],[DÉBITO]]-Tab_09.Set[[#This Row],[CRÉDITO]]</f>
        <v>-198337.07</v>
      </c>
    </row>
    <row r="136" spans="2:15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A</v>
      </c>
      <c r="E136" s="2">
        <f>IF($I136="","",COUNTIFS(Tab_00.Trial[CONTA],$I136))</f>
        <v>1</v>
      </c>
      <c r="F136" s="4">
        <f>SUMIFS(Tab_08.Ago[SALDO
ATUAL],Tab_08.Ago[CONTA],$I136)</f>
        <v>-1927127.25</v>
      </c>
      <c r="G136" s="4">
        <f t="shared" si="5"/>
        <v>0</v>
      </c>
      <c r="H136" s="192">
        <v>30476</v>
      </c>
      <c r="I136" s="3" t="s">
        <v>737</v>
      </c>
      <c r="J136" s="3" t="s">
        <v>814</v>
      </c>
      <c r="K136" s="173">
        <v>-1927127.25</v>
      </c>
      <c r="L136" s="1">
        <v>0</v>
      </c>
      <c r="M136" s="173">
        <v>198337.07</v>
      </c>
      <c r="N136" s="173">
        <v>-2125464.3199999998</v>
      </c>
      <c r="O136" s="4">
        <f>Tab_09.Set[[#This Row],[DÉBITO]]-Tab_09.Set[[#This Row],[CRÉDITO]]</f>
        <v>-198337.07</v>
      </c>
    </row>
    <row r="137" spans="2:15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S</v>
      </c>
      <c r="E137" s="2">
        <f>IF($I137="","",COUNTIFS(Tab_00.Trial[CONTA],$I137))</f>
        <v>1</v>
      </c>
      <c r="F137" s="4">
        <f>SUMIFS(Tab_08.Ago[SALDO
ATUAL],Tab_08.Ago[CONTA],$I137)</f>
        <v>-1904083.58</v>
      </c>
      <c r="G137" s="4">
        <f t="shared" si="5"/>
        <v>0</v>
      </c>
      <c r="H137" s="192">
        <v>30645</v>
      </c>
      <c r="I137" s="3" t="s">
        <v>569</v>
      </c>
      <c r="J137" s="3" t="s">
        <v>676</v>
      </c>
      <c r="K137" s="173">
        <v>-1904083.58</v>
      </c>
      <c r="L137" s="1">
        <v>0</v>
      </c>
      <c r="M137" s="1">
        <v>188783.44</v>
      </c>
      <c r="N137" s="173">
        <v>-2092867.02</v>
      </c>
      <c r="O137" s="4">
        <f>Tab_09.Set[[#This Row],[DÉBITO]]-Tab_09.Set[[#This Row],[CRÉDITO]]</f>
        <v>-188783.44</v>
      </c>
    </row>
    <row r="138" spans="2:15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S</v>
      </c>
      <c r="E138" s="2">
        <f>IF($I138="","",COUNTIFS(Tab_00.Trial[CONTA],$I138))</f>
        <v>1</v>
      </c>
      <c r="F138" s="4">
        <f>SUMIFS(Tab_08.Ago[SALDO
ATUAL],Tab_08.Ago[CONTA],$I138)</f>
        <v>-1240354.94</v>
      </c>
      <c r="G138" s="4">
        <f t="shared" si="5"/>
        <v>0</v>
      </c>
      <c r="H138" s="192">
        <v>30660</v>
      </c>
      <c r="I138" s="3" t="s">
        <v>570</v>
      </c>
      <c r="J138" s="3" t="s">
        <v>677</v>
      </c>
      <c r="K138" s="173">
        <v>-1240354.94</v>
      </c>
      <c r="L138" s="1">
        <v>0</v>
      </c>
      <c r="M138" s="1">
        <v>105817.35</v>
      </c>
      <c r="N138" s="173">
        <v>-1346172.29</v>
      </c>
      <c r="O138" s="4">
        <f>Tab_09.Set[[#This Row],[DÉBITO]]-Tab_09.Set[[#This Row],[CRÉDITO]]</f>
        <v>-105817.35</v>
      </c>
    </row>
    <row r="139" spans="2:15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A</v>
      </c>
      <c r="E139" s="2">
        <f>IF($I139="","",COUNTIFS(Tab_00.Trial[CONTA],$I139))</f>
        <v>1</v>
      </c>
      <c r="F139" s="4">
        <f>SUMIFS(Tab_08.Ago[SALDO
ATUAL],Tab_08.Ago[CONTA],$I139)</f>
        <v>-492698.45</v>
      </c>
      <c r="G139" s="4">
        <f t="shared" si="5"/>
        <v>0</v>
      </c>
      <c r="H139" s="192">
        <v>30675</v>
      </c>
      <c r="I139" s="3" t="s">
        <v>368</v>
      </c>
      <c r="J139" s="3" t="s">
        <v>369</v>
      </c>
      <c r="K139" s="173">
        <v>-492698.45</v>
      </c>
      <c r="L139" s="1">
        <v>0</v>
      </c>
      <c r="M139" s="1">
        <v>3800</v>
      </c>
      <c r="N139" s="173">
        <v>-496498.45</v>
      </c>
      <c r="O139" s="4">
        <f>Tab_09.Set[[#This Row],[DÉBITO]]-Tab_09.Set[[#This Row],[CRÉDITO]]</f>
        <v>-3800</v>
      </c>
    </row>
    <row r="140" spans="2:15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A</v>
      </c>
      <c r="E140" s="2">
        <f>IF($I140="","",COUNTIFS(Tab_00.Trial[CONTA],$I140))</f>
        <v>1</v>
      </c>
      <c r="F140" s="4">
        <f>SUMIFS(Tab_08.Ago[SALDO
ATUAL],Tab_08.Ago[CONTA],$I140)</f>
        <v>-538657.03</v>
      </c>
      <c r="G140" s="4">
        <f t="shared" si="5"/>
        <v>0</v>
      </c>
      <c r="H140" s="192">
        <v>30690</v>
      </c>
      <c r="I140" s="3" t="s">
        <v>370</v>
      </c>
      <c r="J140" s="3" t="s">
        <v>371</v>
      </c>
      <c r="K140" s="1">
        <v>-538657.03</v>
      </c>
      <c r="L140" s="1">
        <v>0</v>
      </c>
      <c r="M140" s="1">
        <v>95773.87</v>
      </c>
      <c r="N140" s="1">
        <v>-634430.9</v>
      </c>
      <c r="O140" s="4">
        <f>Tab_09.Set[[#This Row],[DÉBITO]]-Tab_09.Set[[#This Row],[CRÉDITO]]</f>
        <v>-95773.87</v>
      </c>
    </row>
    <row r="141" spans="2:15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5</v>
      </c>
      <c r="D141" s="2" t="str">
        <f>_xlfn.XLOOKUP($I141,Tab_00.Trial[CONTA],Tab_00.Trial[S/A],"",0,1)</f>
        <v>A</v>
      </c>
      <c r="E141" s="2">
        <f>IF($I141="","",COUNTIFS(Tab_00.Trial[CONTA],$I141))</f>
        <v>1</v>
      </c>
      <c r="F141" s="4">
        <f>SUMIFS(Tab_08.Ago[SALDO
ATUAL],Tab_08.Ago[CONTA],$I141)</f>
        <v>-6547.36</v>
      </c>
      <c r="G141" s="4">
        <f t="shared" si="5"/>
        <v>0</v>
      </c>
      <c r="H141" s="192">
        <v>30705</v>
      </c>
      <c r="I141" s="3" t="s">
        <v>372</v>
      </c>
      <c r="J141" s="3" t="s">
        <v>373</v>
      </c>
      <c r="K141" s="1">
        <v>-6547.36</v>
      </c>
      <c r="L141" s="1">
        <v>0</v>
      </c>
      <c r="M141" s="1">
        <v>0</v>
      </c>
      <c r="N141" s="1">
        <v>-6547.36</v>
      </c>
      <c r="O141" s="4">
        <f>Tab_09.Set[[#This Row],[DÉBITO]]-Tab_09.Set[[#This Row],[CRÉDITO]]</f>
        <v>0</v>
      </c>
    </row>
    <row r="142" spans="2:15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A</v>
      </c>
      <c r="E142" s="2">
        <f>IF($I142="","",COUNTIFS(Tab_00.Trial[CONTA],$I142))</f>
        <v>1</v>
      </c>
      <c r="F142" s="4">
        <f>SUMIFS(Tab_08.Ago[SALDO
ATUAL],Tab_08.Ago[CONTA],$I142)</f>
        <v>-89617.06</v>
      </c>
      <c r="G142" s="4">
        <f t="shared" si="5"/>
        <v>0</v>
      </c>
      <c r="H142" s="192">
        <v>30710</v>
      </c>
      <c r="I142" s="3" t="s">
        <v>845</v>
      </c>
      <c r="J142" s="3" t="s">
        <v>846</v>
      </c>
      <c r="K142" s="1">
        <v>-89617.06</v>
      </c>
      <c r="L142" s="1">
        <v>0</v>
      </c>
      <c r="M142" s="1">
        <v>0</v>
      </c>
      <c r="N142" s="1">
        <v>-89617.06</v>
      </c>
      <c r="O142" s="4">
        <f>Tab_09.Set[[#This Row],[DÉBITO]]-Tab_09.Set[[#This Row],[CRÉDITO]]</f>
        <v>0</v>
      </c>
    </row>
    <row r="143" spans="2:15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A</v>
      </c>
      <c r="E143" s="2">
        <f>IF($I143="","",COUNTIFS(Tab_00.Trial[CONTA],$I143))</f>
        <v>1</v>
      </c>
      <c r="F143" s="4">
        <f>SUMIFS(Tab_08.Ago[SALDO
ATUAL],Tab_08.Ago[CONTA],$I143)</f>
        <v>-112835.04</v>
      </c>
      <c r="G143" s="4">
        <f t="shared" si="5"/>
        <v>0</v>
      </c>
      <c r="H143" s="192">
        <v>10895</v>
      </c>
      <c r="I143" s="3" t="s">
        <v>927</v>
      </c>
      <c r="J143" s="3" t="s">
        <v>928</v>
      </c>
      <c r="K143" s="1">
        <v>-112835.04</v>
      </c>
      <c r="L143" s="1">
        <v>0</v>
      </c>
      <c r="M143" s="1">
        <v>6243.48</v>
      </c>
      <c r="N143" s="1">
        <v>-119078.52</v>
      </c>
      <c r="O143" s="4">
        <f>Tab_09.Set[[#This Row],[DÉBITO]]-Tab_09.Set[[#This Row],[CRÉDITO]]</f>
        <v>-6243.48</v>
      </c>
    </row>
    <row r="144" spans="2:15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5</v>
      </c>
      <c r="D144" s="2" t="str">
        <f>_xlfn.XLOOKUP($I144,Tab_00.Trial[CONTA],Tab_00.Trial[S/A],"",0,1)</f>
        <v>S</v>
      </c>
      <c r="E144" s="2">
        <f>IF($I144="","",COUNTIFS(Tab_00.Trial[CONTA],$I144))</f>
        <v>1</v>
      </c>
      <c r="F144" s="4">
        <f>SUMIFS(Tab_08.Ago[SALDO
ATUAL],Tab_08.Ago[CONTA],$I144)</f>
        <v>-663728.64000000001</v>
      </c>
      <c r="G144" s="4">
        <f t="shared" si="5"/>
        <v>0</v>
      </c>
      <c r="H144" s="192">
        <v>30720</v>
      </c>
      <c r="I144" s="3" t="s">
        <v>571</v>
      </c>
      <c r="J144" s="3" t="s">
        <v>377</v>
      </c>
      <c r="K144" s="1">
        <v>-663728.64000000001</v>
      </c>
      <c r="L144" s="1">
        <v>0</v>
      </c>
      <c r="M144" s="1">
        <v>82966.09</v>
      </c>
      <c r="N144" s="1">
        <v>-746694.73</v>
      </c>
      <c r="O144" s="4">
        <f>Tab_09.Set[[#This Row],[DÉBITO]]-Tab_09.Set[[#This Row],[CRÉDITO]]</f>
        <v>-82966.09</v>
      </c>
    </row>
    <row r="145" spans="2:15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5</v>
      </c>
      <c r="D145" s="2" t="str">
        <f>_xlfn.XLOOKUP($I145,Tab_00.Trial[CONTA],Tab_00.Trial[S/A],"",0,1)</f>
        <v>A</v>
      </c>
      <c r="E145" s="2">
        <f>IF($I145="","",COUNTIFS(Tab_00.Trial[CONTA],$I145))</f>
        <v>1</v>
      </c>
      <c r="F145" s="4">
        <f>SUMIFS(Tab_08.Ago[SALDO
ATUAL],Tab_08.Ago[CONTA],$I145)</f>
        <v>-663728.64000000001</v>
      </c>
      <c r="G145" s="4">
        <f t="shared" si="5"/>
        <v>0</v>
      </c>
      <c r="H145" s="192">
        <v>30735</v>
      </c>
      <c r="I145" s="3" t="s">
        <v>376</v>
      </c>
      <c r="J145" s="3" t="s">
        <v>377</v>
      </c>
      <c r="K145" s="173">
        <v>-663728.64000000001</v>
      </c>
      <c r="L145" s="1">
        <v>0</v>
      </c>
      <c r="M145" s="173">
        <v>82966.09</v>
      </c>
      <c r="N145" s="173">
        <v>-746694.73</v>
      </c>
      <c r="O145" s="4">
        <f>Tab_09.Set[[#This Row],[DÉBITO]]-Tab_09.Set[[#This Row],[CRÉDITO]]</f>
        <v>-82966.09</v>
      </c>
    </row>
    <row r="146" spans="2:15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2</v>
      </c>
      <c r="D146" s="2" t="str">
        <f>_xlfn.XLOOKUP($I146,Tab_00.Trial[CONTA],Tab_00.Trial[S/A],"",0,1)</f>
        <v>S</v>
      </c>
      <c r="E146" s="2">
        <f>IF($I146="","",COUNTIFS(Tab_00.Trial[CONTA],$I146))</f>
        <v>1</v>
      </c>
      <c r="F146" s="4">
        <f>SUMIFS(Tab_08.Ago[SALDO
ATUAL],Tab_08.Ago[CONTA],$I146)</f>
        <v>-3525351.61</v>
      </c>
      <c r="G146" s="4">
        <f t="shared" ref="G146:G177" si="6">$F146-$K146</f>
        <v>0</v>
      </c>
      <c r="H146" s="192">
        <v>31065</v>
      </c>
      <c r="I146" s="3" t="s">
        <v>574</v>
      </c>
      <c r="J146" s="3" t="s">
        <v>680</v>
      </c>
      <c r="K146" s="173">
        <v>-3525351.61</v>
      </c>
      <c r="L146" s="1">
        <v>12078.33</v>
      </c>
      <c r="M146" s="173">
        <v>458450.1</v>
      </c>
      <c r="N146" s="173">
        <v>-3971723.38</v>
      </c>
      <c r="O146" s="4">
        <f>Tab_09.Set[[#This Row],[DÉBITO]]-Tab_09.Set[[#This Row],[CRÉDITO]]</f>
        <v>-446371.77</v>
      </c>
    </row>
    <row r="147" spans="2:15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5</v>
      </c>
      <c r="D147" s="2" t="str">
        <f>_xlfn.XLOOKUP($I147,Tab_00.Trial[CONTA],Tab_00.Trial[S/A],"",0,1)</f>
        <v>S</v>
      </c>
      <c r="E147" s="2">
        <f>IF($I147="","",COUNTIFS(Tab_00.Trial[CONTA],$I147))</f>
        <v>1</v>
      </c>
      <c r="F147" s="4">
        <f>SUMIFS(Tab_08.Ago[SALDO
ATUAL],Tab_08.Ago[CONTA],$I147)</f>
        <v>-50</v>
      </c>
      <c r="G147" s="4">
        <f t="shared" si="6"/>
        <v>0</v>
      </c>
      <c r="H147" s="192">
        <v>31080</v>
      </c>
      <c r="I147" s="3" t="s">
        <v>575</v>
      </c>
      <c r="J147" s="3" t="s">
        <v>681</v>
      </c>
      <c r="K147" s="173">
        <v>-50</v>
      </c>
      <c r="L147" s="1">
        <v>0</v>
      </c>
      <c r="M147" s="173">
        <v>5000</v>
      </c>
      <c r="N147" s="173">
        <v>-5050</v>
      </c>
      <c r="O147" s="4">
        <f>Tab_09.Set[[#This Row],[DÉBITO]]-Tab_09.Set[[#This Row],[CRÉDITO]]</f>
        <v>-5000</v>
      </c>
    </row>
    <row r="148" spans="2:15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S</v>
      </c>
      <c r="E148" s="2">
        <f>IF($I148="","",COUNTIFS(Tab_00.Trial[CONTA],$I148))</f>
        <v>1</v>
      </c>
      <c r="F148" s="4">
        <f>SUMIFS(Tab_08.Ago[SALDO
ATUAL],Tab_08.Ago[CONTA],$I148)</f>
        <v>-50</v>
      </c>
      <c r="G148" s="4">
        <f t="shared" si="6"/>
        <v>0</v>
      </c>
      <c r="H148" s="192">
        <v>31095</v>
      </c>
      <c r="I148" s="3" t="s">
        <v>576</v>
      </c>
      <c r="J148" s="3" t="s">
        <v>815</v>
      </c>
      <c r="K148" s="173">
        <v>-50</v>
      </c>
      <c r="L148" s="1">
        <v>0</v>
      </c>
      <c r="M148" s="173">
        <v>5000</v>
      </c>
      <c r="N148" s="173">
        <v>-5050</v>
      </c>
      <c r="O148" s="4">
        <f>Tab_09.Set[[#This Row],[DÉBITO]]-Tab_09.Set[[#This Row],[CRÉDITO]]</f>
        <v>-5000</v>
      </c>
    </row>
    <row r="149" spans="2:15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5</v>
      </c>
      <c r="D149" s="2" t="str">
        <f>_xlfn.XLOOKUP($I149,Tab_00.Trial[CONTA],Tab_00.Trial[S/A],"",0,1)</f>
        <v>A</v>
      </c>
      <c r="E149" s="2">
        <f>IF($I149="","",COUNTIFS(Tab_00.Trial[CONTA],$I149))</f>
        <v>1</v>
      </c>
      <c r="F149" s="4">
        <f>SUMIFS(Tab_08.Ago[SALDO
ATUAL],Tab_08.Ago[CONTA],$I149)</f>
        <v>-50</v>
      </c>
      <c r="G149" s="4">
        <f t="shared" si="6"/>
        <v>0</v>
      </c>
      <c r="H149" s="192">
        <v>31096</v>
      </c>
      <c r="I149" s="3" t="s">
        <v>382</v>
      </c>
      <c r="J149" s="3" t="s">
        <v>292</v>
      </c>
      <c r="K149" s="173">
        <v>-50</v>
      </c>
      <c r="L149" s="1">
        <v>0</v>
      </c>
      <c r="M149" s="173">
        <v>5000</v>
      </c>
      <c r="N149" s="173">
        <v>-5050</v>
      </c>
      <c r="O149" s="4">
        <f>Tab_09.Set[[#This Row],[DÉBITO]]-Tab_09.Set[[#This Row],[CRÉDITO]]</f>
        <v>-5000</v>
      </c>
    </row>
    <row r="150" spans="2:15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5</v>
      </c>
      <c r="D150" s="2" t="str">
        <f>_xlfn.XLOOKUP($I150,Tab_00.Trial[CONTA],Tab_00.Trial[S/A],"",0,1)</f>
        <v>S</v>
      </c>
      <c r="E150" s="2">
        <f>IF($I150="","",COUNTIFS(Tab_00.Trial[CONTA],$I150))</f>
        <v>1</v>
      </c>
      <c r="F150" s="4">
        <f>SUMIFS(Tab_08.Ago[SALDO
ATUAL],Tab_08.Ago[CONTA],$I150)</f>
        <v>48.73</v>
      </c>
      <c r="G150" s="4">
        <f t="shared" si="6"/>
        <v>0</v>
      </c>
      <c r="H150" s="192">
        <v>31140</v>
      </c>
      <c r="I150" s="3" t="s">
        <v>577</v>
      </c>
      <c r="J150" s="3" t="s">
        <v>683</v>
      </c>
      <c r="K150" s="1">
        <v>48.73</v>
      </c>
      <c r="L150" s="1">
        <v>12078.33</v>
      </c>
      <c r="M150" s="173">
        <v>0</v>
      </c>
      <c r="N150" s="173">
        <v>12127.06</v>
      </c>
      <c r="O150" s="4">
        <f>Tab_09.Set[[#This Row],[DÉBITO]]-Tab_09.Set[[#This Row],[CRÉDITO]]</f>
        <v>12078.33</v>
      </c>
    </row>
    <row r="151" spans="2:15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5</v>
      </c>
      <c r="D151" s="2" t="str">
        <f>_xlfn.XLOOKUP($I151,Tab_00.Trial[CONTA],Tab_00.Trial[S/A],"",0,1)</f>
        <v>S</v>
      </c>
      <c r="E151" s="2">
        <f>IF($I151="","",COUNTIFS(Tab_00.Trial[CONTA],$I151))</f>
        <v>1</v>
      </c>
      <c r="F151" s="4">
        <f>SUMIFS(Tab_08.Ago[SALDO
ATUAL],Tab_08.Ago[CONTA],$I151)</f>
        <v>48.73</v>
      </c>
      <c r="G151" s="4">
        <f t="shared" si="6"/>
        <v>0</v>
      </c>
      <c r="H151" s="192">
        <v>31215</v>
      </c>
      <c r="I151" s="3" t="s">
        <v>847</v>
      </c>
      <c r="J151" s="3" t="s">
        <v>848</v>
      </c>
      <c r="K151" s="1">
        <v>48.73</v>
      </c>
      <c r="L151" s="1">
        <v>12078.33</v>
      </c>
      <c r="M151" s="173">
        <v>0</v>
      </c>
      <c r="N151" s="173">
        <v>12127.06</v>
      </c>
      <c r="O151" s="4">
        <f>Tab_09.Set[[#This Row],[DÉBITO]]-Tab_09.Set[[#This Row],[CRÉDITO]]</f>
        <v>12078.33</v>
      </c>
    </row>
    <row r="152" spans="2:15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5</v>
      </c>
      <c r="D152" s="2" t="str">
        <f>_xlfn.XLOOKUP($I152,Tab_00.Trial[CONTA],Tab_00.Trial[S/A],"",0,1)</f>
        <v>A</v>
      </c>
      <c r="E152" s="2">
        <f>IF($I152="","",COUNTIFS(Tab_00.Trial[CONTA],$I152))</f>
        <v>1</v>
      </c>
      <c r="F152" s="4">
        <f>SUMIFS(Tab_08.Ago[SALDO
ATUAL],Tab_08.Ago[CONTA],$I152)</f>
        <v>48.73</v>
      </c>
      <c r="G152" s="4">
        <f t="shared" si="6"/>
        <v>0</v>
      </c>
      <c r="H152" s="192">
        <v>31246</v>
      </c>
      <c r="I152" s="3" t="s">
        <v>849</v>
      </c>
      <c r="J152" s="3" t="s">
        <v>850</v>
      </c>
      <c r="K152" s="1">
        <v>48.73</v>
      </c>
      <c r="L152" s="1">
        <v>12078.33</v>
      </c>
      <c r="M152" s="173">
        <v>0</v>
      </c>
      <c r="N152" s="173">
        <v>12127.06</v>
      </c>
      <c r="O152" s="4">
        <f>Tab_09.Set[[#This Row],[DÉBITO]]-Tab_09.Set[[#This Row],[CRÉDITO]]</f>
        <v>12078.33</v>
      </c>
    </row>
    <row r="153" spans="2:15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5</v>
      </c>
      <c r="D153" s="2" t="str">
        <f>_xlfn.XLOOKUP($I153,Tab_00.Trial[CONTA],Tab_00.Trial[S/A],"",0,1)</f>
        <v>S</v>
      </c>
      <c r="E153" s="2">
        <f>IF($I153="","",COUNTIFS(Tab_00.Trial[CONTA],$I153))</f>
        <v>1</v>
      </c>
      <c r="F153" s="4">
        <f>SUMIFS(Tab_08.Ago[SALDO
ATUAL],Tab_08.Ago[CONTA],$I153)</f>
        <v>-3525350.34</v>
      </c>
      <c r="G153" s="4">
        <f t="shared" si="6"/>
        <v>0</v>
      </c>
      <c r="H153" s="192">
        <v>31260</v>
      </c>
      <c r="I153" s="3" t="s">
        <v>580</v>
      </c>
      <c r="J153" s="3" t="s">
        <v>816</v>
      </c>
      <c r="K153" s="173">
        <v>-3525350.34</v>
      </c>
      <c r="L153" s="1">
        <v>0</v>
      </c>
      <c r="M153" s="173">
        <v>453450.1</v>
      </c>
      <c r="N153" s="173">
        <v>-3978800.44</v>
      </c>
      <c r="O153" s="4">
        <f>Tab_09.Set[[#This Row],[DÉBITO]]-Tab_09.Set[[#This Row],[CRÉDITO]]</f>
        <v>-453450.1</v>
      </c>
    </row>
    <row r="154" spans="2:15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5</v>
      </c>
      <c r="D154" s="2" t="str">
        <f>_xlfn.XLOOKUP($I154,Tab_00.Trial[CONTA],Tab_00.Trial[S/A],"",0,1)</f>
        <v>S</v>
      </c>
      <c r="E154" s="2">
        <f>IF($I154="","",COUNTIFS(Tab_00.Trial[CONTA],$I154))</f>
        <v>1</v>
      </c>
      <c r="F154" s="4">
        <f>SUMIFS(Tab_08.Ago[SALDO
ATUAL],Tab_08.Ago[CONTA],$I154)</f>
        <v>-3525350.34</v>
      </c>
      <c r="G154" s="4">
        <f t="shared" si="6"/>
        <v>0</v>
      </c>
      <c r="H154" s="192">
        <v>31275</v>
      </c>
      <c r="I154" s="3" t="s">
        <v>581</v>
      </c>
      <c r="J154" s="3" t="s">
        <v>687</v>
      </c>
      <c r="K154" s="173">
        <v>-3525350.34</v>
      </c>
      <c r="L154" s="1">
        <v>0</v>
      </c>
      <c r="M154" s="173">
        <v>453450.1</v>
      </c>
      <c r="N154" s="173">
        <v>-3978800.44</v>
      </c>
      <c r="O154" s="4">
        <f>Tab_09.Set[[#This Row],[DÉBITO]]-Tab_09.Set[[#This Row],[CRÉDITO]]</f>
        <v>-453450.1</v>
      </c>
    </row>
    <row r="155" spans="2:15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5</v>
      </c>
      <c r="D155" s="2" t="str">
        <f>_xlfn.XLOOKUP($I155,Tab_00.Trial[CONTA],Tab_00.Trial[S/A],"",0,1)</f>
        <v>A</v>
      </c>
      <c r="E155" s="2">
        <f>IF($I155="","",COUNTIFS(Tab_00.Trial[CONTA],$I155))</f>
        <v>1</v>
      </c>
      <c r="F155" s="4">
        <f>SUMIFS(Tab_08.Ago[SALDO
ATUAL],Tab_08.Ago[CONTA],$I155)</f>
        <v>-3466520.84</v>
      </c>
      <c r="G155" s="4">
        <f t="shared" si="6"/>
        <v>0</v>
      </c>
      <c r="H155" s="192">
        <v>31291</v>
      </c>
      <c r="I155" s="3" t="s">
        <v>387</v>
      </c>
      <c r="J155" s="3" t="s">
        <v>388</v>
      </c>
      <c r="K155" s="173">
        <v>-3466520.84</v>
      </c>
      <c r="L155" s="1">
        <v>0</v>
      </c>
      <c r="M155" s="173">
        <v>440421.58</v>
      </c>
      <c r="N155" s="173">
        <v>-3906942.42</v>
      </c>
      <c r="O155" s="4">
        <f>Tab_09.Set[[#This Row],[DÉBITO]]-Tab_09.Set[[#This Row],[CRÉDITO]]</f>
        <v>-440421.58</v>
      </c>
    </row>
    <row r="156" spans="2:15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5</v>
      </c>
      <c r="D156" s="2" t="str">
        <f>_xlfn.XLOOKUP($I156,Tab_00.Trial[CONTA],Tab_00.Trial[S/A],"",0,1)</f>
        <v>A</v>
      </c>
      <c r="E156" s="2">
        <f>IF($I156="","",COUNTIFS(Tab_00.Trial[CONTA],$I156))</f>
        <v>1</v>
      </c>
      <c r="F156" s="4">
        <f>SUMIFS(Tab_08.Ago[SALDO
ATUAL],Tab_08.Ago[CONTA],$I156)</f>
        <v>-58829.5</v>
      </c>
      <c r="G156" s="4">
        <f t="shared" si="6"/>
        <v>0</v>
      </c>
      <c r="H156" s="192">
        <v>31292</v>
      </c>
      <c r="I156" s="3" t="s">
        <v>389</v>
      </c>
      <c r="J156" s="3" t="s">
        <v>390</v>
      </c>
      <c r="K156" s="1">
        <v>-58829.5</v>
      </c>
      <c r="L156" s="1">
        <v>0</v>
      </c>
      <c r="M156" s="1">
        <v>13028.52</v>
      </c>
      <c r="N156" s="1">
        <v>-71858.02</v>
      </c>
      <c r="O156" s="4">
        <f>Tab_09.Set[[#This Row],[DÉBITO]]-Tab_09.Set[[#This Row],[CRÉDITO]]</f>
        <v>-13028.52</v>
      </c>
    </row>
    <row r="157" spans="2:15" x14ac:dyDescent="0.3">
      <c r="B157" s="2" t="str">
        <f>_xlfn.XLOOKUP($I157,Tab_00.Trial[CONTA],Tab_00.Trial[TP],"",0,1)</f>
        <v>R</v>
      </c>
      <c r="C157" s="2">
        <f>_xlfn.XLOOKUP($I157,Tab_00.Trial[CONTA],Tab_00.Trial[NV],"",0,1)</f>
        <v>2</v>
      </c>
      <c r="D157" s="2" t="str">
        <f>_xlfn.XLOOKUP($I157,Tab_00.Trial[CONTA],Tab_00.Trial[S/A],"",0,1)</f>
        <v>S</v>
      </c>
      <c r="E157" s="2">
        <f>IF($I157="","",COUNTIFS(Tab_00.Trial[CONTA],$I157))</f>
        <v>1</v>
      </c>
      <c r="F157" s="4">
        <f>SUMIFS(Tab_08.Ago[SALDO
ATUAL],Tab_08.Ago[CONTA],$I157)</f>
        <v>-2046455.27</v>
      </c>
      <c r="G157" s="4">
        <f t="shared" si="6"/>
        <v>0</v>
      </c>
      <c r="H157" s="192">
        <v>31470</v>
      </c>
      <c r="I157" s="3" t="s">
        <v>582</v>
      </c>
      <c r="J157" s="3" t="s">
        <v>688</v>
      </c>
      <c r="K157" s="1">
        <v>-2046455.27</v>
      </c>
      <c r="L157" s="1">
        <v>0</v>
      </c>
      <c r="M157" s="1">
        <v>154845.95000000001</v>
      </c>
      <c r="N157" s="1">
        <v>-2201301.2200000002</v>
      </c>
      <c r="O157" s="4">
        <f>Tab_09.Set[[#This Row],[DÉBITO]]-Tab_09.Set[[#This Row],[CRÉDITO]]</f>
        <v>-154845.95000000001</v>
      </c>
    </row>
    <row r="158" spans="2:15" x14ac:dyDescent="0.3">
      <c r="B158" s="2" t="str">
        <f>_xlfn.XLOOKUP($I158,Tab_00.Trial[CONTA],Tab_00.Trial[TP],"",0,1)</f>
        <v>R</v>
      </c>
      <c r="C158" s="2">
        <f>_xlfn.XLOOKUP($I158,Tab_00.Trial[CONTA],Tab_00.Trial[NV],"",0,1)</f>
        <v>5</v>
      </c>
      <c r="D158" s="2" t="str">
        <f>_xlfn.XLOOKUP($I158,Tab_00.Trial[CONTA],Tab_00.Trial[S/A],"",0,1)</f>
        <v>S</v>
      </c>
      <c r="E158" s="2">
        <f>IF($I158="","",COUNTIFS(Tab_00.Trial[CONTA],$I158))</f>
        <v>1</v>
      </c>
      <c r="F158" s="4">
        <f>SUMIFS(Tab_08.Ago[SALDO
ATUAL],Tab_08.Ago[CONTA],$I158)</f>
        <v>-373.52</v>
      </c>
      <c r="G158" s="4">
        <f t="shared" si="6"/>
        <v>0</v>
      </c>
      <c r="H158" s="192">
        <v>31590</v>
      </c>
      <c r="I158" s="3" t="s">
        <v>583</v>
      </c>
      <c r="J158" s="3" t="s">
        <v>689</v>
      </c>
      <c r="K158" s="1">
        <v>-373.52</v>
      </c>
      <c r="L158" s="1">
        <v>0</v>
      </c>
      <c r="M158" s="1">
        <v>300.02</v>
      </c>
      <c r="N158" s="1">
        <v>-673.54</v>
      </c>
      <c r="O158" s="4">
        <f>Tab_09.Set[[#This Row],[DÉBITO]]-Tab_09.Set[[#This Row],[CRÉDITO]]</f>
        <v>-300.02</v>
      </c>
    </row>
    <row r="159" spans="2:15" x14ac:dyDescent="0.3">
      <c r="B159" s="2" t="str">
        <f>_xlfn.XLOOKUP($I159,Tab_00.Trial[CONTA],Tab_00.Trial[TP],"",0,1)</f>
        <v>R</v>
      </c>
      <c r="C159" s="2">
        <f>_xlfn.XLOOKUP($I159,Tab_00.Trial[CONTA],Tab_00.Trial[NV],"",0,1)</f>
        <v>5</v>
      </c>
      <c r="D159" s="2" t="str">
        <f>_xlfn.XLOOKUP($I159,Tab_00.Trial[CONTA],Tab_00.Trial[S/A],"",0,1)</f>
        <v>S</v>
      </c>
      <c r="E159" s="2">
        <f>IF($I159="","",COUNTIFS(Tab_00.Trial[CONTA],$I159))</f>
        <v>1</v>
      </c>
      <c r="F159" s="4">
        <f>SUMIFS(Tab_08.Ago[SALDO
ATUAL],Tab_08.Ago[CONTA],$I159)</f>
        <v>-373.52</v>
      </c>
      <c r="G159" s="4">
        <f t="shared" si="6"/>
        <v>0</v>
      </c>
      <c r="H159" s="192">
        <v>31605</v>
      </c>
      <c r="I159" s="3" t="s">
        <v>584</v>
      </c>
      <c r="J159" s="3" t="s">
        <v>689</v>
      </c>
      <c r="K159" s="1">
        <v>-373.52</v>
      </c>
      <c r="L159" s="1">
        <v>0</v>
      </c>
      <c r="M159" s="1">
        <v>300.02</v>
      </c>
      <c r="N159" s="1">
        <v>-673.54</v>
      </c>
      <c r="O159" s="4">
        <f>Tab_09.Set[[#This Row],[DÉBITO]]-Tab_09.Set[[#This Row],[CRÉDITO]]</f>
        <v>-300.02</v>
      </c>
    </row>
    <row r="160" spans="2:15" x14ac:dyDescent="0.3">
      <c r="B160" s="2" t="str">
        <f>_xlfn.XLOOKUP($I160,Tab_00.Trial[CONTA],Tab_00.Trial[TP],"",0,1)</f>
        <v>R</v>
      </c>
      <c r="C160" s="2">
        <f>_xlfn.XLOOKUP($I160,Tab_00.Trial[CONTA],Tab_00.Trial[NV],"",0,1)</f>
        <v>5</v>
      </c>
      <c r="D160" s="2" t="str">
        <f>_xlfn.XLOOKUP($I160,Tab_00.Trial[CONTA],Tab_00.Trial[S/A],"",0,1)</f>
        <v>A</v>
      </c>
      <c r="E160" s="2">
        <f>IF($I160="","",COUNTIFS(Tab_00.Trial[CONTA],$I160))</f>
        <v>1</v>
      </c>
      <c r="F160" s="4">
        <f>SUMIFS(Tab_08.Ago[SALDO
ATUAL],Tab_08.Ago[CONTA],$I160)</f>
        <v>-373.52</v>
      </c>
      <c r="G160" s="4">
        <f t="shared" si="6"/>
        <v>0</v>
      </c>
      <c r="H160" s="192">
        <v>31645</v>
      </c>
      <c r="I160" s="3" t="s">
        <v>391</v>
      </c>
      <c r="J160" s="3" t="s">
        <v>392</v>
      </c>
      <c r="K160" s="173">
        <v>-373.52</v>
      </c>
      <c r="L160" s="173">
        <v>0</v>
      </c>
      <c r="M160" s="173">
        <v>300.02</v>
      </c>
      <c r="N160" s="173">
        <v>-673.54</v>
      </c>
      <c r="O160" s="4">
        <f>Tab_09.Set[[#This Row],[DÉBITO]]-Tab_09.Set[[#This Row],[CRÉDITO]]</f>
        <v>-300.02</v>
      </c>
    </row>
    <row r="161" spans="2:15" x14ac:dyDescent="0.3">
      <c r="B161" s="2" t="str">
        <f>_xlfn.XLOOKUP($I161,Tab_00.Trial[CONTA],Tab_00.Trial[TP],"",0,1)</f>
        <v>R</v>
      </c>
      <c r="C161" s="2">
        <f>_xlfn.XLOOKUP($I161,Tab_00.Trial[CONTA],Tab_00.Trial[NV],"",0,1)</f>
        <v>5</v>
      </c>
      <c r="D161" s="2" t="str">
        <f>_xlfn.XLOOKUP($I161,Tab_00.Trial[CONTA],Tab_00.Trial[S/A],"",0,1)</f>
        <v>S</v>
      </c>
      <c r="E161" s="2">
        <f>IF($I161="","",COUNTIFS(Tab_00.Trial[CONTA],$I161))</f>
        <v>1</v>
      </c>
      <c r="F161" s="4">
        <f>SUMIFS(Tab_08.Ago[SALDO
ATUAL],Tab_08.Ago[CONTA],$I161)</f>
        <v>-2046081.75</v>
      </c>
      <c r="G161" s="4">
        <f t="shared" si="6"/>
        <v>0</v>
      </c>
      <c r="H161" s="192">
        <v>31650</v>
      </c>
      <c r="I161" s="3" t="s">
        <v>585</v>
      </c>
      <c r="J161" s="3" t="s">
        <v>690</v>
      </c>
      <c r="K161" s="173">
        <v>-2046081.75</v>
      </c>
      <c r="L161" s="173">
        <v>0</v>
      </c>
      <c r="M161" s="173">
        <v>154545.93</v>
      </c>
      <c r="N161" s="173">
        <v>-2200627.6800000002</v>
      </c>
      <c r="O161" s="4">
        <f>Tab_09.Set[[#This Row],[DÉBITO]]-Tab_09.Set[[#This Row],[CRÉDITO]]</f>
        <v>-154545.93</v>
      </c>
    </row>
    <row r="162" spans="2:15" x14ac:dyDescent="0.3">
      <c r="B162" s="2" t="str">
        <f>_xlfn.XLOOKUP($I162,Tab_00.Trial[CONTA],Tab_00.Trial[TP],"",0,1)</f>
        <v>R</v>
      </c>
      <c r="C162" s="2">
        <f>_xlfn.XLOOKUP($I162,Tab_00.Trial[CONTA],Tab_00.Trial[NV],"",0,1)</f>
        <v>5</v>
      </c>
      <c r="D162" s="2" t="str">
        <f>_xlfn.XLOOKUP($I162,Tab_00.Trial[CONTA],Tab_00.Trial[S/A],"",0,1)</f>
        <v>S</v>
      </c>
      <c r="E162" s="2">
        <f>IF($I162="","",COUNTIFS(Tab_00.Trial[CONTA],$I162))</f>
        <v>1</v>
      </c>
      <c r="F162" s="4">
        <f>SUMIFS(Tab_08.Ago[SALDO
ATUAL],Tab_08.Ago[CONTA],$I162)</f>
        <v>-2046081.75</v>
      </c>
      <c r="G162" s="4">
        <f t="shared" si="6"/>
        <v>0</v>
      </c>
      <c r="H162" s="192">
        <v>31665</v>
      </c>
      <c r="I162" s="3" t="s">
        <v>586</v>
      </c>
      <c r="J162" s="3" t="s">
        <v>394</v>
      </c>
      <c r="K162" s="173">
        <v>-2046081.75</v>
      </c>
      <c r="L162" s="173">
        <v>0</v>
      </c>
      <c r="M162" s="173">
        <v>154545.93</v>
      </c>
      <c r="N162" s="173">
        <v>-2200627.6800000002</v>
      </c>
      <c r="O162" s="4">
        <f>Tab_09.Set[[#This Row],[DÉBITO]]-Tab_09.Set[[#This Row],[CRÉDITO]]</f>
        <v>-154545.93</v>
      </c>
    </row>
    <row r="163" spans="2:15" x14ac:dyDescent="0.3">
      <c r="B163" s="2" t="str">
        <f>_xlfn.XLOOKUP($I163,Tab_00.Trial[CONTA],Tab_00.Trial[TP],"",0,1)</f>
        <v>R</v>
      </c>
      <c r="C163" s="2">
        <f>_xlfn.XLOOKUP($I163,Tab_00.Trial[CONTA],Tab_00.Trial[NV],"",0,1)</f>
        <v>5</v>
      </c>
      <c r="D163" s="2" t="str">
        <f>_xlfn.XLOOKUP($I163,Tab_00.Trial[CONTA],Tab_00.Trial[S/A],"",0,1)</f>
        <v>A</v>
      </c>
      <c r="E163" s="2">
        <f>IF($I163="","",COUNTIFS(Tab_00.Trial[CONTA],$I163))</f>
        <v>1</v>
      </c>
      <c r="F163" s="4">
        <f>SUMIFS(Tab_08.Ago[SALDO
ATUAL],Tab_08.Ago[CONTA],$I163)</f>
        <v>-2046081.75</v>
      </c>
      <c r="G163" s="4">
        <f t="shared" si="6"/>
        <v>0</v>
      </c>
      <c r="H163" s="192">
        <v>31680</v>
      </c>
      <c r="I163" s="3" t="s">
        <v>393</v>
      </c>
      <c r="J163" s="3" t="s">
        <v>394</v>
      </c>
      <c r="K163" s="173">
        <v>-2046081.75</v>
      </c>
      <c r="L163" s="173">
        <v>0</v>
      </c>
      <c r="M163" s="173">
        <v>154545.93</v>
      </c>
      <c r="N163" s="173">
        <v>-2200627.6800000002</v>
      </c>
      <c r="O163" s="4">
        <f>Tab_09.Set[[#This Row],[DÉBITO]]-Tab_09.Set[[#This Row],[CRÉDITO]]</f>
        <v>-154545.93</v>
      </c>
    </row>
    <row r="164" spans="2:15" x14ac:dyDescent="0.3">
      <c r="B164" s="2" t="str">
        <f>_xlfn.XLOOKUP($I164,Tab_00.Trial[CONTA],Tab_00.Trial[TP],"",0,1)</f>
        <v>R</v>
      </c>
      <c r="C164" s="2">
        <f>_xlfn.XLOOKUP($I164,Tab_00.Trial[CONTA],Tab_00.Trial[NV],"",0,1)</f>
        <v>2</v>
      </c>
      <c r="D164" s="2" t="str">
        <f>_xlfn.XLOOKUP($I164,Tab_00.Trial[CONTA],Tab_00.Trial[S/A],"",0,1)</f>
        <v>S</v>
      </c>
      <c r="E164" s="2">
        <f>IF($I164="","",COUNTIFS(Tab_00.Trial[CONTA],$I164))</f>
        <v>1</v>
      </c>
      <c r="F164" s="4">
        <f>SUMIFS(Tab_08.Ago[SALDO
ATUAL],Tab_08.Ago[CONTA],$I164)</f>
        <v>-7450</v>
      </c>
      <c r="G164" s="4">
        <f t="shared" si="6"/>
        <v>0</v>
      </c>
      <c r="H164" s="192">
        <v>31725</v>
      </c>
      <c r="I164" s="3" t="s">
        <v>587</v>
      </c>
      <c r="J164" s="3" t="s">
        <v>691</v>
      </c>
      <c r="K164" s="173">
        <v>-7450</v>
      </c>
      <c r="L164" s="173">
        <v>0</v>
      </c>
      <c r="M164" s="173">
        <v>0</v>
      </c>
      <c r="N164" s="173">
        <v>-7450</v>
      </c>
      <c r="O164" s="4">
        <f>Tab_09.Set[[#This Row],[DÉBITO]]-Tab_09.Set[[#This Row],[CRÉDITO]]</f>
        <v>0</v>
      </c>
    </row>
    <row r="165" spans="2:15" x14ac:dyDescent="0.3">
      <c r="B165" s="2" t="str">
        <f>_xlfn.XLOOKUP($I165,Tab_00.Trial[CONTA],Tab_00.Trial[TP],"",0,1)</f>
        <v>R</v>
      </c>
      <c r="C165" s="2">
        <f>_xlfn.XLOOKUP($I165,Tab_00.Trial[CONTA],Tab_00.Trial[NV],"",0,1)</f>
        <v>5</v>
      </c>
      <c r="D165" s="2" t="str">
        <f>_xlfn.XLOOKUP($I165,Tab_00.Trial[CONTA],Tab_00.Trial[S/A],"",0,1)</f>
        <v>S</v>
      </c>
      <c r="E165" s="2">
        <f>IF($I165="","",COUNTIFS(Tab_00.Trial[CONTA],$I165))</f>
        <v>1</v>
      </c>
      <c r="F165" s="4">
        <f>SUMIFS(Tab_08.Ago[SALDO
ATUAL],Tab_08.Ago[CONTA],$I165)</f>
        <v>-7450</v>
      </c>
      <c r="G165" s="4">
        <f t="shared" si="6"/>
        <v>0</v>
      </c>
      <c r="H165" s="192">
        <v>30722</v>
      </c>
      <c r="I165" s="3" t="s">
        <v>588</v>
      </c>
      <c r="J165" s="3" t="s">
        <v>692</v>
      </c>
      <c r="K165" s="173">
        <v>-7450</v>
      </c>
      <c r="L165" s="1">
        <v>0</v>
      </c>
      <c r="M165" s="1">
        <v>0</v>
      </c>
      <c r="N165" s="173">
        <v>-7450</v>
      </c>
      <c r="O165" s="4">
        <f>Tab_09.Set[[#This Row],[DÉBITO]]-Tab_09.Set[[#This Row],[CRÉDITO]]</f>
        <v>0</v>
      </c>
    </row>
    <row r="166" spans="2:15" x14ac:dyDescent="0.3">
      <c r="B166" s="2" t="str">
        <f>_xlfn.XLOOKUP($I166,Tab_00.Trial[CONTA],Tab_00.Trial[TP],"",0,1)</f>
        <v>R</v>
      </c>
      <c r="C166" s="2">
        <f>_xlfn.XLOOKUP($I166,Tab_00.Trial[CONTA],Tab_00.Trial[NV],"",0,1)</f>
        <v>5</v>
      </c>
      <c r="D166" s="2" t="str">
        <f>_xlfn.XLOOKUP($I166,Tab_00.Trial[CONTA],Tab_00.Trial[S/A],"",0,1)</f>
        <v>S</v>
      </c>
      <c r="E166" s="2">
        <f>IF($I166="","",COUNTIFS(Tab_00.Trial[CONTA],$I166))</f>
        <v>1</v>
      </c>
      <c r="F166" s="4">
        <f>SUMIFS(Tab_08.Ago[SALDO
ATUAL],Tab_08.Ago[CONTA],$I166)</f>
        <v>-7450</v>
      </c>
      <c r="G166" s="4">
        <f t="shared" si="6"/>
        <v>0</v>
      </c>
      <c r="H166" s="192">
        <v>30729</v>
      </c>
      <c r="I166" s="3" t="s">
        <v>589</v>
      </c>
      <c r="J166" s="3" t="s">
        <v>692</v>
      </c>
      <c r="K166" s="173">
        <v>-7450</v>
      </c>
      <c r="L166" s="173">
        <v>0</v>
      </c>
      <c r="M166" s="1">
        <v>0</v>
      </c>
      <c r="N166" s="173">
        <v>-7450</v>
      </c>
      <c r="O166" s="4">
        <f>Tab_09.Set[[#This Row],[DÉBITO]]-Tab_09.Set[[#This Row],[CRÉDITO]]</f>
        <v>0</v>
      </c>
    </row>
    <row r="167" spans="2:15" x14ac:dyDescent="0.3">
      <c r="B167" s="2" t="str">
        <f>_xlfn.XLOOKUP($I167,Tab_00.Trial[CONTA],Tab_00.Trial[TP],"",0,1)</f>
        <v>R</v>
      </c>
      <c r="C167" s="2">
        <f>_xlfn.XLOOKUP($I167,Tab_00.Trial[CONTA],Tab_00.Trial[NV],"",0,1)</f>
        <v>5</v>
      </c>
      <c r="D167" s="2" t="str">
        <f>_xlfn.XLOOKUP($I167,Tab_00.Trial[CONTA],Tab_00.Trial[S/A],"",0,1)</f>
        <v>A</v>
      </c>
      <c r="E167" s="2">
        <f>IF($I167="","",COUNTIFS(Tab_00.Trial[CONTA],$I167))</f>
        <v>1</v>
      </c>
      <c r="F167" s="4">
        <f>SUMIFS(Tab_08.Ago[SALDO
ATUAL],Tab_08.Ago[CONTA],$I167)</f>
        <v>-7450</v>
      </c>
      <c r="G167" s="4">
        <f t="shared" si="6"/>
        <v>0</v>
      </c>
      <c r="H167" s="192">
        <v>30736</v>
      </c>
      <c r="I167" s="3" t="s">
        <v>395</v>
      </c>
      <c r="J167" s="3" t="s">
        <v>396</v>
      </c>
      <c r="K167" s="173">
        <v>-7450</v>
      </c>
      <c r="L167" s="173">
        <v>0</v>
      </c>
      <c r="M167" s="1">
        <v>0</v>
      </c>
      <c r="N167" s="173">
        <v>-7450</v>
      </c>
      <c r="O167" s="4">
        <f>Tab_09.Set[[#This Row],[DÉBITO]]-Tab_09.Set[[#This Row],[CRÉDITO]]</f>
        <v>0</v>
      </c>
    </row>
    <row r="168" spans="2:15" x14ac:dyDescent="0.3">
      <c r="B168" s="2" t="str">
        <f>_xlfn.XLOOKUP($I168,Tab_00.Trial[CONTA],Tab_00.Trial[TP],"",0,1)</f>
        <v>C</v>
      </c>
      <c r="C168" s="2">
        <f>_xlfn.XLOOKUP($I168,Tab_00.Trial[CONTA],Tab_00.Trial[NV],"",0,1)</f>
        <v>1</v>
      </c>
      <c r="D168" s="2" t="str">
        <f>_xlfn.XLOOKUP($I168,Tab_00.Trial[CONTA],Tab_00.Trial[S/A],"",0,1)</f>
        <v>S</v>
      </c>
      <c r="E168" s="2">
        <f>IF($I168="","",COUNTIFS(Tab_00.Trial[CONTA],$I168))</f>
        <v>1</v>
      </c>
      <c r="F168" s="4">
        <f>SUMIFS(Tab_08.Ago[SALDO
ATUAL],Tab_08.Ago[CONTA],$I168)</f>
        <v>6672907.0700000003</v>
      </c>
      <c r="G168" s="4">
        <f t="shared" si="6"/>
        <v>0</v>
      </c>
      <c r="H168" s="192">
        <v>40000</v>
      </c>
      <c r="I168" s="3">
        <v>4</v>
      </c>
      <c r="J168" s="3" t="s">
        <v>693</v>
      </c>
      <c r="K168" s="173">
        <v>6672907.0700000003</v>
      </c>
      <c r="L168" s="173">
        <v>773355.15</v>
      </c>
      <c r="M168" s="1">
        <v>26336.959999999999</v>
      </c>
      <c r="N168" s="173">
        <v>7419925.2599999998</v>
      </c>
      <c r="O168" s="4">
        <f>Tab_09.Set[[#This Row],[DÉBITO]]-Tab_09.Set[[#This Row],[CRÉDITO]]</f>
        <v>747018.19</v>
      </c>
    </row>
    <row r="169" spans="2:15" x14ac:dyDescent="0.3">
      <c r="B169" s="2" t="str">
        <f>_xlfn.XLOOKUP($I169,Tab_00.Trial[CONTA],Tab_00.Trial[TP],"",0,1)</f>
        <v>C</v>
      </c>
      <c r="C169" s="2">
        <f>_xlfn.XLOOKUP($I169,Tab_00.Trial[CONTA],Tab_00.Trial[NV],"",0,1)</f>
        <v>2</v>
      </c>
      <c r="D169" s="2" t="str">
        <f>_xlfn.XLOOKUP($I169,Tab_00.Trial[CONTA],Tab_00.Trial[S/A],"",0,1)</f>
        <v>S</v>
      </c>
      <c r="E169" s="2">
        <f>IF($I169="","",COUNTIFS(Tab_00.Trial[CONTA],$I169))</f>
        <v>1</v>
      </c>
      <c r="F169" s="4">
        <f>SUMIFS(Tab_08.Ago[SALDO
ATUAL],Tab_08.Ago[CONTA],$I169)</f>
        <v>6672890.9000000004</v>
      </c>
      <c r="G169" s="4">
        <f t="shared" si="6"/>
        <v>0</v>
      </c>
      <c r="H169" s="192">
        <v>40015</v>
      </c>
      <c r="I169" s="3" t="s">
        <v>234</v>
      </c>
      <c r="J169" s="3" t="s">
        <v>817</v>
      </c>
      <c r="K169" s="173">
        <v>6672890.9000000004</v>
      </c>
      <c r="L169" s="173">
        <v>772546.65</v>
      </c>
      <c r="M169" s="1">
        <v>26336.959999999999</v>
      </c>
      <c r="N169" s="173">
        <v>7419100.5899999999</v>
      </c>
      <c r="O169" s="4">
        <f>Tab_09.Set[[#This Row],[DÉBITO]]-Tab_09.Set[[#This Row],[CRÉDITO]]</f>
        <v>746209.69</v>
      </c>
    </row>
    <row r="170" spans="2:15" x14ac:dyDescent="0.3">
      <c r="B170" s="2" t="str">
        <f>_xlfn.XLOOKUP($I170,Tab_00.Trial[CONTA],Tab_00.Trial[TP],"",0,1)</f>
        <v>C</v>
      </c>
      <c r="C170" s="2">
        <f>_xlfn.XLOOKUP($I170,Tab_00.Trial[CONTA],Tab_00.Trial[NV],"",0,1)</f>
        <v>5</v>
      </c>
      <c r="D170" s="2" t="str">
        <f>_xlfn.XLOOKUP($I170,Tab_00.Trial[CONTA],Tab_00.Trial[S/A],"",0,1)</f>
        <v>S</v>
      </c>
      <c r="E170" s="2">
        <f>IF($I170="","",COUNTIFS(Tab_00.Trial[CONTA],$I170))</f>
        <v>1</v>
      </c>
      <c r="F170" s="4">
        <f>SUMIFS(Tab_08.Ago[SALDO
ATUAL],Tab_08.Ago[CONTA],$I170)</f>
        <v>1331616.6299999999</v>
      </c>
      <c r="G170" s="4">
        <f t="shared" si="6"/>
        <v>0</v>
      </c>
      <c r="H170" s="192">
        <v>40030</v>
      </c>
      <c r="I170" s="3" t="s">
        <v>235</v>
      </c>
      <c r="J170" s="3" t="s">
        <v>818</v>
      </c>
      <c r="K170" s="173">
        <v>1331616.6299999999</v>
      </c>
      <c r="L170" s="173">
        <v>201245.15</v>
      </c>
      <c r="M170" s="1">
        <v>26336.959999999999</v>
      </c>
      <c r="N170" s="173">
        <v>1506524.82</v>
      </c>
      <c r="O170" s="4">
        <f>Tab_09.Set[[#This Row],[DÉBITO]]-Tab_09.Set[[#This Row],[CRÉDITO]]</f>
        <v>174908.19</v>
      </c>
    </row>
    <row r="171" spans="2:15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5</v>
      </c>
      <c r="D171" s="2" t="str">
        <f>_xlfn.XLOOKUP($I171,Tab_00.Trial[CONTA],Tab_00.Trial[S/A],"",0,1)</f>
        <v>S</v>
      </c>
      <c r="E171" s="2">
        <f>IF($I171="","",COUNTIFS(Tab_00.Trial[CONTA],$I171))</f>
        <v>1</v>
      </c>
      <c r="F171" s="4">
        <f>SUMIFS(Tab_08.Ago[SALDO
ATUAL],Tab_08.Ago[CONTA],$I171)</f>
        <v>548135.39</v>
      </c>
      <c r="G171" s="4">
        <f t="shared" si="6"/>
        <v>0</v>
      </c>
      <c r="H171" s="192">
        <v>40045</v>
      </c>
      <c r="I171" s="3" t="s">
        <v>236</v>
      </c>
      <c r="J171" s="3" t="s">
        <v>696</v>
      </c>
      <c r="K171" s="173">
        <v>548135.39</v>
      </c>
      <c r="L171" s="173">
        <v>97124.17</v>
      </c>
      <c r="M171" s="1">
        <v>24155.23</v>
      </c>
      <c r="N171" s="173">
        <v>621104.32999999996</v>
      </c>
      <c r="O171" s="4">
        <f>Tab_09.Set[[#This Row],[DÉBITO]]-Tab_09.Set[[#This Row],[CRÉDITO]]</f>
        <v>72968.94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5</v>
      </c>
      <c r="D172" s="2" t="str">
        <f>_xlfn.XLOOKUP($I172,Tab_00.Trial[CONTA],Tab_00.Trial[S/A],"",0,1)</f>
        <v>A</v>
      </c>
      <c r="E172" s="2">
        <f>IF($I172="","",COUNTIFS(Tab_00.Trial[CONTA],$I172))</f>
        <v>1</v>
      </c>
      <c r="F172" s="4">
        <f>SUMIFS(Tab_08.Ago[SALDO
ATUAL],Tab_08.Ago[CONTA],$I172)</f>
        <v>381873.53</v>
      </c>
      <c r="G172" s="4">
        <f t="shared" si="6"/>
        <v>0</v>
      </c>
      <c r="H172" s="192">
        <v>40060</v>
      </c>
      <c r="I172" s="3" t="s">
        <v>195</v>
      </c>
      <c r="J172" s="3" t="s">
        <v>427</v>
      </c>
      <c r="K172" s="173">
        <v>381873.53</v>
      </c>
      <c r="L172" s="173">
        <v>73650.710000000006</v>
      </c>
      <c r="M172" s="1">
        <v>11147.59</v>
      </c>
      <c r="N172" s="173">
        <v>444376.65</v>
      </c>
      <c r="O172" s="4">
        <f>Tab_09.Set[[#This Row],[DÉBITO]]-Tab_09.Set[[#This Row],[CRÉDITO]]</f>
        <v>62503.12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A</v>
      </c>
      <c r="E173" s="2">
        <f>IF($I173="","",COUNTIFS(Tab_00.Trial[CONTA],$I173))</f>
        <v>1</v>
      </c>
      <c r="F173" s="4">
        <f>SUMIFS(Tab_08.Ago[SALDO
ATUAL],Tab_08.Ago[CONTA],$I173)</f>
        <v>60199.16</v>
      </c>
      <c r="G173" s="4">
        <f t="shared" si="6"/>
        <v>0</v>
      </c>
      <c r="H173" s="192">
        <v>40075</v>
      </c>
      <c r="I173" s="3" t="s">
        <v>430</v>
      </c>
      <c r="J173" s="3" t="s">
        <v>431</v>
      </c>
      <c r="K173" s="173">
        <v>60199.16</v>
      </c>
      <c r="L173" s="173">
        <v>9582.26</v>
      </c>
      <c r="M173" s="1">
        <v>1149.4000000000001</v>
      </c>
      <c r="N173" s="173">
        <v>68632.02</v>
      </c>
      <c r="O173" s="4">
        <f>Tab_09.Set[[#This Row],[DÉBITO]]-Tab_09.Set[[#This Row],[CRÉDITO]]</f>
        <v>8432.86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A</v>
      </c>
      <c r="E174" s="2">
        <f>IF($I174="","",COUNTIFS(Tab_00.Trial[CONTA],$I174))</f>
        <v>1</v>
      </c>
      <c r="F174" s="4">
        <f>SUMIFS(Tab_08.Ago[SALDO
ATUAL],Tab_08.Ago[CONTA],$I174)</f>
        <v>41645.300000000003</v>
      </c>
      <c r="G174" s="4">
        <f t="shared" si="6"/>
        <v>0</v>
      </c>
      <c r="H174" s="192">
        <v>40085</v>
      </c>
      <c r="I174" s="3" t="s">
        <v>432</v>
      </c>
      <c r="J174" s="3" t="s">
        <v>433</v>
      </c>
      <c r="K174" s="173">
        <v>41645.300000000003</v>
      </c>
      <c r="L174" s="1">
        <v>8010.14</v>
      </c>
      <c r="M174" s="1">
        <v>742.69</v>
      </c>
      <c r="N174" s="173">
        <v>48912.75</v>
      </c>
      <c r="O174" s="4">
        <f>Tab_09.Set[[#This Row],[DÉBITO]]-Tab_09.Set[[#This Row],[CRÉDITO]]</f>
        <v>7267.45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A</v>
      </c>
      <c r="E175" s="2">
        <f>IF($I175="","",COUNTIFS(Tab_00.Trial[CONTA],$I175))</f>
        <v>1</v>
      </c>
      <c r="F175" s="4">
        <f>SUMIFS(Tab_08.Ago[SALDO
ATUAL],Tab_08.Ago[CONTA],$I175)</f>
        <v>45463.69</v>
      </c>
      <c r="G175" s="4">
        <f t="shared" si="6"/>
        <v>0</v>
      </c>
      <c r="H175" s="192">
        <v>10111</v>
      </c>
      <c r="I175" s="3" t="s">
        <v>790</v>
      </c>
      <c r="J175" s="3" t="s">
        <v>791</v>
      </c>
      <c r="K175" s="173">
        <v>45463.69</v>
      </c>
      <c r="L175" s="1">
        <v>2537.77</v>
      </c>
      <c r="M175" s="1">
        <v>8206.73</v>
      </c>
      <c r="N175" s="173">
        <v>39794.730000000003</v>
      </c>
      <c r="O175" s="4">
        <f>Tab_09.Set[[#This Row],[DÉBITO]]-Tab_09.Set[[#This Row],[CRÉDITO]]</f>
        <v>-5668.96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A</v>
      </c>
      <c r="E176" s="2">
        <f>IF($I176="","",COUNTIFS(Tab_00.Trial[CONTA],$I176))</f>
        <v>1</v>
      </c>
      <c r="F176" s="4">
        <f>SUMIFS(Tab_08.Ago[SALDO
ATUAL],Tab_08.Ago[CONTA],$I176)</f>
        <v>3593.54</v>
      </c>
      <c r="G176" s="4">
        <f t="shared" si="6"/>
        <v>0</v>
      </c>
      <c r="H176" s="192">
        <v>10118</v>
      </c>
      <c r="I176" s="3" t="s">
        <v>792</v>
      </c>
      <c r="J176" s="3" t="s">
        <v>793</v>
      </c>
      <c r="K176" s="173">
        <v>3593.54</v>
      </c>
      <c r="L176" s="1">
        <v>757.54</v>
      </c>
      <c r="M176" s="1">
        <v>2449.77</v>
      </c>
      <c r="N176" s="173">
        <v>1901.31</v>
      </c>
      <c r="O176" s="4">
        <f>Tab_09.Set[[#This Row],[DÉBITO]]-Tab_09.Set[[#This Row],[CRÉDITO]]</f>
        <v>-1692.23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A</v>
      </c>
      <c r="E177" s="2">
        <f>IF($I177="","",COUNTIFS(Tab_00.Trial[CONTA],$I177))</f>
        <v>1</v>
      </c>
      <c r="F177" s="4">
        <f>SUMIFS(Tab_08.Ago[SALDO
ATUAL],Tab_08.Ago[CONTA],$I177)</f>
        <v>465.03</v>
      </c>
      <c r="G177" s="4">
        <f t="shared" si="6"/>
        <v>0</v>
      </c>
      <c r="H177" s="192">
        <v>10139</v>
      </c>
      <c r="I177" s="3" t="s">
        <v>794</v>
      </c>
      <c r="J177" s="3" t="s">
        <v>795</v>
      </c>
      <c r="K177" s="1">
        <v>465.03</v>
      </c>
      <c r="L177" s="1">
        <v>94.68</v>
      </c>
      <c r="M177" s="1">
        <v>194.15</v>
      </c>
      <c r="N177" s="1">
        <v>365.56</v>
      </c>
      <c r="O177" s="4">
        <f>Tab_09.Set[[#This Row],[DÉBITO]]-Tab_09.Set[[#This Row],[CRÉDITO]]</f>
        <v>-99.47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A</v>
      </c>
      <c r="E178" s="2">
        <f>IF($I178="","",COUNTIFS(Tab_00.Trial[CONTA],$I178))</f>
        <v>1</v>
      </c>
      <c r="F178" s="4">
        <f>SUMIFS(Tab_08.Ago[SALDO
ATUAL],Tab_08.Ago[CONTA],$I178)</f>
        <v>11159.93</v>
      </c>
      <c r="G178" s="4">
        <f t="shared" ref="G178:G201" si="7">$F178-$K178</f>
        <v>0</v>
      </c>
      <c r="H178" s="192">
        <v>10146</v>
      </c>
      <c r="I178" s="3" t="s">
        <v>796</v>
      </c>
      <c r="J178" s="3" t="s">
        <v>797</v>
      </c>
      <c r="K178" s="173">
        <v>11159.93</v>
      </c>
      <c r="L178" s="173">
        <v>1783.72</v>
      </c>
      <c r="M178" s="1">
        <v>0</v>
      </c>
      <c r="N178" s="173">
        <v>12943.65</v>
      </c>
      <c r="O178" s="4">
        <f>Tab_09.Set[[#This Row],[DÉBITO]]-Tab_09.Set[[#This Row],[CRÉDITO]]</f>
        <v>1783.72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A</v>
      </c>
      <c r="E179" s="2">
        <f>IF($I179="","",COUNTIFS(Tab_00.Trial[CONTA],$I179))</f>
        <v>1</v>
      </c>
      <c r="F179" s="4">
        <f>SUMIFS(Tab_08.Ago[SALDO
ATUAL],Tab_08.Ago[CONTA],$I179)</f>
        <v>3331.59</v>
      </c>
      <c r="G179" s="4">
        <f t="shared" si="7"/>
        <v>0</v>
      </c>
      <c r="H179" s="192">
        <v>10153</v>
      </c>
      <c r="I179" s="3" t="s">
        <v>798</v>
      </c>
      <c r="J179" s="3" t="s">
        <v>799</v>
      </c>
      <c r="K179" s="173">
        <v>3331.59</v>
      </c>
      <c r="L179" s="1">
        <v>640.82000000000005</v>
      </c>
      <c r="M179" s="1">
        <v>59.41</v>
      </c>
      <c r="N179" s="173">
        <v>3913</v>
      </c>
      <c r="O179" s="4">
        <f>Tab_09.Set[[#This Row],[DÉBITO]]-Tab_09.Set[[#This Row],[CRÉDITO]]</f>
        <v>581.41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A</v>
      </c>
      <c r="E180" s="2">
        <f>IF($I180="","",COUNTIFS(Tab_00.Trial[CONTA],$I180))</f>
        <v>1</v>
      </c>
      <c r="F180" s="4">
        <f>SUMIFS(Tab_08.Ago[SALDO
ATUAL],Tab_08.Ago[CONTA],$I180)</f>
        <v>403.62</v>
      </c>
      <c r="G180" s="4">
        <f t="shared" si="7"/>
        <v>0</v>
      </c>
      <c r="H180" s="192">
        <v>10160</v>
      </c>
      <c r="I180" s="3" t="s">
        <v>800</v>
      </c>
      <c r="J180" s="3" t="s">
        <v>801</v>
      </c>
      <c r="K180" s="173">
        <v>403.62</v>
      </c>
      <c r="L180" s="173">
        <v>66.53</v>
      </c>
      <c r="M180" s="1">
        <v>205.49</v>
      </c>
      <c r="N180" s="173">
        <v>264.66000000000003</v>
      </c>
      <c r="O180" s="4">
        <f>Tab_09.Set[[#This Row],[DÉBITO]]-Tab_09.Set[[#This Row],[CRÉDITO]]</f>
        <v>-138.96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S</v>
      </c>
      <c r="E181" s="2">
        <f>IF($I181="","",COUNTIFS(Tab_00.Trial[CONTA],$I181))</f>
        <v>1</v>
      </c>
      <c r="F181" s="4">
        <f>SUMIFS(Tab_08.Ago[SALDO
ATUAL],Tab_08.Ago[CONTA],$I181)</f>
        <v>203944.01</v>
      </c>
      <c r="G181" s="4">
        <f t="shared" si="7"/>
        <v>0</v>
      </c>
      <c r="H181" s="192">
        <v>40150</v>
      </c>
      <c r="I181" s="3" t="s">
        <v>590</v>
      </c>
      <c r="J181" s="3" t="s">
        <v>697</v>
      </c>
      <c r="K181" s="173">
        <v>203944.01</v>
      </c>
      <c r="L181" s="173">
        <v>29042.57</v>
      </c>
      <c r="M181" s="1">
        <v>2181.73</v>
      </c>
      <c r="N181" s="173">
        <v>230804.85</v>
      </c>
      <c r="O181" s="4">
        <f>Tab_09.Set[[#This Row],[DÉBITO]]-Tab_09.Set[[#This Row],[CRÉDITO]]</f>
        <v>26860.84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A</v>
      </c>
      <c r="E182" s="2">
        <f>IF($I182="","",COUNTIFS(Tab_00.Trial[CONTA],$I182))</f>
        <v>1</v>
      </c>
      <c r="F182" s="4">
        <f>SUMIFS(Tab_08.Ago[SALDO
ATUAL],Tab_08.Ago[CONTA],$I182)</f>
        <v>198204.72</v>
      </c>
      <c r="G182" s="4">
        <f t="shared" si="7"/>
        <v>0</v>
      </c>
      <c r="H182" s="192">
        <v>40165</v>
      </c>
      <c r="I182" s="3" t="s">
        <v>434</v>
      </c>
      <c r="J182" s="3" t="s">
        <v>435</v>
      </c>
      <c r="K182" s="173">
        <v>198204.72</v>
      </c>
      <c r="L182" s="1">
        <v>25971.57</v>
      </c>
      <c r="M182" s="1">
        <v>1325.63</v>
      </c>
      <c r="N182" s="173">
        <v>222850.66</v>
      </c>
      <c r="O182" s="4">
        <f>Tab_09.Set[[#This Row],[DÉBITO]]-Tab_09.Set[[#This Row],[CRÉDITO]]</f>
        <v>24645.94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A</v>
      </c>
      <c r="E183" s="2">
        <f>IF($I183="","",COUNTIFS(Tab_00.Trial[CONTA],$I183))</f>
        <v>1</v>
      </c>
      <c r="F183" s="4">
        <f>SUMIFS(Tab_08.Ago[SALDO
ATUAL],Tab_08.Ago[CONTA],$I183)</f>
        <v>5739.29</v>
      </c>
      <c r="G183" s="4">
        <f t="shared" si="7"/>
        <v>0</v>
      </c>
      <c r="H183" s="192">
        <v>40195</v>
      </c>
      <c r="I183" s="3" t="s">
        <v>750</v>
      </c>
      <c r="J183" s="3" t="s">
        <v>751</v>
      </c>
      <c r="K183" s="173">
        <v>5739.29</v>
      </c>
      <c r="L183" s="1">
        <v>3071</v>
      </c>
      <c r="M183" s="1">
        <v>856.1</v>
      </c>
      <c r="N183" s="173">
        <v>7954.19</v>
      </c>
      <c r="O183" s="4">
        <f>Tab_09.Set[[#This Row],[DÉBITO]]-Tab_09.Set[[#This Row],[CRÉDITO]]</f>
        <v>2214.9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S</v>
      </c>
      <c r="E184" s="2">
        <f>IF($I184="","",COUNTIFS(Tab_00.Trial[CONTA],$I184))</f>
        <v>1</v>
      </c>
      <c r="F184" s="4">
        <f>SUMIFS(Tab_08.Ago[SALDO
ATUAL],Tab_08.Ago[CONTA],$I184)</f>
        <v>161568.31</v>
      </c>
      <c r="G184" s="4">
        <f t="shared" si="7"/>
        <v>0</v>
      </c>
      <c r="H184" s="192">
        <v>40210</v>
      </c>
      <c r="I184" s="3" t="s">
        <v>591</v>
      </c>
      <c r="J184" s="3" t="s">
        <v>698</v>
      </c>
      <c r="K184" s="173">
        <v>161568.31</v>
      </c>
      <c r="L184" s="1">
        <v>29019.18</v>
      </c>
      <c r="M184" s="1">
        <v>0</v>
      </c>
      <c r="N184" s="173">
        <v>190587.49</v>
      </c>
      <c r="O184" s="4">
        <f>Tab_09.Set[[#This Row],[DÉBITO]]-Tab_09.Set[[#This Row],[CRÉDITO]]</f>
        <v>29019.18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A</v>
      </c>
      <c r="E185" s="2">
        <f>IF($I185="","",COUNTIFS(Tab_00.Trial[CONTA],$I185))</f>
        <v>1</v>
      </c>
      <c r="F185" s="4">
        <f>SUMIFS(Tab_08.Ago[SALDO
ATUAL],Tab_08.Ago[CONTA],$I185)</f>
        <v>127885.04</v>
      </c>
      <c r="G185" s="4">
        <f t="shared" si="7"/>
        <v>0</v>
      </c>
      <c r="H185" s="192">
        <v>40225</v>
      </c>
      <c r="I185" s="3" t="s">
        <v>436</v>
      </c>
      <c r="J185" s="3" t="s">
        <v>437</v>
      </c>
      <c r="K185" s="1">
        <v>127885.04</v>
      </c>
      <c r="L185" s="1">
        <v>21881.74</v>
      </c>
      <c r="M185" s="1">
        <v>0</v>
      </c>
      <c r="N185" s="1">
        <v>149766.78</v>
      </c>
      <c r="O185" s="4">
        <f>Tab_09.Set[[#This Row],[DÉBITO]]-Tab_09.Set[[#This Row],[CRÉDITO]]</f>
        <v>21881.74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A</v>
      </c>
      <c r="E186" s="2">
        <f>IF($I186="","",COUNTIFS(Tab_00.Trial[CONTA],$I186))</f>
        <v>1</v>
      </c>
      <c r="F186" s="4">
        <f>SUMIFS(Tab_08.Ago[SALDO
ATUAL],Tab_08.Ago[CONTA],$I186)</f>
        <v>29100.04</v>
      </c>
      <c r="G186" s="4">
        <f t="shared" si="7"/>
        <v>0</v>
      </c>
      <c r="H186" s="192">
        <v>40240</v>
      </c>
      <c r="I186" s="3" t="s">
        <v>438</v>
      </c>
      <c r="J186" s="3" t="s">
        <v>196</v>
      </c>
      <c r="K186" s="173">
        <v>29100.04</v>
      </c>
      <c r="L186" s="1">
        <v>6484.71</v>
      </c>
      <c r="M186" s="1">
        <v>0</v>
      </c>
      <c r="N186" s="173">
        <v>35584.75</v>
      </c>
      <c r="O186" s="4">
        <f>Tab_09.Set[[#This Row],[DÉBITO]]-Tab_09.Set[[#This Row],[CRÉDITO]]</f>
        <v>6484.71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A</v>
      </c>
      <c r="E187" s="2">
        <f>IF($I187="","",COUNTIFS(Tab_00.Trial[CONTA],$I187))</f>
        <v>1</v>
      </c>
      <c r="F187" s="4">
        <f>SUMIFS(Tab_08.Ago[SALDO
ATUAL],Tab_08.Ago[CONTA],$I187)</f>
        <v>4583.2299999999996</v>
      </c>
      <c r="G187" s="4">
        <f t="shared" si="7"/>
        <v>0</v>
      </c>
      <c r="H187" s="192">
        <v>40255</v>
      </c>
      <c r="I187" s="3" t="s">
        <v>439</v>
      </c>
      <c r="J187" s="3" t="s">
        <v>440</v>
      </c>
      <c r="K187" s="173">
        <v>4583.2299999999996</v>
      </c>
      <c r="L187" s="1">
        <v>652.73</v>
      </c>
      <c r="M187" s="1">
        <v>0</v>
      </c>
      <c r="N187" s="173">
        <v>5235.96</v>
      </c>
      <c r="O187" s="4">
        <f>Tab_09.Set[[#This Row],[DÉBITO]]-Tab_09.Set[[#This Row],[CRÉDITO]]</f>
        <v>652.73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S</v>
      </c>
      <c r="E188" s="2">
        <f>IF($I188="","",COUNTIFS(Tab_00.Trial[CONTA],$I188))</f>
        <v>1</v>
      </c>
      <c r="F188" s="4">
        <f>SUMIFS(Tab_08.Ago[SALDO
ATUAL],Tab_08.Ago[CONTA],$I188)</f>
        <v>9743.5</v>
      </c>
      <c r="G188" s="4">
        <f t="shared" si="7"/>
        <v>0</v>
      </c>
      <c r="H188" s="192">
        <v>40285</v>
      </c>
      <c r="I188" s="3" t="s">
        <v>592</v>
      </c>
      <c r="J188" s="3" t="s">
        <v>699</v>
      </c>
      <c r="K188" s="173">
        <v>9743.5</v>
      </c>
      <c r="L188" s="1">
        <v>619.32000000000005</v>
      </c>
      <c r="M188" s="1">
        <v>0</v>
      </c>
      <c r="N188" s="173">
        <v>10362.82</v>
      </c>
      <c r="O188" s="4">
        <f>Tab_09.Set[[#This Row],[DÉBITO]]-Tab_09.Set[[#This Row],[CRÉDITO]]</f>
        <v>619.32000000000005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A</v>
      </c>
      <c r="E189" s="2">
        <f>IF($I189="","",COUNTIFS(Tab_00.Trial[CONTA],$I189))</f>
        <v>1</v>
      </c>
      <c r="F189" s="4">
        <f>SUMIFS(Tab_08.Ago[SALDO
ATUAL],Tab_08.Ago[CONTA],$I189)</f>
        <v>9743.5</v>
      </c>
      <c r="G189" s="4">
        <f t="shared" si="7"/>
        <v>0</v>
      </c>
      <c r="H189" s="192">
        <v>40300</v>
      </c>
      <c r="I189" s="3" t="s">
        <v>397</v>
      </c>
      <c r="J189" s="3" t="s">
        <v>398</v>
      </c>
      <c r="K189" s="173">
        <v>9743.5</v>
      </c>
      <c r="L189" s="173">
        <v>25.49</v>
      </c>
      <c r="M189" s="1">
        <v>0</v>
      </c>
      <c r="N189" s="173">
        <v>9768.99</v>
      </c>
      <c r="O189" s="4">
        <f>Tab_09.Set[[#This Row],[DÉBITO]]-Tab_09.Set[[#This Row],[CRÉDITO]]</f>
        <v>25.49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A</v>
      </c>
      <c r="E190" s="2">
        <f>IF($I190="","",COUNTIFS(Tab_00.Trial[CONTA],$I190))</f>
        <v>1</v>
      </c>
      <c r="F190" s="4">
        <f>SUMIFS(Tab_08.Ago[SALDO
ATUAL],Tab_08.Ago[CONTA],$I190)</f>
        <v>0</v>
      </c>
      <c r="G190" s="4">
        <f t="shared" si="7"/>
        <v>0</v>
      </c>
      <c r="H190" s="192">
        <v>40315</v>
      </c>
      <c r="I190" s="3" t="s">
        <v>399</v>
      </c>
      <c r="J190" s="3" t="s">
        <v>400</v>
      </c>
      <c r="K190" s="173">
        <v>0</v>
      </c>
      <c r="L190" s="173">
        <v>593.83000000000004</v>
      </c>
      <c r="M190" s="1">
        <v>0</v>
      </c>
      <c r="N190" s="173">
        <v>593.83000000000004</v>
      </c>
      <c r="O190" s="4">
        <f>Tab_09.Set[[#This Row],[DÉBITO]]-Tab_09.Set[[#This Row],[CRÉDITO]]</f>
        <v>593.83000000000004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S</v>
      </c>
      <c r="E191" s="2">
        <f>IF($I191="","",COUNTIFS(Tab_00.Trial[CONTA],$I191))</f>
        <v>1</v>
      </c>
      <c r="F191" s="4">
        <f>SUMIFS(Tab_08.Ago[SALDO
ATUAL],Tab_08.Ago[CONTA],$I191)</f>
        <v>283759.93</v>
      </c>
      <c r="G191" s="4">
        <f t="shared" si="7"/>
        <v>0</v>
      </c>
      <c r="H191" s="192">
        <v>40295</v>
      </c>
      <c r="I191" s="3" t="s">
        <v>593</v>
      </c>
      <c r="J191" s="3" t="s">
        <v>711</v>
      </c>
      <c r="K191" s="173">
        <v>283759.93</v>
      </c>
      <c r="L191" s="1">
        <v>37460.76</v>
      </c>
      <c r="M191" s="1">
        <v>0</v>
      </c>
      <c r="N191" s="173">
        <v>321220.69</v>
      </c>
      <c r="O191" s="4">
        <f>Tab_09.Set[[#This Row],[DÉBITO]]-Tab_09.Set[[#This Row],[CRÉDITO]]</f>
        <v>37460.76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A</v>
      </c>
      <c r="E192" s="2">
        <f>IF($I192="","",COUNTIFS(Tab_00.Trial[CONTA],$I192))</f>
        <v>1</v>
      </c>
      <c r="F192" s="4">
        <f>SUMIFS(Tab_08.Ago[SALDO
ATUAL],Tab_08.Ago[CONTA],$I192)</f>
        <v>33892.68</v>
      </c>
      <c r="G192" s="4">
        <f t="shared" si="7"/>
        <v>0</v>
      </c>
      <c r="H192" s="192">
        <v>40339</v>
      </c>
      <c r="I192" s="3" t="s">
        <v>403</v>
      </c>
      <c r="J192" s="3" t="s">
        <v>404</v>
      </c>
      <c r="K192" s="173">
        <v>33892.68</v>
      </c>
      <c r="L192" s="173">
        <v>5400.76</v>
      </c>
      <c r="M192" s="1">
        <v>0</v>
      </c>
      <c r="N192" s="173">
        <v>39293.440000000002</v>
      </c>
      <c r="O192" s="4">
        <f>Tab_09.Set[[#This Row],[DÉBITO]]-Tab_09.Set[[#This Row],[CRÉDITO]]</f>
        <v>5400.76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5</v>
      </c>
      <c r="D193" s="2" t="str">
        <f>_xlfn.XLOOKUP($I193,Tab_00.Trial[CONTA],Tab_00.Trial[S/A],"",0,1)</f>
        <v>A</v>
      </c>
      <c r="E193" s="2">
        <f>IF($I193="","",COUNTIFS(Tab_00.Trial[CONTA],$I193))</f>
        <v>1</v>
      </c>
      <c r="F193" s="4">
        <f>SUMIFS(Tab_08.Ago[SALDO
ATUAL],Tab_08.Ago[CONTA],$I193)</f>
        <v>229502</v>
      </c>
      <c r="G193" s="4">
        <f t="shared" si="7"/>
        <v>0</v>
      </c>
      <c r="H193" s="192">
        <v>40341</v>
      </c>
      <c r="I193" s="3" t="s">
        <v>405</v>
      </c>
      <c r="J193" s="3" t="s">
        <v>406</v>
      </c>
      <c r="K193" s="173">
        <v>229502</v>
      </c>
      <c r="L193" s="1">
        <v>32060</v>
      </c>
      <c r="M193" s="1">
        <v>0</v>
      </c>
      <c r="N193" s="173">
        <v>261562</v>
      </c>
      <c r="O193" s="4">
        <f>Tab_09.Set[[#This Row],[DÉBITO]]-Tab_09.Set[[#This Row],[CRÉDITO]]</f>
        <v>32060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5</v>
      </c>
      <c r="D194" s="2" t="str">
        <f>_xlfn.XLOOKUP($I194,Tab_00.Trial[CONTA],Tab_00.Trial[S/A],"",0,1)</f>
        <v>A</v>
      </c>
      <c r="E194" s="2">
        <f>IF($I194="","",COUNTIFS(Tab_00.Trial[CONTA],$I194))</f>
        <v>1</v>
      </c>
      <c r="F194" s="4">
        <f>SUMIFS(Tab_08.Ago[SALDO
ATUAL],Tab_08.Ago[CONTA],$I194)</f>
        <v>20365.25</v>
      </c>
      <c r="G194" s="4">
        <f t="shared" si="7"/>
        <v>0</v>
      </c>
      <c r="H194" s="192">
        <v>40350</v>
      </c>
      <c r="I194" s="3" t="s">
        <v>407</v>
      </c>
      <c r="J194" s="3" t="s">
        <v>408</v>
      </c>
      <c r="K194" s="173">
        <v>20365.25</v>
      </c>
      <c r="L194" s="1">
        <v>0</v>
      </c>
      <c r="M194" s="1">
        <v>0</v>
      </c>
      <c r="N194" s="173">
        <v>20365.25</v>
      </c>
      <c r="O194" s="4">
        <f>Tab_09.Set[[#This Row],[DÉBITO]]-Tab_09.Set[[#This Row],[CRÉDITO]]</f>
        <v>0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S</v>
      </c>
      <c r="E195" s="2">
        <f>IF($I195="","",COUNTIFS(Tab_00.Trial[CONTA],$I195))</f>
        <v>1</v>
      </c>
      <c r="F195" s="4">
        <f>SUMIFS(Tab_08.Ago[SALDO
ATUAL],Tab_08.Ago[CONTA],$I195)</f>
        <v>119908.09</v>
      </c>
      <c r="G195" s="4">
        <f t="shared" si="7"/>
        <v>0</v>
      </c>
      <c r="H195" s="192">
        <v>40353</v>
      </c>
      <c r="I195" s="3" t="s">
        <v>594</v>
      </c>
      <c r="J195" s="3" t="s">
        <v>819</v>
      </c>
      <c r="K195" s="173">
        <v>119908.09</v>
      </c>
      <c r="L195" s="1">
        <v>6295.94</v>
      </c>
      <c r="M195" s="1">
        <v>0</v>
      </c>
      <c r="N195" s="173">
        <v>126204.03</v>
      </c>
      <c r="O195" s="4">
        <f>Tab_09.Set[[#This Row],[DÉBITO]]-Tab_09.Set[[#This Row],[CRÉDITO]]</f>
        <v>6295.94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A</v>
      </c>
      <c r="E196" s="2">
        <f>IF($I196="","",COUNTIFS(Tab_00.Trial[CONTA],$I196))</f>
        <v>1</v>
      </c>
      <c r="F196" s="4">
        <f>SUMIFS(Tab_08.Ago[SALDO
ATUAL],Tab_08.Ago[CONTA],$I196)</f>
        <v>300</v>
      </c>
      <c r="G196" s="4">
        <f t="shared" si="7"/>
        <v>0</v>
      </c>
      <c r="H196" s="192">
        <v>40354</v>
      </c>
      <c r="I196" s="3" t="s">
        <v>411</v>
      </c>
      <c r="J196" s="3" t="s">
        <v>412</v>
      </c>
      <c r="K196" s="173">
        <v>300</v>
      </c>
      <c r="L196" s="1">
        <v>0</v>
      </c>
      <c r="M196" s="1">
        <v>0</v>
      </c>
      <c r="N196" s="173">
        <v>300</v>
      </c>
      <c r="O196" s="4">
        <f>Tab_09.Set[[#This Row],[DÉBITO]]-Tab_09.Set[[#This Row],[CRÉDITO]]</f>
        <v>0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5</v>
      </c>
      <c r="D197" s="2" t="str">
        <f>_xlfn.XLOOKUP($I197,Tab_00.Trial[CONTA],Tab_00.Trial[S/A],"",0,1)</f>
        <v>A</v>
      </c>
      <c r="E197" s="2">
        <f>IF($I197="","",COUNTIFS(Tab_00.Trial[CONTA],$I197))</f>
        <v>1</v>
      </c>
      <c r="F197" s="4">
        <f>SUMIFS(Tab_08.Ago[SALDO
ATUAL],Tab_08.Ago[CONTA],$I197)</f>
        <v>119608.09</v>
      </c>
      <c r="G197" s="4">
        <f t="shared" si="7"/>
        <v>0</v>
      </c>
      <c r="H197" s="192">
        <v>40355</v>
      </c>
      <c r="I197" s="3" t="s">
        <v>413</v>
      </c>
      <c r="J197" s="3" t="s">
        <v>414</v>
      </c>
      <c r="K197" s="173">
        <v>119608.09</v>
      </c>
      <c r="L197" s="173">
        <v>6243.48</v>
      </c>
      <c r="M197" s="1">
        <v>0</v>
      </c>
      <c r="N197" s="173">
        <v>125851.57</v>
      </c>
      <c r="O197" s="4">
        <f>Tab_09.Set[[#This Row],[DÉBITO]]-Tab_09.Set[[#This Row],[CRÉDITO]]</f>
        <v>6243.48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5</v>
      </c>
      <c r="D198" s="2" t="str">
        <f>_xlfn.XLOOKUP($I198,Tab_00.Trial[CONTA],Tab_00.Trial[S/A],"",0,1)</f>
        <v>A</v>
      </c>
      <c r="E198" s="2">
        <f>IF($I198="","",COUNTIFS(Tab_00.Trial[CONTA],$I198))</f>
        <v>1</v>
      </c>
      <c r="F198" s="4">
        <f>SUMIFS(Tab_08.Ago[SALDO
ATUAL],Tab_08.Ago[CONTA],$I198)</f>
        <v>0</v>
      </c>
      <c r="G198" s="4">
        <f t="shared" si="7"/>
        <v>0</v>
      </c>
      <c r="H198" s="192">
        <v>40358</v>
      </c>
      <c r="I198" s="3" t="s">
        <v>417</v>
      </c>
      <c r="J198" s="3" t="s">
        <v>418</v>
      </c>
      <c r="K198" s="173">
        <v>0</v>
      </c>
      <c r="L198" s="173">
        <v>52.46</v>
      </c>
      <c r="M198" s="1">
        <v>0</v>
      </c>
      <c r="N198" s="173">
        <v>52.46</v>
      </c>
      <c r="O198" s="4">
        <f>Tab_09.Set[[#This Row],[DÉBITO]]-Tab_09.Set[[#This Row],[CRÉDITO]]</f>
        <v>52.46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5</v>
      </c>
      <c r="D199" s="2" t="str">
        <f>_xlfn.XLOOKUP($I199,Tab_00.Trial[CONTA],Tab_00.Trial[S/A],"",0,1)</f>
        <v>S</v>
      </c>
      <c r="E199" s="2">
        <f>IF($I199="","",COUNTIFS(Tab_00.Trial[CONTA],$I199))</f>
        <v>1</v>
      </c>
      <c r="F199" s="4">
        <f>SUMIFS(Tab_08.Ago[SALDO
ATUAL],Tab_08.Ago[CONTA],$I199)</f>
        <v>4557.3999999999996</v>
      </c>
      <c r="G199" s="4">
        <f t="shared" si="7"/>
        <v>0</v>
      </c>
      <c r="H199" s="192">
        <v>40365</v>
      </c>
      <c r="I199" s="3" t="s">
        <v>595</v>
      </c>
      <c r="J199" s="3" t="s">
        <v>420</v>
      </c>
      <c r="K199" s="173">
        <v>4557.3999999999996</v>
      </c>
      <c r="L199" s="173">
        <v>1683.21</v>
      </c>
      <c r="M199" s="1">
        <v>0</v>
      </c>
      <c r="N199" s="173">
        <v>6240.61</v>
      </c>
      <c r="O199" s="4">
        <f>Tab_09.Set[[#This Row],[DÉBITO]]-Tab_09.Set[[#This Row],[CRÉDITO]]</f>
        <v>1683.21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5</v>
      </c>
      <c r="D200" s="2" t="str">
        <f>_xlfn.XLOOKUP($I200,Tab_00.Trial[CONTA],Tab_00.Trial[S/A],"",0,1)</f>
        <v>A</v>
      </c>
      <c r="E200" s="2">
        <f>IF($I200="","",COUNTIFS(Tab_00.Trial[CONTA],$I200))</f>
        <v>1</v>
      </c>
      <c r="F200" s="4">
        <f>SUMIFS(Tab_08.Ago[SALDO
ATUAL],Tab_08.Ago[CONTA],$I200)</f>
        <v>4557.3999999999996</v>
      </c>
      <c r="G200" s="4">
        <f t="shared" si="7"/>
        <v>0</v>
      </c>
      <c r="H200" s="192">
        <v>40366</v>
      </c>
      <c r="I200" s="3" t="s">
        <v>419</v>
      </c>
      <c r="J200" s="3" t="s">
        <v>420</v>
      </c>
      <c r="K200" s="173">
        <v>4557.3999999999996</v>
      </c>
      <c r="L200" s="1">
        <v>1683.21</v>
      </c>
      <c r="M200" s="1">
        <v>0</v>
      </c>
      <c r="N200" s="173">
        <v>6240.61</v>
      </c>
      <c r="O200" s="4">
        <f>Tab_09.Set[[#This Row],[DÉBITO]]-Tab_09.Set[[#This Row],[CRÉDITO]]</f>
        <v>1683.21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5</v>
      </c>
      <c r="D201" s="2" t="str">
        <f>_xlfn.XLOOKUP($I201,Tab_00.Trial[CONTA],Tab_00.Trial[S/A],"",0,1)</f>
        <v>S</v>
      </c>
      <c r="E201" s="2">
        <f>IF($I201="","",COUNTIFS(Tab_00.Trial[CONTA],$I201))</f>
        <v>1</v>
      </c>
      <c r="F201" s="4">
        <f>SUMIFS(Tab_08.Ago[SALDO
ATUAL],Tab_08.Ago[CONTA],$I201)</f>
        <v>5341274.2699999996</v>
      </c>
      <c r="G201" s="4">
        <f t="shared" si="7"/>
        <v>0</v>
      </c>
      <c r="H201" s="192">
        <v>40345</v>
      </c>
      <c r="I201" s="3" t="s">
        <v>237</v>
      </c>
      <c r="J201" s="3" t="s">
        <v>702</v>
      </c>
      <c r="K201" s="173">
        <v>5341274.2699999996</v>
      </c>
      <c r="L201" s="1">
        <v>571301.5</v>
      </c>
      <c r="M201" s="1">
        <v>0</v>
      </c>
      <c r="N201" s="173">
        <v>5912575.7699999996</v>
      </c>
      <c r="O201" s="4">
        <f>Tab_09.Set[[#This Row],[DÉBITO]]-Tab_09.Set[[#This Row],[CRÉDITO]]</f>
        <v>571301.5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5</v>
      </c>
      <c r="D202" s="2" t="str">
        <f>_xlfn.XLOOKUP($I202,Tab_00.Trial[CONTA],Tab_00.Trial[S/A],"",0,1)</f>
        <v>S</v>
      </c>
      <c r="E202" s="2">
        <f>IF($I202="","",COUNTIFS(Tab_00.Trial[CONTA],$I202))</f>
        <v>1</v>
      </c>
      <c r="F202" s="4">
        <f>SUMIFS(Tab_08.Ago[SALDO
ATUAL],Tab_08.Ago[CONTA],$I202)</f>
        <v>5341274.2699999996</v>
      </c>
      <c r="G202" s="4">
        <f t="shared" ref="G202:G233" si="8">$F202-$K202</f>
        <v>0</v>
      </c>
      <c r="H202" s="192">
        <v>40360</v>
      </c>
      <c r="I202" s="3" t="s">
        <v>238</v>
      </c>
      <c r="J202" s="3" t="s">
        <v>820</v>
      </c>
      <c r="K202" s="173">
        <v>5341274.2699999996</v>
      </c>
      <c r="L202" s="1">
        <v>571301.5</v>
      </c>
      <c r="M202" s="1">
        <v>0</v>
      </c>
      <c r="N202" s="173">
        <v>5912575.7699999996</v>
      </c>
      <c r="O202" s="4">
        <f>Tab_09.Set[[#This Row],[DÉBITO]]-Tab_09.Set[[#This Row],[CRÉDITO]]</f>
        <v>571301.5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5</v>
      </c>
      <c r="D203" s="2" t="str">
        <f>_xlfn.XLOOKUP($I203,Tab_00.Trial[CONTA],Tab_00.Trial[S/A],"",0,1)</f>
        <v>A</v>
      </c>
      <c r="E203" s="2">
        <f>IF($I203="","",COUNTIFS(Tab_00.Trial[CONTA],$I203))</f>
        <v>1</v>
      </c>
      <c r="F203" s="4">
        <f>SUMIFS(Tab_08.Ago[SALDO
ATUAL],Tab_08.Ago[CONTA],$I203)</f>
        <v>1927127.25</v>
      </c>
      <c r="G203" s="4">
        <f t="shared" si="8"/>
        <v>0</v>
      </c>
      <c r="H203" s="192">
        <v>40425</v>
      </c>
      <c r="I203" s="3" t="s">
        <v>421</v>
      </c>
      <c r="J203" s="3" t="s">
        <v>422</v>
      </c>
      <c r="K203" s="173">
        <v>1927127.25</v>
      </c>
      <c r="L203" s="1">
        <v>198337.07</v>
      </c>
      <c r="M203" s="1">
        <v>0</v>
      </c>
      <c r="N203" s="173">
        <v>2125464.3199999998</v>
      </c>
      <c r="O203" s="4">
        <f>Tab_09.Set[[#This Row],[DÉBITO]]-Tab_09.Set[[#This Row],[CRÉDITO]]</f>
        <v>198337.07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5</v>
      </c>
      <c r="D204" s="2" t="str">
        <f>_xlfn.XLOOKUP($I204,Tab_00.Trial[CONTA],Tab_00.Trial[S/A],"",0,1)</f>
        <v>A</v>
      </c>
      <c r="E204" s="2">
        <f>IF($I204="","",COUNTIFS(Tab_00.Trial[CONTA],$I204))</f>
        <v>1</v>
      </c>
      <c r="F204" s="4">
        <f>SUMIFS(Tab_08.Ago[SALDO
ATUAL],Tab_08.Ago[CONTA],$I204)</f>
        <v>1056206.8400000001</v>
      </c>
      <c r="G204" s="4">
        <f t="shared" si="8"/>
        <v>0</v>
      </c>
      <c r="H204" s="192">
        <v>40468</v>
      </c>
      <c r="I204" s="3" t="s">
        <v>738</v>
      </c>
      <c r="J204" s="3" t="s">
        <v>367</v>
      </c>
      <c r="K204" s="173">
        <v>1056206.8400000001</v>
      </c>
      <c r="L204" s="1">
        <v>128578.44</v>
      </c>
      <c r="M204" s="1">
        <v>0</v>
      </c>
      <c r="N204" s="173">
        <v>1184785.28</v>
      </c>
      <c r="O204" s="4">
        <f>Tab_09.Set[[#This Row],[DÉBITO]]-Tab_09.Set[[#This Row],[CRÉDITO]]</f>
        <v>128578.44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5</v>
      </c>
      <c r="D205" s="2" t="str">
        <f>_xlfn.XLOOKUP($I205,Tab_00.Trial[CONTA],Tab_00.Trial[S/A],"",0,1)</f>
        <v>A</v>
      </c>
      <c r="E205" s="2">
        <f>IF($I205="","",COUNTIFS(Tab_00.Trial[CONTA],$I205))</f>
        <v>1</v>
      </c>
      <c r="F205" s="4">
        <f>SUMIFS(Tab_08.Ago[SALDO
ATUAL],Tab_08.Ago[CONTA],$I205)</f>
        <v>2357940.1800000002</v>
      </c>
      <c r="G205" s="4">
        <f t="shared" si="8"/>
        <v>0</v>
      </c>
      <c r="H205" s="192">
        <v>40469</v>
      </c>
      <c r="I205" s="3" t="s">
        <v>423</v>
      </c>
      <c r="J205" s="3" t="s">
        <v>424</v>
      </c>
      <c r="K205" s="1">
        <v>2357940.1800000002</v>
      </c>
      <c r="L205" s="1">
        <v>244385.99</v>
      </c>
      <c r="M205" s="1">
        <v>0</v>
      </c>
      <c r="N205" s="1">
        <v>2602326.17</v>
      </c>
      <c r="O205" s="4">
        <f>Tab_09.Set[[#This Row],[DÉBITO]]-Tab_09.Set[[#This Row],[CRÉDITO]]</f>
        <v>244385.99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2</v>
      </c>
      <c r="D206" s="2" t="str">
        <f>_xlfn.XLOOKUP($I206,Tab_00.Trial[CONTA],Tab_00.Trial[S/A],"",0,1)</f>
        <v>S</v>
      </c>
      <c r="E206" s="2">
        <f>IF($I206="","",COUNTIFS(Tab_00.Trial[CONTA],$I206))</f>
        <v>1</v>
      </c>
      <c r="F206" s="4">
        <f>SUMIFS(Tab_08.Ago[SALDO
ATUAL],Tab_08.Ago[CONTA],$I206)</f>
        <v>16.170000000000002</v>
      </c>
      <c r="G206" s="4">
        <f t="shared" si="8"/>
        <v>0</v>
      </c>
      <c r="H206" s="192">
        <v>40590</v>
      </c>
      <c r="I206" s="3" t="s">
        <v>596</v>
      </c>
      <c r="J206" s="3" t="s">
        <v>680</v>
      </c>
      <c r="K206" s="173">
        <v>16.170000000000002</v>
      </c>
      <c r="L206" s="1">
        <v>808.5</v>
      </c>
      <c r="M206" s="1">
        <v>0</v>
      </c>
      <c r="N206" s="173">
        <v>824.67</v>
      </c>
      <c r="O206" s="4">
        <f>Tab_09.Set[[#This Row],[DÉBITO]]-Tab_09.Set[[#This Row],[CRÉDITO]]</f>
        <v>808.5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5</v>
      </c>
      <c r="D207" s="2" t="str">
        <f>_xlfn.XLOOKUP($I207,Tab_00.Trial[CONTA],Tab_00.Trial[S/A],"",0,1)</f>
        <v>S</v>
      </c>
      <c r="E207" s="2">
        <f>IF($I207="","",COUNTIFS(Tab_00.Trial[CONTA],$I207))</f>
        <v>1</v>
      </c>
      <c r="F207" s="4">
        <f>SUMIFS(Tab_08.Ago[SALDO
ATUAL],Tab_08.Ago[CONTA],$I207)</f>
        <v>16.170000000000002</v>
      </c>
      <c r="G207" s="4">
        <f t="shared" si="8"/>
        <v>0</v>
      </c>
      <c r="H207" s="192">
        <v>40600</v>
      </c>
      <c r="I207" s="3" t="s">
        <v>597</v>
      </c>
      <c r="J207" s="3" t="s">
        <v>703</v>
      </c>
      <c r="K207" s="1">
        <v>16.170000000000002</v>
      </c>
      <c r="L207" s="1">
        <v>808.5</v>
      </c>
      <c r="M207" s="1">
        <v>0</v>
      </c>
      <c r="N207" s="1">
        <v>824.67</v>
      </c>
      <c r="O207" s="4">
        <f>Tab_09.Set[[#This Row],[DÉBITO]]-Tab_09.Set[[#This Row],[CRÉDITO]]</f>
        <v>808.5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5</v>
      </c>
      <c r="D208" s="2" t="str">
        <f>_xlfn.XLOOKUP($I208,Tab_00.Trial[CONTA],Tab_00.Trial[S/A],"",0,1)</f>
        <v>S</v>
      </c>
      <c r="E208" s="2">
        <f>IF($I208="","",COUNTIFS(Tab_00.Trial[CONTA],$I208))</f>
        <v>1</v>
      </c>
      <c r="F208" s="4">
        <f>SUMIFS(Tab_08.Ago[SALDO
ATUAL],Tab_08.Ago[CONTA],$I208)</f>
        <v>16.170000000000002</v>
      </c>
      <c r="G208" s="4">
        <f t="shared" si="8"/>
        <v>0</v>
      </c>
      <c r="H208" s="192">
        <v>40615</v>
      </c>
      <c r="I208" s="3" t="s">
        <v>598</v>
      </c>
      <c r="J208" s="3" t="s">
        <v>704</v>
      </c>
      <c r="K208" s="173">
        <v>16.170000000000002</v>
      </c>
      <c r="L208" s="1">
        <v>808.5</v>
      </c>
      <c r="M208" s="1">
        <v>0</v>
      </c>
      <c r="N208" s="173">
        <v>824.67</v>
      </c>
      <c r="O208" s="4">
        <f>Tab_09.Set[[#This Row],[DÉBITO]]-Tab_09.Set[[#This Row],[CRÉDITO]]</f>
        <v>808.5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5</v>
      </c>
      <c r="D209" s="2" t="str">
        <f>_xlfn.XLOOKUP($I209,Tab_00.Trial[CONTA],Tab_00.Trial[S/A],"",0,1)</f>
        <v>A</v>
      </c>
      <c r="E209" s="2">
        <f>IF($I209="","",COUNTIFS(Tab_00.Trial[CONTA],$I209))</f>
        <v>1</v>
      </c>
      <c r="F209" s="4">
        <f>SUMIFS(Tab_08.Ago[SALDO
ATUAL],Tab_08.Ago[CONTA],$I209)</f>
        <v>16.170000000000002</v>
      </c>
      <c r="G209" s="4">
        <f t="shared" si="8"/>
        <v>0</v>
      </c>
      <c r="H209" s="192">
        <v>40620</v>
      </c>
      <c r="I209" s="3" t="s">
        <v>425</v>
      </c>
      <c r="J209" s="3" t="s">
        <v>426</v>
      </c>
      <c r="K209" s="173">
        <v>16.170000000000002</v>
      </c>
      <c r="L209" s="1">
        <v>808.5</v>
      </c>
      <c r="M209" s="1">
        <v>0</v>
      </c>
      <c r="N209" s="173">
        <v>824.67</v>
      </c>
      <c r="O209" s="4">
        <f>Tab_09.Set[[#This Row],[DÉBITO]]-Tab_09.Set[[#This Row],[CRÉDITO]]</f>
        <v>808.5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1</v>
      </c>
      <c r="D210" s="2" t="str">
        <f>_xlfn.XLOOKUP($I210,Tab_00.Trial[CONTA],Tab_00.Trial[S/A],"",0,1)</f>
        <v>S</v>
      </c>
      <c r="E210" s="2">
        <f>IF($I210="","",COUNTIFS(Tab_00.Trial[CONTA],$I210))</f>
        <v>1</v>
      </c>
      <c r="F210" s="4">
        <f>SUMIFS(Tab_08.Ago[SALDO
ATUAL],Tab_08.Ago[CONTA],$I210)</f>
        <v>2304302.27</v>
      </c>
      <c r="G210" s="4">
        <f t="shared" si="8"/>
        <v>0</v>
      </c>
      <c r="H210" s="192">
        <v>50000</v>
      </c>
      <c r="I210" s="3">
        <v>5</v>
      </c>
      <c r="J210" s="3" t="s">
        <v>705</v>
      </c>
      <c r="K210" s="173">
        <v>2304302.27</v>
      </c>
      <c r="L210" s="1">
        <v>320088.96999999997</v>
      </c>
      <c r="M210" s="1">
        <v>12818.55</v>
      </c>
      <c r="N210" s="173">
        <v>2611572.69</v>
      </c>
      <c r="O210" s="4">
        <f>Tab_09.Set[[#This Row],[DÉBITO]]-Tab_09.Set[[#This Row],[CRÉDITO]]</f>
        <v>307270.42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2</v>
      </c>
      <c r="D211" s="2" t="str">
        <f>_xlfn.XLOOKUP($I211,Tab_00.Trial[CONTA],Tab_00.Trial[S/A],"",0,1)</f>
        <v>S</v>
      </c>
      <c r="E211" s="2">
        <f>IF($I211="","",COUNTIFS(Tab_00.Trial[CONTA],$I211))</f>
        <v>1</v>
      </c>
      <c r="F211" s="4">
        <f>SUMIFS(Tab_08.Ago[SALDO
ATUAL],Tab_08.Ago[CONTA],$I211)</f>
        <v>2304086.27</v>
      </c>
      <c r="G211" s="4">
        <f t="shared" si="8"/>
        <v>0</v>
      </c>
      <c r="H211" s="192">
        <v>50015</v>
      </c>
      <c r="I211" s="3" t="s">
        <v>599</v>
      </c>
      <c r="J211" s="3" t="s">
        <v>821</v>
      </c>
      <c r="K211" s="173">
        <v>2304086.27</v>
      </c>
      <c r="L211" s="1">
        <v>320088.96999999997</v>
      </c>
      <c r="M211" s="1">
        <v>12818.55</v>
      </c>
      <c r="N211" s="173">
        <v>2611356.69</v>
      </c>
      <c r="O211" s="4">
        <f>Tab_09.Set[[#This Row],[DÉBITO]]-Tab_09.Set[[#This Row],[CRÉDITO]]</f>
        <v>307270.42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S</v>
      </c>
      <c r="E212" s="2">
        <f>IF($I212="","",COUNTIFS(Tab_00.Trial[CONTA],$I212))</f>
        <v>1</v>
      </c>
      <c r="F212" s="4">
        <f>SUMIFS(Tab_08.Ago[SALDO
ATUAL],Tab_08.Ago[CONTA],$I212)</f>
        <v>882088.29</v>
      </c>
      <c r="G212" s="4">
        <f t="shared" si="8"/>
        <v>0</v>
      </c>
      <c r="H212" s="192">
        <v>50030</v>
      </c>
      <c r="I212" s="3" t="s">
        <v>600</v>
      </c>
      <c r="J212" s="3" t="s">
        <v>706</v>
      </c>
      <c r="K212" s="173">
        <v>882088.29</v>
      </c>
      <c r="L212" s="173">
        <v>72715.27</v>
      </c>
      <c r="M212" s="1">
        <v>12818.55</v>
      </c>
      <c r="N212" s="173">
        <v>941985.01</v>
      </c>
      <c r="O212" s="4">
        <f>Tab_09.Set[[#This Row],[DÉBITO]]-Tab_09.Set[[#This Row],[CRÉDITO]]</f>
        <v>59896.72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S</v>
      </c>
      <c r="E213" s="2">
        <f>IF($I213="","",COUNTIFS(Tab_00.Trial[CONTA],$I213))</f>
        <v>1</v>
      </c>
      <c r="F213" s="4">
        <f>SUMIFS(Tab_08.Ago[SALDO
ATUAL],Tab_08.Ago[CONTA],$I213)</f>
        <v>565780.51</v>
      </c>
      <c r="G213" s="4">
        <f t="shared" si="8"/>
        <v>0</v>
      </c>
      <c r="H213" s="192">
        <v>50045</v>
      </c>
      <c r="I213" s="3" t="s">
        <v>601</v>
      </c>
      <c r="J213" s="3" t="s">
        <v>707</v>
      </c>
      <c r="K213" s="173">
        <v>565780.51</v>
      </c>
      <c r="L213" s="173">
        <v>61162.46</v>
      </c>
      <c r="M213" s="1">
        <v>11897.13</v>
      </c>
      <c r="N213" s="173">
        <v>615045.84</v>
      </c>
      <c r="O213" s="4">
        <f>Tab_09.Set[[#This Row],[DÉBITO]]-Tab_09.Set[[#This Row],[CRÉDITO]]</f>
        <v>49265.33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5</v>
      </c>
      <c r="D214" s="2" t="str">
        <f>_xlfn.XLOOKUP($I214,Tab_00.Trial[CONTA],Tab_00.Trial[S/A],"",0,1)</f>
        <v>A</v>
      </c>
      <c r="E214" s="2">
        <f>IF($I214="","",COUNTIFS(Tab_00.Trial[CONTA],$I214))</f>
        <v>1</v>
      </c>
      <c r="F214" s="4">
        <f>SUMIFS(Tab_08.Ago[SALDO
ATUAL],Tab_08.Ago[CONTA],$I214)</f>
        <v>359986.3</v>
      </c>
      <c r="G214" s="4">
        <f t="shared" si="8"/>
        <v>0</v>
      </c>
      <c r="H214" s="192">
        <v>50060</v>
      </c>
      <c r="I214" s="3" t="s">
        <v>441</v>
      </c>
      <c r="J214" s="3" t="s">
        <v>427</v>
      </c>
      <c r="K214" s="173">
        <v>359986.3</v>
      </c>
      <c r="L214" s="173">
        <v>49683.839999999997</v>
      </c>
      <c r="M214" s="1">
        <v>11432.48</v>
      </c>
      <c r="N214" s="173">
        <v>398237.66</v>
      </c>
      <c r="O214" s="4">
        <f>Tab_09.Set[[#This Row],[DÉBITO]]-Tab_09.Set[[#This Row],[CRÉDITO]]</f>
        <v>38251.360000000001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A</v>
      </c>
      <c r="E215" s="2">
        <f>IF($I215="","",COUNTIFS(Tab_00.Trial[CONTA],$I215))</f>
        <v>1</v>
      </c>
      <c r="F215" s="4">
        <f>SUMIFS(Tab_08.Ago[SALDO
ATUAL],Tab_08.Ago[CONTA],$I215)</f>
        <v>50255.83</v>
      </c>
      <c r="G215" s="4">
        <f t="shared" si="8"/>
        <v>0</v>
      </c>
      <c r="H215" s="192">
        <v>50090</v>
      </c>
      <c r="I215" s="3" t="s">
        <v>443</v>
      </c>
      <c r="J215" s="3" t="s">
        <v>431</v>
      </c>
      <c r="K215" s="173">
        <v>50255.83</v>
      </c>
      <c r="L215" s="173">
        <v>4813.3599999999997</v>
      </c>
      <c r="M215" s="1">
        <v>0</v>
      </c>
      <c r="N215" s="173">
        <v>55069.19</v>
      </c>
      <c r="O215" s="4">
        <f>Tab_09.Set[[#This Row],[DÉBITO]]-Tab_09.Set[[#This Row],[CRÉDITO]]</f>
        <v>4813.3599999999997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A</v>
      </c>
      <c r="E216" s="2">
        <f>IF($I216="","",COUNTIFS(Tab_00.Trial[CONTA],$I216))</f>
        <v>1</v>
      </c>
      <c r="F216" s="4">
        <f>SUMIFS(Tab_08.Ago[SALDO
ATUAL],Tab_08.Ago[CONTA],$I216)</f>
        <v>38369.879999999997</v>
      </c>
      <c r="G216" s="4">
        <f t="shared" si="8"/>
        <v>0</v>
      </c>
      <c r="H216" s="192">
        <v>50105</v>
      </c>
      <c r="I216" s="3" t="s">
        <v>444</v>
      </c>
      <c r="J216" s="3" t="s">
        <v>433</v>
      </c>
      <c r="K216" s="173">
        <v>38369.879999999997</v>
      </c>
      <c r="L216" s="173">
        <v>2829.22</v>
      </c>
      <c r="M216" s="1">
        <v>0</v>
      </c>
      <c r="N216" s="173">
        <v>41199.1</v>
      </c>
      <c r="O216" s="4">
        <f>Tab_09.Set[[#This Row],[DÉBITO]]-Tab_09.Set[[#This Row],[CRÉDITO]]</f>
        <v>2829.22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A</v>
      </c>
      <c r="E217" s="2">
        <f>IF($I217="","",COUNTIFS(Tab_00.Trial[CONTA],$I217))</f>
        <v>1</v>
      </c>
      <c r="F217" s="4">
        <f>SUMIFS(Tab_08.Ago[SALDO
ATUAL],Tab_08.Ago[CONTA],$I217)</f>
        <v>85959.77</v>
      </c>
      <c r="G217" s="4">
        <f t="shared" si="8"/>
        <v>0</v>
      </c>
      <c r="H217" s="192">
        <v>50120</v>
      </c>
      <c r="I217" s="3" t="s">
        <v>775</v>
      </c>
      <c r="J217" s="3" t="s">
        <v>749</v>
      </c>
      <c r="K217" s="173">
        <v>85959.77</v>
      </c>
      <c r="L217" s="173">
        <v>0</v>
      </c>
      <c r="M217" s="1">
        <v>0</v>
      </c>
      <c r="N217" s="173">
        <v>85959.77</v>
      </c>
      <c r="O217" s="4">
        <f>Tab_09.Set[[#This Row],[DÉBITO]]-Tab_09.Set[[#This Row],[CRÉDITO]]</f>
        <v>0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A</v>
      </c>
      <c r="E218" s="2">
        <f>IF($I218="","",COUNTIFS(Tab_00.Trial[CONTA],$I218))</f>
        <v>1</v>
      </c>
      <c r="F218" s="4">
        <f>SUMIFS(Tab_08.Ago[SALDO
ATUAL],Tab_08.Ago[CONTA],$I218)</f>
        <v>476.67</v>
      </c>
      <c r="G218" s="4">
        <f t="shared" si="8"/>
        <v>0</v>
      </c>
      <c r="H218" s="192">
        <v>50205</v>
      </c>
      <c r="I218" s="3" t="s">
        <v>447</v>
      </c>
      <c r="J218" s="3" t="s">
        <v>448</v>
      </c>
      <c r="K218" s="173">
        <v>476.67</v>
      </c>
      <c r="L218" s="1">
        <v>1100</v>
      </c>
      <c r="M218" s="1">
        <v>0</v>
      </c>
      <c r="N218" s="173">
        <v>1576.67</v>
      </c>
      <c r="O218" s="4">
        <f>Tab_09.Set[[#This Row],[DÉBITO]]-Tab_09.Set[[#This Row],[CRÉDITO]]</f>
        <v>1100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A</v>
      </c>
      <c r="E219" s="2">
        <f>IF($I219="","",COUNTIFS(Tab_00.Trial[CONTA],$I219))</f>
        <v>1</v>
      </c>
      <c r="F219" s="4">
        <f>SUMIFS(Tab_08.Ago[SALDO
ATUAL],Tab_08.Ago[CONTA],$I219)</f>
        <v>7295.1</v>
      </c>
      <c r="G219" s="4">
        <f t="shared" si="8"/>
        <v>0</v>
      </c>
      <c r="H219" s="192">
        <v>10167</v>
      </c>
      <c r="I219" s="3" t="s">
        <v>802</v>
      </c>
      <c r="J219" s="3" t="s">
        <v>791</v>
      </c>
      <c r="K219" s="173">
        <v>7295.1</v>
      </c>
      <c r="L219" s="173">
        <v>1289.99</v>
      </c>
      <c r="M219" s="1">
        <v>357.84</v>
      </c>
      <c r="N219" s="173">
        <v>8227.25</v>
      </c>
      <c r="O219" s="4">
        <f>Tab_09.Set[[#This Row],[DÉBITO]]-Tab_09.Set[[#This Row],[CRÉDITO]]</f>
        <v>932.15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A</v>
      </c>
      <c r="E220" s="2">
        <f>IF($I220="","",COUNTIFS(Tab_00.Trial[CONTA],$I220))</f>
        <v>1</v>
      </c>
      <c r="F220" s="4">
        <f>SUMIFS(Tab_08.Ago[SALDO
ATUAL],Tab_08.Ago[CONTA],$I220)</f>
        <v>11600.62</v>
      </c>
      <c r="G220" s="4">
        <f t="shared" si="8"/>
        <v>0</v>
      </c>
      <c r="H220" s="192">
        <v>10174</v>
      </c>
      <c r="I220" s="3" t="s">
        <v>803</v>
      </c>
      <c r="J220" s="3" t="s">
        <v>793</v>
      </c>
      <c r="K220" s="173">
        <v>11600.62</v>
      </c>
      <c r="L220" s="173">
        <v>385.06</v>
      </c>
      <c r="M220" s="1">
        <v>106.81</v>
      </c>
      <c r="N220" s="173">
        <v>11878.87</v>
      </c>
      <c r="O220" s="4">
        <f>Tab_09.Set[[#This Row],[DÉBITO]]-Tab_09.Set[[#This Row],[CRÉDITO]]</f>
        <v>278.25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A</v>
      </c>
      <c r="E221" s="2">
        <f>IF($I221="","",COUNTIFS(Tab_00.Trial[CONTA],$I221))</f>
        <v>1</v>
      </c>
      <c r="F221" s="4">
        <f>SUMIFS(Tab_08.Ago[SALDO
ATUAL],Tab_08.Ago[CONTA],$I221)</f>
        <v>224.11</v>
      </c>
      <c r="G221" s="4">
        <f t="shared" si="8"/>
        <v>0</v>
      </c>
      <c r="H221" s="192">
        <v>10181</v>
      </c>
      <c r="I221" s="3" t="s">
        <v>804</v>
      </c>
      <c r="J221" s="3" t="s">
        <v>795</v>
      </c>
      <c r="K221" s="173">
        <v>224.11</v>
      </c>
      <c r="L221" s="1">
        <v>48.14</v>
      </c>
      <c r="M221" s="1">
        <v>0</v>
      </c>
      <c r="N221" s="173">
        <v>272.25</v>
      </c>
      <c r="O221" s="4">
        <f>Tab_09.Set[[#This Row],[DÉBITO]]-Tab_09.Set[[#This Row],[CRÉDITO]]</f>
        <v>48.14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A</v>
      </c>
      <c r="E222" s="2">
        <f>IF($I222="","",COUNTIFS(Tab_00.Trial[CONTA],$I222))</f>
        <v>1</v>
      </c>
      <c r="F222" s="4">
        <f>SUMIFS(Tab_08.Ago[SALDO
ATUAL],Tab_08.Ago[CONTA],$I222)</f>
        <v>8683.3799999999992</v>
      </c>
      <c r="G222" s="4">
        <f t="shared" si="8"/>
        <v>0</v>
      </c>
      <c r="H222" s="192">
        <v>10188</v>
      </c>
      <c r="I222" s="3" t="s">
        <v>805</v>
      </c>
      <c r="J222" s="3" t="s">
        <v>797</v>
      </c>
      <c r="K222" s="173">
        <v>8683.3799999999992</v>
      </c>
      <c r="L222" s="173">
        <v>758.23</v>
      </c>
      <c r="M222" s="1">
        <v>0</v>
      </c>
      <c r="N222" s="173">
        <v>9441.61</v>
      </c>
      <c r="O222" s="4">
        <f>Tab_09.Set[[#This Row],[DÉBITO]]-Tab_09.Set[[#This Row],[CRÉDITO]]</f>
        <v>758.23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A</v>
      </c>
      <c r="E223" s="2">
        <f>IF($I223="","",COUNTIFS(Tab_00.Trial[CONTA],$I223))</f>
        <v>1</v>
      </c>
      <c r="F223" s="4">
        <f>SUMIFS(Tab_08.Ago[SALDO
ATUAL],Tab_08.Ago[CONTA],$I223)</f>
        <v>2591.9899999999998</v>
      </c>
      <c r="G223" s="4">
        <f t="shared" si="8"/>
        <v>0</v>
      </c>
      <c r="H223" s="192">
        <v>10202</v>
      </c>
      <c r="I223" s="3" t="s">
        <v>806</v>
      </c>
      <c r="J223" s="3" t="s">
        <v>799</v>
      </c>
      <c r="K223" s="173">
        <v>2591.9899999999998</v>
      </c>
      <c r="L223" s="173">
        <v>226.33</v>
      </c>
      <c r="M223" s="1">
        <v>0</v>
      </c>
      <c r="N223" s="173">
        <v>2818.32</v>
      </c>
      <c r="O223" s="4">
        <f>Tab_09.Set[[#This Row],[DÉBITO]]-Tab_09.Set[[#This Row],[CRÉDITO]]</f>
        <v>226.33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A</v>
      </c>
      <c r="E224" s="2">
        <f>IF($I224="","",COUNTIFS(Tab_00.Trial[CONTA],$I224))</f>
        <v>1</v>
      </c>
      <c r="F224" s="4">
        <f>SUMIFS(Tab_08.Ago[SALDO
ATUAL],Tab_08.Ago[CONTA],$I224)</f>
        <v>336.86</v>
      </c>
      <c r="G224" s="4">
        <f t="shared" si="8"/>
        <v>0</v>
      </c>
      <c r="H224" s="192">
        <v>10209</v>
      </c>
      <c r="I224" s="3" t="s">
        <v>807</v>
      </c>
      <c r="J224" s="3" t="s">
        <v>801</v>
      </c>
      <c r="K224" s="173">
        <v>336.86</v>
      </c>
      <c r="L224" s="1">
        <v>28.29</v>
      </c>
      <c r="M224" s="1">
        <v>0</v>
      </c>
      <c r="N224" s="173">
        <v>365.15</v>
      </c>
      <c r="O224" s="4">
        <f>Tab_09.Set[[#This Row],[DÉBITO]]-Tab_09.Set[[#This Row],[CRÉDITO]]</f>
        <v>28.29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S</v>
      </c>
      <c r="E225" s="2">
        <f>IF($I225="","",COUNTIFS(Tab_00.Trial[CONTA],$I225))</f>
        <v>1</v>
      </c>
      <c r="F225" s="4">
        <f>SUMIFS(Tab_08.Ago[SALDO
ATUAL],Tab_08.Ago[CONTA],$I225)</f>
        <v>1400.16</v>
      </c>
      <c r="G225" s="4">
        <f t="shared" si="8"/>
        <v>0</v>
      </c>
      <c r="H225" s="192">
        <v>50150</v>
      </c>
      <c r="I225" s="3" t="s">
        <v>602</v>
      </c>
      <c r="J225" s="3" t="s">
        <v>708</v>
      </c>
      <c r="K225" s="173">
        <v>1400.16</v>
      </c>
      <c r="L225" s="1">
        <v>535.26</v>
      </c>
      <c r="M225" s="1">
        <v>921.42</v>
      </c>
      <c r="N225" s="173">
        <v>1014</v>
      </c>
      <c r="O225" s="4">
        <f>Tab_09.Set[[#This Row],[DÉBITO]]-Tab_09.Set[[#This Row],[CRÉDITO]]</f>
        <v>-386.16</v>
      </c>
    </row>
    <row r="226" spans="2:15" x14ac:dyDescent="0.3">
      <c r="B226" s="2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A</v>
      </c>
      <c r="E226" s="2">
        <f>IF($I226="","",COUNTIFS(Tab_00.Trial[CONTA],$I226))</f>
        <v>1</v>
      </c>
      <c r="F226" s="4">
        <f>SUMIFS(Tab_08.Ago[SALDO
ATUAL],Tab_08.Ago[CONTA],$I226)</f>
        <v>0</v>
      </c>
      <c r="G226" s="4">
        <f t="shared" si="8"/>
        <v>0</v>
      </c>
      <c r="H226" s="192">
        <v>50165</v>
      </c>
      <c r="I226" s="3" t="s">
        <v>772</v>
      </c>
      <c r="J226" s="3" t="s">
        <v>435</v>
      </c>
      <c r="K226" s="173">
        <v>0</v>
      </c>
      <c r="L226" s="1">
        <v>535.26</v>
      </c>
      <c r="M226" s="1">
        <v>535.26</v>
      </c>
      <c r="N226" s="173">
        <v>0</v>
      </c>
      <c r="O226" s="4">
        <f>Tab_09.Set[[#This Row],[DÉBITO]]-Tab_09.Set[[#This Row],[CRÉDITO]]</f>
        <v>0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A</v>
      </c>
      <c r="E227" s="2">
        <f>IF($I227="","",COUNTIFS(Tab_00.Trial[CONTA],$I227))</f>
        <v>1</v>
      </c>
      <c r="F227" s="4">
        <f>SUMIFS(Tab_08.Ago[SALDO
ATUAL],Tab_08.Ago[CONTA],$I227)</f>
        <v>386.16</v>
      </c>
      <c r="G227" s="4">
        <f t="shared" si="8"/>
        <v>0</v>
      </c>
      <c r="H227" s="192">
        <v>50195</v>
      </c>
      <c r="I227" s="3" t="s">
        <v>773</v>
      </c>
      <c r="J227" s="3" t="s">
        <v>751</v>
      </c>
      <c r="K227" s="173">
        <v>386.16</v>
      </c>
      <c r="L227" s="173">
        <v>0</v>
      </c>
      <c r="M227" s="1">
        <v>386.16</v>
      </c>
      <c r="N227" s="173">
        <v>0</v>
      </c>
      <c r="O227" s="4">
        <f>Tab_09.Set[[#This Row],[DÉBITO]]-Tab_09.Set[[#This Row],[CRÉDITO]]</f>
        <v>-386.16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A</v>
      </c>
      <c r="E228" s="2">
        <f>IF($I228="","",COUNTIFS(Tab_00.Trial[CONTA],$I228))</f>
        <v>1</v>
      </c>
      <c r="F228" s="4">
        <f>SUMIFS(Tab_08.Ago[SALDO
ATUAL],Tab_08.Ago[CONTA],$I228)</f>
        <v>1014</v>
      </c>
      <c r="G228" s="4">
        <f t="shared" si="8"/>
        <v>0</v>
      </c>
      <c r="H228" s="192">
        <v>50211</v>
      </c>
      <c r="I228" s="3" t="s">
        <v>455</v>
      </c>
      <c r="J228" s="3" t="s">
        <v>456</v>
      </c>
      <c r="K228" s="173">
        <v>1014</v>
      </c>
      <c r="L228" s="173">
        <v>0</v>
      </c>
      <c r="M228" s="1">
        <v>0</v>
      </c>
      <c r="N228" s="173">
        <v>1014</v>
      </c>
      <c r="O228" s="4">
        <f>Tab_09.Set[[#This Row],[DÉBITO]]-Tab_09.Set[[#This Row],[CRÉDITO]]</f>
        <v>0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S</v>
      </c>
      <c r="E229" s="2">
        <f>IF($I229="","",COUNTIFS(Tab_00.Trial[CONTA],$I229))</f>
        <v>1</v>
      </c>
      <c r="F229" s="4">
        <f>SUMIFS(Tab_08.Ago[SALDO
ATUAL],Tab_08.Ago[CONTA],$I229)</f>
        <v>313172.62</v>
      </c>
      <c r="G229" s="4">
        <f t="shared" si="8"/>
        <v>0</v>
      </c>
      <c r="H229" s="192">
        <v>50215</v>
      </c>
      <c r="I229" s="3" t="s">
        <v>603</v>
      </c>
      <c r="J229" s="3" t="s">
        <v>709</v>
      </c>
      <c r="K229" s="173">
        <v>313172.62</v>
      </c>
      <c r="L229" s="173">
        <v>9827.5499999999993</v>
      </c>
      <c r="M229" s="1">
        <v>0</v>
      </c>
      <c r="N229" s="173">
        <v>323000.17</v>
      </c>
      <c r="O229" s="4">
        <f>Tab_09.Set[[#This Row],[DÉBITO]]-Tab_09.Set[[#This Row],[CRÉDITO]]</f>
        <v>9827.5499999999993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A</v>
      </c>
      <c r="E230" s="2">
        <f>IF($I230="","",COUNTIFS(Tab_00.Trial[CONTA],$I230))</f>
        <v>1</v>
      </c>
      <c r="F230" s="4">
        <f>SUMIFS(Tab_08.Ago[SALDO
ATUAL],Tab_08.Ago[CONTA],$I230)</f>
        <v>96585.86</v>
      </c>
      <c r="G230" s="4">
        <f t="shared" si="8"/>
        <v>0</v>
      </c>
      <c r="H230" s="192">
        <v>50225</v>
      </c>
      <c r="I230" s="3" t="s">
        <v>451</v>
      </c>
      <c r="J230" s="3" t="s">
        <v>437</v>
      </c>
      <c r="K230" s="173">
        <v>96585.86</v>
      </c>
      <c r="L230" s="173">
        <v>7356.94</v>
      </c>
      <c r="M230" s="1">
        <v>0</v>
      </c>
      <c r="N230" s="173">
        <v>103942.8</v>
      </c>
      <c r="O230" s="4">
        <f>Tab_09.Set[[#This Row],[DÉBITO]]-Tab_09.Set[[#This Row],[CRÉDITO]]</f>
        <v>7356.94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A</v>
      </c>
      <c r="E231" s="2">
        <f>IF($I231="","",COUNTIFS(Tab_00.Trial[CONTA],$I231))</f>
        <v>1</v>
      </c>
      <c r="F231" s="4">
        <f>SUMIFS(Tab_08.Ago[SALDO
ATUAL],Tab_08.Ago[CONTA],$I231)</f>
        <v>212982.21</v>
      </c>
      <c r="G231" s="4">
        <f t="shared" si="8"/>
        <v>0</v>
      </c>
      <c r="H231" s="192">
        <v>50240</v>
      </c>
      <c r="I231" s="3" t="s">
        <v>452</v>
      </c>
      <c r="J231" s="3" t="s">
        <v>196</v>
      </c>
      <c r="K231" s="173">
        <v>212982.21</v>
      </c>
      <c r="L231" s="173">
        <v>2196.1</v>
      </c>
      <c r="M231" s="1">
        <v>0</v>
      </c>
      <c r="N231" s="173">
        <v>215178.31</v>
      </c>
      <c r="O231" s="4">
        <f>Tab_09.Set[[#This Row],[DÉBITO]]-Tab_09.Set[[#This Row],[CRÉDITO]]</f>
        <v>2196.1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A</v>
      </c>
      <c r="E232" s="2">
        <f>IF($I232="","",COUNTIFS(Tab_00.Trial[CONTA],$I232))</f>
        <v>1</v>
      </c>
      <c r="F232" s="4">
        <f>SUMIFS(Tab_08.Ago[SALDO
ATUAL],Tab_08.Ago[CONTA],$I232)</f>
        <v>3604.55</v>
      </c>
      <c r="G232" s="4">
        <f t="shared" si="8"/>
        <v>0</v>
      </c>
      <c r="H232" s="192">
        <v>50255</v>
      </c>
      <c r="I232" s="3" t="s">
        <v>453</v>
      </c>
      <c r="J232" s="3" t="s">
        <v>454</v>
      </c>
      <c r="K232" s="173">
        <v>3604.55</v>
      </c>
      <c r="L232" s="1">
        <v>274.51</v>
      </c>
      <c r="M232" s="1">
        <v>0</v>
      </c>
      <c r="N232" s="173">
        <v>3879.06</v>
      </c>
      <c r="O232" s="4">
        <f>Tab_09.Set[[#This Row],[DÉBITO]]-Tab_09.Set[[#This Row],[CRÉDITO]]</f>
        <v>274.51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S</v>
      </c>
      <c r="E233" s="2">
        <f>IF($I233="","",COUNTIFS(Tab_00.Trial[CONTA],$I233))</f>
        <v>1</v>
      </c>
      <c r="F233" s="4">
        <f>SUMIFS(Tab_08.Ago[SALDO
ATUAL],Tab_08.Ago[CONTA],$I233)</f>
        <v>1735</v>
      </c>
      <c r="G233" s="4">
        <f t="shared" si="8"/>
        <v>0</v>
      </c>
      <c r="H233" s="192">
        <v>50290</v>
      </c>
      <c r="I233" s="3" t="s">
        <v>604</v>
      </c>
      <c r="J233" s="3" t="s">
        <v>710</v>
      </c>
      <c r="K233" s="1">
        <v>1735</v>
      </c>
      <c r="L233" s="1">
        <v>1190</v>
      </c>
      <c r="M233" s="1">
        <v>0</v>
      </c>
      <c r="N233" s="1">
        <v>2925</v>
      </c>
      <c r="O233" s="4">
        <f>Tab_09.Set[[#This Row],[DÉBITO]]-Tab_09.Set[[#This Row],[CRÉDITO]]</f>
        <v>1190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A</v>
      </c>
      <c r="E234" s="2">
        <f>IF($I234="","",COUNTIFS(Tab_00.Trial[CONTA],$I234))</f>
        <v>1</v>
      </c>
      <c r="F234" s="4">
        <f>SUMIFS(Tab_08.Ago[SALDO
ATUAL],Tab_08.Ago[CONTA],$I234)</f>
        <v>1735</v>
      </c>
      <c r="G234" s="4">
        <f t="shared" ref="G234:G265" si="9">$F234-$K234</f>
        <v>0</v>
      </c>
      <c r="H234" s="192">
        <v>50295</v>
      </c>
      <c r="I234" s="3" t="s">
        <v>457</v>
      </c>
      <c r="J234" s="3" t="s">
        <v>458</v>
      </c>
      <c r="K234" s="173">
        <v>1735</v>
      </c>
      <c r="L234" s="1">
        <v>1190</v>
      </c>
      <c r="M234" s="1">
        <v>0</v>
      </c>
      <c r="N234" s="173">
        <v>2925</v>
      </c>
      <c r="O234" s="4">
        <f>Tab_09.Set[[#This Row],[DÉBITO]]-Tab_09.Set[[#This Row],[CRÉDITO]]</f>
        <v>1190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S</v>
      </c>
      <c r="E235" s="2">
        <f>IF($I235="","",COUNTIFS(Tab_00.Trial[CONTA],$I235))</f>
        <v>1</v>
      </c>
      <c r="F235" s="4">
        <f>SUMIFS(Tab_08.Ago[SALDO
ATUAL],Tab_08.Ago[CONTA],$I235)</f>
        <v>1195905.17</v>
      </c>
      <c r="G235" s="4">
        <f t="shared" si="9"/>
        <v>0</v>
      </c>
      <c r="H235" s="192">
        <v>50285</v>
      </c>
      <c r="I235" s="3" t="s">
        <v>605</v>
      </c>
      <c r="J235" s="3" t="s">
        <v>711</v>
      </c>
      <c r="K235" s="173">
        <v>1195905.17</v>
      </c>
      <c r="L235" s="1">
        <v>162984.39000000001</v>
      </c>
      <c r="M235" s="1">
        <v>0</v>
      </c>
      <c r="N235" s="173">
        <v>1358889.56</v>
      </c>
      <c r="O235" s="4">
        <f>Tab_09.Set[[#This Row],[DÉBITO]]-Tab_09.Set[[#This Row],[CRÉDITO]]</f>
        <v>162984.39000000001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S</v>
      </c>
      <c r="E236" s="2">
        <f>IF($I236="","",COUNTIFS(Tab_00.Trial[CONTA],$I236))</f>
        <v>1</v>
      </c>
      <c r="F236" s="4">
        <f>SUMIFS(Tab_08.Ago[SALDO
ATUAL],Tab_08.Ago[CONTA],$I236)</f>
        <v>532176.53</v>
      </c>
      <c r="G236" s="4">
        <f t="shared" si="9"/>
        <v>0</v>
      </c>
      <c r="H236" s="192">
        <v>50300</v>
      </c>
      <c r="I236" s="3" t="s">
        <v>606</v>
      </c>
      <c r="J236" s="3" t="s">
        <v>712</v>
      </c>
      <c r="K236" s="173">
        <v>532176.53</v>
      </c>
      <c r="L236" s="1">
        <v>80018.3</v>
      </c>
      <c r="M236" s="1">
        <v>0</v>
      </c>
      <c r="N236" s="173">
        <v>612194.82999999996</v>
      </c>
      <c r="O236" s="4">
        <f>Tab_09.Set[[#This Row],[DÉBITO]]-Tab_09.Set[[#This Row],[CRÉDITO]]</f>
        <v>80018.3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A</v>
      </c>
      <c r="E237" s="2">
        <f>IF($I237="","",COUNTIFS(Tab_00.Trial[CONTA],$I237))</f>
        <v>1</v>
      </c>
      <c r="F237" s="4">
        <f>SUMIFS(Tab_08.Ago[SALDO
ATUAL],Tab_08.Ago[CONTA],$I237)</f>
        <v>61444</v>
      </c>
      <c r="G237" s="4">
        <f t="shared" si="9"/>
        <v>0</v>
      </c>
      <c r="H237" s="192">
        <v>50315</v>
      </c>
      <c r="I237" s="3" t="s">
        <v>459</v>
      </c>
      <c r="J237" s="3" t="s">
        <v>460</v>
      </c>
      <c r="K237" s="173">
        <v>61444</v>
      </c>
      <c r="L237" s="173">
        <v>9157.56</v>
      </c>
      <c r="M237" s="1">
        <v>0</v>
      </c>
      <c r="N237" s="173">
        <v>70601.56</v>
      </c>
      <c r="O237" s="4">
        <f>Tab_09.Set[[#This Row],[DÉBITO]]-Tab_09.Set[[#This Row],[CRÉDITO]]</f>
        <v>9157.56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A</v>
      </c>
      <c r="E238" s="2">
        <f>IF($I238="","",COUNTIFS(Tab_00.Trial[CONTA],$I238))</f>
        <v>1</v>
      </c>
      <c r="F238" s="4">
        <f>SUMIFS(Tab_08.Ago[SALDO
ATUAL],Tab_08.Ago[CONTA],$I238)</f>
        <v>119272.1</v>
      </c>
      <c r="G238" s="4">
        <f t="shared" si="9"/>
        <v>0</v>
      </c>
      <c r="H238" s="192">
        <v>50330</v>
      </c>
      <c r="I238" s="3" t="s">
        <v>461</v>
      </c>
      <c r="J238" s="3" t="s">
        <v>462</v>
      </c>
      <c r="K238" s="173">
        <v>119272.1</v>
      </c>
      <c r="L238" s="173">
        <v>12350</v>
      </c>
      <c r="M238" s="1">
        <v>0</v>
      </c>
      <c r="N238" s="173">
        <v>131622.1</v>
      </c>
      <c r="O238" s="4">
        <f>Tab_09.Set[[#This Row],[DÉBITO]]-Tab_09.Set[[#This Row],[CRÉDITO]]</f>
        <v>12350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A</v>
      </c>
      <c r="E239" s="2">
        <f>IF($I239="","",COUNTIFS(Tab_00.Trial[CONTA],$I239))</f>
        <v>1</v>
      </c>
      <c r="F239" s="4">
        <f>SUMIFS(Tab_08.Ago[SALDO
ATUAL],Tab_08.Ago[CONTA],$I239)</f>
        <v>21500.01</v>
      </c>
      <c r="G239" s="4">
        <f t="shared" si="9"/>
        <v>0</v>
      </c>
      <c r="H239" s="192">
        <v>50345</v>
      </c>
      <c r="I239" s="3" t="s">
        <v>463</v>
      </c>
      <c r="J239" s="3" t="s">
        <v>464</v>
      </c>
      <c r="K239" s="173">
        <v>21500.01</v>
      </c>
      <c r="L239" s="173">
        <v>0</v>
      </c>
      <c r="M239" s="1">
        <v>0</v>
      </c>
      <c r="N239" s="173">
        <v>21500.01</v>
      </c>
      <c r="O239" s="4">
        <f>Tab_09.Set[[#This Row],[DÉBITO]]-Tab_09.Set[[#This Row],[CRÉDITO]]</f>
        <v>0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A</v>
      </c>
      <c r="E240" s="2">
        <f>IF($I240="","",COUNTIFS(Tab_00.Trial[CONTA],$I240))</f>
        <v>1</v>
      </c>
      <c r="F240" s="4">
        <f>SUMIFS(Tab_08.Ago[SALDO
ATUAL],Tab_08.Ago[CONTA],$I240)</f>
        <v>202423.26</v>
      </c>
      <c r="G240" s="4">
        <f t="shared" si="9"/>
        <v>0</v>
      </c>
      <c r="H240" s="192">
        <v>50360</v>
      </c>
      <c r="I240" s="3" t="s">
        <v>465</v>
      </c>
      <c r="J240" s="3" t="s">
        <v>466</v>
      </c>
      <c r="K240" s="173">
        <v>202423.26</v>
      </c>
      <c r="L240" s="173">
        <v>43896.77</v>
      </c>
      <c r="M240" s="1">
        <v>0</v>
      </c>
      <c r="N240" s="173">
        <v>246320.03</v>
      </c>
      <c r="O240" s="4">
        <f>Tab_09.Set[[#This Row],[DÉBITO]]-Tab_09.Set[[#This Row],[CRÉDITO]]</f>
        <v>43896.77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A</v>
      </c>
      <c r="E241" s="2">
        <f>IF($I241="","",COUNTIFS(Tab_00.Trial[CONTA],$I241))</f>
        <v>1</v>
      </c>
      <c r="F241" s="4">
        <f>SUMIFS(Tab_08.Ago[SALDO
ATUAL],Tab_08.Ago[CONTA],$I241)</f>
        <v>36000</v>
      </c>
      <c r="G241" s="4">
        <f t="shared" si="9"/>
        <v>0</v>
      </c>
      <c r="H241" s="192">
        <v>50375</v>
      </c>
      <c r="I241" s="3" t="s">
        <v>473</v>
      </c>
      <c r="J241" s="3" t="s">
        <v>474</v>
      </c>
      <c r="K241" s="173">
        <v>36000</v>
      </c>
      <c r="L241" s="173">
        <v>4500</v>
      </c>
      <c r="M241" s="1">
        <v>0</v>
      </c>
      <c r="N241" s="173">
        <v>40500</v>
      </c>
      <c r="O241" s="4">
        <f>Tab_09.Set[[#This Row],[DÉBITO]]-Tab_09.Set[[#This Row],[CRÉDITO]]</f>
        <v>4500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A</v>
      </c>
      <c r="E242" s="2">
        <f>IF($I242="","",COUNTIFS(Tab_00.Trial[CONTA],$I242))</f>
        <v>1</v>
      </c>
      <c r="F242" s="4">
        <f>SUMIFS(Tab_08.Ago[SALDO
ATUAL],Tab_08.Ago[CONTA],$I242)</f>
        <v>1788.48</v>
      </c>
      <c r="G242" s="4">
        <f t="shared" si="9"/>
        <v>0</v>
      </c>
      <c r="H242" s="192">
        <v>50405</v>
      </c>
      <c r="I242" s="3" t="s">
        <v>467</v>
      </c>
      <c r="J242" s="3" t="s">
        <v>468</v>
      </c>
      <c r="K242" s="173">
        <v>1788.48</v>
      </c>
      <c r="L242" s="1">
        <v>223.56</v>
      </c>
      <c r="M242" s="1">
        <v>0</v>
      </c>
      <c r="N242" s="173">
        <v>2012.04</v>
      </c>
      <c r="O242" s="4">
        <f>Tab_09.Set[[#This Row],[DÉBITO]]-Tab_09.Set[[#This Row],[CRÉDITO]]</f>
        <v>223.56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A</v>
      </c>
      <c r="E243" s="2">
        <f>IF($I243="","",COUNTIFS(Tab_00.Trial[CONTA],$I243))</f>
        <v>1</v>
      </c>
      <c r="F243" s="4">
        <f>SUMIFS(Tab_08.Ago[SALDO
ATUAL],Tab_08.Ago[CONTA],$I243)</f>
        <v>51148.74</v>
      </c>
      <c r="G243" s="4">
        <f t="shared" si="9"/>
        <v>0</v>
      </c>
      <c r="H243" s="192">
        <v>50430</v>
      </c>
      <c r="I243" s="3" t="s">
        <v>469</v>
      </c>
      <c r="J243" s="3" t="s">
        <v>470</v>
      </c>
      <c r="K243" s="1">
        <v>51148.74</v>
      </c>
      <c r="L243" s="1">
        <v>4950</v>
      </c>
      <c r="M243" s="1">
        <v>0</v>
      </c>
      <c r="N243" s="1">
        <v>56098.74</v>
      </c>
      <c r="O243" s="4">
        <f>Tab_09.Set[[#This Row],[DÉBITO]]-Tab_09.Set[[#This Row],[CRÉDITO]]</f>
        <v>4950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A</v>
      </c>
      <c r="E244" s="2">
        <f>IF($I244="","",COUNTIFS(Tab_00.Trial[CONTA],$I244))</f>
        <v>1</v>
      </c>
      <c r="F244" s="4">
        <f>SUMIFS(Tab_08.Ago[SALDO
ATUAL],Tab_08.Ago[CONTA],$I244)</f>
        <v>38599.94</v>
      </c>
      <c r="G244" s="4">
        <f t="shared" si="9"/>
        <v>0</v>
      </c>
      <c r="H244" s="192">
        <v>50432</v>
      </c>
      <c r="I244" s="3" t="s">
        <v>471</v>
      </c>
      <c r="J244" s="3" t="s">
        <v>472</v>
      </c>
      <c r="K244" s="173">
        <v>38599.94</v>
      </c>
      <c r="L244" s="1">
        <v>4940.41</v>
      </c>
      <c r="M244" s="1">
        <v>0</v>
      </c>
      <c r="N244" s="173">
        <v>43540.35</v>
      </c>
      <c r="O244" s="4">
        <f>Tab_09.Set[[#This Row],[DÉBITO]]-Tab_09.Set[[#This Row],[CRÉDITO]]</f>
        <v>4940.41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S</v>
      </c>
      <c r="E245" s="2">
        <f>IF($I245="","",COUNTIFS(Tab_00.Trial[CONTA],$I245))</f>
        <v>1</v>
      </c>
      <c r="F245" s="4">
        <f>SUMIFS(Tab_08.Ago[SALDO
ATUAL],Tab_08.Ago[CONTA],$I245)</f>
        <v>663728.64000000001</v>
      </c>
      <c r="G245" s="4">
        <f t="shared" si="9"/>
        <v>0</v>
      </c>
      <c r="H245" s="192">
        <v>50465</v>
      </c>
      <c r="I245" s="3" t="s">
        <v>608</v>
      </c>
      <c r="J245" s="3" t="s">
        <v>713</v>
      </c>
      <c r="K245" s="173">
        <v>663728.64000000001</v>
      </c>
      <c r="L245" s="1">
        <v>82966.09</v>
      </c>
      <c r="M245" s="1">
        <v>0</v>
      </c>
      <c r="N245" s="173">
        <v>746694.73</v>
      </c>
      <c r="O245" s="4">
        <f>Tab_09.Set[[#This Row],[DÉBITO]]-Tab_09.Set[[#This Row],[CRÉDITO]]</f>
        <v>82966.09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A</v>
      </c>
      <c r="E246" s="2">
        <f>IF($I246="","",COUNTIFS(Tab_00.Trial[CONTA],$I246))</f>
        <v>1</v>
      </c>
      <c r="F246" s="4">
        <f>SUMIFS(Tab_08.Ago[SALDO
ATUAL],Tab_08.Ago[CONTA],$I246)</f>
        <v>143840.64000000001</v>
      </c>
      <c r="G246" s="4">
        <f t="shared" si="9"/>
        <v>0</v>
      </c>
      <c r="H246" s="192">
        <v>50480</v>
      </c>
      <c r="I246" s="3" t="s">
        <v>741</v>
      </c>
      <c r="J246" s="3" t="s">
        <v>742</v>
      </c>
      <c r="K246" s="173">
        <v>143840.64000000001</v>
      </c>
      <c r="L246" s="1">
        <v>17980.09</v>
      </c>
      <c r="M246" s="1">
        <v>0</v>
      </c>
      <c r="N246" s="173">
        <v>161820.73000000001</v>
      </c>
      <c r="O246" s="4">
        <f>Tab_09.Set[[#This Row],[DÉBITO]]-Tab_09.Set[[#This Row],[CRÉDITO]]</f>
        <v>17980.09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A</v>
      </c>
      <c r="E247" s="2">
        <f>IF($I247="","",COUNTIFS(Tab_00.Trial[CONTA],$I247))</f>
        <v>1</v>
      </c>
      <c r="F247" s="4">
        <f>SUMIFS(Tab_08.Ago[SALDO
ATUAL],Tab_08.Ago[CONTA],$I247)</f>
        <v>60000</v>
      </c>
      <c r="G247" s="4">
        <f t="shared" si="9"/>
        <v>0</v>
      </c>
      <c r="H247" s="192">
        <v>50495</v>
      </c>
      <c r="I247" s="3" t="s">
        <v>833</v>
      </c>
      <c r="J247" s="3" t="s">
        <v>834</v>
      </c>
      <c r="K247" s="173">
        <v>60000</v>
      </c>
      <c r="L247" s="1">
        <v>7500</v>
      </c>
      <c r="M247" s="1">
        <v>0</v>
      </c>
      <c r="N247" s="173">
        <v>67500</v>
      </c>
      <c r="O247" s="4">
        <f>Tab_09.Set[[#This Row],[DÉBITO]]-Tab_09.Set[[#This Row],[CRÉDITO]]</f>
        <v>7500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A</v>
      </c>
      <c r="E248" s="2">
        <f>IF($I248="","",COUNTIFS(Tab_00.Trial[CONTA],$I248))</f>
        <v>1</v>
      </c>
      <c r="F248" s="4">
        <f>SUMIFS(Tab_08.Ago[SALDO
ATUAL],Tab_08.Ago[CONTA],$I248)</f>
        <v>459888</v>
      </c>
      <c r="G248" s="4">
        <f t="shared" si="9"/>
        <v>0</v>
      </c>
      <c r="H248" s="192">
        <v>50500</v>
      </c>
      <c r="I248" s="3" t="s">
        <v>480</v>
      </c>
      <c r="J248" s="3" t="s">
        <v>481</v>
      </c>
      <c r="K248" s="173">
        <v>459888</v>
      </c>
      <c r="L248" s="173">
        <v>57486</v>
      </c>
      <c r="M248" s="1">
        <v>0</v>
      </c>
      <c r="N248" s="173">
        <v>517374</v>
      </c>
      <c r="O248" s="4">
        <f>Tab_09.Set[[#This Row],[DÉBITO]]-Tab_09.Set[[#This Row],[CRÉDITO]]</f>
        <v>57486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S</v>
      </c>
      <c r="E249" s="2">
        <f>IF($I249="","",COUNTIFS(Tab_00.Trial[CONTA],$I249))</f>
        <v>1</v>
      </c>
      <c r="F249" s="4">
        <f>SUMIFS(Tab_08.Ago[SALDO
ATUAL],Tab_08.Ago[CONTA],$I249)</f>
        <v>16709.080000000002</v>
      </c>
      <c r="G249" s="4">
        <f t="shared" si="9"/>
        <v>0</v>
      </c>
      <c r="H249" s="192">
        <v>50510</v>
      </c>
      <c r="I249" s="3" t="s">
        <v>609</v>
      </c>
      <c r="J249" s="3" t="s">
        <v>714</v>
      </c>
      <c r="K249" s="173">
        <v>16709.080000000002</v>
      </c>
      <c r="L249" s="1">
        <v>1087.81</v>
      </c>
      <c r="M249" s="1">
        <v>0</v>
      </c>
      <c r="N249" s="173">
        <v>17796.89</v>
      </c>
      <c r="O249" s="4">
        <f>Tab_09.Set[[#This Row],[DÉBITO]]-Tab_09.Set[[#This Row],[CRÉDITO]]</f>
        <v>1087.81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S</v>
      </c>
      <c r="E250" s="2">
        <f>IF($I250="","",COUNTIFS(Tab_00.Trial[CONTA],$I250))</f>
        <v>1</v>
      </c>
      <c r="F250" s="4">
        <f>SUMIFS(Tab_08.Ago[SALDO
ATUAL],Tab_08.Ago[CONTA],$I250)</f>
        <v>16709.080000000002</v>
      </c>
      <c r="G250" s="4">
        <f t="shared" si="9"/>
        <v>0</v>
      </c>
      <c r="H250" s="192">
        <v>50525</v>
      </c>
      <c r="I250" s="3" t="s">
        <v>610</v>
      </c>
      <c r="J250" s="3" t="s">
        <v>714</v>
      </c>
      <c r="K250" s="173">
        <v>16709.080000000002</v>
      </c>
      <c r="L250" s="1">
        <v>859.81</v>
      </c>
      <c r="M250" s="1">
        <v>0</v>
      </c>
      <c r="N250" s="173">
        <v>17568.89</v>
      </c>
      <c r="O250" s="4">
        <f>Tab_09.Set[[#This Row],[DÉBITO]]-Tab_09.Set[[#This Row],[CRÉDITO]]</f>
        <v>859.81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A</v>
      </c>
      <c r="E251" s="2">
        <f>IF($I251="","",COUNTIFS(Tab_00.Trial[CONTA],$I251))</f>
        <v>1</v>
      </c>
      <c r="F251" s="4">
        <f>SUMIFS(Tab_08.Ago[SALDO
ATUAL],Tab_08.Ago[CONTA],$I251)</f>
        <v>5120.51</v>
      </c>
      <c r="G251" s="4">
        <f t="shared" si="9"/>
        <v>0</v>
      </c>
      <c r="H251" s="192">
        <v>50540</v>
      </c>
      <c r="I251" s="3" t="s">
        <v>482</v>
      </c>
      <c r="J251" s="3" t="s">
        <v>483</v>
      </c>
      <c r="K251" s="173">
        <v>5120.51</v>
      </c>
      <c r="L251" s="1">
        <v>316.10000000000002</v>
      </c>
      <c r="M251" s="1">
        <v>0</v>
      </c>
      <c r="N251" s="173">
        <v>5436.61</v>
      </c>
      <c r="O251" s="4">
        <f>Tab_09.Set[[#This Row],[DÉBITO]]-Tab_09.Set[[#This Row],[CRÉDITO]]</f>
        <v>316.10000000000002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A</v>
      </c>
      <c r="E252" s="2">
        <f>IF($I252="","",COUNTIFS(Tab_00.Trial[CONTA],$I252))</f>
        <v>1</v>
      </c>
      <c r="F252" s="4">
        <f>SUMIFS(Tab_08.Ago[SALDO
ATUAL],Tab_08.Ago[CONTA],$I252)</f>
        <v>5000</v>
      </c>
      <c r="G252" s="4">
        <f t="shared" si="9"/>
        <v>0</v>
      </c>
      <c r="H252" s="192">
        <v>50555</v>
      </c>
      <c r="I252" s="3" t="s">
        <v>752</v>
      </c>
      <c r="J252" s="3" t="s">
        <v>753</v>
      </c>
      <c r="K252" s="173">
        <v>5000</v>
      </c>
      <c r="L252" s="1">
        <v>0</v>
      </c>
      <c r="M252" s="1">
        <v>0</v>
      </c>
      <c r="N252" s="173">
        <v>5000</v>
      </c>
      <c r="O252" s="4">
        <f>Tab_09.Set[[#This Row],[DÉBITO]]-Tab_09.Set[[#This Row],[CRÉDITO]]</f>
        <v>0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A</v>
      </c>
      <c r="E253" s="2">
        <f>IF($I253="","",COUNTIFS(Tab_00.Trial[CONTA],$I253))</f>
        <v>1</v>
      </c>
      <c r="F253" s="4">
        <f>SUMIFS(Tab_08.Ago[SALDO
ATUAL],Tab_08.Ago[CONTA],$I253)</f>
        <v>6588.57</v>
      </c>
      <c r="G253" s="4">
        <f t="shared" si="9"/>
        <v>0</v>
      </c>
      <c r="H253" s="192">
        <v>50570</v>
      </c>
      <c r="I253" s="3" t="s">
        <v>484</v>
      </c>
      <c r="J253" s="3" t="s">
        <v>485</v>
      </c>
      <c r="K253" s="173">
        <v>6588.57</v>
      </c>
      <c r="L253" s="173">
        <v>543.71</v>
      </c>
      <c r="M253" s="1">
        <v>0</v>
      </c>
      <c r="N253" s="173">
        <v>7132.28</v>
      </c>
      <c r="O253" s="4">
        <f>Tab_09.Set[[#This Row],[DÉBITO]]-Tab_09.Set[[#This Row],[CRÉDITO]]</f>
        <v>543.71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S</v>
      </c>
      <c r="E254" s="2">
        <f>IF($I254="","",COUNTIFS(Tab_00.Trial[CONTA],$I254))</f>
        <v>1</v>
      </c>
      <c r="F254" s="4">
        <f>SUMIFS(Tab_08.Ago[SALDO
ATUAL],Tab_08.Ago[CONTA],$I254)</f>
        <v>0</v>
      </c>
      <c r="G254" s="4">
        <f t="shared" si="9"/>
        <v>0</v>
      </c>
      <c r="H254" s="192">
        <v>50630</v>
      </c>
      <c r="I254" s="3" t="s">
        <v>611</v>
      </c>
      <c r="J254" s="3" t="s">
        <v>715</v>
      </c>
      <c r="K254" s="173">
        <v>0</v>
      </c>
      <c r="L254" s="173">
        <v>228</v>
      </c>
      <c r="M254" s="1">
        <v>0</v>
      </c>
      <c r="N254" s="173">
        <v>228</v>
      </c>
      <c r="O254" s="4">
        <f>Tab_09.Set[[#This Row],[DÉBITO]]-Tab_09.Set[[#This Row],[CRÉDITO]]</f>
        <v>228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A</v>
      </c>
      <c r="E255" s="2">
        <f>IF($I255="","",COUNTIFS(Tab_00.Trial[CONTA],$I255))</f>
        <v>1</v>
      </c>
      <c r="F255" s="4">
        <f>SUMIFS(Tab_08.Ago[SALDO
ATUAL],Tab_08.Ago[CONTA],$I255)</f>
        <v>0</v>
      </c>
      <c r="G255" s="4">
        <f t="shared" si="9"/>
        <v>0</v>
      </c>
      <c r="H255" s="192">
        <v>50645</v>
      </c>
      <c r="I255" s="3" t="s">
        <v>489</v>
      </c>
      <c r="J255" s="3" t="s">
        <v>490</v>
      </c>
      <c r="K255" s="1">
        <v>0</v>
      </c>
      <c r="L255" s="1">
        <v>228</v>
      </c>
      <c r="M255" s="1">
        <v>0</v>
      </c>
      <c r="N255" s="1">
        <v>228</v>
      </c>
      <c r="O255" s="4">
        <f>Tab_09.Set[[#This Row],[DÉBITO]]-Tab_09.Set[[#This Row],[CRÉDITO]]</f>
        <v>228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S</v>
      </c>
      <c r="E256" s="2">
        <f>IF($I256="","",COUNTIFS(Tab_00.Trial[CONTA],$I256))</f>
        <v>1</v>
      </c>
      <c r="F256" s="4">
        <f>SUMIFS(Tab_08.Ago[SALDO
ATUAL],Tab_08.Ago[CONTA],$I256)</f>
        <v>75152.58</v>
      </c>
      <c r="G256" s="4">
        <f t="shared" si="9"/>
        <v>0</v>
      </c>
      <c r="H256" s="192">
        <v>50660</v>
      </c>
      <c r="I256" s="3" t="s">
        <v>612</v>
      </c>
      <c r="J256" s="3" t="s">
        <v>716</v>
      </c>
      <c r="K256" s="173">
        <v>75152.58</v>
      </c>
      <c r="L256" s="173">
        <v>20252.41</v>
      </c>
      <c r="M256" s="1">
        <v>0</v>
      </c>
      <c r="N256" s="173">
        <v>95404.99</v>
      </c>
      <c r="O256" s="4">
        <f>Tab_09.Set[[#This Row],[DÉBITO]]-Tab_09.Set[[#This Row],[CRÉDITO]]</f>
        <v>20252.41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S</v>
      </c>
      <c r="E257" s="2">
        <f>IF($I257="","",COUNTIFS(Tab_00.Trial[CONTA],$I257))</f>
        <v>1</v>
      </c>
      <c r="F257" s="4">
        <f>SUMIFS(Tab_08.Ago[SALDO
ATUAL],Tab_08.Ago[CONTA],$I257)</f>
        <v>47052.67</v>
      </c>
      <c r="G257" s="4">
        <f t="shared" si="9"/>
        <v>0</v>
      </c>
      <c r="H257" s="192">
        <v>50675</v>
      </c>
      <c r="I257" s="3" t="s">
        <v>613</v>
      </c>
      <c r="J257" s="3" t="s">
        <v>717</v>
      </c>
      <c r="K257" s="173">
        <v>47052.67</v>
      </c>
      <c r="L257" s="173">
        <v>2901.92</v>
      </c>
      <c r="M257" s="1">
        <v>0</v>
      </c>
      <c r="N257" s="173">
        <v>49954.59</v>
      </c>
      <c r="O257" s="4">
        <f>Tab_09.Set[[#This Row],[DÉBITO]]-Tab_09.Set[[#This Row],[CRÉDITO]]</f>
        <v>2901.92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A</v>
      </c>
      <c r="E258" s="2">
        <f>IF($I258="","",COUNTIFS(Tab_00.Trial[CONTA],$I258))</f>
        <v>1</v>
      </c>
      <c r="F258" s="4">
        <f>SUMIFS(Tab_08.Ago[SALDO
ATUAL],Tab_08.Ago[CONTA],$I258)</f>
        <v>22375.78</v>
      </c>
      <c r="G258" s="4">
        <f t="shared" si="9"/>
        <v>0</v>
      </c>
      <c r="H258" s="192">
        <v>50690</v>
      </c>
      <c r="I258" s="3" t="s">
        <v>491</v>
      </c>
      <c r="J258" s="3" t="s">
        <v>492</v>
      </c>
      <c r="K258" s="1">
        <v>22375.78</v>
      </c>
      <c r="L258" s="173">
        <v>0</v>
      </c>
      <c r="M258" s="1">
        <v>0</v>
      </c>
      <c r="N258" s="173">
        <v>22375.78</v>
      </c>
      <c r="O258" s="4">
        <f>Tab_09.Set[[#This Row],[DÉBITO]]-Tab_09.Set[[#This Row],[CRÉDITO]]</f>
        <v>0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A</v>
      </c>
      <c r="E259" s="2">
        <f>IF($I259="","",COUNTIFS(Tab_00.Trial[CONTA],$I259))</f>
        <v>1</v>
      </c>
      <c r="F259" s="4">
        <f>SUMIFS(Tab_08.Ago[SALDO
ATUAL],Tab_08.Ago[CONTA],$I259)</f>
        <v>13260.75</v>
      </c>
      <c r="G259" s="4">
        <f t="shared" si="9"/>
        <v>0</v>
      </c>
      <c r="H259" s="192">
        <v>50705</v>
      </c>
      <c r="I259" s="3" t="s">
        <v>493</v>
      </c>
      <c r="J259" s="3" t="s">
        <v>494</v>
      </c>
      <c r="K259" s="1">
        <v>13260.75</v>
      </c>
      <c r="L259" s="173">
        <v>1598.69</v>
      </c>
      <c r="M259" s="1">
        <v>0</v>
      </c>
      <c r="N259" s="173">
        <v>14859.44</v>
      </c>
      <c r="O259" s="4">
        <f>Tab_09.Set[[#This Row],[DÉBITO]]-Tab_09.Set[[#This Row],[CRÉDITO]]</f>
        <v>1598.69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A</v>
      </c>
      <c r="E260" s="2">
        <f>IF($I260="","",COUNTIFS(Tab_00.Trial[CONTA],$I260))</f>
        <v>1</v>
      </c>
      <c r="F260" s="4">
        <f>SUMIFS(Tab_08.Ago[SALDO
ATUAL],Tab_08.Ago[CONTA],$I260)</f>
        <v>11416.14</v>
      </c>
      <c r="G260" s="4">
        <f t="shared" si="9"/>
        <v>0</v>
      </c>
      <c r="H260" s="192">
        <v>50720</v>
      </c>
      <c r="I260" s="3" t="s">
        <v>495</v>
      </c>
      <c r="J260" s="3" t="s">
        <v>496</v>
      </c>
      <c r="K260" s="173">
        <v>11416.14</v>
      </c>
      <c r="L260" s="173">
        <v>1303.23</v>
      </c>
      <c r="M260" s="1">
        <v>0</v>
      </c>
      <c r="N260" s="173">
        <v>12719.37</v>
      </c>
      <c r="O260" s="4">
        <f>Tab_09.Set[[#This Row],[DÉBITO]]-Tab_09.Set[[#This Row],[CRÉDITO]]</f>
        <v>1303.23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S</v>
      </c>
      <c r="E261" s="2">
        <f>IF($I261="","",COUNTIFS(Tab_00.Trial[CONTA],$I261))</f>
        <v>1</v>
      </c>
      <c r="F261" s="4">
        <f>SUMIFS(Tab_08.Ago[SALDO
ATUAL],Tab_08.Ago[CONTA],$I261)</f>
        <v>28099.91</v>
      </c>
      <c r="G261" s="4">
        <f t="shared" si="9"/>
        <v>0</v>
      </c>
      <c r="H261" s="192">
        <v>50750</v>
      </c>
      <c r="I261" s="3" t="s">
        <v>614</v>
      </c>
      <c r="J261" s="3" t="s">
        <v>718</v>
      </c>
      <c r="K261" s="173">
        <v>28099.91</v>
      </c>
      <c r="L261" s="173">
        <v>17350.490000000002</v>
      </c>
      <c r="M261" s="1">
        <v>0</v>
      </c>
      <c r="N261" s="173">
        <v>45450.400000000001</v>
      </c>
      <c r="O261" s="4">
        <f>Tab_09.Set[[#This Row],[DÉBITO]]-Tab_09.Set[[#This Row],[CRÉDITO]]</f>
        <v>17350.490000000002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A</v>
      </c>
      <c r="E262" s="2">
        <f>IF($I262="","",COUNTIFS(Tab_00.Trial[CONTA],$I262))</f>
        <v>1</v>
      </c>
      <c r="F262" s="4">
        <f>SUMIFS(Tab_08.Ago[SALDO
ATUAL],Tab_08.Ago[CONTA],$I262)</f>
        <v>95</v>
      </c>
      <c r="G262" s="4">
        <f t="shared" si="9"/>
        <v>0</v>
      </c>
      <c r="H262" s="192">
        <v>50765</v>
      </c>
      <c r="I262" s="3" t="s">
        <v>497</v>
      </c>
      <c r="J262" s="3" t="s">
        <v>498</v>
      </c>
      <c r="K262" s="173">
        <v>95</v>
      </c>
      <c r="L262" s="173">
        <v>0</v>
      </c>
      <c r="M262" s="1">
        <v>0</v>
      </c>
      <c r="N262" s="173">
        <v>95</v>
      </c>
      <c r="O262" s="4">
        <f>Tab_09.Set[[#This Row],[DÉBITO]]-Tab_09.Set[[#This Row],[CRÉDITO]]</f>
        <v>0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A</v>
      </c>
      <c r="E263" s="2">
        <f>IF($I263="","",COUNTIFS(Tab_00.Trial[CONTA],$I263))</f>
        <v>1</v>
      </c>
      <c r="F263" s="4">
        <f>SUMIFS(Tab_08.Ago[SALDO
ATUAL],Tab_08.Ago[CONTA],$I263)</f>
        <v>10921.54</v>
      </c>
      <c r="G263" s="4">
        <f t="shared" si="9"/>
        <v>0</v>
      </c>
      <c r="H263" s="192">
        <v>50780</v>
      </c>
      <c r="I263" s="3" t="s">
        <v>499</v>
      </c>
      <c r="J263" s="3" t="s">
        <v>500</v>
      </c>
      <c r="K263" s="173">
        <v>10921.54</v>
      </c>
      <c r="L263" s="173">
        <v>10487.9</v>
      </c>
      <c r="M263" s="1">
        <v>0</v>
      </c>
      <c r="N263" s="173">
        <v>21409.439999999999</v>
      </c>
      <c r="O263" s="4">
        <f>Tab_09.Set[[#This Row],[DÉBITO]]-Tab_09.Set[[#This Row],[CRÉDITO]]</f>
        <v>10487.9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A</v>
      </c>
      <c r="E264" s="2">
        <f>IF($I264="","",COUNTIFS(Tab_00.Trial[CONTA],$I264))</f>
        <v>1</v>
      </c>
      <c r="F264" s="4">
        <f>SUMIFS(Tab_08.Ago[SALDO
ATUAL],Tab_08.Ago[CONTA],$I264)</f>
        <v>10420.02</v>
      </c>
      <c r="G264" s="4">
        <f t="shared" si="9"/>
        <v>0</v>
      </c>
      <c r="H264" s="192">
        <v>50795</v>
      </c>
      <c r="I264" s="3" t="s">
        <v>501</v>
      </c>
      <c r="J264" s="3" t="s">
        <v>502</v>
      </c>
      <c r="K264" s="173">
        <v>10420.02</v>
      </c>
      <c r="L264" s="173">
        <v>3976</v>
      </c>
      <c r="M264" s="1">
        <v>0</v>
      </c>
      <c r="N264" s="173">
        <v>14396.02</v>
      </c>
      <c r="O264" s="4">
        <f>Tab_09.Set[[#This Row],[DÉBITO]]-Tab_09.Set[[#This Row],[CRÉDITO]]</f>
        <v>3976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A</v>
      </c>
      <c r="E265" s="2">
        <f>IF($I265="","",COUNTIFS(Tab_00.Trial[CONTA],$I265))</f>
        <v>1</v>
      </c>
      <c r="F265" s="4">
        <f>SUMIFS(Tab_08.Ago[SALDO
ATUAL],Tab_08.Ago[CONTA],$I265)</f>
        <v>6643.19</v>
      </c>
      <c r="G265" s="4">
        <f t="shared" si="9"/>
        <v>0</v>
      </c>
      <c r="H265" s="192">
        <v>50810</v>
      </c>
      <c r="I265" s="3" t="s">
        <v>503</v>
      </c>
      <c r="J265" s="3" t="s">
        <v>504</v>
      </c>
      <c r="K265" s="173">
        <v>6643.19</v>
      </c>
      <c r="L265" s="173">
        <v>2886.59</v>
      </c>
      <c r="M265" s="1">
        <v>0</v>
      </c>
      <c r="N265" s="173">
        <v>9529.7800000000007</v>
      </c>
      <c r="O265" s="4">
        <f>Tab_09.Set[[#This Row],[DÉBITO]]-Tab_09.Set[[#This Row],[CRÉDITO]]</f>
        <v>2886.59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A</v>
      </c>
      <c r="E266" s="2">
        <f>IF($I266="","",COUNTIFS(Tab_00.Trial[CONTA],$I266))</f>
        <v>1</v>
      </c>
      <c r="F266" s="4">
        <f>SUMIFS(Tab_08.Ago[SALDO
ATUAL],Tab_08.Ago[CONTA],$I266)</f>
        <v>20.16</v>
      </c>
      <c r="G266" s="4">
        <f t="shared" ref="G266:G295" si="10">$F266-$K266</f>
        <v>0</v>
      </c>
      <c r="H266" s="192">
        <v>50815</v>
      </c>
      <c r="I266" s="3" t="s">
        <v>505</v>
      </c>
      <c r="J266" s="3" t="s">
        <v>506</v>
      </c>
      <c r="K266" s="173">
        <v>20.16</v>
      </c>
      <c r="L266" s="173">
        <v>0</v>
      </c>
      <c r="M266" s="1">
        <v>0</v>
      </c>
      <c r="N266" s="173">
        <v>20.16</v>
      </c>
      <c r="O266" s="4">
        <f>Tab_09.Set[[#This Row],[DÉBITO]]-Tab_09.Set[[#This Row],[CRÉDITO]]</f>
        <v>0</v>
      </c>
    </row>
    <row r="267" spans="2:15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5</v>
      </c>
      <c r="D267" s="2" t="str">
        <f>_xlfn.XLOOKUP($I267,Tab_00.Trial[CONTA],Tab_00.Trial[S/A],"",0,1)</f>
        <v>S</v>
      </c>
      <c r="E267" s="2">
        <f>IF($I267="","",COUNTIFS(Tab_00.Trial[CONTA],$I267))</f>
        <v>1</v>
      </c>
      <c r="F267" s="4">
        <f>SUMIFS(Tab_08.Ago[SALDO
ATUAL],Tab_08.Ago[CONTA],$I267)</f>
        <v>47586.720000000001</v>
      </c>
      <c r="G267" s="4">
        <f t="shared" si="10"/>
        <v>0</v>
      </c>
      <c r="H267" s="192">
        <v>50870</v>
      </c>
      <c r="I267" s="3" t="s">
        <v>615</v>
      </c>
      <c r="J267" s="3" t="s">
        <v>719</v>
      </c>
      <c r="K267" s="173">
        <v>47586.720000000001</v>
      </c>
      <c r="L267" s="1">
        <v>4701.1400000000003</v>
      </c>
      <c r="M267" s="1">
        <v>0</v>
      </c>
      <c r="N267" s="173">
        <v>52287.86</v>
      </c>
      <c r="O267" s="4">
        <f>Tab_09.Set[[#This Row],[DÉBITO]]-Tab_09.Set[[#This Row],[CRÉDITO]]</f>
        <v>4701.1400000000003</v>
      </c>
    </row>
    <row r="268" spans="2:15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5</v>
      </c>
      <c r="D268" s="2" t="str">
        <f>_xlfn.XLOOKUP($I268,Tab_00.Trial[CONTA],Tab_00.Trial[S/A],"",0,1)</f>
        <v>S</v>
      </c>
      <c r="E268" s="2">
        <f>IF($I268="","",COUNTIFS(Tab_00.Trial[CONTA],$I268))</f>
        <v>1</v>
      </c>
      <c r="F268" s="4">
        <f>SUMIFS(Tab_08.Ago[SALDO
ATUAL],Tab_08.Ago[CONTA],$I268)</f>
        <v>2301.92</v>
      </c>
      <c r="G268" s="4">
        <f t="shared" si="10"/>
        <v>0</v>
      </c>
      <c r="H268" s="192">
        <v>50915</v>
      </c>
      <c r="I268" s="3" t="s">
        <v>617</v>
      </c>
      <c r="J268" s="3" t="s">
        <v>721</v>
      </c>
      <c r="K268" s="173">
        <v>2301.92</v>
      </c>
      <c r="L268" s="1">
        <v>275.14999999999998</v>
      </c>
      <c r="M268" s="1">
        <v>0</v>
      </c>
      <c r="N268" s="173">
        <v>2577.0700000000002</v>
      </c>
      <c r="O268" s="4">
        <f>Tab_09.Set[[#This Row],[DÉBITO]]-Tab_09.Set[[#This Row],[CRÉDITO]]</f>
        <v>275.14999999999998</v>
      </c>
    </row>
    <row r="269" spans="2:15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5</v>
      </c>
      <c r="D269" s="2" t="str">
        <f>_xlfn.XLOOKUP($I269,Tab_00.Trial[CONTA],Tab_00.Trial[S/A],"",0,1)</f>
        <v>A</v>
      </c>
      <c r="E269" s="2">
        <f>IF($I269="","",COUNTIFS(Tab_00.Trial[CONTA],$I269))</f>
        <v>1</v>
      </c>
      <c r="F269" s="4">
        <f>SUMIFS(Tab_08.Ago[SALDO
ATUAL],Tab_08.Ago[CONTA],$I269)</f>
        <v>2301.92</v>
      </c>
      <c r="G269" s="4">
        <f t="shared" si="10"/>
        <v>0</v>
      </c>
      <c r="H269" s="192">
        <v>50945</v>
      </c>
      <c r="I269" s="3" t="s">
        <v>739</v>
      </c>
      <c r="J269" s="3" t="s">
        <v>740</v>
      </c>
      <c r="K269" s="1">
        <v>2301.92</v>
      </c>
      <c r="L269" s="1">
        <v>275.14999999999998</v>
      </c>
      <c r="M269" s="1">
        <v>0</v>
      </c>
      <c r="N269" s="1">
        <v>2577.0700000000002</v>
      </c>
      <c r="O269" s="4">
        <f>Tab_09.Set[[#This Row],[DÉBITO]]-Tab_09.Set[[#This Row],[CRÉDITO]]</f>
        <v>275.14999999999998</v>
      </c>
    </row>
    <row r="270" spans="2:15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S</v>
      </c>
      <c r="E270" s="2">
        <f>IF($I270="","",COUNTIFS(Tab_00.Trial[CONTA],$I270))</f>
        <v>1</v>
      </c>
      <c r="F270" s="4">
        <f>SUMIFS(Tab_08.Ago[SALDO
ATUAL],Tab_08.Ago[CONTA],$I270)</f>
        <v>20962.23</v>
      </c>
      <c r="G270" s="4">
        <f t="shared" si="10"/>
        <v>0</v>
      </c>
      <c r="H270" s="192">
        <v>50960</v>
      </c>
      <c r="I270" s="3" t="s">
        <v>618</v>
      </c>
      <c r="J270" s="3" t="s">
        <v>722</v>
      </c>
      <c r="K270" s="173">
        <v>20962.23</v>
      </c>
      <c r="L270" s="1">
        <v>2752.18</v>
      </c>
      <c r="M270" s="1">
        <v>0</v>
      </c>
      <c r="N270" s="173">
        <v>23714.41</v>
      </c>
      <c r="O270" s="4">
        <f>Tab_09.Set[[#This Row],[DÉBITO]]-Tab_09.Set[[#This Row],[CRÉDITO]]</f>
        <v>2752.18</v>
      </c>
    </row>
    <row r="271" spans="2:15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5</v>
      </c>
      <c r="D271" s="2" t="str">
        <f>_xlfn.XLOOKUP($I271,Tab_00.Trial[CONTA],Tab_00.Trial[S/A],"",0,1)</f>
        <v>A</v>
      </c>
      <c r="E271" s="2">
        <f>IF($I271="","",COUNTIFS(Tab_00.Trial[CONTA],$I271))</f>
        <v>1</v>
      </c>
      <c r="F271" s="4">
        <f>SUMIFS(Tab_08.Ago[SALDO
ATUAL],Tab_08.Ago[CONTA],$I271)</f>
        <v>20962.23</v>
      </c>
      <c r="G271" s="4">
        <f t="shared" si="10"/>
        <v>0</v>
      </c>
      <c r="H271" s="192">
        <v>50965</v>
      </c>
      <c r="I271" s="3" t="s">
        <v>511</v>
      </c>
      <c r="J271" s="3" t="s">
        <v>512</v>
      </c>
      <c r="K271" s="173">
        <v>20962.23</v>
      </c>
      <c r="L271" s="173">
        <v>2752.18</v>
      </c>
      <c r="M271" s="1">
        <v>0</v>
      </c>
      <c r="N271" s="173">
        <v>23714.41</v>
      </c>
      <c r="O271" s="4">
        <f>Tab_09.Set[[#This Row],[DÉBITO]]-Tab_09.Set[[#This Row],[CRÉDITO]]</f>
        <v>2752.18</v>
      </c>
    </row>
    <row r="272" spans="2:15" x14ac:dyDescent="0.3">
      <c r="B272" s="2" t="str">
        <f>_xlfn.XLOOKUP($I272,Tab_00.Trial[CONTA],Tab_00.Trial[TP],"",0,1)</f>
        <v>C</v>
      </c>
      <c r="C272" s="2">
        <f>_xlfn.XLOOKUP($I272,Tab_00.Trial[CONTA],Tab_00.Trial[NV],"",0,1)</f>
        <v>5</v>
      </c>
      <c r="D272" s="2" t="str">
        <f>_xlfn.XLOOKUP($I272,Tab_00.Trial[CONTA],Tab_00.Trial[S/A],"",0,1)</f>
        <v>S</v>
      </c>
      <c r="E272" s="2">
        <f>IF($I272="","",COUNTIFS(Tab_00.Trial[CONTA],$I272))</f>
        <v>1</v>
      </c>
      <c r="F272" s="4">
        <f>SUMIFS(Tab_08.Ago[SALDO
ATUAL],Tab_08.Ago[CONTA],$I272)</f>
        <v>24322.57</v>
      </c>
      <c r="G272" s="4">
        <f t="shared" si="10"/>
        <v>0</v>
      </c>
      <c r="H272" s="192">
        <v>50970</v>
      </c>
      <c r="I272" s="3" t="s">
        <v>619</v>
      </c>
      <c r="J272" s="3" t="s">
        <v>420</v>
      </c>
      <c r="K272" s="173">
        <v>24322.57</v>
      </c>
      <c r="L272" s="173">
        <v>1673.81</v>
      </c>
      <c r="M272" s="1">
        <v>0</v>
      </c>
      <c r="N272" s="173">
        <v>25996.38</v>
      </c>
      <c r="O272" s="4">
        <f>Tab_09.Set[[#This Row],[DÉBITO]]-Tab_09.Set[[#This Row],[CRÉDITO]]</f>
        <v>1673.81</v>
      </c>
    </row>
    <row r="273" spans="2:15" x14ac:dyDescent="0.3">
      <c r="B273" s="2" t="str">
        <f>_xlfn.XLOOKUP($I273,Tab_00.Trial[CONTA],Tab_00.Trial[TP],"",0,1)</f>
        <v>C</v>
      </c>
      <c r="C273" s="2">
        <f>_xlfn.XLOOKUP($I273,Tab_00.Trial[CONTA],Tab_00.Trial[NV],"",0,1)</f>
        <v>5</v>
      </c>
      <c r="D273" s="2" t="str">
        <f>_xlfn.XLOOKUP($I273,Tab_00.Trial[CONTA],Tab_00.Trial[S/A],"",0,1)</f>
        <v>A</v>
      </c>
      <c r="E273" s="2">
        <f>IF($I273="","",COUNTIFS(Tab_00.Trial[CONTA],$I273))</f>
        <v>1</v>
      </c>
      <c r="F273" s="4">
        <f>SUMIFS(Tab_08.Ago[SALDO
ATUAL],Tab_08.Ago[CONTA],$I273)</f>
        <v>24322.57</v>
      </c>
      <c r="G273" s="4">
        <f t="shared" si="10"/>
        <v>0</v>
      </c>
      <c r="H273" s="192">
        <v>50975</v>
      </c>
      <c r="I273" s="3" t="s">
        <v>515</v>
      </c>
      <c r="J273" s="3" t="s">
        <v>420</v>
      </c>
      <c r="K273" s="173">
        <v>24322.57</v>
      </c>
      <c r="L273" s="1">
        <v>1673.81</v>
      </c>
      <c r="M273" s="1">
        <v>0</v>
      </c>
      <c r="N273" s="173">
        <v>25996.38</v>
      </c>
      <c r="O273" s="4">
        <f>Tab_09.Set[[#This Row],[DÉBITO]]-Tab_09.Set[[#This Row],[CRÉDITO]]</f>
        <v>1673.81</v>
      </c>
    </row>
    <row r="274" spans="2:15" x14ac:dyDescent="0.3">
      <c r="B274" s="2" t="str">
        <f>_xlfn.XLOOKUP($I274,Tab_00.Trial[CONTA],Tab_00.Trial[TP],"",0,1)</f>
        <v>C</v>
      </c>
      <c r="C274" s="2">
        <f>_xlfn.XLOOKUP($I274,Tab_00.Trial[CONTA],Tab_00.Trial[NV],"",0,1)</f>
        <v>5</v>
      </c>
      <c r="D274" s="2" t="str">
        <f>_xlfn.XLOOKUP($I274,Tab_00.Trial[CONTA],Tab_00.Trial[S/A],"",0,1)</f>
        <v>S</v>
      </c>
      <c r="E274" s="2">
        <f>IF($I274="","",COUNTIFS(Tab_00.Trial[CONTA],$I274))</f>
        <v>1</v>
      </c>
      <c r="F274" s="4">
        <f>SUMIFS(Tab_08.Ago[SALDO
ATUAL],Tab_08.Ago[CONTA],$I274)</f>
        <v>13050.37</v>
      </c>
      <c r="G274" s="4">
        <f t="shared" si="10"/>
        <v>0</v>
      </c>
      <c r="H274" s="192">
        <v>50990</v>
      </c>
      <c r="I274" s="3" t="s">
        <v>621</v>
      </c>
      <c r="J274" s="3" t="s">
        <v>723</v>
      </c>
      <c r="K274" s="173">
        <v>13050.37</v>
      </c>
      <c r="L274" s="1">
        <v>1263.6300000000001</v>
      </c>
      <c r="M274" s="1">
        <v>0</v>
      </c>
      <c r="N274" s="173">
        <v>14314</v>
      </c>
      <c r="O274" s="4">
        <f>Tab_09.Set[[#This Row],[DÉBITO]]-Tab_09.Set[[#This Row],[CRÉDITO]]</f>
        <v>1263.6300000000001</v>
      </c>
    </row>
    <row r="275" spans="2:15" x14ac:dyDescent="0.3">
      <c r="B275" s="2" t="str">
        <f>_xlfn.XLOOKUP($I275,Tab_00.Trial[CONTA],Tab_00.Trial[TP],"",0,1)</f>
        <v>C</v>
      </c>
      <c r="C275" s="2">
        <f>_xlfn.XLOOKUP($I275,Tab_00.Trial[CONTA],Tab_00.Trial[NV],"",0,1)</f>
        <v>5</v>
      </c>
      <c r="D275" s="2" t="str">
        <f>_xlfn.XLOOKUP($I275,Tab_00.Trial[CONTA],Tab_00.Trial[S/A],"",0,1)</f>
        <v>S</v>
      </c>
      <c r="E275" s="2">
        <f>IF($I275="","",COUNTIFS(Tab_00.Trial[CONTA],$I275))</f>
        <v>1</v>
      </c>
      <c r="F275" s="4">
        <f>SUMIFS(Tab_08.Ago[SALDO
ATUAL],Tab_08.Ago[CONTA],$I275)</f>
        <v>13050.37</v>
      </c>
      <c r="G275" s="4">
        <f t="shared" si="10"/>
        <v>0</v>
      </c>
      <c r="H275" s="192">
        <v>51005</v>
      </c>
      <c r="I275" s="3" t="s">
        <v>622</v>
      </c>
      <c r="J275" s="3" t="s">
        <v>723</v>
      </c>
      <c r="K275" s="173">
        <v>13050.37</v>
      </c>
      <c r="L275" s="173">
        <v>1263.6300000000001</v>
      </c>
      <c r="M275" s="1">
        <v>0</v>
      </c>
      <c r="N275" s="173">
        <v>14314</v>
      </c>
      <c r="O275" s="4">
        <f>Tab_09.Set[[#This Row],[DÉBITO]]-Tab_09.Set[[#This Row],[CRÉDITO]]</f>
        <v>1263.6300000000001</v>
      </c>
    </row>
    <row r="276" spans="2:15" x14ac:dyDescent="0.3">
      <c r="B276" s="2" t="str">
        <f>_xlfn.XLOOKUP($I276,Tab_00.Trial[CONTA],Tab_00.Trial[TP],"",0,1)</f>
        <v>C</v>
      </c>
      <c r="C276" s="2">
        <f>_xlfn.XLOOKUP($I276,Tab_00.Trial[CONTA],Tab_00.Trial[NV],"",0,1)</f>
        <v>5</v>
      </c>
      <c r="D276" s="2" t="str">
        <f>_xlfn.XLOOKUP($I276,Tab_00.Trial[CONTA],Tab_00.Trial[S/A],"",0,1)</f>
        <v>A</v>
      </c>
      <c r="E276" s="2">
        <f>IF($I276="","",COUNTIFS(Tab_00.Trial[CONTA],$I276))</f>
        <v>1</v>
      </c>
      <c r="F276" s="4">
        <f>SUMIFS(Tab_08.Ago[SALDO
ATUAL],Tab_08.Ago[CONTA],$I276)</f>
        <v>13050.37</v>
      </c>
      <c r="G276" s="4">
        <f t="shared" si="10"/>
        <v>0</v>
      </c>
      <c r="H276" s="192">
        <v>51019</v>
      </c>
      <c r="I276" s="3" t="s">
        <v>518</v>
      </c>
      <c r="J276" s="3" t="s">
        <v>519</v>
      </c>
      <c r="K276" s="173">
        <v>13050.37</v>
      </c>
      <c r="L276" s="173">
        <v>1263.6300000000001</v>
      </c>
      <c r="M276" s="1">
        <v>0</v>
      </c>
      <c r="N276" s="173">
        <v>14314</v>
      </c>
      <c r="O276" s="4">
        <f>Tab_09.Set[[#This Row],[DÉBITO]]-Tab_09.Set[[#This Row],[CRÉDITO]]</f>
        <v>1263.6300000000001</v>
      </c>
    </row>
    <row r="277" spans="2:15" x14ac:dyDescent="0.3">
      <c r="B277" s="2" t="str">
        <f>_xlfn.XLOOKUP($I277,Tab_00.Trial[CONTA],Tab_00.Trial[TP],"",0,1)</f>
        <v>C</v>
      </c>
      <c r="C277" s="2">
        <f>_xlfn.XLOOKUP($I277,Tab_00.Trial[CONTA],Tab_00.Trial[NV],"",0,1)</f>
        <v>5</v>
      </c>
      <c r="D277" s="2" t="str">
        <f>_xlfn.XLOOKUP($I277,Tab_00.Trial[CONTA],Tab_00.Trial[S/A],"",0,1)</f>
        <v>S</v>
      </c>
      <c r="E277" s="2">
        <f>IF($I277="","",COUNTIFS(Tab_00.Trial[CONTA],$I277))</f>
        <v>1</v>
      </c>
      <c r="F277" s="4">
        <f>SUMIFS(Tab_08.Ago[SALDO
ATUAL],Tab_08.Ago[CONTA],$I277)</f>
        <v>32615.24</v>
      </c>
      <c r="G277" s="4">
        <f t="shared" si="10"/>
        <v>0</v>
      </c>
      <c r="H277" s="192">
        <v>51050</v>
      </c>
      <c r="I277" s="3" t="s">
        <v>623</v>
      </c>
      <c r="J277" s="3" t="s">
        <v>724</v>
      </c>
      <c r="K277" s="1">
        <v>32615.24</v>
      </c>
      <c r="L277" s="1">
        <v>3666.75</v>
      </c>
      <c r="M277" s="1">
        <v>0</v>
      </c>
      <c r="N277" s="1">
        <v>36281.99</v>
      </c>
      <c r="O277" s="4">
        <f>Tab_09.Set[[#This Row],[DÉBITO]]-Tab_09.Set[[#This Row],[CRÉDITO]]</f>
        <v>3666.75</v>
      </c>
    </row>
    <row r="278" spans="2:15" x14ac:dyDescent="0.3">
      <c r="B278" s="2" t="str">
        <f>_xlfn.XLOOKUP($I278,Tab_00.Trial[CONTA],Tab_00.Trial[TP],"",0,1)</f>
        <v>C</v>
      </c>
      <c r="C278" s="2">
        <f>_xlfn.XLOOKUP($I278,Tab_00.Trial[CONTA],Tab_00.Trial[NV],"",0,1)</f>
        <v>5</v>
      </c>
      <c r="D278" s="2" t="str">
        <f>_xlfn.XLOOKUP($I278,Tab_00.Trial[CONTA],Tab_00.Trial[S/A],"",0,1)</f>
        <v>S</v>
      </c>
      <c r="E278" s="2">
        <f>IF($I278="","",COUNTIFS(Tab_00.Trial[CONTA],$I278))</f>
        <v>1</v>
      </c>
      <c r="F278" s="4">
        <f>SUMIFS(Tab_08.Ago[SALDO
ATUAL],Tab_08.Ago[CONTA],$I278)</f>
        <v>32615.24</v>
      </c>
      <c r="G278" s="4">
        <f t="shared" si="10"/>
        <v>0</v>
      </c>
      <c r="H278" s="192">
        <v>51065</v>
      </c>
      <c r="I278" s="3" t="s">
        <v>624</v>
      </c>
      <c r="J278" s="3" t="s">
        <v>724</v>
      </c>
      <c r="K278" s="173">
        <v>32615.24</v>
      </c>
      <c r="L278" s="173">
        <v>3666.75</v>
      </c>
      <c r="M278" s="1">
        <v>0</v>
      </c>
      <c r="N278" s="173">
        <v>36281.99</v>
      </c>
      <c r="O278" s="4">
        <f>Tab_09.Set[[#This Row],[DÉBITO]]-Tab_09.Set[[#This Row],[CRÉDITO]]</f>
        <v>3666.75</v>
      </c>
    </row>
    <row r="279" spans="2:15" x14ac:dyDescent="0.3">
      <c r="B279" s="2" t="str">
        <f>_xlfn.XLOOKUP($I279,Tab_00.Trial[CONTA],Tab_00.Trial[TP],"",0,1)</f>
        <v>C</v>
      </c>
      <c r="C279" s="2">
        <f>_xlfn.XLOOKUP($I279,Tab_00.Trial[CONTA],Tab_00.Trial[NV],"",0,1)</f>
        <v>5</v>
      </c>
      <c r="D279" s="2" t="str">
        <f>_xlfn.XLOOKUP($I279,Tab_00.Trial[CONTA],Tab_00.Trial[S/A],"",0,1)</f>
        <v>A</v>
      </c>
      <c r="E279" s="2">
        <f>IF($I279="","",COUNTIFS(Tab_00.Trial[CONTA],$I279))</f>
        <v>1</v>
      </c>
      <c r="F279" s="4">
        <f>SUMIFS(Tab_08.Ago[SALDO
ATUAL],Tab_08.Ago[CONTA],$I279)</f>
        <v>32615.24</v>
      </c>
      <c r="G279" s="4">
        <f t="shared" si="10"/>
        <v>0</v>
      </c>
      <c r="H279" s="192">
        <v>51080</v>
      </c>
      <c r="I279" s="3" t="s">
        <v>520</v>
      </c>
      <c r="J279" s="3" t="s">
        <v>521</v>
      </c>
      <c r="K279" s="173">
        <v>32615.24</v>
      </c>
      <c r="L279" s="1">
        <v>3666.75</v>
      </c>
      <c r="M279" s="1">
        <v>0</v>
      </c>
      <c r="N279" s="173">
        <v>36281.99</v>
      </c>
      <c r="O279" s="4">
        <f>Tab_09.Set[[#This Row],[DÉBITO]]-Tab_09.Set[[#This Row],[CRÉDITO]]</f>
        <v>3666.75</v>
      </c>
    </row>
    <row r="280" spans="2:15" x14ac:dyDescent="0.3">
      <c r="B280" s="2" t="str">
        <f>_xlfn.XLOOKUP($I280,Tab_00.Trial[CONTA],Tab_00.Trial[TP],"",0,1)</f>
        <v>C</v>
      </c>
      <c r="C280" s="2">
        <f>_xlfn.XLOOKUP($I280,Tab_00.Trial[CONTA],Tab_00.Trial[NV],"",0,1)</f>
        <v>5</v>
      </c>
      <c r="D280" s="2" t="str">
        <f>_xlfn.XLOOKUP($I280,Tab_00.Trial[CONTA],Tab_00.Trial[S/A],"",0,1)</f>
        <v>S</v>
      </c>
      <c r="E280" s="2">
        <f>IF($I280="","",COUNTIFS(Tab_00.Trial[CONTA],$I280))</f>
        <v>1</v>
      </c>
      <c r="F280" s="4">
        <f>SUMIFS(Tab_08.Ago[SALDO
ATUAL],Tab_08.Ago[CONTA],$I280)</f>
        <v>40978.82</v>
      </c>
      <c r="G280" s="4">
        <f t="shared" si="10"/>
        <v>0</v>
      </c>
      <c r="H280" s="192">
        <v>51110</v>
      </c>
      <c r="I280" s="3" t="s">
        <v>625</v>
      </c>
      <c r="J280" s="3" t="s">
        <v>542</v>
      </c>
      <c r="K280" s="1">
        <v>40978.82</v>
      </c>
      <c r="L280" s="1">
        <v>3516.07</v>
      </c>
      <c r="M280" s="1">
        <v>0</v>
      </c>
      <c r="N280" s="1">
        <v>44494.89</v>
      </c>
      <c r="O280" s="4">
        <f>Tab_09.Set[[#This Row],[DÉBITO]]-Tab_09.Set[[#This Row],[CRÉDITO]]</f>
        <v>3516.07</v>
      </c>
    </row>
    <row r="281" spans="2:15" x14ac:dyDescent="0.3">
      <c r="B281" s="2" t="str">
        <f>_xlfn.XLOOKUP($I281,Tab_00.Trial[CONTA],Tab_00.Trial[TP],"",0,1)</f>
        <v>C</v>
      </c>
      <c r="C281" s="2">
        <f>_xlfn.XLOOKUP($I281,Tab_00.Trial[CONTA],Tab_00.Trial[NV],"",0,1)</f>
        <v>5</v>
      </c>
      <c r="D281" s="2" t="str">
        <f>_xlfn.XLOOKUP($I281,Tab_00.Trial[CONTA],Tab_00.Trial[S/A],"",0,1)</f>
        <v>S</v>
      </c>
      <c r="E281" s="2">
        <f>IF($I281="","",COUNTIFS(Tab_00.Trial[CONTA],$I281))</f>
        <v>1</v>
      </c>
      <c r="F281" s="4">
        <f>SUMIFS(Tab_08.Ago[SALDO
ATUAL],Tab_08.Ago[CONTA],$I281)</f>
        <v>16184.77</v>
      </c>
      <c r="G281" s="4">
        <f t="shared" si="10"/>
        <v>0</v>
      </c>
      <c r="H281" s="192">
        <v>51125</v>
      </c>
      <c r="I281" s="3" t="s">
        <v>626</v>
      </c>
      <c r="J281" s="3" t="s">
        <v>725</v>
      </c>
      <c r="K281" s="1">
        <v>16184.77</v>
      </c>
      <c r="L281" s="1">
        <v>13.14</v>
      </c>
      <c r="M281" s="1">
        <v>0</v>
      </c>
      <c r="N281" s="1">
        <v>16197.91</v>
      </c>
      <c r="O281" s="4">
        <f>Tab_09.Set[[#This Row],[DÉBITO]]-Tab_09.Set[[#This Row],[CRÉDITO]]</f>
        <v>13.14</v>
      </c>
    </row>
    <row r="282" spans="2:15" x14ac:dyDescent="0.3">
      <c r="B282" s="2" t="str">
        <f>_xlfn.XLOOKUP($I282,Tab_00.Trial[CONTA],Tab_00.Trial[TP],"",0,1)</f>
        <v>C</v>
      </c>
      <c r="C282" s="2">
        <f>_xlfn.XLOOKUP($I282,Tab_00.Trial[CONTA],Tab_00.Trial[NV],"",0,1)</f>
        <v>5</v>
      </c>
      <c r="D282" s="2" t="str">
        <f>_xlfn.XLOOKUP($I282,Tab_00.Trial[CONTA],Tab_00.Trial[S/A],"",0,1)</f>
        <v>A</v>
      </c>
      <c r="E282" s="2">
        <f>IF($I282="","",COUNTIFS(Tab_00.Trial[CONTA],$I282))</f>
        <v>1</v>
      </c>
      <c r="F282" s="4">
        <f>SUMIFS(Tab_08.Ago[SALDO
ATUAL],Tab_08.Ago[CONTA],$I282)</f>
        <v>15527.74</v>
      </c>
      <c r="G282" s="4">
        <f t="shared" si="10"/>
        <v>0</v>
      </c>
      <c r="H282" s="192">
        <v>51200</v>
      </c>
      <c r="I282" s="3" t="s">
        <v>522</v>
      </c>
      <c r="J282" s="3" t="s">
        <v>523</v>
      </c>
      <c r="K282" s="1">
        <v>15527.74</v>
      </c>
      <c r="L282" s="1">
        <v>0</v>
      </c>
      <c r="M282" s="1">
        <v>0</v>
      </c>
      <c r="N282" s="1">
        <v>15527.74</v>
      </c>
      <c r="O282" s="4">
        <f>Tab_09.Set[[#This Row],[DÉBITO]]-Tab_09.Set[[#This Row],[CRÉDITO]]</f>
        <v>0</v>
      </c>
    </row>
    <row r="283" spans="2:15" x14ac:dyDescent="0.3">
      <c r="B283" s="2" t="str">
        <f>_xlfn.XLOOKUP($I283,Tab_00.Trial[CONTA],Tab_00.Trial[TP],"",0,1)</f>
        <v>C</v>
      </c>
      <c r="C283" s="2">
        <f>_xlfn.XLOOKUP($I283,Tab_00.Trial[CONTA],Tab_00.Trial[NV],"",0,1)</f>
        <v>5</v>
      </c>
      <c r="D283" s="2" t="str">
        <f>_xlfn.XLOOKUP($I283,Tab_00.Trial[CONTA],Tab_00.Trial[S/A],"",0,1)</f>
        <v>A</v>
      </c>
      <c r="E283" s="2">
        <f>IF($I283="","",COUNTIFS(Tab_00.Trial[CONTA],$I283))</f>
        <v>1</v>
      </c>
      <c r="F283" s="4">
        <f>SUMIFS(Tab_08.Ago[SALDO
ATUAL],Tab_08.Ago[CONTA],$I283)</f>
        <v>657.03</v>
      </c>
      <c r="G283" s="4">
        <f t="shared" si="10"/>
        <v>0</v>
      </c>
      <c r="H283" s="192">
        <v>51220</v>
      </c>
      <c r="I283" s="3" t="s">
        <v>524</v>
      </c>
      <c r="J283" s="3" t="s">
        <v>525</v>
      </c>
      <c r="K283" s="1">
        <v>657.03</v>
      </c>
      <c r="L283" s="1">
        <v>13.14</v>
      </c>
      <c r="M283" s="1">
        <v>0</v>
      </c>
      <c r="N283" s="1">
        <v>670.17</v>
      </c>
      <c r="O283" s="4">
        <f>Tab_09.Set[[#This Row],[DÉBITO]]-Tab_09.Set[[#This Row],[CRÉDITO]]</f>
        <v>13.14</v>
      </c>
    </row>
    <row r="284" spans="2:15" x14ac:dyDescent="0.3">
      <c r="B284" s="2" t="str">
        <f>_xlfn.XLOOKUP($I284,Tab_00.Trial[CONTA],Tab_00.Trial[TP],"",0,1)</f>
        <v>C</v>
      </c>
      <c r="C284" s="2">
        <f>_xlfn.XLOOKUP($I284,Tab_00.Trial[CONTA],Tab_00.Trial[NV],"",0,1)</f>
        <v>5</v>
      </c>
      <c r="D284" s="2" t="str">
        <f>_xlfn.XLOOKUP($I284,Tab_00.Trial[CONTA],Tab_00.Trial[S/A],"",0,1)</f>
        <v>S</v>
      </c>
      <c r="E284" s="2">
        <f>IF($I284="","",COUNTIFS(Tab_00.Trial[CONTA],$I284))</f>
        <v>1</v>
      </c>
      <c r="F284" s="4">
        <f>SUMIFS(Tab_08.Ago[SALDO
ATUAL],Tab_08.Ago[CONTA],$I284)</f>
        <v>24794.05</v>
      </c>
      <c r="G284" s="4">
        <f t="shared" si="10"/>
        <v>0</v>
      </c>
      <c r="H284" s="192">
        <v>51230</v>
      </c>
      <c r="I284" s="3" t="s">
        <v>627</v>
      </c>
      <c r="J284" s="3" t="s">
        <v>542</v>
      </c>
      <c r="K284" s="1">
        <v>24794.05</v>
      </c>
      <c r="L284" s="1">
        <v>3502.93</v>
      </c>
      <c r="M284" s="1">
        <v>0</v>
      </c>
      <c r="N284" s="1">
        <v>28296.98</v>
      </c>
      <c r="O284" s="4">
        <f>Tab_09.Set[[#This Row],[DÉBITO]]-Tab_09.Set[[#This Row],[CRÉDITO]]</f>
        <v>3502.93</v>
      </c>
    </row>
    <row r="285" spans="2:15" x14ac:dyDescent="0.3">
      <c r="B285" s="2" t="str">
        <f>_xlfn.XLOOKUP($I285,Tab_00.Trial[CONTA],Tab_00.Trial[TP],"",0,1)</f>
        <v>C</v>
      </c>
      <c r="C285" s="2">
        <f>_xlfn.XLOOKUP($I285,Tab_00.Trial[CONTA],Tab_00.Trial[NV],"",0,1)</f>
        <v>5</v>
      </c>
      <c r="D285" s="2" t="str">
        <f>_xlfn.XLOOKUP($I285,Tab_00.Trial[CONTA],Tab_00.Trial[S/A],"",0,1)</f>
        <v>A</v>
      </c>
      <c r="E285" s="2">
        <f>IF($I285="","",COUNTIFS(Tab_00.Trial[CONTA],$I285))</f>
        <v>1</v>
      </c>
      <c r="F285" s="4">
        <f>SUMIFS(Tab_08.Ago[SALDO
ATUAL],Tab_08.Ago[CONTA],$I285)</f>
        <v>1395.42</v>
      </c>
      <c r="G285" s="4">
        <f t="shared" si="10"/>
        <v>0</v>
      </c>
      <c r="H285" s="192">
        <v>51245</v>
      </c>
      <c r="I285" s="3" t="s">
        <v>528</v>
      </c>
      <c r="J285" s="3" t="s">
        <v>416</v>
      </c>
      <c r="K285" s="1">
        <v>1395.42</v>
      </c>
      <c r="L285" s="1">
        <v>282</v>
      </c>
      <c r="M285" s="1">
        <v>0</v>
      </c>
      <c r="N285" s="1">
        <v>1677.42</v>
      </c>
      <c r="O285" s="4">
        <f>Tab_09.Set[[#This Row],[DÉBITO]]-Tab_09.Set[[#This Row],[CRÉDITO]]</f>
        <v>282</v>
      </c>
    </row>
    <row r="286" spans="2:15" x14ac:dyDescent="0.3">
      <c r="B286" s="2" t="str">
        <f>_xlfn.XLOOKUP($I286,Tab_00.Trial[CONTA],Tab_00.Trial[TP],"",0,1)</f>
        <v>C</v>
      </c>
      <c r="C286" s="2">
        <f>_xlfn.XLOOKUP($I286,Tab_00.Trial[CONTA],Tab_00.Trial[NV],"",0,1)</f>
        <v>5</v>
      </c>
      <c r="D286" s="2" t="str">
        <f>_xlfn.XLOOKUP($I286,Tab_00.Trial[CONTA],Tab_00.Trial[S/A],"",0,1)</f>
        <v>A</v>
      </c>
      <c r="E286" s="2">
        <f>IF($I286="","",COUNTIFS(Tab_00.Trial[CONTA],$I286))</f>
        <v>1</v>
      </c>
      <c r="F286" s="4">
        <f>SUMIFS(Tab_08.Ago[SALDO
ATUAL],Tab_08.Ago[CONTA],$I286)</f>
        <v>258</v>
      </c>
      <c r="G286" s="4">
        <f t="shared" si="10"/>
        <v>0</v>
      </c>
      <c r="H286" s="192">
        <v>51275</v>
      </c>
      <c r="I286" s="3" t="s">
        <v>529</v>
      </c>
      <c r="J286" s="3" t="s">
        <v>530</v>
      </c>
      <c r="K286" s="1">
        <v>258</v>
      </c>
      <c r="L286" s="1">
        <v>91.32</v>
      </c>
      <c r="M286" s="1">
        <v>0</v>
      </c>
      <c r="N286" s="1">
        <v>349.32</v>
      </c>
      <c r="O286" s="4">
        <f>Tab_09.Set[[#This Row],[DÉBITO]]-Tab_09.Set[[#This Row],[CRÉDITO]]</f>
        <v>91.32</v>
      </c>
    </row>
    <row r="287" spans="2:15" x14ac:dyDescent="0.3">
      <c r="B287" s="2" t="str">
        <f>_xlfn.XLOOKUP($I287,Tab_00.Trial[CONTA],Tab_00.Trial[TP],"",0,1)</f>
        <v>C</v>
      </c>
      <c r="C287" s="2">
        <f>_xlfn.XLOOKUP($I287,Tab_00.Trial[CONTA],Tab_00.Trial[NV],"",0,1)</f>
        <v>5</v>
      </c>
      <c r="D287" s="2" t="str">
        <f>_xlfn.XLOOKUP($I287,Tab_00.Trial[CONTA],Tab_00.Trial[S/A],"",0,1)</f>
        <v>A</v>
      </c>
      <c r="E287" s="2">
        <f>IF($I287="","",COUNTIFS(Tab_00.Trial[CONTA],$I287))</f>
        <v>1</v>
      </c>
      <c r="F287" s="4">
        <f>SUMIFS(Tab_08.Ago[SALDO
ATUAL],Tab_08.Ago[CONTA],$I287)</f>
        <v>1261</v>
      </c>
      <c r="G287" s="4">
        <f t="shared" si="10"/>
        <v>0</v>
      </c>
      <c r="H287" s="192">
        <v>51290</v>
      </c>
      <c r="I287" s="3" t="s">
        <v>531</v>
      </c>
      <c r="J287" s="3" t="s">
        <v>532</v>
      </c>
      <c r="K287" s="1">
        <v>1261</v>
      </c>
      <c r="L287" s="1">
        <v>176.92</v>
      </c>
      <c r="M287" s="1">
        <v>0</v>
      </c>
      <c r="N287" s="1">
        <v>1437.92</v>
      </c>
      <c r="O287" s="4">
        <f>Tab_09.Set[[#This Row],[DÉBITO]]-Tab_09.Set[[#This Row],[CRÉDITO]]</f>
        <v>176.92</v>
      </c>
    </row>
    <row r="288" spans="2:15" x14ac:dyDescent="0.3">
      <c r="B288" s="2" t="str">
        <f>_xlfn.XLOOKUP($I288,Tab_00.Trial[CONTA],Tab_00.Trial[TP],"",0,1)</f>
        <v>C</v>
      </c>
      <c r="C288" s="2">
        <f>_xlfn.XLOOKUP($I288,Tab_00.Trial[CONTA],Tab_00.Trial[NV],"",0,1)</f>
        <v>5</v>
      </c>
      <c r="D288" s="2" t="str">
        <f>_xlfn.XLOOKUP($I288,Tab_00.Trial[CONTA],Tab_00.Trial[S/A],"",0,1)</f>
        <v>A</v>
      </c>
      <c r="E288" s="2">
        <f>IF($I288="","",COUNTIFS(Tab_00.Trial[CONTA],$I288))</f>
        <v>1</v>
      </c>
      <c r="F288" s="4">
        <f>SUMIFS(Tab_08.Ago[SALDO
ATUAL],Tab_08.Ago[CONTA],$I288)</f>
        <v>2700</v>
      </c>
      <c r="G288" s="4">
        <f t="shared" si="10"/>
        <v>0</v>
      </c>
      <c r="H288" s="192">
        <v>51305</v>
      </c>
      <c r="I288" s="3" t="s">
        <v>533</v>
      </c>
      <c r="J288" s="3" t="s">
        <v>534</v>
      </c>
      <c r="K288" s="1">
        <v>2700</v>
      </c>
      <c r="L288" s="1">
        <v>1098.9100000000001</v>
      </c>
      <c r="M288" s="1">
        <v>0</v>
      </c>
      <c r="N288" s="1">
        <v>3798.91</v>
      </c>
      <c r="O288" s="4">
        <f>Tab_09.Set[[#This Row],[DÉBITO]]-Tab_09.Set[[#This Row],[CRÉDITO]]</f>
        <v>1098.9100000000001</v>
      </c>
    </row>
    <row r="289" spans="2:15" x14ac:dyDescent="0.3">
      <c r="B289" s="2" t="str">
        <f>_xlfn.XLOOKUP($I289,Tab_00.Trial[CONTA],Tab_00.Trial[TP],"",0,1)</f>
        <v>C</v>
      </c>
      <c r="C289" s="2">
        <f>_xlfn.XLOOKUP($I289,Tab_00.Trial[CONTA],Tab_00.Trial[NV],"",0,1)</f>
        <v>5</v>
      </c>
      <c r="D289" s="2" t="str">
        <f>_xlfn.XLOOKUP($I289,Tab_00.Trial[CONTA],Tab_00.Trial[S/A],"",0,1)</f>
        <v>A</v>
      </c>
      <c r="E289" s="2">
        <f>IF($I289="","",COUNTIFS(Tab_00.Trial[CONTA],$I289))</f>
        <v>1</v>
      </c>
      <c r="F289" s="4">
        <f>SUMIFS(Tab_08.Ago[SALDO
ATUAL],Tab_08.Ago[CONTA],$I289)</f>
        <v>4749.8900000000003</v>
      </c>
      <c r="G289" s="4">
        <f t="shared" si="10"/>
        <v>0</v>
      </c>
      <c r="H289" s="192">
        <v>51335</v>
      </c>
      <c r="I289" s="3" t="s">
        <v>537</v>
      </c>
      <c r="J289" s="3" t="s">
        <v>538</v>
      </c>
      <c r="K289" s="173">
        <v>4749.8900000000003</v>
      </c>
      <c r="L289" s="1">
        <v>0</v>
      </c>
      <c r="M289" s="1">
        <v>0</v>
      </c>
      <c r="N289" s="173">
        <v>4749.8900000000003</v>
      </c>
      <c r="O289" s="4">
        <f>Tab_09.Set[[#This Row],[DÉBITO]]-Tab_09.Set[[#This Row],[CRÉDITO]]</f>
        <v>0</v>
      </c>
    </row>
    <row r="290" spans="2:15" x14ac:dyDescent="0.3">
      <c r="B290" s="2" t="str">
        <f>_xlfn.XLOOKUP($I290,Tab_00.Trial[CONTA],Tab_00.Trial[TP],"",0,1)</f>
        <v>C</v>
      </c>
      <c r="C290" s="2">
        <f>_xlfn.XLOOKUP($I290,Tab_00.Trial[CONTA],Tab_00.Trial[NV],"",0,1)</f>
        <v>5</v>
      </c>
      <c r="D290" s="2" t="str">
        <f>_xlfn.XLOOKUP($I290,Tab_00.Trial[CONTA],Tab_00.Trial[S/A],"",0,1)</f>
        <v>A</v>
      </c>
      <c r="E290" s="2">
        <f>IF($I290="","",COUNTIFS(Tab_00.Trial[CONTA],$I290))</f>
        <v>1</v>
      </c>
      <c r="F290" s="4">
        <f>SUMIFS(Tab_08.Ago[SALDO
ATUAL],Tab_08.Ago[CONTA],$I290)</f>
        <v>12140.78</v>
      </c>
      <c r="G290" s="4">
        <f t="shared" si="10"/>
        <v>0</v>
      </c>
      <c r="H290" s="192">
        <v>51338</v>
      </c>
      <c r="I290" s="3" t="s">
        <v>539</v>
      </c>
      <c r="J290" s="3" t="s">
        <v>540</v>
      </c>
      <c r="K290" s="173">
        <v>12140.78</v>
      </c>
      <c r="L290" s="1">
        <v>1456.02</v>
      </c>
      <c r="M290" s="1">
        <v>0</v>
      </c>
      <c r="N290" s="173">
        <v>13596.8</v>
      </c>
      <c r="O290" s="4">
        <f>Tab_09.Set[[#This Row],[DÉBITO]]-Tab_09.Set[[#This Row],[CRÉDITO]]</f>
        <v>1456.02</v>
      </c>
    </row>
    <row r="291" spans="2:15" x14ac:dyDescent="0.3">
      <c r="B291" s="2" t="str">
        <f>_xlfn.XLOOKUP($I291,Tab_00.Trial[CONTA],Tab_00.Trial[TP],"",0,1)</f>
        <v>C</v>
      </c>
      <c r="C291" s="2">
        <f>_xlfn.XLOOKUP($I291,Tab_00.Trial[CONTA],Tab_00.Trial[NV],"",0,1)</f>
        <v>5</v>
      </c>
      <c r="D291" s="2" t="str">
        <f>_xlfn.XLOOKUP($I291,Tab_00.Trial[CONTA],Tab_00.Trial[S/A],"",0,1)</f>
        <v>A</v>
      </c>
      <c r="E291" s="2">
        <f>IF($I291="","",COUNTIFS(Tab_00.Trial[CONTA],$I291))</f>
        <v>1</v>
      </c>
      <c r="F291" s="4">
        <f>SUMIFS(Tab_08.Ago[SALDO
ATUAL],Tab_08.Ago[CONTA],$I291)</f>
        <v>2288.96</v>
      </c>
      <c r="G291" s="4">
        <f t="shared" si="10"/>
        <v>0</v>
      </c>
      <c r="H291" s="192">
        <v>51337</v>
      </c>
      <c r="I291" s="3" t="s">
        <v>541</v>
      </c>
      <c r="J291" s="3" t="s">
        <v>542</v>
      </c>
      <c r="K291" s="173">
        <v>2288.96</v>
      </c>
      <c r="L291" s="1">
        <v>397.76</v>
      </c>
      <c r="M291" s="1">
        <v>0</v>
      </c>
      <c r="N291" s="173">
        <v>2686.72</v>
      </c>
      <c r="O291" s="4">
        <f>Tab_09.Set[[#This Row],[DÉBITO]]-Tab_09.Set[[#This Row],[CRÉDITO]]</f>
        <v>397.76</v>
      </c>
    </row>
    <row r="292" spans="2:15" x14ac:dyDescent="0.3">
      <c r="B292" s="2" t="str">
        <f>_xlfn.XLOOKUP($I292,Tab_00.Trial[CONTA],Tab_00.Trial[TP],"",0,1)</f>
        <v>C</v>
      </c>
      <c r="C292" s="2">
        <f>_xlfn.XLOOKUP($I292,Tab_00.Trial[CONTA],Tab_00.Trial[NV],"",0,1)</f>
        <v>5</v>
      </c>
      <c r="D292" s="2" t="str">
        <f>_xlfn.XLOOKUP($I292,Tab_00.Trial[CONTA],Tab_00.Trial[S/A],"",0,1)</f>
        <v>S</v>
      </c>
      <c r="E292" s="2">
        <f>IF($I292="","",COUNTIFS(Tab_00.Trial[CONTA],$I292))</f>
        <v>1</v>
      </c>
      <c r="F292" s="4">
        <f>SUMIFS(Tab_08.Ago[SALDO
ATUAL],Tab_08.Ago[CONTA],$I292)</f>
        <v>0</v>
      </c>
      <c r="G292" s="4">
        <f t="shared" si="10"/>
        <v>0</v>
      </c>
      <c r="H292" s="192">
        <v>51340</v>
      </c>
      <c r="I292" s="3" t="s">
        <v>628</v>
      </c>
      <c r="J292" s="3" t="s">
        <v>726</v>
      </c>
      <c r="K292" s="173">
        <v>0</v>
      </c>
      <c r="L292" s="1">
        <v>49901.5</v>
      </c>
      <c r="M292" s="1">
        <v>0</v>
      </c>
      <c r="N292" s="173">
        <v>49901.5</v>
      </c>
      <c r="O292" s="4">
        <f>Tab_09.Set[[#This Row],[DÉBITO]]-Tab_09.Set[[#This Row],[CRÉDITO]]</f>
        <v>49901.5</v>
      </c>
    </row>
    <row r="293" spans="2:15" x14ac:dyDescent="0.3">
      <c r="B293" s="2" t="str">
        <f>_xlfn.XLOOKUP($I293,Tab_00.Trial[CONTA],Tab_00.Trial[TP],"",0,1)</f>
        <v>C</v>
      </c>
      <c r="C293" s="2">
        <f>_xlfn.XLOOKUP($I293,Tab_00.Trial[CONTA],Tab_00.Trial[NV],"",0,1)</f>
        <v>5</v>
      </c>
      <c r="D293" s="2" t="str">
        <f>_xlfn.XLOOKUP($I293,Tab_00.Trial[CONTA],Tab_00.Trial[S/A],"",0,1)</f>
        <v>S</v>
      </c>
      <c r="E293" s="2">
        <f>IF($I293="","",COUNTIFS(Tab_00.Trial[CONTA],$I293))</f>
        <v>1</v>
      </c>
      <c r="F293" s="4">
        <f>SUMIFS(Tab_08.Ago[SALDO
ATUAL],Tab_08.Ago[CONTA],$I293)</f>
        <v>0</v>
      </c>
      <c r="G293" s="4">
        <f t="shared" si="10"/>
        <v>0</v>
      </c>
      <c r="H293" s="192">
        <v>51370</v>
      </c>
      <c r="I293" s="3" t="s">
        <v>1004</v>
      </c>
      <c r="J293" s="3" t="s">
        <v>1005</v>
      </c>
      <c r="K293" s="4">
        <v>0</v>
      </c>
      <c r="L293" s="4">
        <v>49901.5</v>
      </c>
      <c r="M293" s="4">
        <v>0</v>
      </c>
      <c r="N293" s="4">
        <v>49901.5</v>
      </c>
      <c r="O293" s="4">
        <f>Tab_09.Set[[#This Row],[DÉBITO]]-Tab_09.Set[[#This Row],[CRÉDITO]]</f>
        <v>49901.5</v>
      </c>
    </row>
    <row r="294" spans="2:15" x14ac:dyDescent="0.3">
      <c r="B294" s="2" t="str">
        <f>_xlfn.XLOOKUP($I294,Tab_00.Trial[CONTA],Tab_00.Trial[TP],"",0,1)</f>
        <v>C</v>
      </c>
      <c r="C294" s="2">
        <f>_xlfn.XLOOKUP($I294,Tab_00.Trial[CONTA],Tab_00.Trial[NV],"",0,1)</f>
        <v>5</v>
      </c>
      <c r="D294" s="2" t="str">
        <f>_xlfn.XLOOKUP($I294,Tab_00.Trial[CONTA],Tab_00.Trial[S/A],"",0,1)</f>
        <v>A</v>
      </c>
      <c r="E294" s="2">
        <f>IF($I294="","",COUNTIFS(Tab_00.Trial[CONTA],$I294))</f>
        <v>1</v>
      </c>
      <c r="F294" s="4">
        <f>SUMIFS(Tab_08.Ago[SALDO
ATUAL],Tab_08.Ago[CONTA],$I294)</f>
        <v>0</v>
      </c>
      <c r="G294" s="4">
        <f t="shared" si="10"/>
        <v>0</v>
      </c>
      <c r="H294" s="192">
        <v>51374</v>
      </c>
      <c r="I294" s="3" t="s">
        <v>1006</v>
      </c>
      <c r="J294" s="3" t="s">
        <v>1007</v>
      </c>
      <c r="K294" s="4">
        <v>0</v>
      </c>
      <c r="L294" s="4">
        <v>49901.5</v>
      </c>
      <c r="M294" s="4">
        <v>0</v>
      </c>
      <c r="N294" s="4">
        <v>49901.5</v>
      </c>
      <c r="O294" s="4">
        <f>Tab_09.Set[[#This Row],[DÉBITO]]-Tab_09.Set[[#This Row],[CRÉDITO]]</f>
        <v>49901.5</v>
      </c>
    </row>
    <row r="295" spans="2:15" x14ac:dyDescent="0.3">
      <c r="B295" s="2" t="str">
        <f>_xlfn.XLOOKUP($I295,Tab_00.Trial[CONTA],Tab_00.Trial[TP],"",0,1)</f>
        <v>C</v>
      </c>
      <c r="C295" s="2">
        <f>_xlfn.XLOOKUP($I295,Tab_00.Trial[CONTA],Tab_00.Trial[NV],"",0,1)</f>
        <v>2</v>
      </c>
      <c r="D295" s="2" t="str">
        <f>_xlfn.XLOOKUP($I295,Tab_00.Trial[CONTA],Tab_00.Trial[S/A],"",0,1)</f>
        <v>S</v>
      </c>
      <c r="E295" s="2">
        <f>IF($I295="","",COUNTIFS(Tab_00.Trial[CONTA],$I295))</f>
        <v>1</v>
      </c>
      <c r="F295" s="4">
        <f>SUMIFS(Tab_08.Ago[SALDO
ATUAL],Tab_08.Ago[CONTA],$I295)</f>
        <v>405</v>
      </c>
      <c r="G295" s="4">
        <f t="shared" si="10"/>
        <v>0</v>
      </c>
      <c r="H295" s="192">
        <v>51500</v>
      </c>
      <c r="I295" s="3" t="s">
        <v>630</v>
      </c>
      <c r="J295" s="3" t="s">
        <v>728</v>
      </c>
      <c r="K295" s="4">
        <v>405</v>
      </c>
      <c r="L295" s="4">
        <v>0</v>
      </c>
      <c r="M295" s="4">
        <v>0</v>
      </c>
      <c r="N295" s="4">
        <v>405</v>
      </c>
      <c r="O295" s="4">
        <f>Tab_09.Set[[#This Row],[DÉBITO]]-Tab_09.Set[[#This Row],[CRÉDITO]]</f>
        <v>0</v>
      </c>
    </row>
    <row r="296" spans="2:15" x14ac:dyDescent="0.3">
      <c r="B296" s="2" t="str">
        <f>_xlfn.XLOOKUP($I296,Tab_00.Trial[CONTA],Tab_00.Trial[TP],"",0,1)</f>
        <v>C</v>
      </c>
      <c r="C296" s="2">
        <f>_xlfn.XLOOKUP($I296,Tab_00.Trial[CONTA],Tab_00.Trial[NV],"",0,1)</f>
        <v>5</v>
      </c>
      <c r="D296" s="2" t="str">
        <f>_xlfn.XLOOKUP($I296,Tab_00.Trial[CONTA],Tab_00.Trial[S/A],"",0,1)</f>
        <v>S</v>
      </c>
      <c r="E296" s="2">
        <f>IF($I296="","",COUNTIFS(Tab_00.Trial[CONTA],$I296))</f>
        <v>1</v>
      </c>
      <c r="F296" s="4">
        <f>SUMIFS(Tab_08.Ago[SALDO
ATUAL],Tab_08.Ago[CONTA],$I296)</f>
        <v>405</v>
      </c>
      <c r="G296" s="4">
        <f t="shared" ref="G296:G302" si="11">$F296-$K296</f>
        <v>0</v>
      </c>
      <c r="H296" s="192">
        <v>51505</v>
      </c>
      <c r="I296" s="3" t="s">
        <v>631</v>
      </c>
      <c r="J296" s="3" t="s">
        <v>728</v>
      </c>
      <c r="K296" s="4">
        <v>405</v>
      </c>
      <c r="L296" s="4">
        <v>0</v>
      </c>
      <c r="M296" s="4">
        <v>0</v>
      </c>
      <c r="N296" s="4">
        <v>405</v>
      </c>
      <c r="O296" s="4">
        <f>Tab_09.Set[[#This Row],[DÉBITO]]-Tab_09.Set[[#This Row],[CRÉDITO]]</f>
        <v>0</v>
      </c>
    </row>
    <row r="297" spans="2:15" x14ac:dyDescent="0.3">
      <c r="B297" s="2" t="str">
        <f>_xlfn.XLOOKUP($I297,Tab_00.Trial[CONTA],Tab_00.Trial[TP],"",0,1)</f>
        <v>C</v>
      </c>
      <c r="C297" s="2">
        <f>_xlfn.XLOOKUP($I297,Tab_00.Trial[CONTA],Tab_00.Trial[NV],"",0,1)</f>
        <v>5</v>
      </c>
      <c r="D297" s="2" t="str">
        <f>_xlfn.XLOOKUP($I297,Tab_00.Trial[CONTA],Tab_00.Trial[S/A],"",0,1)</f>
        <v>S</v>
      </c>
      <c r="E297" s="2">
        <f>IF($I297="","",COUNTIFS(Tab_00.Trial[CONTA],$I297))</f>
        <v>1</v>
      </c>
      <c r="F297" s="4">
        <f>SUMIFS(Tab_08.Ago[SALDO
ATUAL],Tab_08.Ago[CONTA],$I297)</f>
        <v>405</v>
      </c>
      <c r="G297" s="4">
        <f t="shared" si="11"/>
        <v>0</v>
      </c>
      <c r="H297" s="192">
        <v>51565</v>
      </c>
      <c r="I297" s="3" t="s">
        <v>633</v>
      </c>
      <c r="J297" s="3" t="s">
        <v>548</v>
      </c>
      <c r="K297" s="4">
        <v>405</v>
      </c>
      <c r="L297" s="4">
        <v>0</v>
      </c>
      <c r="M297" s="4">
        <v>0</v>
      </c>
      <c r="N297" s="4">
        <v>405</v>
      </c>
      <c r="O297" s="4">
        <f>Tab_09.Set[[#This Row],[DÉBITO]]-Tab_09.Set[[#This Row],[CRÉDITO]]</f>
        <v>0</v>
      </c>
    </row>
    <row r="298" spans="2:15" x14ac:dyDescent="0.3">
      <c r="B298" s="2" t="str">
        <f>_xlfn.XLOOKUP($I298,Tab_00.Trial[CONTA],Tab_00.Trial[TP],"",0,1)</f>
        <v>C</v>
      </c>
      <c r="C298" s="2">
        <f>_xlfn.XLOOKUP($I298,Tab_00.Trial[CONTA],Tab_00.Trial[NV],"",0,1)</f>
        <v>5</v>
      </c>
      <c r="D298" s="2" t="str">
        <f>_xlfn.XLOOKUP($I298,Tab_00.Trial[CONTA],Tab_00.Trial[S/A],"",0,1)</f>
        <v>A</v>
      </c>
      <c r="E298" s="2">
        <f>IF($I298="","",COUNTIFS(Tab_00.Trial[CONTA],$I298))</f>
        <v>1</v>
      </c>
      <c r="F298" s="4">
        <f>SUMIFS(Tab_08.Ago[SALDO
ATUAL],Tab_08.Ago[CONTA],$I298)</f>
        <v>405</v>
      </c>
      <c r="G298" s="4">
        <f t="shared" si="11"/>
        <v>0</v>
      </c>
      <c r="H298" s="192">
        <v>51570</v>
      </c>
      <c r="I298" s="3" t="s">
        <v>547</v>
      </c>
      <c r="J298" s="3" t="s">
        <v>548</v>
      </c>
      <c r="K298" s="4">
        <v>405</v>
      </c>
      <c r="L298" s="4">
        <v>0</v>
      </c>
      <c r="M298" s="4">
        <v>0</v>
      </c>
      <c r="N298" s="4">
        <v>405</v>
      </c>
      <c r="O298" s="4">
        <f>Tab_09.Set[[#This Row],[DÉBITO]]-Tab_09.Set[[#This Row],[CRÉDITO]]</f>
        <v>0</v>
      </c>
    </row>
    <row r="299" spans="2:15" x14ac:dyDescent="0.3">
      <c r="B299" s="2" t="str">
        <f>_xlfn.XLOOKUP($I299,Tab_00.Trial[CONTA],Tab_00.Trial[TP],"",0,1)</f>
        <v>C</v>
      </c>
      <c r="C299" s="2">
        <f>_xlfn.XLOOKUP($I299,Tab_00.Trial[CONTA],Tab_00.Trial[NV],"",0,1)</f>
        <v>2</v>
      </c>
      <c r="D299" s="2" t="str">
        <f>_xlfn.XLOOKUP($I299,Tab_00.Trial[CONTA],Tab_00.Trial[S/A],"",0,1)</f>
        <v>S</v>
      </c>
      <c r="E299" s="2">
        <f>IF($I299="","",COUNTIFS(Tab_00.Trial[CONTA],$I299))</f>
        <v>1</v>
      </c>
      <c r="F299" s="4">
        <f>SUMIFS(Tab_08.Ago[SALDO
ATUAL],Tab_08.Ago[CONTA],$I299)</f>
        <v>-189</v>
      </c>
      <c r="G299" s="4">
        <f t="shared" si="11"/>
        <v>0</v>
      </c>
      <c r="H299" s="192">
        <v>51590</v>
      </c>
      <c r="I299" s="3" t="s">
        <v>634</v>
      </c>
      <c r="J299" s="3" t="s">
        <v>730</v>
      </c>
      <c r="K299" s="4">
        <v>-189</v>
      </c>
      <c r="L299" s="4">
        <v>0</v>
      </c>
      <c r="M299" s="4">
        <v>0</v>
      </c>
      <c r="N299" s="4">
        <v>-189</v>
      </c>
      <c r="O299" s="4">
        <f>Tab_09.Set[[#This Row],[DÉBITO]]-Tab_09.Set[[#This Row],[CRÉDITO]]</f>
        <v>0</v>
      </c>
    </row>
    <row r="300" spans="2:15" x14ac:dyDescent="0.3">
      <c r="B300" s="2" t="str">
        <f>_xlfn.XLOOKUP($I300,Tab_00.Trial[CONTA],Tab_00.Trial[TP],"",0,1)</f>
        <v>C</v>
      </c>
      <c r="C300" s="2">
        <f>_xlfn.XLOOKUP($I300,Tab_00.Trial[CONTA],Tab_00.Trial[NV],"",0,1)</f>
        <v>5</v>
      </c>
      <c r="D300" s="2" t="str">
        <f>_xlfn.XLOOKUP($I300,Tab_00.Trial[CONTA],Tab_00.Trial[S/A],"",0,1)</f>
        <v>S</v>
      </c>
      <c r="E300" s="2">
        <f>IF($I300="","",COUNTIFS(Tab_00.Trial[CONTA],$I300))</f>
        <v>1</v>
      </c>
      <c r="F300" s="4">
        <f>SUMIFS(Tab_08.Ago[SALDO
ATUAL],Tab_08.Ago[CONTA],$I300)</f>
        <v>-189</v>
      </c>
      <c r="G300" s="4">
        <f t="shared" si="11"/>
        <v>0</v>
      </c>
      <c r="H300" s="192">
        <v>10216</v>
      </c>
      <c r="I300" s="3" t="s">
        <v>825</v>
      </c>
      <c r="J300" s="3" t="s">
        <v>826</v>
      </c>
      <c r="K300" s="4">
        <v>-189</v>
      </c>
      <c r="L300" s="4">
        <v>0</v>
      </c>
      <c r="M300" s="4">
        <v>0</v>
      </c>
      <c r="N300" s="4">
        <v>-189</v>
      </c>
      <c r="O300" s="4">
        <f>Tab_09.Set[[#This Row],[DÉBITO]]-Tab_09.Set[[#This Row],[CRÉDITO]]</f>
        <v>0</v>
      </c>
    </row>
    <row r="301" spans="2:15" x14ac:dyDescent="0.3">
      <c r="B301" s="2" t="str">
        <f>_xlfn.XLOOKUP($I301,Tab_00.Trial[CONTA],Tab_00.Trial[TP],"",0,1)</f>
        <v>C</v>
      </c>
      <c r="C301" s="2">
        <f>_xlfn.XLOOKUP($I301,Tab_00.Trial[CONTA],Tab_00.Trial[NV],"",0,1)</f>
        <v>5</v>
      </c>
      <c r="D301" s="2" t="str">
        <f>_xlfn.XLOOKUP($I301,Tab_00.Trial[CONTA],Tab_00.Trial[S/A],"",0,1)</f>
        <v>S</v>
      </c>
      <c r="E301" s="2">
        <f>IF($I301="","",COUNTIFS(Tab_00.Trial[CONTA],$I301))</f>
        <v>1</v>
      </c>
      <c r="F301" s="4">
        <f>SUMIFS(Tab_08.Ago[SALDO
ATUAL],Tab_08.Ago[CONTA],$I301)</f>
        <v>-189</v>
      </c>
      <c r="G301" s="4">
        <f t="shared" si="11"/>
        <v>0</v>
      </c>
      <c r="H301" s="192">
        <v>10230</v>
      </c>
      <c r="I301" s="3" t="s">
        <v>827</v>
      </c>
      <c r="J301" s="3" t="s">
        <v>826</v>
      </c>
      <c r="K301" s="4">
        <v>-189</v>
      </c>
      <c r="L301" s="4">
        <v>0</v>
      </c>
      <c r="M301" s="4">
        <v>0</v>
      </c>
      <c r="N301" s="4">
        <v>-189</v>
      </c>
      <c r="O301" s="4">
        <f>Tab_09.Set[[#This Row],[DÉBITO]]-Tab_09.Set[[#This Row],[CRÉDITO]]</f>
        <v>0</v>
      </c>
    </row>
    <row r="302" spans="2:15" x14ac:dyDescent="0.3">
      <c r="B302" s="2" t="str">
        <f>_xlfn.XLOOKUP($I302,Tab_00.Trial[CONTA],Tab_00.Trial[TP],"",0,1)</f>
        <v>C</v>
      </c>
      <c r="C302" s="2">
        <f>_xlfn.XLOOKUP($I302,Tab_00.Trial[CONTA],Tab_00.Trial[NV],"",0,1)</f>
        <v>5</v>
      </c>
      <c r="D302" s="2" t="str">
        <f>_xlfn.XLOOKUP($I302,Tab_00.Trial[CONTA],Tab_00.Trial[S/A],"",0,1)</f>
        <v>A</v>
      </c>
      <c r="E302" s="2">
        <f>IF($I302="","",COUNTIFS(Tab_00.Trial[CONTA],$I302))</f>
        <v>1</v>
      </c>
      <c r="F302" s="4">
        <f>SUMIFS(Tab_08.Ago[SALDO
ATUAL],Tab_08.Ago[CONTA],$I302)</f>
        <v>-189</v>
      </c>
      <c r="G302" s="4">
        <f t="shared" si="11"/>
        <v>0</v>
      </c>
      <c r="H302" s="192">
        <v>10237</v>
      </c>
      <c r="I302" s="3" t="s">
        <v>828</v>
      </c>
      <c r="J302" s="3" t="s">
        <v>829</v>
      </c>
      <c r="K302" s="4">
        <v>-189</v>
      </c>
      <c r="L302" s="4">
        <v>0</v>
      </c>
      <c r="M302" s="4">
        <v>0</v>
      </c>
      <c r="N302" s="4">
        <v>-189</v>
      </c>
      <c r="O302" s="4">
        <f>Tab_09.Set[[#This Row],[DÉBITO]]-Tab_09.Set[[#This Row],[CRÉDITO]]</f>
        <v>0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739B2-1E3E-4869-A693-78021FBC4B3B}">
  <sheetPr codeName="Planilha20"/>
  <dimension ref="B1:Q301"/>
  <sheetViews>
    <sheetView showGridLines="0" showRowColHeaders="0" zoomScale="85" zoomScaleNormal="85" workbookViewId="0">
      <pane xSplit="7" ySplit="14" topLeftCell="H15" activePane="bottomRight" state="frozen"/>
      <selection activeCell="J282" sqref="J282"/>
      <selection pane="topRight" activeCell="J282" sqref="J282"/>
      <selection pane="bottomLeft" activeCell="J282" sqref="J282"/>
      <selection pane="bottomRight" activeCell="H15" sqref="H15"/>
    </sheetView>
  </sheetViews>
  <sheetFormatPr defaultColWidth="8.88671875" defaultRowHeight="13.8" outlineLevelRow="1" x14ac:dyDescent="0.3"/>
  <cols>
    <col min="1" max="1" width="2.6640625" style="1" customWidth="1"/>
    <col min="2" max="2" width="4.6640625" customWidth="1"/>
    <col min="3" max="5" width="4.6640625" style="2" customWidth="1"/>
    <col min="6" max="7" width="20.6640625" style="4" customWidth="1"/>
    <col min="8" max="8" width="15.6640625" customWidth="1"/>
    <col min="9" max="9" width="17.6640625" customWidth="1"/>
    <col min="10" max="10" width="75.6640625" customWidth="1"/>
    <col min="11" max="11" width="20.6640625" style="2" customWidth="1"/>
    <col min="12" max="13" width="20.6640625" style="3" customWidth="1"/>
    <col min="14" max="15" width="20.6640625" style="4" customWidth="1"/>
    <col min="16" max="16" width="8.88671875" style="1"/>
    <col min="17" max="17" width="10" style="1" bestFit="1" customWidth="1"/>
    <col min="18" max="16384" width="8.88671875" style="1"/>
  </cols>
  <sheetData>
    <row r="1" spans="2:15" x14ac:dyDescent="0.3">
      <c r="B1" s="2"/>
      <c r="H1" s="3"/>
      <c r="I1" s="3"/>
      <c r="J1" s="3"/>
      <c r="K1" s="4"/>
      <c r="L1" s="4"/>
      <c r="M1" s="4"/>
    </row>
    <row r="2" spans="2:15" outlineLevel="1" x14ac:dyDescent="0.3">
      <c r="B2" s="2" t="s">
        <v>16</v>
      </c>
      <c r="F2" s="7">
        <f ca="1">SUMIFS(INDIRECT("Tab_10.Out["&amp;F$14&amp;"]"),Tab_10.Out[TP],$B2,Tab_10.Out[NV],"A")</f>
        <v>0</v>
      </c>
      <c r="G2" s="7">
        <f ca="1">SUMIFS(INDIRECT("Tab_10.Out["&amp;G$14&amp;"]"),Tab_10.Out[TP],$B2,Tab_10.Out[NV],"A")</f>
        <v>0</v>
      </c>
      <c r="H2" s="3"/>
      <c r="I2" s="3"/>
      <c r="J2" s="88" t="s">
        <v>15</v>
      </c>
      <c r="K2" s="7">
        <f ca="1">SUMIFS(INDIRECT("Tab_10.Out["&amp;K$14&amp;"]"),Tab_10.Out[TP],$B2,Tab_10.Out[S/A],"A")</f>
        <v>85129419.170000002</v>
      </c>
      <c r="L2" s="7">
        <f ca="1">SUMIFS(INDIRECT("Tab_10.Out["&amp;L$14&amp;"]"),Tab_10.Out[TP],$B2,Tab_10.Out[S/A],"A")</f>
        <v>1785085.85</v>
      </c>
      <c r="M2" s="7">
        <f ca="1">SUMIFS(INDIRECT("Tab_10.Out["&amp;M$14&amp;"]"),Tab_10.Out[TP],$B2,Tab_10.Out[S/A],"A")</f>
        <v>1559328.49</v>
      </c>
      <c r="N2" s="7">
        <f ca="1">SUMIFS(INDIRECT("Tab_10.Out["&amp;N$14&amp;"]"),Tab_10.Out[TP],$B2,Tab_10.Out[S/A],"A")</f>
        <v>85355176.530000001</v>
      </c>
      <c r="O2" s="7">
        <f ca="1">SUMIFS(INDIRECT("Tab_10.Out["&amp;O$14&amp;"]"),Tab_10.Out[TP],$B2,Tab_10.Out[S/A],"A")</f>
        <v>225757.36</v>
      </c>
    </row>
    <row r="3" spans="2:15" outlineLevel="1" x14ac:dyDescent="0.3">
      <c r="B3" s="2" t="s">
        <v>116</v>
      </c>
      <c r="F3" s="7">
        <f ca="1">SUMIFS(INDIRECT("Tab_10.Out["&amp;F$14&amp;"]"),Tab_10.Out[TP],$B3,Tab_10.Out[NV],"A")</f>
        <v>0</v>
      </c>
      <c r="G3" s="7">
        <f ca="1">SUMIFS(INDIRECT("Tab_10.Out["&amp;G$14&amp;"]"),Tab_10.Out[TP],$B3,Tab_10.Out[NV],"A")</f>
        <v>0</v>
      </c>
      <c r="H3" s="3"/>
      <c r="I3" s="3"/>
      <c r="J3" s="88" t="s">
        <v>110</v>
      </c>
      <c r="K3" s="7">
        <f ca="1">SUMIFS(INDIRECT("Tab_10.Out["&amp;K$14&amp;"]"),Tab_10.Out[TP],$B3,Tab_10.Out[S/A],"A")</f>
        <v>-83577325.900000006</v>
      </c>
      <c r="L3" s="7">
        <f ca="1">SUMIFS(INDIRECT("Tab_10.Out["&amp;L$14&amp;"]"),Tab_10.Out[TP],$B3,Tab_10.Out[S/A],"A")</f>
        <v>1013323.01</v>
      </c>
      <c r="M3" s="7">
        <f ca="1">SUMIFS(INDIRECT("Tab_10.Out["&amp;M$14&amp;"]"),Tab_10.Out[TP],$B3,Tab_10.Out[S/A],"A")</f>
        <v>1012149.19</v>
      </c>
      <c r="N3" s="7">
        <f ca="1">SUMIFS(INDIRECT("Tab_10.Out["&amp;N$14&amp;"]"),Tab_10.Out[TP],$B3,Tab_10.Out[S/A],"A")</f>
        <v>-83576152.079999998</v>
      </c>
      <c r="O3" s="7">
        <f ca="1">SUMIFS(INDIRECT("Tab_10.Out["&amp;O$14&amp;"]"),Tab_10.Out[TP],$B3,Tab_10.Out[S/A],"A")</f>
        <v>1173.82</v>
      </c>
    </row>
    <row r="4" spans="2:15" outlineLevel="1" x14ac:dyDescent="0.3">
      <c r="B4" s="2"/>
      <c r="F4" s="8">
        <f ca="1">SUM(F$2:F$3)</f>
        <v>0</v>
      </c>
      <c r="G4" s="8">
        <f ca="1">SUM(G$2:G$3)</f>
        <v>0</v>
      </c>
      <c r="H4" s="3"/>
      <c r="I4" s="3"/>
      <c r="J4" s="88"/>
      <c r="K4" s="8">
        <f t="shared" ref="K4:O4" ca="1" si="0">SUM(K$2:K$3)</f>
        <v>1552093.27</v>
      </c>
      <c r="L4" s="8">
        <f t="shared" ca="1" si="0"/>
        <v>2798408.86</v>
      </c>
      <c r="M4" s="8">
        <f t="shared" ca="1" si="0"/>
        <v>2571477.6800000002</v>
      </c>
      <c r="N4" s="8">
        <f ca="1">SUM(N$2:N$3)</f>
        <v>1779024.45</v>
      </c>
      <c r="O4" s="8">
        <f t="shared" ca="1" si="0"/>
        <v>226931.18</v>
      </c>
    </row>
    <row r="5" spans="2:15" ht="5.0999999999999996" customHeight="1" outlineLevel="1" x14ac:dyDescent="0.3">
      <c r="B5" s="2"/>
      <c r="H5" s="3"/>
      <c r="I5" s="3"/>
      <c r="J5" s="89"/>
      <c r="K5" s="4"/>
      <c r="L5" s="4"/>
      <c r="M5" s="4"/>
    </row>
    <row r="6" spans="2:15" outlineLevel="1" x14ac:dyDescent="0.3">
      <c r="B6" s="2" t="s">
        <v>19</v>
      </c>
      <c r="F6" s="7">
        <f ca="1">SUMIFS(INDIRECT("Tab_10.Out["&amp;F$14&amp;"]"),Tab_10.Out[TP],$B6,Tab_10.Out[NV],"A")</f>
        <v>0</v>
      </c>
      <c r="G6" s="7">
        <f ca="1">SUMIFS(INDIRECT("Tab_10.Out["&amp;G$14&amp;"]"),Tab_10.Out[TP],$B6,Tab_10.Out[NV],"A")</f>
        <v>0</v>
      </c>
      <c r="H6" s="3"/>
      <c r="I6" s="3"/>
      <c r="J6" s="88" t="s">
        <v>18</v>
      </c>
      <c r="K6" s="7">
        <f ca="1">SUMIFS(INDIRECT("Tab_10.Out["&amp;K$14&amp;"]"),Tab_10.Out[TP],$B6,Tab_10.Out[S/A],"A")</f>
        <v>-11583591.220000001</v>
      </c>
      <c r="L6" s="7">
        <f ca="1">SUMIFS(INDIRECT("Tab_10.Out["&amp;L$14&amp;"]"),Tab_10.Out[TP],$B6,Tab_10.Out[S/A],"A")</f>
        <v>12.1</v>
      </c>
      <c r="M6" s="7">
        <f ca="1">SUMIFS(INDIRECT("Tab_10.Out["&amp;M$14&amp;"]"),Tab_10.Out[TP],$B6,Tab_10.Out[S/A],"A")</f>
        <v>1457073.22</v>
      </c>
      <c r="N6" s="7">
        <f ca="1">SUMIFS(INDIRECT("Tab_10.Out["&amp;N$14&amp;"]"),Tab_10.Out[TP],$B6,Tab_10.Out[S/A],"A")</f>
        <v>-13040652.34</v>
      </c>
      <c r="O6" s="7">
        <f ca="1">SUMIFS(INDIRECT("Tab_10.Out["&amp;O$14&amp;"]"),Tab_10.Out[TP],$B6,Tab_10.Out[S/A],"A")</f>
        <v>-1457061.12</v>
      </c>
    </row>
    <row r="7" spans="2:15" outlineLevel="1" x14ac:dyDescent="0.3">
      <c r="B7" s="2" t="s">
        <v>20</v>
      </c>
      <c r="F7" s="7">
        <f ca="1">SUMIFS(INDIRECT("Tab_10.Out["&amp;F$14&amp;"]"),Tab_10.Out[TP],$B7,Tab_10.Out[NV],"A")</f>
        <v>0</v>
      </c>
      <c r="G7" s="7">
        <f ca="1">SUMIFS(INDIRECT("Tab_10.Out["&amp;G$14&amp;"]"),Tab_10.Out[TP],$B7,Tab_10.Out[NV],"A")</f>
        <v>0</v>
      </c>
      <c r="H7" s="3"/>
      <c r="I7" s="3"/>
      <c r="J7" s="88" t="s">
        <v>111</v>
      </c>
      <c r="K7" s="7">
        <f ca="1">SUMIFS(INDIRECT("Tab_10.Out["&amp;K$14&amp;"]"),Tab_10.Out[TP],$B7,Tab_10.Out[S/A],"A")</f>
        <v>10031497.949999999</v>
      </c>
      <c r="L7" s="7">
        <f ca="1">SUMIFS(INDIRECT("Tab_10.Out["&amp;L$14&amp;"]"),Tab_10.Out[TP],$B7,Tab_10.Out[S/A],"A")</f>
        <v>1253944.02</v>
      </c>
      <c r="M7" s="7">
        <f ca="1">SUMIFS(INDIRECT("Tab_10.Out["&amp;M$14&amp;"]"),Tab_10.Out[TP],$B7,Tab_10.Out[S/A],"A")</f>
        <v>23814.080000000002</v>
      </c>
      <c r="N7" s="7">
        <f ca="1">SUMIFS(INDIRECT("Tab_10.Out["&amp;N$14&amp;"]"),Tab_10.Out[TP],$B7,Tab_10.Out[S/A],"A")</f>
        <v>11261627.890000001</v>
      </c>
      <c r="O7" s="7">
        <f ca="1">SUMIFS(INDIRECT("Tab_10.Out["&amp;O$14&amp;"]"),Tab_10.Out[TP],$B7,Tab_10.Out[S/A],"A")</f>
        <v>1230129.94</v>
      </c>
    </row>
    <row r="8" spans="2:15" outlineLevel="1" x14ac:dyDescent="0.3">
      <c r="B8" s="2"/>
      <c r="F8" s="8">
        <f ca="1">SUM(F$6:F$7)</f>
        <v>0</v>
      </c>
      <c r="G8" s="8">
        <f ca="1">SUM(G$6:G$7)</f>
        <v>0</v>
      </c>
      <c r="H8" s="3"/>
      <c r="I8" s="3"/>
      <c r="J8" s="88"/>
      <c r="K8" s="8">
        <f ca="1">SUM(K$6:K$7)</f>
        <v>-1552093.27</v>
      </c>
      <c r="L8" s="8">
        <f ca="1">SUM(L$6:L$7)</f>
        <v>1253956.1200000001</v>
      </c>
      <c r="M8" s="8">
        <f ca="1">SUM(M$6:M$7)</f>
        <v>1480887.3</v>
      </c>
      <c r="N8" s="8">
        <f ca="1">SUM(N$6:N$7)</f>
        <v>-1779024.45</v>
      </c>
      <c r="O8" s="8">
        <f ca="1">SUM(O$6:O$7)</f>
        <v>-226931.18</v>
      </c>
    </row>
    <row r="9" spans="2:15" ht="5.0999999999999996" customHeight="1" outlineLevel="1" x14ac:dyDescent="0.3">
      <c r="B9" s="2"/>
      <c r="H9" s="3"/>
      <c r="I9" s="3"/>
      <c r="J9" s="89"/>
      <c r="K9" s="4"/>
      <c r="L9" s="4"/>
      <c r="M9" s="4"/>
    </row>
    <row r="10" spans="2:15" x14ac:dyDescent="0.3">
      <c r="B10" s="2"/>
      <c r="F10" s="11">
        <f ca="1">SUM(F$4,F$8)</f>
        <v>0</v>
      </c>
      <c r="G10" s="11">
        <f ca="1">SUM(G$4,G$8)</f>
        <v>0</v>
      </c>
      <c r="H10" s="3"/>
      <c r="I10" s="3"/>
      <c r="J10" s="88" t="s">
        <v>22</v>
      </c>
      <c r="K10" s="11">
        <f t="shared" ref="K10:O10" ca="1" si="1">SUM(K$4,K$8)</f>
        <v>0</v>
      </c>
      <c r="L10" s="11">
        <f t="shared" ca="1" si="1"/>
        <v>4052364.98</v>
      </c>
      <c r="M10" s="11">
        <f t="shared" ca="1" si="1"/>
        <v>4052364.98</v>
      </c>
      <c r="N10" s="11">
        <f ca="1">SUM(N$4,N$8)</f>
        <v>0</v>
      </c>
      <c r="O10" s="11">
        <f t="shared" ca="1" si="1"/>
        <v>0</v>
      </c>
    </row>
    <row r="11" spans="2:15" ht="5.0999999999999996" customHeight="1" x14ac:dyDescent="0.3">
      <c r="B11" s="2"/>
      <c r="H11" s="3"/>
      <c r="I11" s="3"/>
      <c r="J11" s="3"/>
      <c r="K11" s="4"/>
      <c r="L11" s="4"/>
      <c r="M11" s="4"/>
    </row>
    <row r="12" spans="2:15" x14ac:dyDescent="0.3">
      <c r="B12" s="2"/>
      <c r="F12" s="7">
        <f>SUBTOTAL(9,Tab_10.Out[SALDO FINAL
ANTERIOR])</f>
        <v>0</v>
      </c>
      <c r="G12" s="7">
        <f>SUBTOTAL(9,Tab_10.Out[DIFERENÇA])</f>
        <v>0</v>
      </c>
      <c r="H12" s="3"/>
      <c r="I12" s="3"/>
      <c r="J12" s="3"/>
      <c r="K12" s="7">
        <f>SUBTOTAL(9,Tab_10.Out[SALDO
ANTERIOR])</f>
        <v>0</v>
      </c>
      <c r="L12" s="7">
        <f>SUBTOTAL(9,Tab_10.Out[DÉBITO])</f>
        <v>20261824.899999999</v>
      </c>
      <c r="M12" s="7">
        <f>SUBTOTAL(9,Tab_10.Out[CRÉDITO])</f>
        <v>20261824.899999999</v>
      </c>
      <c r="N12" s="7">
        <f>SUBTOTAL(9,Tab_10.Out[SALDO
ATUAL])</f>
        <v>0</v>
      </c>
      <c r="O12" s="7">
        <f>SUBTOTAL(9,Tab_10.Out[MOVIMENTO])</f>
        <v>0</v>
      </c>
    </row>
    <row r="13" spans="2:15" ht="5.0999999999999996" customHeight="1" x14ac:dyDescent="0.3">
      <c r="B13" s="2"/>
      <c r="H13" s="3"/>
      <c r="I13" s="3"/>
      <c r="J13" s="3"/>
      <c r="K13" s="4"/>
      <c r="L13" s="4"/>
      <c r="M13" s="4"/>
    </row>
    <row r="14" spans="2:15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5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SUMIFS(Tab_09.Set[SALDO
ATUAL],Tab_09.Set[CONTA],$I15)</f>
        <v>85129419.170000002</v>
      </c>
      <c r="G15" s="4">
        <f t="shared" ref="G15:G78" si="2">$F15-$K15</f>
        <v>0</v>
      </c>
      <c r="H15" s="192">
        <v>10000</v>
      </c>
      <c r="I15" s="3">
        <v>1</v>
      </c>
      <c r="J15" s="3" t="s">
        <v>637</v>
      </c>
      <c r="K15" s="4">
        <v>85129419.170000002</v>
      </c>
      <c r="L15" s="4">
        <v>1785085.85</v>
      </c>
      <c r="M15" s="4">
        <v>1559328.49</v>
      </c>
      <c r="N15" s="4">
        <v>85355176.530000001</v>
      </c>
      <c r="O15" s="4">
        <f>Tab_10.Out[[#This Row],[DÉBITO]]-Tab_10.Out[[#This Row],[CRÉDITO]]</f>
        <v>225757.36</v>
      </c>
    </row>
    <row r="16" spans="2:15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SUMIFS(Tab_09.Set[SALDO
ATUAL],Tab_09.Set[CONTA],$I16)</f>
        <v>11196024.65</v>
      </c>
      <c r="G16" s="4">
        <f t="shared" si="2"/>
        <v>0</v>
      </c>
      <c r="H16" s="192">
        <v>10015</v>
      </c>
      <c r="I16" s="3" t="s">
        <v>197</v>
      </c>
      <c r="J16" s="3" t="s">
        <v>247</v>
      </c>
      <c r="K16" s="4">
        <v>11196024.65</v>
      </c>
      <c r="L16" s="4">
        <v>1671655.44</v>
      </c>
      <c r="M16" s="4">
        <v>1552947.74</v>
      </c>
      <c r="N16" s="4">
        <v>11314732.35</v>
      </c>
      <c r="O16" s="4">
        <f>Tab_10.Out[[#This Row],[DÉBITO]]-Tab_10.Out[[#This Row],[CRÉDITO]]</f>
        <v>118707.7</v>
      </c>
    </row>
    <row r="17" spans="2:15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SUMIFS(Tab_09.Set[SALDO
ATUAL],Tab_09.Set[CONTA],$I17)</f>
        <v>10832760.17</v>
      </c>
      <c r="G17" s="4">
        <f t="shared" si="2"/>
        <v>0</v>
      </c>
      <c r="H17" s="192">
        <v>10030</v>
      </c>
      <c r="I17" s="3" t="s">
        <v>199</v>
      </c>
      <c r="J17" s="3" t="s">
        <v>638</v>
      </c>
      <c r="K17" s="4">
        <v>10832760.17</v>
      </c>
      <c r="L17" s="4">
        <v>1627686.24</v>
      </c>
      <c r="M17" s="4">
        <v>1518861.93</v>
      </c>
      <c r="N17" s="4">
        <v>10941584.48</v>
      </c>
      <c r="O17" s="4">
        <f>Tab_10.Out[[#This Row],[DÉBITO]]-Tab_10.Out[[#This Row],[CRÉDITO]]</f>
        <v>108824.31</v>
      </c>
    </row>
    <row r="18" spans="2:15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SUMIFS(Tab_09.Set[SALDO
ATUAL],Tab_09.Set[CONTA],$I18)</f>
        <v>1328.63</v>
      </c>
      <c r="G18" s="4">
        <f t="shared" si="2"/>
        <v>0</v>
      </c>
      <c r="H18" s="2">
        <v>10045</v>
      </c>
      <c r="I18" s="3" t="s">
        <v>201</v>
      </c>
      <c r="J18" s="3" t="s">
        <v>639</v>
      </c>
      <c r="K18" s="4">
        <v>1328.63</v>
      </c>
      <c r="L18" s="4">
        <v>1500</v>
      </c>
      <c r="M18" s="4">
        <v>2280.9</v>
      </c>
      <c r="N18" s="4">
        <v>547.73</v>
      </c>
      <c r="O18" s="4">
        <f>Tab_10.Out[[#This Row],[DÉBITO]]-Tab_10.Out[[#This Row],[CRÉDITO]]</f>
        <v>-780.9</v>
      </c>
    </row>
    <row r="19" spans="2:15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SUMIFS(Tab_09.Set[SALDO
ATUAL],Tab_09.Set[CONTA],$I19)</f>
        <v>1328.63</v>
      </c>
      <c r="G19" s="4">
        <f t="shared" si="2"/>
        <v>0</v>
      </c>
      <c r="H19" s="2">
        <v>10075</v>
      </c>
      <c r="I19" s="3" t="s">
        <v>176</v>
      </c>
      <c r="J19" s="3" t="s">
        <v>274</v>
      </c>
      <c r="K19" s="4">
        <v>1328.63</v>
      </c>
      <c r="L19" s="4">
        <v>1500</v>
      </c>
      <c r="M19" s="4">
        <v>2280.9</v>
      </c>
      <c r="N19" s="4">
        <v>547.73</v>
      </c>
      <c r="O19" s="4">
        <f>Tab_10.Out[[#This Row],[DÉBITO]]-Tab_10.Out[[#This Row],[CRÉDITO]]</f>
        <v>-780.9</v>
      </c>
    </row>
    <row r="20" spans="2:15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SUMIFS(Tab_09.Set[SALDO
ATUAL],Tab_09.Set[CONTA],$I20)</f>
        <v>46632.77</v>
      </c>
      <c r="G20" s="4">
        <f t="shared" si="2"/>
        <v>0</v>
      </c>
      <c r="H20" s="2">
        <v>10090</v>
      </c>
      <c r="I20" s="3" t="s">
        <v>202</v>
      </c>
      <c r="J20" s="3" t="s">
        <v>640</v>
      </c>
      <c r="K20" s="4">
        <v>46632.77</v>
      </c>
      <c r="L20" s="4">
        <v>1030675.48</v>
      </c>
      <c r="M20" s="4">
        <v>1049020.76</v>
      </c>
      <c r="N20" s="4">
        <v>28287.49</v>
      </c>
      <c r="O20" s="4">
        <f>Tab_10.Out[[#This Row],[DÉBITO]]-Tab_10.Out[[#This Row],[CRÉDITO]]</f>
        <v>-18345.28</v>
      </c>
    </row>
    <row r="21" spans="2:15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SUMIFS(Tab_09.Set[SALDO
ATUAL],Tab_09.Set[CONTA],$I21)</f>
        <v>1.02</v>
      </c>
      <c r="G21" s="4">
        <f t="shared" si="2"/>
        <v>0</v>
      </c>
      <c r="H21" s="2">
        <v>10110</v>
      </c>
      <c r="I21" s="3" t="s">
        <v>277</v>
      </c>
      <c r="J21" s="3" t="s">
        <v>278</v>
      </c>
      <c r="K21" s="4">
        <v>1.02</v>
      </c>
      <c r="L21" s="4">
        <v>1019071.19</v>
      </c>
      <c r="M21" s="4">
        <v>1019071.19</v>
      </c>
      <c r="N21" s="4">
        <v>1.02</v>
      </c>
      <c r="O21" s="4">
        <f>Tab_10.Out[[#This Row],[DÉBITO]]-Tab_10.Out[[#This Row],[CRÉDITO]]</f>
        <v>0</v>
      </c>
    </row>
    <row r="22" spans="2:15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SUMIFS(Tab_09.Set[SALDO
ATUAL],Tab_09.Set[CONTA],$I22)</f>
        <v>37452.89</v>
      </c>
      <c r="G22" s="4">
        <f t="shared" si="2"/>
        <v>0</v>
      </c>
      <c r="H22" s="2">
        <v>10131</v>
      </c>
      <c r="I22" s="3" t="s">
        <v>177</v>
      </c>
      <c r="J22" s="3" t="s">
        <v>279</v>
      </c>
      <c r="K22" s="4">
        <v>37452.89</v>
      </c>
      <c r="L22" s="4">
        <v>9390.83</v>
      </c>
      <c r="M22" s="4">
        <v>29742.04</v>
      </c>
      <c r="N22" s="4">
        <v>17101.68</v>
      </c>
      <c r="O22" s="4">
        <f>Tab_10.Out[[#This Row],[DÉBITO]]-Tab_10.Out[[#This Row],[CRÉDITO]]</f>
        <v>-20351.21</v>
      </c>
    </row>
    <row r="23" spans="2:15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SUMIFS(Tab_09.Set[SALDO
ATUAL],Tab_09.Set[CONTA],$I23)</f>
        <v>9178.86</v>
      </c>
      <c r="G23" s="4">
        <f t="shared" si="2"/>
        <v>0</v>
      </c>
      <c r="H23" s="2">
        <v>10132</v>
      </c>
      <c r="I23" s="3" t="s">
        <v>280</v>
      </c>
      <c r="J23" s="3" t="s">
        <v>281</v>
      </c>
      <c r="K23" s="4">
        <v>9178.86</v>
      </c>
      <c r="L23" s="4">
        <v>2213.46</v>
      </c>
      <c r="M23" s="4">
        <v>207.53</v>
      </c>
      <c r="N23" s="4">
        <v>11184.79</v>
      </c>
      <c r="O23" s="4">
        <f>Tab_10.Out[[#This Row],[DÉBITO]]-Tab_10.Out[[#This Row],[CRÉDITO]]</f>
        <v>2005.93</v>
      </c>
    </row>
    <row r="24" spans="2:15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S</v>
      </c>
      <c r="E24" s="2">
        <f>IF($I24="","",COUNTIFS(Tab_00.Trial[CONTA],$I24))</f>
        <v>1</v>
      </c>
      <c r="F24" s="4">
        <f>SUMIFS(Tab_09.Set[SALDO
ATUAL],Tab_09.Set[CONTA],$I24)</f>
        <v>10784798.77</v>
      </c>
      <c r="G24" s="4">
        <f t="shared" si="2"/>
        <v>0</v>
      </c>
      <c r="H24" s="2">
        <v>10180</v>
      </c>
      <c r="I24" s="3" t="s">
        <v>203</v>
      </c>
      <c r="J24" s="3" t="s">
        <v>641</v>
      </c>
      <c r="K24" s="4">
        <v>10784798.77</v>
      </c>
      <c r="L24" s="4">
        <v>595510.76</v>
      </c>
      <c r="M24" s="4">
        <v>467560.27</v>
      </c>
      <c r="N24" s="4">
        <v>10912749.26</v>
      </c>
      <c r="O24" s="4">
        <f>Tab_10.Out[[#This Row],[DÉBITO]]-Tab_10.Out[[#This Row],[CRÉDITO]]</f>
        <v>127950.49</v>
      </c>
    </row>
    <row r="25" spans="2:15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A</v>
      </c>
      <c r="E25" s="2">
        <f>IF($I25="","",COUNTIFS(Tab_00.Trial[CONTA],$I25))</f>
        <v>1</v>
      </c>
      <c r="F25" s="4">
        <f>SUMIFS(Tab_09.Set[SALDO
ATUAL],Tab_09.Set[CONTA],$I25)</f>
        <v>4936496.26</v>
      </c>
      <c r="G25" s="4">
        <f t="shared" si="2"/>
        <v>0</v>
      </c>
      <c r="H25" s="2">
        <v>10200</v>
      </c>
      <c r="I25" s="3" t="s">
        <v>178</v>
      </c>
      <c r="J25" s="3" t="s">
        <v>284</v>
      </c>
      <c r="K25" s="4">
        <v>4936496.26</v>
      </c>
      <c r="L25" s="4">
        <v>542001.85</v>
      </c>
      <c r="M25" s="4">
        <v>467560.27</v>
      </c>
      <c r="N25" s="4">
        <v>5010937.84</v>
      </c>
      <c r="O25" s="4">
        <f>Tab_10.Out[[#This Row],[DÉBITO]]-Tab_10.Out[[#This Row],[CRÉDITO]]</f>
        <v>74441.58</v>
      </c>
    </row>
    <row r="26" spans="2:15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SUMIFS(Tab_09.Set[SALDO
ATUAL],Tab_09.Set[CONTA],$I26)</f>
        <v>5848302.5099999998</v>
      </c>
      <c r="G26" s="4">
        <f t="shared" si="2"/>
        <v>0</v>
      </c>
      <c r="H26" s="2">
        <v>10223</v>
      </c>
      <c r="I26" s="3" t="s">
        <v>287</v>
      </c>
      <c r="J26" s="3" t="s">
        <v>288</v>
      </c>
      <c r="K26" s="4">
        <v>5848302.5099999998</v>
      </c>
      <c r="L26" s="4">
        <v>53508.91</v>
      </c>
      <c r="M26" s="4">
        <v>0</v>
      </c>
      <c r="N26" s="4">
        <v>5901811.4199999999</v>
      </c>
      <c r="O26" s="4">
        <f>Tab_10.Out[[#This Row],[DÉBITO]]-Tab_10.Out[[#This Row],[CRÉDITO]]</f>
        <v>53508.91</v>
      </c>
    </row>
    <row r="27" spans="2:15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S</v>
      </c>
      <c r="E27" s="2">
        <f>IF($I27="","",COUNTIFS(Tab_00.Trial[CONTA],$I27))</f>
        <v>1</v>
      </c>
      <c r="F27" s="4">
        <f>SUMIFS(Tab_09.Set[SALDO
ATUAL],Tab_09.Set[CONTA],$I27)</f>
        <v>99274.97</v>
      </c>
      <c r="G27" s="4">
        <f t="shared" si="2"/>
        <v>0</v>
      </c>
      <c r="H27" s="2">
        <v>10270</v>
      </c>
      <c r="I27" s="3" t="s">
        <v>204</v>
      </c>
      <c r="J27" s="3" t="s">
        <v>642</v>
      </c>
      <c r="K27" s="4">
        <v>99274.97</v>
      </c>
      <c r="L27" s="4">
        <v>50</v>
      </c>
      <c r="M27" s="4">
        <v>0</v>
      </c>
      <c r="N27" s="4">
        <v>99324.97</v>
      </c>
      <c r="O27" s="4">
        <f>Tab_10.Out[[#This Row],[DÉBITO]]-Tab_10.Out[[#This Row],[CRÉDITO]]</f>
        <v>50</v>
      </c>
    </row>
    <row r="28" spans="2:15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SUMIFS(Tab_09.Set[SALDO
ATUAL],Tab_09.Set[CONTA],$I28)</f>
        <v>99274.97</v>
      </c>
      <c r="G28" s="4">
        <f t="shared" si="2"/>
        <v>0</v>
      </c>
      <c r="H28" s="2">
        <v>10345</v>
      </c>
      <c r="I28" s="3" t="s">
        <v>205</v>
      </c>
      <c r="J28" s="3" t="s">
        <v>643</v>
      </c>
      <c r="K28" s="4">
        <v>99274.97</v>
      </c>
      <c r="L28" s="4">
        <v>50</v>
      </c>
      <c r="M28" s="4">
        <v>0</v>
      </c>
      <c r="N28" s="4">
        <v>99324.97</v>
      </c>
      <c r="O28" s="4">
        <f>Tab_10.Out[[#This Row],[DÉBITO]]-Tab_10.Out[[#This Row],[CRÉDITO]]</f>
        <v>50</v>
      </c>
    </row>
    <row r="29" spans="2:15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A</v>
      </c>
      <c r="E29" s="2">
        <f>IF($I29="","",COUNTIFS(Tab_00.Trial[CONTA],$I29))</f>
        <v>1</v>
      </c>
      <c r="F29" s="4">
        <f>SUMIFS(Tab_09.Set[SALDO
ATUAL],Tab_09.Set[CONTA],$I29)</f>
        <v>99274.97</v>
      </c>
      <c r="G29" s="4">
        <f t="shared" si="2"/>
        <v>0</v>
      </c>
      <c r="H29" s="2">
        <v>10377</v>
      </c>
      <c r="I29" s="3" t="s">
        <v>291</v>
      </c>
      <c r="J29" s="3" t="s">
        <v>292</v>
      </c>
      <c r="K29" s="4">
        <v>99274.97</v>
      </c>
      <c r="L29" s="4">
        <v>50</v>
      </c>
      <c r="M29" s="4">
        <v>0</v>
      </c>
      <c r="N29" s="4">
        <v>99324.97</v>
      </c>
      <c r="O29" s="4">
        <f>Tab_10.Out[[#This Row],[DÉBITO]]-Tab_10.Out[[#This Row],[CRÉDITO]]</f>
        <v>50</v>
      </c>
    </row>
    <row r="30" spans="2:15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S</v>
      </c>
      <c r="E30" s="2">
        <f>IF($I30="","",COUNTIFS(Tab_00.Trial[CONTA],$I30))</f>
        <v>1</v>
      </c>
      <c r="F30" s="4">
        <f>SUMIFS(Tab_09.Set[SALDO
ATUAL],Tab_09.Set[CONTA],$I30)</f>
        <v>8413.06</v>
      </c>
      <c r="G30" s="4">
        <f t="shared" si="2"/>
        <v>0</v>
      </c>
      <c r="H30" s="2">
        <v>10630</v>
      </c>
      <c r="I30" s="3" t="s">
        <v>206</v>
      </c>
      <c r="J30" s="3" t="s">
        <v>644</v>
      </c>
      <c r="K30" s="4">
        <v>8413.06</v>
      </c>
      <c r="L30" s="4">
        <v>21796.57</v>
      </c>
      <c r="M30" s="4">
        <v>15156.39</v>
      </c>
      <c r="N30" s="4">
        <v>15053.24</v>
      </c>
      <c r="O30" s="4">
        <f>Tab_10.Out[[#This Row],[DÉBITO]]-Tab_10.Out[[#This Row],[CRÉDITO]]</f>
        <v>6640.18</v>
      </c>
    </row>
    <row r="31" spans="2:15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S</v>
      </c>
      <c r="E31" s="2">
        <f>IF($I31="","",COUNTIFS(Tab_00.Trial[CONTA],$I31))</f>
        <v>1</v>
      </c>
      <c r="F31" s="4">
        <f>SUMIFS(Tab_09.Set[SALDO
ATUAL],Tab_09.Set[CONTA],$I31)</f>
        <v>306.7</v>
      </c>
      <c r="G31" s="4">
        <f t="shared" si="2"/>
        <v>0</v>
      </c>
      <c r="H31" s="2">
        <v>10645</v>
      </c>
      <c r="I31" s="3" t="s">
        <v>208</v>
      </c>
      <c r="J31" s="3" t="s">
        <v>139</v>
      </c>
      <c r="K31" s="4">
        <v>306.7</v>
      </c>
      <c r="L31" s="4">
        <v>21710.04</v>
      </c>
      <c r="M31" s="4">
        <v>15144.29</v>
      </c>
      <c r="N31" s="4">
        <v>6872.45</v>
      </c>
      <c r="O31" s="4">
        <f>Tab_10.Out[[#This Row],[DÉBITO]]-Tab_10.Out[[#This Row],[CRÉDITO]]</f>
        <v>6565.75</v>
      </c>
    </row>
    <row r="32" spans="2:15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A</v>
      </c>
      <c r="E32" s="2">
        <f>IF($I32="","",COUNTIFS(Tab_00.Trial[CONTA],$I32))</f>
        <v>1</v>
      </c>
      <c r="F32" s="4">
        <f>SUMIFS(Tab_09.Set[SALDO
ATUAL],Tab_09.Set[CONTA],$I32)</f>
        <v>0</v>
      </c>
      <c r="G32" s="4">
        <f t="shared" si="2"/>
        <v>0</v>
      </c>
      <c r="H32" s="2">
        <v>10720</v>
      </c>
      <c r="I32" s="3" t="s">
        <v>812</v>
      </c>
      <c r="J32" s="3" t="s">
        <v>813</v>
      </c>
      <c r="K32" s="4">
        <v>0</v>
      </c>
      <c r="L32" s="4">
        <v>2779.68</v>
      </c>
      <c r="M32" s="4">
        <v>0</v>
      </c>
      <c r="N32" s="4">
        <v>2779.68</v>
      </c>
      <c r="O32" s="4">
        <f>Tab_10.Out[[#This Row],[DÉBITO]]-Tab_10.Out[[#This Row],[CRÉDITO]]</f>
        <v>2779.68</v>
      </c>
    </row>
    <row r="33" spans="2:17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A</v>
      </c>
      <c r="E33" s="2">
        <f>IF($I33="","",COUNTIFS(Tab_00.Trial[CONTA],$I33))</f>
        <v>1</v>
      </c>
      <c r="F33" s="4">
        <f>SUMIFS(Tab_09.Set[SALDO
ATUAL],Tab_09.Set[CONTA],$I33)</f>
        <v>306.7</v>
      </c>
      <c r="G33" s="4">
        <f t="shared" si="2"/>
        <v>0</v>
      </c>
      <c r="H33" s="2">
        <v>10735</v>
      </c>
      <c r="I33" s="3" t="s">
        <v>294</v>
      </c>
      <c r="J33" s="3" t="s">
        <v>295</v>
      </c>
      <c r="K33" s="4">
        <v>306.7</v>
      </c>
      <c r="L33" s="4">
        <v>18930.36</v>
      </c>
      <c r="M33" s="4">
        <v>15144.29</v>
      </c>
      <c r="N33" s="4">
        <v>4092.77</v>
      </c>
      <c r="O33" s="4">
        <f>Tab_10.Out[[#This Row],[DÉBITO]]-Tab_10.Out[[#This Row],[CRÉDITO]]</f>
        <v>3786.07</v>
      </c>
    </row>
    <row r="34" spans="2:17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S</v>
      </c>
      <c r="E34" s="2">
        <f>IF($I34="","",COUNTIFS(Tab_00.Trial[CONTA],$I34))</f>
        <v>1</v>
      </c>
      <c r="F34" s="4">
        <f>SUMIFS(Tab_09.Set[SALDO
ATUAL],Tab_09.Set[CONTA],$I34)</f>
        <v>8106.36</v>
      </c>
      <c r="G34" s="4">
        <f t="shared" si="2"/>
        <v>0</v>
      </c>
      <c r="H34" s="2">
        <v>10765</v>
      </c>
      <c r="I34" s="3" t="s">
        <v>551</v>
      </c>
      <c r="J34" s="3" t="s">
        <v>645</v>
      </c>
      <c r="K34" s="4">
        <v>8106.36</v>
      </c>
      <c r="L34" s="4">
        <v>86.53</v>
      </c>
      <c r="M34" s="4">
        <v>12.1</v>
      </c>
      <c r="N34" s="4">
        <v>8180.79</v>
      </c>
      <c r="O34" s="4">
        <f>Tab_10.Out[[#This Row],[DÉBITO]]-Tab_10.Out[[#This Row],[CRÉDITO]]</f>
        <v>74.430000000000007</v>
      </c>
    </row>
    <row r="35" spans="2:17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A</v>
      </c>
      <c r="E35" s="2">
        <f>IF($I35="","",COUNTIFS(Tab_00.Trial[CONTA],$I35))</f>
        <v>1</v>
      </c>
      <c r="F35" s="4">
        <f>SUMIFS(Tab_09.Set[SALDO
ATUAL],Tab_09.Set[CONTA],$I35)</f>
        <v>0</v>
      </c>
      <c r="G35" s="4">
        <f t="shared" si="2"/>
        <v>0</v>
      </c>
      <c r="H35" s="2">
        <v>10825</v>
      </c>
      <c r="I35" s="3" t="s">
        <v>838</v>
      </c>
      <c r="J35" s="3" t="s">
        <v>839</v>
      </c>
      <c r="K35" s="4">
        <v>0</v>
      </c>
      <c r="L35" s="4">
        <v>86.53</v>
      </c>
      <c r="M35" s="4">
        <v>0</v>
      </c>
      <c r="N35" s="4">
        <v>86.53</v>
      </c>
      <c r="O35" s="4">
        <f>Tab_10.Out[[#This Row],[DÉBITO]]-Tab_10.Out[[#This Row],[CRÉDITO]]</f>
        <v>86.53</v>
      </c>
    </row>
    <row r="36" spans="2:17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A</v>
      </c>
      <c r="E36" s="2">
        <f>IF($I36="","",COUNTIFS(Tab_00.Trial[CONTA],$I36))</f>
        <v>1</v>
      </c>
      <c r="F36" s="4">
        <f>SUMIFS(Tab_09.Set[SALDO
ATUAL],Tab_09.Set[CONTA],$I36)</f>
        <v>8106.36</v>
      </c>
      <c r="G36" s="4">
        <f t="shared" si="2"/>
        <v>0</v>
      </c>
      <c r="H36" s="2">
        <v>10867</v>
      </c>
      <c r="I36" s="3" t="s">
        <v>831</v>
      </c>
      <c r="J36" s="3" t="s">
        <v>832</v>
      </c>
      <c r="K36" s="4">
        <v>8106.36</v>
      </c>
      <c r="L36" s="4">
        <v>0</v>
      </c>
      <c r="M36" s="4">
        <v>12.1</v>
      </c>
      <c r="N36" s="4">
        <v>8094.26</v>
      </c>
      <c r="O36" s="4">
        <f>Tab_10.Out[[#This Row],[DÉBITO]]-Tab_10.Out[[#This Row],[CRÉDITO]]</f>
        <v>-12.1</v>
      </c>
      <c r="Q36" s="4"/>
    </row>
    <row r="37" spans="2:17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S</v>
      </c>
      <c r="E37" s="2">
        <f>IF($I37="","",COUNTIFS(Tab_00.Trial[CONTA],$I37))</f>
        <v>1</v>
      </c>
      <c r="F37" s="4">
        <f>SUMIFS(Tab_09.Set[SALDO
ATUAL],Tab_09.Set[CONTA],$I37)</f>
        <v>255576.45</v>
      </c>
      <c r="G37" s="4">
        <f t="shared" si="2"/>
        <v>0</v>
      </c>
      <c r="H37" s="2">
        <v>10840</v>
      </c>
      <c r="I37" s="3" t="s">
        <v>840</v>
      </c>
      <c r="J37" s="3" t="s">
        <v>841</v>
      </c>
      <c r="K37" s="4">
        <v>255576.45</v>
      </c>
      <c r="L37" s="4">
        <v>18621.490000000002</v>
      </c>
      <c r="M37" s="4">
        <v>18637.66</v>
      </c>
      <c r="N37" s="4">
        <v>255560.28</v>
      </c>
      <c r="O37" s="4">
        <f>Tab_10.Out[[#This Row],[DÉBITO]]-Tab_10.Out[[#This Row],[CRÉDITO]]</f>
        <v>-16.170000000000002</v>
      </c>
    </row>
    <row r="38" spans="2:17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S</v>
      </c>
      <c r="E38" s="2">
        <f>IF($I38="","",COUNTIFS(Tab_00.Trial[CONTA],$I38))</f>
        <v>1</v>
      </c>
      <c r="F38" s="4">
        <f>SUMIFS(Tab_09.Set[SALDO
ATUAL],Tab_09.Set[CONTA],$I38)</f>
        <v>255576.45</v>
      </c>
      <c r="G38" s="4">
        <f t="shared" si="2"/>
        <v>0</v>
      </c>
      <c r="H38" s="2">
        <v>10965</v>
      </c>
      <c r="I38" s="3" t="s">
        <v>842</v>
      </c>
      <c r="J38" s="3" t="s">
        <v>843</v>
      </c>
      <c r="K38" s="4">
        <v>255576.45</v>
      </c>
      <c r="L38" s="4">
        <v>0</v>
      </c>
      <c r="M38" s="4">
        <v>16.170000000000002</v>
      </c>
      <c r="N38" s="4">
        <v>255560.28</v>
      </c>
      <c r="O38" s="4">
        <f>Tab_10.Out[[#This Row],[DÉBITO]]-Tab_10.Out[[#This Row],[CRÉDITO]]</f>
        <v>-16.170000000000002</v>
      </c>
    </row>
    <row r="39" spans="2:17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A</v>
      </c>
      <c r="E39" s="2">
        <f>IF($I39="","",COUNTIFS(Tab_00.Trial[CONTA],$I39))</f>
        <v>1</v>
      </c>
      <c r="F39" s="4">
        <f>SUMIFS(Tab_09.Set[SALDO
ATUAL],Tab_09.Set[CONTA],$I39)</f>
        <v>255576.45</v>
      </c>
      <c r="G39" s="4">
        <f t="shared" si="2"/>
        <v>0</v>
      </c>
      <c r="H39" s="2">
        <v>10874</v>
      </c>
      <c r="I39" s="3" t="s">
        <v>844</v>
      </c>
      <c r="J39" s="3" t="s">
        <v>843</v>
      </c>
      <c r="K39" s="4">
        <v>255576.45</v>
      </c>
      <c r="L39" s="4">
        <v>0</v>
      </c>
      <c r="M39" s="4">
        <v>16.170000000000002</v>
      </c>
      <c r="N39" s="4">
        <v>255560.28</v>
      </c>
      <c r="O39" s="4">
        <f>Tab_10.Out[[#This Row],[DÉBITO]]-Tab_10.Out[[#This Row],[CRÉDITO]]</f>
        <v>-16.170000000000002</v>
      </c>
    </row>
    <row r="40" spans="2:17" x14ac:dyDescent="0.3">
      <c r="B40" s="2" t="str">
        <f>_xlfn.XLOOKUP($I40,Tab_00.Trial[CONTA],Tab_00.Trial[TP],"",0,1)</f>
        <v>A</v>
      </c>
      <c r="C40" s="2">
        <f>_xlfn.XLOOKUP($I40,Tab_00.Trial[CONTA],Tab_00.Trial[NV],"",0,1)</f>
        <v>5</v>
      </c>
      <c r="D40" s="2" t="str">
        <f>_xlfn.XLOOKUP($I40,Tab_00.Trial[CONTA],Tab_00.Trial[S/A],"",0,1)</f>
        <v>S</v>
      </c>
      <c r="E40" s="2">
        <f>IF($I40="","",COUNTIFS(Tab_00.Trial[CONTA],$I40))</f>
        <v>1</v>
      </c>
      <c r="F40" s="4">
        <f>SUMIFS(Tab_09.Set[SALDO
ATUAL],Tab_09.Set[CONTA],$I40)</f>
        <v>0</v>
      </c>
      <c r="G40" s="4">
        <f t="shared" si="2"/>
        <v>0</v>
      </c>
      <c r="H40" s="2">
        <v>10881</v>
      </c>
      <c r="I40" s="3" t="s">
        <v>864</v>
      </c>
      <c r="J40" s="3" t="s">
        <v>865</v>
      </c>
      <c r="K40" s="4">
        <v>0</v>
      </c>
      <c r="L40" s="4">
        <v>18621.490000000002</v>
      </c>
      <c r="M40" s="4">
        <v>18621.490000000002</v>
      </c>
      <c r="N40" s="4">
        <v>0</v>
      </c>
      <c r="O40" s="4">
        <f>Tab_10.Out[[#This Row],[DÉBITO]]-Tab_10.Out[[#This Row],[CRÉDITO]]</f>
        <v>0</v>
      </c>
      <c r="Q40" s="4"/>
    </row>
    <row r="41" spans="2:17" x14ac:dyDescent="0.3">
      <c r="B41" s="2" t="str">
        <f>_xlfn.XLOOKUP($I41,Tab_00.Trial[CONTA],Tab_00.Trial[TP],"",0,1)</f>
        <v>A</v>
      </c>
      <c r="C41" s="2">
        <f>_xlfn.XLOOKUP($I41,Tab_00.Trial[CONTA],Tab_00.Trial[NV],"",0,1)</f>
        <v>5</v>
      </c>
      <c r="D41" s="2" t="str">
        <f>_xlfn.XLOOKUP($I41,Tab_00.Trial[CONTA],Tab_00.Trial[S/A],"",0,1)</f>
        <v>A</v>
      </c>
      <c r="E41" s="2">
        <f>IF($I41="","",COUNTIFS(Tab_00.Trial[CONTA],$I41))</f>
        <v>1</v>
      </c>
      <c r="F41" s="4">
        <f>SUMIFS(Tab_09.Set[SALDO
ATUAL],Tab_09.Set[CONTA],$I41)</f>
        <v>0</v>
      </c>
      <c r="G41" s="4">
        <f t="shared" si="2"/>
        <v>0</v>
      </c>
      <c r="H41" s="2">
        <v>10888</v>
      </c>
      <c r="I41" s="3" t="s">
        <v>867</v>
      </c>
      <c r="J41" s="3" t="s">
        <v>868</v>
      </c>
      <c r="K41" s="4">
        <v>0</v>
      </c>
      <c r="L41" s="4">
        <v>18621.490000000002</v>
      </c>
      <c r="M41" s="4">
        <v>18621.490000000002</v>
      </c>
      <c r="N41" s="4">
        <v>0</v>
      </c>
      <c r="O41" s="4">
        <f>Tab_10.Out[[#This Row],[DÉBITO]]-Tab_10.Out[[#This Row],[CRÉDITO]]</f>
        <v>0</v>
      </c>
    </row>
    <row r="42" spans="2:17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S</v>
      </c>
      <c r="E42" s="2">
        <f>IF($I42="","",COUNTIFS(Tab_00.Trial[CONTA],$I42))</f>
        <v>1</v>
      </c>
      <c r="F42" s="4">
        <f>SUMIFS(Tab_09.Set[SALDO
ATUAL],Tab_09.Set[CONTA],$I42)</f>
        <v>0</v>
      </c>
      <c r="G42" s="4">
        <f t="shared" si="2"/>
        <v>0</v>
      </c>
      <c r="H42" s="2">
        <v>10975</v>
      </c>
      <c r="I42" s="3" t="s">
        <v>209</v>
      </c>
      <c r="J42" s="3" t="s">
        <v>646</v>
      </c>
      <c r="K42" s="4">
        <v>0</v>
      </c>
      <c r="L42" s="4">
        <v>3501.14</v>
      </c>
      <c r="M42" s="4">
        <v>291.76</v>
      </c>
      <c r="N42" s="4">
        <v>3209.38</v>
      </c>
      <c r="O42" s="4">
        <f>Tab_10.Out[[#This Row],[DÉBITO]]-Tab_10.Out[[#This Row],[CRÉDITO]]</f>
        <v>3209.38</v>
      </c>
      <c r="Q42" s="4"/>
    </row>
    <row r="43" spans="2:17" x14ac:dyDescent="0.3">
      <c r="B43" s="2" t="str">
        <f>_xlfn.XLOOKUP($I43,Tab_00.Trial[CONTA],Tab_00.Trial[TP],"",0,1)</f>
        <v>A</v>
      </c>
      <c r="C43" s="2">
        <f>_xlfn.XLOOKUP($I43,Tab_00.Trial[CONTA],Tab_00.Trial[NV],"",0,1)</f>
        <v>5</v>
      </c>
      <c r="D43" s="2" t="str">
        <f>_xlfn.XLOOKUP($I43,Tab_00.Trial[CONTA],Tab_00.Trial[S/A],"",0,1)</f>
        <v>S</v>
      </c>
      <c r="E43" s="2">
        <f>IF($I43="","",COUNTIFS(Tab_00.Trial[CONTA],$I43))</f>
        <v>1</v>
      </c>
      <c r="F43" s="4">
        <f>SUMIFS(Tab_09.Set[SALDO
ATUAL],Tab_09.Set[CONTA],$I43)</f>
        <v>0</v>
      </c>
      <c r="G43" s="4">
        <f t="shared" si="2"/>
        <v>0</v>
      </c>
      <c r="H43" s="2">
        <v>10990</v>
      </c>
      <c r="I43" s="3" t="s">
        <v>210</v>
      </c>
      <c r="J43" s="3" t="s">
        <v>646</v>
      </c>
      <c r="K43" s="4">
        <v>0</v>
      </c>
      <c r="L43" s="4">
        <v>3501.14</v>
      </c>
      <c r="M43" s="4">
        <v>291.76</v>
      </c>
      <c r="N43" s="4">
        <v>3209.38</v>
      </c>
      <c r="O43" s="4">
        <f>Tab_10.Out[[#This Row],[DÉBITO]]-Tab_10.Out[[#This Row],[CRÉDITO]]</f>
        <v>3209.38</v>
      </c>
    </row>
    <row r="44" spans="2:17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A</v>
      </c>
      <c r="E44" s="2">
        <f>IF($I44="","",COUNTIFS(Tab_00.Trial[CONTA],$I44))</f>
        <v>1</v>
      </c>
      <c r="F44" s="4">
        <f>SUMIFS(Tab_09.Set[SALDO
ATUAL],Tab_09.Set[CONTA],$I44)</f>
        <v>0</v>
      </c>
      <c r="G44" s="4">
        <f t="shared" si="2"/>
        <v>0</v>
      </c>
      <c r="H44" s="2">
        <v>11005</v>
      </c>
      <c r="I44" s="3" t="s">
        <v>298</v>
      </c>
      <c r="J44" s="3" t="s">
        <v>299</v>
      </c>
      <c r="K44" s="4">
        <v>0</v>
      </c>
      <c r="L44" s="4">
        <v>3501.14</v>
      </c>
      <c r="M44" s="4">
        <v>291.76</v>
      </c>
      <c r="N44" s="4">
        <v>3209.38</v>
      </c>
      <c r="O44" s="4">
        <f>Tab_10.Out[[#This Row],[DÉBITO]]-Tab_10.Out[[#This Row],[CRÉDITO]]</f>
        <v>3209.38</v>
      </c>
    </row>
    <row r="45" spans="2:17" x14ac:dyDescent="0.3">
      <c r="B45" s="2" t="str">
        <f>_xlfn.XLOOKUP($I45,Tab_00.Trial[CONTA],Tab_00.Trial[TP],"",0,1)</f>
        <v>A</v>
      </c>
      <c r="C45" s="2">
        <f>_xlfn.XLOOKUP($I45,Tab_00.Trial[CONTA],Tab_00.Trial[NV],"",0,1)</f>
        <v>2</v>
      </c>
      <c r="D45" s="2" t="str">
        <f>_xlfn.XLOOKUP($I45,Tab_00.Trial[CONTA],Tab_00.Trial[S/A],"",0,1)</f>
        <v>S</v>
      </c>
      <c r="E45" s="2">
        <f>IF($I45="","",COUNTIFS(Tab_00.Trial[CONTA],$I45))</f>
        <v>1</v>
      </c>
      <c r="F45" s="4">
        <f>SUMIFS(Tab_09.Set[SALDO
ATUAL],Tab_09.Set[CONTA],$I45)</f>
        <v>73933394.519999996</v>
      </c>
      <c r="G45" s="4">
        <f t="shared" si="2"/>
        <v>0</v>
      </c>
      <c r="H45" s="2">
        <v>11065</v>
      </c>
      <c r="I45" s="3" t="s">
        <v>211</v>
      </c>
      <c r="J45" s="3" t="s">
        <v>76</v>
      </c>
      <c r="K45" s="4">
        <v>73933394.519999996</v>
      </c>
      <c r="L45" s="4">
        <v>113430.41</v>
      </c>
      <c r="M45" s="4">
        <v>6380.75</v>
      </c>
      <c r="N45" s="4">
        <v>74040444.180000007</v>
      </c>
      <c r="O45" s="4">
        <f>Tab_10.Out[[#This Row],[DÉBITO]]-Tab_10.Out[[#This Row],[CRÉDITO]]</f>
        <v>107049.66</v>
      </c>
    </row>
    <row r="46" spans="2:17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S</v>
      </c>
      <c r="E46" s="2">
        <f>IF($I46="","",COUNTIFS(Tab_00.Trial[CONTA],$I46))</f>
        <v>1</v>
      </c>
      <c r="F46" s="4">
        <f>SUMIFS(Tab_09.Set[SALDO
ATUAL],Tab_09.Set[CONTA],$I46)</f>
        <v>255855.14</v>
      </c>
      <c r="G46" s="4">
        <f t="shared" si="2"/>
        <v>0</v>
      </c>
      <c r="H46" s="2">
        <v>11080</v>
      </c>
      <c r="I46" s="3" t="s">
        <v>552</v>
      </c>
      <c r="J46" s="3" t="s">
        <v>647</v>
      </c>
      <c r="K46" s="4">
        <v>255855.14</v>
      </c>
      <c r="L46" s="4">
        <v>314.41000000000003</v>
      </c>
      <c r="M46" s="4">
        <v>0</v>
      </c>
      <c r="N46" s="4">
        <v>256169.55</v>
      </c>
      <c r="O46" s="4">
        <f>Tab_10.Out[[#This Row],[DÉBITO]]-Tab_10.Out[[#This Row],[CRÉDITO]]</f>
        <v>314.41000000000003</v>
      </c>
    </row>
    <row r="47" spans="2:17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S</v>
      </c>
      <c r="E47" s="2">
        <f>IF($I47="","",COUNTIFS(Tab_00.Trial[CONTA],$I47))</f>
        <v>1</v>
      </c>
      <c r="F47" s="4">
        <f>SUMIFS(Tab_09.Set[SALDO
ATUAL],Tab_09.Set[CONTA],$I47)</f>
        <v>255855.14</v>
      </c>
      <c r="G47" s="4">
        <f t="shared" si="2"/>
        <v>0</v>
      </c>
      <c r="H47" s="2">
        <v>11125</v>
      </c>
      <c r="I47" s="3" t="s">
        <v>553</v>
      </c>
      <c r="J47" s="3" t="s">
        <v>301</v>
      </c>
      <c r="K47" s="4">
        <v>255855.14</v>
      </c>
      <c r="L47" s="4">
        <v>314.41000000000003</v>
      </c>
      <c r="M47" s="4">
        <v>0</v>
      </c>
      <c r="N47" s="4">
        <v>256169.55</v>
      </c>
      <c r="O47" s="4">
        <f>Tab_10.Out[[#This Row],[DÉBITO]]-Tab_10.Out[[#This Row],[CRÉDITO]]</f>
        <v>314.41000000000003</v>
      </c>
    </row>
    <row r="48" spans="2:17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A</v>
      </c>
      <c r="E48" s="2">
        <f>IF($I48="","",COUNTIFS(Tab_00.Trial[CONTA],$I48))</f>
        <v>1</v>
      </c>
      <c r="F48" s="4">
        <f>SUMIFS(Tab_09.Set[SALDO
ATUAL],Tab_09.Set[CONTA],$I48)</f>
        <v>255855.14</v>
      </c>
      <c r="G48" s="4">
        <f t="shared" si="2"/>
        <v>0</v>
      </c>
      <c r="H48" s="2">
        <v>11140</v>
      </c>
      <c r="I48" s="3" t="s">
        <v>300</v>
      </c>
      <c r="J48" s="3" t="s">
        <v>301</v>
      </c>
      <c r="K48" s="4">
        <v>255855.14</v>
      </c>
      <c r="L48" s="4">
        <v>314.41000000000003</v>
      </c>
      <c r="M48" s="4">
        <v>0</v>
      </c>
      <c r="N48" s="4">
        <v>256169.55</v>
      </c>
      <c r="O48" s="4">
        <f>Tab_10.Out[[#This Row],[DÉBITO]]-Tab_10.Out[[#This Row],[CRÉDITO]]</f>
        <v>314.41000000000003</v>
      </c>
    </row>
    <row r="49" spans="2:15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S</v>
      </c>
      <c r="E49" s="2">
        <f>IF($I49="","",COUNTIFS(Tab_00.Trial[CONTA],$I49))</f>
        <v>1</v>
      </c>
      <c r="F49" s="4">
        <f>SUMIFS(Tab_09.Set[SALDO
ATUAL],Tab_09.Set[CONTA],$I49)</f>
        <v>71316996.069999993</v>
      </c>
      <c r="G49" s="4">
        <f t="shared" si="2"/>
        <v>0</v>
      </c>
      <c r="H49" s="2">
        <v>11170</v>
      </c>
      <c r="I49" s="3" t="s">
        <v>554</v>
      </c>
      <c r="J49" s="3" t="s">
        <v>648</v>
      </c>
      <c r="K49" s="4">
        <v>71316996.069999993</v>
      </c>
      <c r="L49" s="4">
        <v>113116</v>
      </c>
      <c r="M49" s="4">
        <v>2714</v>
      </c>
      <c r="N49" s="4">
        <v>71427398.069999993</v>
      </c>
      <c r="O49" s="4">
        <f>Tab_10.Out[[#This Row],[DÉBITO]]-Tab_10.Out[[#This Row],[CRÉDITO]]</f>
        <v>110402</v>
      </c>
    </row>
    <row r="50" spans="2:15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S</v>
      </c>
      <c r="E50" s="2">
        <f>IF($I50="","",COUNTIFS(Tab_00.Trial[CONTA],$I50))</f>
        <v>1</v>
      </c>
      <c r="F50" s="4">
        <f>SUMIFS(Tab_09.Set[SALDO
ATUAL],Tab_09.Set[CONTA],$I50)</f>
        <v>45344232.229999997</v>
      </c>
      <c r="G50" s="4">
        <f t="shared" si="2"/>
        <v>0</v>
      </c>
      <c r="H50" s="2">
        <v>11185</v>
      </c>
      <c r="I50" s="3" t="s">
        <v>555</v>
      </c>
      <c r="J50" s="3" t="s">
        <v>649</v>
      </c>
      <c r="K50" s="4">
        <v>45344232.229999997</v>
      </c>
      <c r="L50" s="4">
        <v>0</v>
      </c>
      <c r="M50" s="4">
        <v>0</v>
      </c>
      <c r="N50" s="4">
        <v>45344232.229999997</v>
      </c>
      <c r="O50" s="4">
        <f>Tab_10.Out[[#This Row],[DÉBITO]]-Tab_10.Out[[#This Row],[CRÉDITO]]</f>
        <v>0</v>
      </c>
    </row>
    <row r="51" spans="2:15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A</v>
      </c>
      <c r="E51" s="2">
        <f>IF($I51="","",COUNTIFS(Tab_00.Trial[CONTA],$I51))</f>
        <v>1</v>
      </c>
      <c r="F51" s="4">
        <f>SUMIFS(Tab_09.Set[SALDO
ATUAL],Tab_09.Set[CONTA],$I51)</f>
        <v>42477392.43</v>
      </c>
      <c r="G51" s="4">
        <f t="shared" si="2"/>
        <v>0</v>
      </c>
      <c r="H51" s="2">
        <v>11205</v>
      </c>
      <c r="I51" s="3" t="s">
        <v>302</v>
      </c>
      <c r="J51" s="3" t="s">
        <v>303</v>
      </c>
      <c r="K51" s="4">
        <v>42477392.43</v>
      </c>
      <c r="L51" s="4">
        <v>0</v>
      </c>
      <c r="M51" s="4">
        <v>0</v>
      </c>
      <c r="N51" s="4">
        <v>42477392.43</v>
      </c>
      <c r="O51" s="4">
        <f>Tab_10.Out[[#This Row],[DÉBITO]]-Tab_10.Out[[#This Row],[CRÉDITO]]</f>
        <v>0</v>
      </c>
    </row>
    <row r="52" spans="2:15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A</v>
      </c>
      <c r="E52" s="2">
        <f>IF($I52="","",COUNTIFS(Tab_00.Trial[CONTA],$I52))</f>
        <v>1</v>
      </c>
      <c r="F52" s="4">
        <f>SUMIFS(Tab_09.Set[SALDO
ATUAL],Tab_09.Set[CONTA],$I52)</f>
        <v>2866839.8</v>
      </c>
      <c r="G52" s="4">
        <f t="shared" si="2"/>
        <v>0</v>
      </c>
      <c r="H52" s="2">
        <v>11210</v>
      </c>
      <c r="I52" s="3" t="s">
        <v>304</v>
      </c>
      <c r="J52" s="3" t="s">
        <v>305</v>
      </c>
      <c r="K52" s="4">
        <v>2866839.8</v>
      </c>
      <c r="L52" s="4">
        <v>0</v>
      </c>
      <c r="M52" s="4">
        <v>0</v>
      </c>
      <c r="N52" s="4">
        <v>2866839.8</v>
      </c>
      <c r="O52" s="4">
        <f>Tab_10.Out[[#This Row],[DÉBITO]]-Tab_10.Out[[#This Row],[CRÉDITO]]</f>
        <v>0</v>
      </c>
    </row>
    <row r="53" spans="2:15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S</v>
      </c>
      <c r="E53" s="2">
        <f>IF($I53="","",COUNTIFS(Tab_00.Trial[CONTA],$I53))</f>
        <v>1</v>
      </c>
      <c r="F53" s="4">
        <f>SUMIFS(Tab_09.Set[SALDO
ATUAL],Tab_09.Set[CONTA],$I53)</f>
        <v>4760.84</v>
      </c>
      <c r="G53" s="4">
        <f t="shared" si="2"/>
        <v>0</v>
      </c>
      <c r="H53" s="2">
        <v>11215</v>
      </c>
      <c r="I53" s="3" t="s">
        <v>556</v>
      </c>
      <c r="J53" s="3" t="s">
        <v>650</v>
      </c>
      <c r="K53" s="4">
        <v>4760.84</v>
      </c>
      <c r="L53" s="4">
        <v>0</v>
      </c>
      <c r="M53" s="4">
        <v>0</v>
      </c>
      <c r="N53" s="4">
        <v>4760.84</v>
      </c>
      <c r="O53" s="4">
        <f>Tab_10.Out[[#This Row],[DÉBITO]]-Tab_10.Out[[#This Row],[CRÉDITO]]</f>
        <v>0</v>
      </c>
    </row>
    <row r="54" spans="2:15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A</v>
      </c>
      <c r="E54" s="2">
        <f>IF($I54="","",COUNTIFS(Tab_00.Trial[CONTA],$I54))</f>
        <v>1</v>
      </c>
      <c r="F54" s="4">
        <f>SUMIFS(Tab_09.Set[SALDO
ATUAL],Tab_09.Set[CONTA],$I54)</f>
        <v>4760.84</v>
      </c>
      <c r="G54" s="4">
        <f t="shared" si="2"/>
        <v>0</v>
      </c>
      <c r="H54" s="2">
        <v>11230</v>
      </c>
      <c r="I54" s="3" t="s">
        <v>306</v>
      </c>
      <c r="J54" s="3" t="s">
        <v>307</v>
      </c>
      <c r="K54" s="4">
        <v>4760.84</v>
      </c>
      <c r="L54" s="4">
        <v>0</v>
      </c>
      <c r="M54" s="4">
        <v>0</v>
      </c>
      <c r="N54" s="4">
        <v>4760.84</v>
      </c>
      <c r="O54" s="4">
        <f>Tab_10.Out[[#This Row],[DÉBITO]]-Tab_10.Out[[#This Row],[CRÉDITO]]</f>
        <v>0</v>
      </c>
    </row>
    <row r="55" spans="2:15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S</v>
      </c>
      <c r="E55" s="2">
        <f>IF($I55="","",COUNTIFS(Tab_00.Trial[CONTA],$I55))</f>
        <v>1</v>
      </c>
      <c r="F55" s="4">
        <f>SUMIFS(Tab_09.Set[SALDO
ATUAL],Tab_09.Set[CONTA],$I55)</f>
        <v>25968003</v>
      </c>
      <c r="G55" s="4">
        <f t="shared" si="2"/>
        <v>0</v>
      </c>
      <c r="H55" s="2">
        <v>11235</v>
      </c>
      <c r="I55" s="3" t="s">
        <v>557</v>
      </c>
      <c r="J55" s="3" t="s">
        <v>309</v>
      </c>
      <c r="K55" s="4">
        <v>25968003</v>
      </c>
      <c r="L55" s="4">
        <v>113116</v>
      </c>
      <c r="M55" s="4">
        <v>2714</v>
      </c>
      <c r="N55" s="4">
        <v>26078405</v>
      </c>
      <c r="O55" s="4">
        <f>Tab_10.Out[[#This Row],[DÉBITO]]-Tab_10.Out[[#This Row],[CRÉDITO]]</f>
        <v>110402</v>
      </c>
    </row>
    <row r="56" spans="2:15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A</v>
      </c>
      <c r="E56" s="2">
        <f>IF($I56="","",COUNTIFS(Tab_00.Trial[CONTA],$I56))</f>
        <v>1</v>
      </c>
      <c r="F56" s="4">
        <f>SUMIFS(Tab_09.Set[SALDO
ATUAL],Tab_09.Set[CONTA],$I56)</f>
        <v>25968003</v>
      </c>
      <c r="G56" s="4">
        <f t="shared" si="2"/>
        <v>0</v>
      </c>
      <c r="H56" s="2">
        <v>11240</v>
      </c>
      <c r="I56" s="3" t="s">
        <v>308</v>
      </c>
      <c r="J56" s="3" t="s">
        <v>309</v>
      </c>
      <c r="K56" s="4">
        <v>25968003</v>
      </c>
      <c r="L56" s="4">
        <v>113116</v>
      </c>
      <c r="M56" s="4">
        <v>2714</v>
      </c>
      <c r="N56" s="4">
        <v>26078405</v>
      </c>
      <c r="O56" s="4">
        <f>Tab_10.Out[[#This Row],[DÉBITO]]-Tab_10.Out[[#This Row],[CRÉDITO]]</f>
        <v>110402</v>
      </c>
    </row>
    <row r="57" spans="2:15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S</v>
      </c>
      <c r="E57" s="2">
        <f>IF($I57="","",COUNTIFS(Tab_00.Trial[CONTA],$I57))</f>
        <v>1</v>
      </c>
      <c r="F57" s="4">
        <f>SUMIFS(Tab_09.Set[SALDO
ATUAL],Tab_09.Set[CONTA],$I57)</f>
        <v>2360543.31</v>
      </c>
      <c r="G57" s="4">
        <f t="shared" si="2"/>
        <v>0</v>
      </c>
      <c r="H57" s="2">
        <v>11245</v>
      </c>
      <c r="I57" s="3" t="s">
        <v>213</v>
      </c>
      <c r="J57" s="3" t="s">
        <v>35</v>
      </c>
      <c r="K57" s="4">
        <v>2360543.31</v>
      </c>
      <c r="L57" s="4">
        <v>0</v>
      </c>
      <c r="M57" s="4">
        <v>3666.75</v>
      </c>
      <c r="N57" s="4">
        <v>2356876.56</v>
      </c>
      <c r="O57" s="4">
        <f>Tab_10.Out[[#This Row],[DÉBITO]]-Tab_10.Out[[#This Row],[CRÉDITO]]</f>
        <v>-3666.75</v>
      </c>
    </row>
    <row r="58" spans="2:15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S</v>
      </c>
      <c r="E58" s="2">
        <f>IF($I58="","",COUNTIFS(Tab_00.Trial[CONTA],$I58))</f>
        <v>1</v>
      </c>
      <c r="F58" s="4">
        <f>SUMIFS(Tab_09.Set[SALDO
ATUAL],Tab_09.Set[CONTA],$I58)</f>
        <v>3548599.31</v>
      </c>
      <c r="G58" s="4">
        <f t="shared" si="2"/>
        <v>0</v>
      </c>
      <c r="H58" s="2">
        <v>11260</v>
      </c>
      <c r="I58" s="3" t="s">
        <v>214</v>
      </c>
      <c r="J58" s="3" t="s">
        <v>651</v>
      </c>
      <c r="K58" s="4">
        <v>3548599.31</v>
      </c>
      <c r="L58" s="4">
        <v>0</v>
      </c>
      <c r="M58" s="4">
        <v>0</v>
      </c>
      <c r="N58" s="4">
        <v>3548599.31</v>
      </c>
      <c r="O58" s="4">
        <f>Tab_10.Out[[#This Row],[DÉBITO]]-Tab_10.Out[[#This Row],[CRÉDITO]]</f>
        <v>0</v>
      </c>
    </row>
    <row r="59" spans="2:15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A</v>
      </c>
      <c r="E59" s="2">
        <f>IF($I59="","",COUNTIFS(Tab_00.Trial[CONTA],$I59))</f>
        <v>1</v>
      </c>
      <c r="F59" s="4">
        <f>SUMIFS(Tab_09.Set[SALDO
ATUAL],Tab_09.Set[CONTA],$I59)</f>
        <v>1379260.84</v>
      </c>
      <c r="G59" s="4">
        <f t="shared" si="2"/>
        <v>0</v>
      </c>
      <c r="H59" s="2">
        <v>11275</v>
      </c>
      <c r="I59" s="3" t="s">
        <v>310</v>
      </c>
      <c r="J59" s="3" t="s">
        <v>311</v>
      </c>
      <c r="K59" s="4">
        <v>1379260.84</v>
      </c>
      <c r="L59" s="4">
        <v>0</v>
      </c>
      <c r="M59" s="4">
        <v>0</v>
      </c>
      <c r="N59" s="4">
        <v>1379260.84</v>
      </c>
      <c r="O59" s="4">
        <f>Tab_10.Out[[#This Row],[DÉBITO]]-Tab_10.Out[[#This Row],[CRÉDITO]]</f>
        <v>0</v>
      </c>
    </row>
    <row r="60" spans="2:15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A</v>
      </c>
      <c r="E60" s="2">
        <f>IF($I60="","",COUNTIFS(Tab_00.Trial[CONTA],$I60))</f>
        <v>1</v>
      </c>
      <c r="F60" s="4">
        <f>SUMIFS(Tab_09.Set[SALDO
ATUAL],Tab_09.Set[CONTA],$I60)</f>
        <v>1293371.25</v>
      </c>
      <c r="G60" s="4">
        <f t="shared" si="2"/>
        <v>0</v>
      </c>
      <c r="H60" s="2">
        <v>11290</v>
      </c>
      <c r="I60" s="3" t="s">
        <v>312</v>
      </c>
      <c r="J60" s="3" t="s">
        <v>313</v>
      </c>
      <c r="K60" s="4">
        <v>1293371.25</v>
      </c>
      <c r="L60" s="4">
        <v>0</v>
      </c>
      <c r="M60" s="4">
        <v>0</v>
      </c>
      <c r="N60" s="4">
        <v>1293371.25</v>
      </c>
      <c r="O60" s="4">
        <f>Tab_10.Out[[#This Row],[DÉBITO]]-Tab_10.Out[[#This Row],[CRÉDITO]]</f>
        <v>0</v>
      </c>
    </row>
    <row r="61" spans="2:15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SUMIFS(Tab_09.Set[SALDO
ATUAL],Tab_09.Set[CONTA],$I61)</f>
        <v>23000</v>
      </c>
      <c r="G61" s="4">
        <f t="shared" si="2"/>
        <v>0</v>
      </c>
      <c r="H61" s="2">
        <v>11320</v>
      </c>
      <c r="I61" s="3" t="s">
        <v>181</v>
      </c>
      <c r="J61" s="3" t="s">
        <v>314</v>
      </c>
      <c r="K61" s="4">
        <v>23000</v>
      </c>
      <c r="L61" s="4">
        <v>0</v>
      </c>
      <c r="M61" s="4">
        <v>0</v>
      </c>
      <c r="N61" s="4">
        <v>23000</v>
      </c>
      <c r="O61" s="4">
        <f>Tab_10.Out[[#This Row],[DÉBITO]]-Tab_10.Out[[#This Row],[CRÉDITO]]</f>
        <v>0</v>
      </c>
    </row>
    <row r="62" spans="2:15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SUMIFS(Tab_09.Set[SALDO
ATUAL],Tab_09.Set[CONTA],$I62)</f>
        <v>12594</v>
      </c>
      <c r="G62" s="4">
        <f t="shared" si="2"/>
        <v>0</v>
      </c>
      <c r="H62" s="2">
        <v>11335</v>
      </c>
      <c r="I62" s="3" t="s">
        <v>182</v>
      </c>
      <c r="J62" s="3" t="s">
        <v>315</v>
      </c>
      <c r="K62" s="4">
        <v>12594</v>
      </c>
      <c r="L62" s="4">
        <v>0</v>
      </c>
      <c r="M62" s="4">
        <v>0</v>
      </c>
      <c r="N62" s="4">
        <v>12594</v>
      </c>
      <c r="O62" s="4">
        <f>Tab_10.Out[[#This Row],[DÉBITO]]-Tab_10.Out[[#This Row],[CRÉDITO]]</f>
        <v>0</v>
      </c>
    </row>
    <row r="63" spans="2:15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A</v>
      </c>
      <c r="E63" s="2">
        <f>IF($I63="","",COUNTIFS(Tab_00.Trial[CONTA],$I63))</f>
        <v>1</v>
      </c>
      <c r="F63" s="4">
        <f>SUMIFS(Tab_09.Set[SALDO
ATUAL],Tab_09.Set[CONTA],$I63)</f>
        <v>224642.85</v>
      </c>
      <c r="G63" s="4">
        <f t="shared" si="2"/>
        <v>0</v>
      </c>
      <c r="H63" s="2">
        <v>11350</v>
      </c>
      <c r="I63" s="3" t="s">
        <v>183</v>
      </c>
      <c r="J63" s="3" t="s">
        <v>316</v>
      </c>
      <c r="K63" s="4">
        <v>224642.85</v>
      </c>
      <c r="L63" s="4">
        <v>0</v>
      </c>
      <c r="M63" s="4">
        <v>0</v>
      </c>
      <c r="N63" s="4">
        <v>224642.85</v>
      </c>
      <c r="O63" s="4">
        <f>Tab_10.Out[[#This Row],[DÉBITO]]-Tab_10.Out[[#This Row],[CRÉDITO]]</f>
        <v>0</v>
      </c>
    </row>
    <row r="64" spans="2:15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A</v>
      </c>
      <c r="E64" s="2">
        <f>IF($I64="","",COUNTIFS(Tab_00.Trial[CONTA],$I64))</f>
        <v>1</v>
      </c>
      <c r="F64" s="4">
        <f>SUMIFS(Tab_09.Set[SALDO
ATUAL],Tab_09.Set[CONTA],$I64)</f>
        <v>7349.9</v>
      </c>
      <c r="G64" s="4">
        <f t="shared" si="2"/>
        <v>0</v>
      </c>
      <c r="H64" s="2">
        <v>11365</v>
      </c>
      <c r="I64" s="3" t="s">
        <v>317</v>
      </c>
      <c r="J64" s="3" t="s">
        <v>318</v>
      </c>
      <c r="K64" s="4">
        <v>7349.9</v>
      </c>
      <c r="L64" s="4">
        <v>0</v>
      </c>
      <c r="M64" s="4">
        <v>0</v>
      </c>
      <c r="N64" s="4">
        <v>7349.9</v>
      </c>
      <c r="O64" s="4">
        <f>Tab_10.Out[[#This Row],[DÉBITO]]-Tab_10.Out[[#This Row],[CRÉDITO]]</f>
        <v>0</v>
      </c>
    </row>
    <row r="65" spans="2:15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SUMIFS(Tab_09.Set[SALDO
ATUAL],Tab_09.Set[CONTA],$I65)</f>
        <v>128697.03</v>
      </c>
      <c r="G65" s="4">
        <f t="shared" si="2"/>
        <v>0</v>
      </c>
      <c r="H65" s="2">
        <v>11380</v>
      </c>
      <c r="I65" s="3" t="s">
        <v>184</v>
      </c>
      <c r="J65" s="3" t="s">
        <v>319</v>
      </c>
      <c r="K65" s="4">
        <v>128697.03</v>
      </c>
      <c r="L65" s="4">
        <v>0</v>
      </c>
      <c r="M65" s="4">
        <v>0</v>
      </c>
      <c r="N65" s="4">
        <v>128697.03</v>
      </c>
      <c r="O65" s="4">
        <f>Tab_10.Out[[#This Row],[DÉBITO]]-Tab_10.Out[[#This Row],[CRÉDITO]]</f>
        <v>0</v>
      </c>
    </row>
    <row r="66" spans="2:15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A</v>
      </c>
      <c r="E66" s="2">
        <f>IF($I66="","",COUNTIFS(Tab_00.Trial[CONTA],$I66))</f>
        <v>1</v>
      </c>
      <c r="F66" s="4">
        <f>SUMIFS(Tab_09.Set[SALDO
ATUAL],Tab_09.Set[CONTA],$I66)</f>
        <v>15029.74</v>
      </c>
      <c r="G66" s="4">
        <f t="shared" si="2"/>
        <v>0</v>
      </c>
      <c r="H66" s="2">
        <v>11410</v>
      </c>
      <c r="I66" s="3" t="s">
        <v>185</v>
      </c>
      <c r="J66" s="3" t="s">
        <v>320</v>
      </c>
      <c r="K66" s="4">
        <v>15029.74</v>
      </c>
      <c r="L66" s="4">
        <v>0</v>
      </c>
      <c r="M66" s="4">
        <v>0</v>
      </c>
      <c r="N66" s="4">
        <v>15029.74</v>
      </c>
      <c r="O66" s="4">
        <f>Tab_10.Out[[#This Row],[DÉBITO]]-Tab_10.Out[[#This Row],[CRÉDITO]]</f>
        <v>0</v>
      </c>
    </row>
    <row r="67" spans="2:15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SUMIFS(Tab_09.Set[SALDO
ATUAL],Tab_09.Set[CONTA],$I67)</f>
        <v>464653.7</v>
      </c>
      <c r="G67" s="4">
        <f t="shared" si="2"/>
        <v>0</v>
      </c>
      <c r="H67" s="2">
        <v>11415</v>
      </c>
      <c r="I67" s="3" t="s">
        <v>321</v>
      </c>
      <c r="J67" s="3" t="s">
        <v>322</v>
      </c>
      <c r="K67" s="4">
        <v>464653.7</v>
      </c>
      <c r="L67" s="4">
        <v>0</v>
      </c>
      <c r="M67" s="4">
        <v>0</v>
      </c>
      <c r="N67" s="4">
        <v>464653.7</v>
      </c>
      <c r="O67" s="4">
        <f>Tab_10.Out[[#This Row],[DÉBITO]]-Tab_10.Out[[#This Row],[CRÉDITO]]</f>
        <v>0</v>
      </c>
    </row>
    <row r="68" spans="2:15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S</v>
      </c>
      <c r="E68" s="2">
        <f>IF($I68="","",COUNTIFS(Tab_00.Trial[CONTA],$I68))</f>
        <v>1</v>
      </c>
      <c r="F68" s="4">
        <f>SUMIFS(Tab_09.Set[SALDO
ATUAL],Tab_09.Set[CONTA],$I68)</f>
        <v>-1188056</v>
      </c>
      <c r="G68" s="4">
        <f t="shared" si="2"/>
        <v>0</v>
      </c>
      <c r="H68" s="2">
        <v>11425</v>
      </c>
      <c r="I68" s="3" t="s">
        <v>215</v>
      </c>
      <c r="J68" s="3" t="s">
        <v>652</v>
      </c>
      <c r="K68" s="4">
        <v>-1188056</v>
      </c>
      <c r="L68" s="4">
        <v>0</v>
      </c>
      <c r="M68" s="4">
        <v>3666.75</v>
      </c>
      <c r="N68" s="4">
        <v>-1191722.75</v>
      </c>
      <c r="O68" s="4">
        <f>Tab_10.Out[[#This Row],[DÉBITO]]-Tab_10.Out[[#This Row],[CRÉDITO]]</f>
        <v>-3666.75</v>
      </c>
    </row>
    <row r="69" spans="2:15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SUMIFS(Tab_09.Set[SALDO
ATUAL],Tab_09.Set[CONTA],$I69)</f>
        <v>-670862.48</v>
      </c>
      <c r="G69" s="4">
        <f t="shared" si="2"/>
        <v>0</v>
      </c>
      <c r="H69" s="2">
        <v>11440</v>
      </c>
      <c r="I69" s="3" t="s">
        <v>186</v>
      </c>
      <c r="J69" s="3" t="s">
        <v>313</v>
      </c>
      <c r="K69" s="4">
        <v>-670862.48</v>
      </c>
      <c r="L69" s="4">
        <v>0</v>
      </c>
      <c r="M69" s="4">
        <v>2997.93</v>
      </c>
      <c r="N69" s="4">
        <v>-673860.41</v>
      </c>
      <c r="O69" s="4">
        <f>Tab_10.Out[[#This Row],[DÉBITO]]-Tab_10.Out[[#This Row],[CRÉDITO]]</f>
        <v>-2997.93</v>
      </c>
    </row>
    <row r="70" spans="2:15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SUMIFS(Tab_09.Set[SALDO
ATUAL],Tab_09.Set[CONTA],$I70)</f>
        <v>-21589.89</v>
      </c>
      <c r="G70" s="4">
        <f t="shared" si="2"/>
        <v>0</v>
      </c>
      <c r="H70" s="2">
        <v>11470</v>
      </c>
      <c r="I70" s="3" t="s">
        <v>187</v>
      </c>
      <c r="J70" s="3" t="s">
        <v>314</v>
      </c>
      <c r="K70" s="4">
        <v>-21589.89</v>
      </c>
      <c r="L70" s="4">
        <v>0</v>
      </c>
      <c r="M70" s="4">
        <v>191.67</v>
      </c>
      <c r="N70" s="4">
        <v>-21781.56</v>
      </c>
      <c r="O70" s="4">
        <f>Tab_10.Out[[#This Row],[DÉBITO]]-Tab_10.Out[[#This Row],[CRÉDITO]]</f>
        <v>-191.67</v>
      </c>
    </row>
    <row r="71" spans="2:15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SUMIFS(Tab_09.Set[SALDO
ATUAL],Tab_09.Set[CONTA],$I71)</f>
        <v>-6998.66</v>
      </c>
      <c r="G71" s="4">
        <f t="shared" si="2"/>
        <v>0</v>
      </c>
      <c r="H71" s="2">
        <v>11485</v>
      </c>
      <c r="I71" s="3" t="s">
        <v>188</v>
      </c>
      <c r="J71" s="3" t="s">
        <v>315</v>
      </c>
      <c r="K71" s="4">
        <v>-6998.66</v>
      </c>
      <c r="L71" s="4">
        <v>0</v>
      </c>
      <c r="M71" s="4">
        <v>104.95</v>
      </c>
      <c r="N71" s="4">
        <v>-7103.61</v>
      </c>
      <c r="O71" s="4">
        <f>Tab_10.Out[[#This Row],[DÉBITO]]-Tab_10.Out[[#This Row],[CRÉDITO]]</f>
        <v>-104.95</v>
      </c>
    </row>
    <row r="72" spans="2:15" x14ac:dyDescent="0.3">
      <c r="B72" s="2" t="str">
        <f>_xlfn.XLOOKUP($I72,Tab_00.Trial[CONTA],Tab_00.Trial[TP],"",0,1)</f>
        <v>A</v>
      </c>
      <c r="C72" s="2">
        <f>_xlfn.XLOOKUP($I72,Tab_00.Trial[CONTA],Tab_00.Trial[NV],"",0,1)</f>
        <v>5</v>
      </c>
      <c r="D72" s="2" t="str">
        <f>_xlfn.XLOOKUP($I72,Tab_00.Trial[CONTA],Tab_00.Trial[S/A],"",0,1)</f>
        <v>A</v>
      </c>
      <c r="E72" s="2">
        <f>IF($I72="","",COUNTIFS(Tab_00.Trial[CONTA],$I72))</f>
        <v>1</v>
      </c>
      <c r="F72" s="4">
        <f>SUMIFS(Tab_09.Set[SALDO
ATUAL],Tab_09.Set[CONTA],$I72)</f>
        <v>-224642.85</v>
      </c>
      <c r="G72" s="4">
        <f t="shared" si="2"/>
        <v>0</v>
      </c>
      <c r="H72" s="2">
        <v>11500</v>
      </c>
      <c r="I72" s="3" t="s">
        <v>189</v>
      </c>
      <c r="J72" s="3" t="s">
        <v>316</v>
      </c>
      <c r="K72" s="4">
        <v>-224642.85</v>
      </c>
      <c r="L72" s="4">
        <v>0</v>
      </c>
      <c r="M72" s="4">
        <v>0</v>
      </c>
      <c r="N72" s="4">
        <v>-224642.85</v>
      </c>
      <c r="O72" s="4">
        <f>Tab_10.Out[[#This Row],[DÉBITO]]-Tab_10.Out[[#This Row],[CRÉDITO]]</f>
        <v>0</v>
      </c>
    </row>
    <row r="73" spans="2:15" x14ac:dyDescent="0.3">
      <c r="B73" s="2" t="str">
        <f>_xlfn.XLOOKUP($I73,Tab_00.Trial[CONTA],Tab_00.Trial[TP],"",0,1)</f>
        <v>A</v>
      </c>
      <c r="C73" s="2">
        <f>_xlfn.XLOOKUP($I73,Tab_00.Trial[CONTA],Tab_00.Trial[NV],"",0,1)</f>
        <v>5</v>
      </c>
      <c r="D73" s="2" t="str">
        <f>_xlfn.XLOOKUP($I73,Tab_00.Trial[CONTA],Tab_00.Trial[S/A],"",0,1)</f>
        <v>A</v>
      </c>
      <c r="E73" s="2">
        <f>IF($I73="","",COUNTIFS(Tab_00.Trial[CONTA],$I73))</f>
        <v>1</v>
      </c>
      <c r="F73" s="4">
        <f>SUMIFS(Tab_09.Set[SALDO
ATUAL],Tab_09.Set[CONTA],$I73)</f>
        <v>-4553.6400000000003</v>
      </c>
      <c r="G73" s="4">
        <f t="shared" si="2"/>
        <v>0</v>
      </c>
      <c r="H73" s="2">
        <v>11515</v>
      </c>
      <c r="I73" s="3" t="s">
        <v>190</v>
      </c>
      <c r="J73" s="3" t="s">
        <v>318</v>
      </c>
      <c r="K73" s="4">
        <v>-4553.6400000000003</v>
      </c>
      <c r="L73" s="4">
        <v>0</v>
      </c>
      <c r="M73" s="4">
        <v>122.2</v>
      </c>
      <c r="N73" s="4">
        <v>-4675.84</v>
      </c>
      <c r="O73" s="4">
        <f>Tab_10.Out[[#This Row],[DÉBITO]]-Tab_10.Out[[#This Row],[CRÉDITO]]</f>
        <v>-122.2</v>
      </c>
    </row>
    <row r="74" spans="2:15" x14ac:dyDescent="0.3">
      <c r="B74" s="2" t="str">
        <f>_xlfn.XLOOKUP($I74,Tab_00.Trial[CONTA],Tab_00.Trial[TP],"",0,1)</f>
        <v>A</v>
      </c>
      <c r="C74" s="2">
        <f>_xlfn.XLOOKUP($I74,Tab_00.Trial[CONTA],Tab_00.Trial[NV],"",0,1)</f>
        <v>5</v>
      </c>
      <c r="D74" s="2" t="str">
        <f>_xlfn.XLOOKUP($I74,Tab_00.Trial[CONTA],Tab_00.Trial[S/A],"",0,1)</f>
        <v>A</v>
      </c>
      <c r="E74" s="2">
        <f>IF($I74="","",COUNTIFS(Tab_00.Trial[CONTA],$I74))</f>
        <v>1</v>
      </c>
      <c r="F74" s="4">
        <f>SUMIFS(Tab_09.Set[SALDO
ATUAL],Tab_09.Set[CONTA],$I74)</f>
        <v>-128697.03</v>
      </c>
      <c r="G74" s="4">
        <f t="shared" si="2"/>
        <v>0</v>
      </c>
      <c r="H74" s="2">
        <v>11530</v>
      </c>
      <c r="I74" s="3" t="s">
        <v>323</v>
      </c>
      <c r="J74" s="3" t="s">
        <v>319</v>
      </c>
      <c r="K74" s="4">
        <v>-128697.03</v>
      </c>
      <c r="L74" s="4">
        <v>0</v>
      </c>
      <c r="M74" s="4">
        <v>0</v>
      </c>
      <c r="N74" s="4">
        <v>-128697.03</v>
      </c>
      <c r="O74" s="4">
        <f>Tab_10.Out[[#This Row],[DÉBITO]]-Tab_10.Out[[#This Row],[CRÉDITO]]</f>
        <v>0</v>
      </c>
    </row>
    <row r="75" spans="2:15" x14ac:dyDescent="0.3">
      <c r="B75" s="2" t="str">
        <f>_xlfn.XLOOKUP($I75,Tab_00.Trial[CONTA],Tab_00.Trial[TP],"",0,1)</f>
        <v>A</v>
      </c>
      <c r="C75" s="2">
        <f>_xlfn.XLOOKUP($I75,Tab_00.Trial[CONTA],Tab_00.Trial[NV],"",0,1)</f>
        <v>5</v>
      </c>
      <c r="D75" s="2" t="str">
        <f>_xlfn.XLOOKUP($I75,Tab_00.Trial[CONTA],Tab_00.Trial[S/A],"",0,1)</f>
        <v>A</v>
      </c>
      <c r="E75" s="2">
        <f>IF($I75="","",COUNTIFS(Tab_00.Trial[CONTA],$I75))</f>
        <v>1</v>
      </c>
      <c r="F75" s="4">
        <f>SUMIFS(Tab_09.Set[SALDO
ATUAL],Tab_09.Set[CONTA],$I75)</f>
        <v>-15029.74</v>
      </c>
      <c r="G75" s="4">
        <f t="shared" si="2"/>
        <v>0</v>
      </c>
      <c r="H75" s="2">
        <v>11560</v>
      </c>
      <c r="I75" s="3" t="s">
        <v>324</v>
      </c>
      <c r="J75" s="3" t="s">
        <v>320</v>
      </c>
      <c r="K75" s="4">
        <v>-15029.74</v>
      </c>
      <c r="L75" s="4">
        <v>0</v>
      </c>
      <c r="M75" s="4">
        <v>0</v>
      </c>
      <c r="N75" s="4">
        <v>-15029.74</v>
      </c>
      <c r="O75" s="4">
        <f>Tab_10.Out[[#This Row],[DÉBITO]]-Tab_10.Out[[#This Row],[CRÉDITO]]</f>
        <v>0</v>
      </c>
    </row>
    <row r="76" spans="2:15" x14ac:dyDescent="0.3">
      <c r="B76" s="2" t="str">
        <f>_xlfn.XLOOKUP($I76,Tab_00.Trial[CONTA],Tab_00.Trial[TP],"",0,1)</f>
        <v>A</v>
      </c>
      <c r="C76" s="2">
        <f>_xlfn.XLOOKUP($I76,Tab_00.Trial[CONTA],Tab_00.Trial[NV],"",0,1)</f>
        <v>5</v>
      </c>
      <c r="D76" s="2" t="str">
        <f>_xlfn.XLOOKUP($I76,Tab_00.Trial[CONTA],Tab_00.Trial[S/A],"",0,1)</f>
        <v>A</v>
      </c>
      <c r="E76" s="2">
        <f>IF($I76="","",COUNTIFS(Tab_00.Trial[CONTA],$I76))</f>
        <v>1</v>
      </c>
      <c r="F76" s="4">
        <f>SUMIFS(Tab_09.Set[SALDO
ATUAL],Tab_09.Set[CONTA],$I76)</f>
        <v>-115681.71</v>
      </c>
      <c r="G76" s="4">
        <f t="shared" si="2"/>
        <v>0</v>
      </c>
      <c r="H76" s="2">
        <v>11565</v>
      </c>
      <c r="I76" s="3" t="s">
        <v>325</v>
      </c>
      <c r="J76" s="3" t="s">
        <v>322</v>
      </c>
      <c r="K76" s="4">
        <v>-115681.71</v>
      </c>
      <c r="L76" s="4">
        <v>0</v>
      </c>
      <c r="M76" s="4">
        <v>250</v>
      </c>
      <c r="N76" s="4">
        <v>-115931.71</v>
      </c>
      <c r="O76" s="4">
        <f>Tab_10.Out[[#This Row],[DÉBITO]]-Tab_10.Out[[#This Row],[CRÉDITO]]</f>
        <v>-250</v>
      </c>
    </row>
    <row r="77" spans="2:15" x14ac:dyDescent="0.3">
      <c r="B77" s="2" t="str">
        <f>_xlfn.XLOOKUP($I77,Tab_00.Trial[CONTA],Tab_00.Trial[TP],"",0,1)</f>
        <v>P</v>
      </c>
      <c r="C77" s="2">
        <f>_xlfn.XLOOKUP($I77,Tab_00.Trial[CONTA],Tab_00.Trial[NV],"",0,1)</f>
        <v>1</v>
      </c>
      <c r="D77" s="2" t="str">
        <f>_xlfn.XLOOKUP($I77,Tab_00.Trial[CONTA],Tab_00.Trial[S/A],"",0,1)</f>
        <v>S</v>
      </c>
      <c r="E77" s="2">
        <f>IF($I77="","",COUNTIFS(Tab_00.Trial[CONTA],$I77))</f>
        <v>1</v>
      </c>
      <c r="F77" s="4">
        <f>SUMIFS(Tab_09.Set[SALDO
ATUAL],Tab_09.Set[CONTA],$I77)</f>
        <v>-83577325.900000006</v>
      </c>
      <c r="G77" s="4">
        <f t="shared" si="2"/>
        <v>0</v>
      </c>
      <c r="H77" s="2">
        <v>20000</v>
      </c>
      <c r="I77" s="3">
        <v>2</v>
      </c>
      <c r="J77" s="3" t="s">
        <v>653</v>
      </c>
      <c r="K77" s="4">
        <v>-83577325.900000006</v>
      </c>
      <c r="L77" s="4">
        <v>1013323.01</v>
      </c>
      <c r="M77" s="4">
        <v>1012149.19</v>
      </c>
      <c r="N77" s="4">
        <v>-83576152.079999998</v>
      </c>
      <c r="O77" s="4">
        <f>Tab_10.Out[[#This Row],[DÉBITO]]-Tab_10.Out[[#This Row],[CRÉDITO]]</f>
        <v>1173.82</v>
      </c>
    </row>
    <row r="78" spans="2:15" x14ac:dyDescent="0.3">
      <c r="B78" s="2" t="str">
        <f>_xlfn.XLOOKUP($I78,Tab_00.Trial[CONTA],Tab_00.Trial[TP],"",0,1)</f>
        <v>P</v>
      </c>
      <c r="C78" s="2">
        <f>_xlfn.XLOOKUP($I78,Tab_00.Trial[CONTA],Tab_00.Trial[NV],"",0,1)</f>
        <v>2</v>
      </c>
      <c r="D78" s="2" t="str">
        <f>_xlfn.XLOOKUP($I78,Tab_00.Trial[CONTA],Tab_00.Trial[S/A],"",0,1)</f>
        <v>S</v>
      </c>
      <c r="E78" s="2">
        <f>IF($I78="","",COUNTIFS(Tab_00.Trial[CONTA],$I78))</f>
        <v>1</v>
      </c>
      <c r="F78" s="4">
        <f>SUMIFS(Tab_09.Set[SALDO
ATUAL],Tab_09.Set[CONTA],$I78)</f>
        <v>-1442424.13</v>
      </c>
      <c r="G78" s="4">
        <f t="shared" si="2"/>
        <v>0</v>
      </c>
      <c r="H78" s="2">
        <v>20015</v>
      </c>
      <c r="I78" s="3" t="s">
        <v>216</v>
      </c>
      <c r="J78" s="3" t="s">
        <v>31</v>
      </c>
      <c r="K78" s="4">
        <v>-1442424.13</v>
      </c>
      <c r="L78" s="4">
        <v>1013323.01</v>
      </c>
      <c r="M78" s="4">
        <v>1012149.19</v>
      </c>
      <c r="N78" s="4">
        <v>-1441250.31</v>
      </c>
      <c r="O78" s="4">
        <f>Tab_10.Out[[#This Row],[DÉBITO]]-Tab_10.Out[[#This Row],[CRÉDITO]]</f>
        <v>1173.82</v>
      </c>
    </row>
    <row r="79" spans="2:15" x14ac:dyDescent="0.3">
      <c r="B79" s="2" t="str">
        <f>_xlfn.XLOOKUP($I79,Tab_00.Trial[CONTA],Tab_00.Trial[TP],"",0,1)</f>
        <v>P</v>
      </c>
      <c r="C79" s="2">
        <f>_xlfn.XLOOKUP($I79,Tab_00.Trial[CONTA],Tab_00.Trial[NV],"",0,1)</f>
        <v>5</v>
      </c>
      <c r="D79" s="2" t="str">
        <f>_xlfn.XLOOKUP($I79,Tab_00.Trial[CONTA],Tab_00.Trial[S/A],"",0,1)</f>
        <v>S</v>
      </c>
      <c r="E79" s="2">
        <f>IF($I79="","",COUNTIFS(Tab_00.Trial[CONTA],$I79))</f>
        <v>1</v>
      </c>
      <c r="F79" s="4">
        <f>SUMIFS(Tab_09.Set[SALDO
ATUAL],Tab_09.Set[CONTA],$I79)</f>
        <v>-351606.58</v>
      </c>
      <c r="G79" s="4">
        <f t="shared" ref="G79:G142" si="3">$F79-$K79</f>
        <v>0</v>
      </c>
      <c r="H79" s="2">
        <v>20030</v>
      </c>
      <c r="I79" s="3" t="s">
        <v>558</v>
      </c>
      <c r="J79" s="3" t="s">
        <v>654</v>
      </c>
      <c r="K79" s="4">
        <v>-351606.58</v>
      </c>
      <c r="L79" s="4">
        <v>143653.94</v>
      </c>
      <c r="M79" s="4">
        <v>145304.4</v>
      </c>
      <c r="N79" s="4">
        <v>-353257.04</v>
      </c>
      <c r="O79" s="4">
        <f>Tab_10.Out[[#This Row],[DÉBITO]]-Tab_10.Out[[#This Row],[CRÉDITO]]</f>
        <v>-1650.46</v>
      </c>
    </row>
    <row r="80" spans="2:15" x14ac:dyDescent="0.3">
      <c r="B80" s="2" t="str">
        <f>_xlfn.XLOOKUP($I80,Tab_00.Trial[CONTA],Tab_00.Trial[TP],"",0,1)</f>
        <v>P</v>
      </c>
      <c r="C80" s="2">
        <f>_xlfn.XLOOKUP($I80,Tab_00.Trial[CONTA],Tab_00.Trial[NV],"",0,1)</f>
        <v>5</v>
      </c>
      <c r="D80" s="2" t="str">
        <f>_xlfn.XLOOKUP($I80,Tab_00.Trial[CONTA],Tab_00.Trial[S/A],"",0,1)</f>
        <v>S</v>
      </c>
      <c r="E80" s="2">
        <f>IF($I80="","",COUNTIFS(Tab_00.Trial[CONTA],$I80))</f>
        <v>1</v>
      </c>
      <c r="F80" s="4">
        <f>SUMIFS(Tab_09.Set[SALDO
ATUAL],Tab_09.Set[CONTA],$I80)</f>
        <v>0</v>
      </c>
      <c r="G80" s="4">
        <f t="shared" si="3"/>
        <v>0</v>
      </c>
      <c r="H80" s="2">
        <v>20045</v>
      </c>
      <c r="I80" s="3" t="s">
        <v>559</v>
      </c>
      <c r="J80" s="3" t="s">
        <v>655</v>
      </c>
      <c r="K80" s="4">
        <v>0</v>
      </c>
      <c r="L80" s="4">
        <v>69268.2</v>
      </c>
      <c r="M80" s="4">
        <v>69268.2</v>
      </c>
      <c r="N80" s="4">
        <v>0</v>
      </c>
      <c r="O80" s="4">
        <f>Tab_10.Out[[#This Row],[DÉBITO]]-Tab_10.Out[[#This Row],[CRÉDITO]]</f>
        <v>0</v>
      </c>
    </row>
    <row r="81" spans="2:15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A</v>
      </c>
      <c r="E81" s="2">
        <f>IF($I81="","",COUNTIFS(Tab_00.Trial[CONTA],$I81))</f>
        <v>1</v>
      </c>
      <c r="F81" s="4">
        <f>SUMIFS(Tab_09.Set[SALDO
ATUAL],Tab_09.Set[CONTA],$I81)</f>
        <v>0</v>
      </c>
      <c r="G81" s="4">
        <f t="shared" si="3"/>
        <v>0</v>
      </c>
      <c r="H81" s="2">
        <v>20060</v>
      </c>
      <c r="I81" s="3" t="s">
        <v>326</v>
      </c>
      <c r="J81" s="3" t="s">
        <v>327</v>
      </c>
      <c r="K81" s="4">
        <v>0</v>
      </c>
      <c r="L81" s="4">
        <v>69268.2</v>
      </c>
      <c r="M81" s="4">
        <v>69268.2</v>
      </c>
      <c r="N81" s="4">
        <v>0</v>
      </c>
      <c r="O81" s="4">
        <f>Tab_10.Out[[#This Row],[DÉBITO]]-Tab_10.Out[[#This Row],[CRÉDITO]]</f>
        <v>0</v>
      </c>
    </row>
    <row r="82" spans="2:15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S</v>
      </c>
      <c r="E82" s="2">
        <f>IF($I82="","",COUNTIFS(Tab_00.Trial[CONTA],$I82))</f>
        <v>1</v>
      </c>
      <c r="F82" s="4">
        <f>SUMIFS(Tab_09.Set[SALDO
ATUAL],Tab_09.Set[CONTA],$I82)</f>
        <v>-103619.32</v>
      </c>
      <c r="G82" s="4">
        <f t="shared" si="3"/>
        <v>0</v>
      </c>
      <c r="H82" s="2">
        <v>20120</v>
      </c>
      <c r="I82" s="3" t="s">
        <v>560</v>
      </c>
      <c r="J82" s="3" t="s">
        <v>656</v>
      </c>
      <c r="K82" s="4">
        <v>-103619.32</v>
      </c>
      <c r="L82" s="4">
        <v>0</v>
      </c>
      <c r="M82" s="4">
        <v>11746.73</v>
      </c>
      <c r="N82" s="4">
        <v>-115366.05</v>
      </c>
      <c r="O82" s="4">
        <f>Tab_10.Out[[#This Row],[DÉBITO]]-Tab_10.Out[[#This Row],[CRÉDITO]]</f>
        <v>-11746.73</v>
      </c>
    </row>
    <row r="83" spans="2:15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A</v>
      </c>
      <c r="E83" s="2">
        <f>IF($I83="","",COUNTIFS(Tab_00.Trial[CONTA],$I83))</f>
        <v>1</v>
      </c>
      <c r="F83" s="4">
        <f>SUMIFS(Tab_09.Set[SALDO
ATUAL],Tab_09.Set[CONTA],$I83)</f>
        <v>-76170.19</v>
      </c>
      <c r="G83" s="4">
        <f t="shared" si="3"/>
        <v>0</v>
      </c>
      <c r="H83" s="2">
        <v>20135</v>
      </c>
      <c r="I83" s="3" t="s">
        <v>332</v>
      </c>
      <c r="J83" s="3" t="s">
        <v>333</v>
      </c>
      <c r="K83" s="4">
        <v>-76170.19</v>
      </c>
      <c r="L83" s="4">
        <v>0</v>
      </c>
      <c r="M83" s="4">
        <v>8651.6</v>
      </c>
      <c r="N83" s="4">
        <v>-84821.79</v>
      </c>
      <c r="O83" s="4">
        <f>Tab_10.Out[[#This Row],[DÉBITO]]-Tab_10.Out[[#This Row],[CRÉDITO]]</f>
        <v>-8651.6</v>
      </c>
    </row>
    <row r="84" spans="2:15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A</v>
      </c>
      <c r="E84" s="2">
        <f>IF($I84="","",COUNTIFS(Tab_00.Trial[CONTA],$I84))</f>
        <v>1</v>
      </c>
      <c r="F84" s="4">
        <f>SUMIFS(Tab_09.Set[SALDO
ATUAL],Tab_09.Set[CONTA],$I84)</f>
        <v>-6093.55</v>
      </c>
      <c r="G84" s="4">
        <f t="shared" si="3"/>
        <v>0</v>
      </c>
      <c r="H84" s="2">
        <v>20150</v>
      </c>
      <c r="I84" s="3" t="s">
        <v>778</v>
      </c>
      <c r="J84" s="3" t="s">
        <v>779</v>
      </c>
      <c r="K84" s="4">
        <v>-6093.55</v>
      </c>
      <c r="L84" s="4">
        <v>0</v>
      </c>
      <c r="M84" s="4">
        <v>692.14</v>
      </c>
      <c r="N84" s="4">
        <v>-6785.69</v>
      </c>
      <c r="O84" s="4">
        <f>Tab_10.Out[[#This Row],[DÉBITO]]-Tab_10.Out[[#This Row],[CRÉDITO]]</f>
        <v>-692.14</v>
      </c>
    </row>
    <row r="85" spans="2:15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A</v>
      </c>
      <c r="E85" s="2">
        <f>IF($I85="","",COUNTIFS(Tab_00.Trial[CONTA],$I85))</f>
        <v>1</v>
      </c>
      <c r="F85" s="4">
        <f>SUMIFS(Tab_09.Set[SALDO
ATUAL],Tab_09.Set[CONTA],$I85)</f>
        <v>-768.18</v>
      </c>
      <c r="G85" s="4">
        <f t="shared" si="3"/>
        <v>0</v>
      </c>
      <c r="H85" s="2">
        <v>20165</v>
      </c>
      <c r="I85" s="3" t="s">
        <v>780</v>
      </c>
      <c r="J85" s="3" t="s">
        <v>781</v>
      </c>
      <c r="K85" s="4">
        <v>-768.18</v>
      </c>
      <c r="L85" s="4">
        <v>0</v>
      </c>
      <c r="M85" s="4">
        <v>86.45</v>
      </c>
      <c r="N85" s="4">
        <v>-854.63</v>
      </c>
      <c r="O85" s="4">
        <f>Tab_10.Out[[#This Row],[DÉBITO]]-Tab_10.Out[[#This Row],[CRÉDITO]]</f>
        <v>-86.45</v>
      </c>
    </row>
    <row r="86" spans="2:15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A</v>
      </c>
      <c r="E86" s="2">
        <f>IF($I86="","",COUNTIFS(Tab_00.Trial[CONTA],$I86))</f>
        <v>1</v>
      </c>
      <c r="F86" s="4">
        <f>SUMIFS(Tab_09.Set[SALDO
ATUAL],Tab_09.Set[CONTA],$I86)</f>
        <v>-20587.400000000001</v>
      </c>
      <c r="G86" s="4">
        <f t="shared" si="3"/>
        <v>0</v>
      </c>
      <c r="H86" s="2">
        <v>10097</v>
      </c>
      <c r="I86" s="3" t="s">
        <v>782</v>
      </c>
      <c r="J86" s="3" t="s">
        <v>783</v>
      </c>
      <c r="K86" s="4">
        <v>-20587.400000000001</v>
      </c>
      <c r="L86" s="4">
        <v>0</v>
      </c>
      <c r="M86" s="4">
        <v>2316.54</v>
      </c>
      <c r="N86" s="4">
        <v>-22903.94</v>
      </c>
      <c r="O86" s="4">
        <f>Tab_10.Out[[#This Row],[DÉBITO]]-Tab_10.Out[[#This Row],[CRÉDITO]]</f>
        <v>-2316.54</v>
      </c>
    </row>
    <row r="87" spans="2:15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S</v>
      </c>
      <c r="E87" s="2">
        <f>IF($I87="","",COUNTIFS(Tab_00.Trial[CONTA],$I87))</f>
        <v>1</v>
      </c>
      <c r="F87" s="4">
        <f>SUMIFS(Tab_09.Set[SALDO
ATUAL],Tab_09.Set[CONTA],$I87)</f>
        <v>-202152.4</v>
      </c>
      <c r="G87" s="4">
        <f t="shared" si="3"/>
        <v>0</v>
      </c>
      <c r="H87" s="2">
        <v>20180</v>
      </c>
      <c r="I87" s="3" t="s">
        <v>561</v>
      </c>
      <c r="J87" s="3" t="s">
        <v>657</v>
      </c>
      <c r="K87" s="4">
        <v>-202152.4</v>
      </c>
      <c r="L87" s="4">
        <v>27903.34</v>
      </c>
      <c r="M87" s="4">
        <v>17119.72</v>
      </c>
      <c r="N87" s="4">
        <v>-191368.78</v>
      </c>
      <c r="O87" s="4">
        <f>Tab_10.Out[[#This Row],[DÉBITO]]-Tab_10.Out[[#This Row],[CRÉDITO]]</f>
        <v>10783.62</v>
      </c>
    </row>
    <row r="88" spans="2:15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A</v>
      </c>
      <c r="E88" s="2">
        <f>IF($I88="","",COUNTIFS(Tab_00.Trial[CONTA],$I88))</f>
        <v>1</v>
      </c>
      <c r="F88" s="4">
        <f>SUMIFS(Tab_09.Set[SALDO
ATUAL],Tab_09.Set[CONTA],$I88)</f>
        <v>-148671.13</v>
      </c>
      <c r="G88" s="4">
        <f t="shared" si="3"/>
        <v>0</v>
      </c>
      <c r="H88" s="2">
        <v>20195</v>
      </c>
      <c r="I88" s="3" t="s">
        <v>334</v>
      </c>
      <c r="J88" s="3" t="s">
        <v>335</v>
      </c>
      <c r="K88" s="4">
        <v>-148671.13</v>
      </c>
      <c r="L88" s="4">
        <v>20454.47</v>
      </c>
      <c r="M88" s="4">
        <v>12630.72</v>
      </c>
      <c r="N88" s="4">
        <v>-140847.38</v>
      </c>
      <c r="O88" s="4">
        <f>Tab_10.Out[[#This Row],[DÉBITO]]-Tab_10.Out[[#This Row],[CRÉDITO]]</f>
        <v>7823.75</v>
      </c>
    </row>
    <row r="89" spans="2:15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A</v>
      </c>
      <c r="E89" s="2">
        <f>IF($I89="","",COUNTIFS(Tab_00.Trial[CONTA],$I89))</f>
        <v>1</v>
      </c>
      <c r="F89" s="4">
        <f>SUMIFS(Tab_09.Set[SALDO
ATUAL],Tab_09.Set[CONTA],$I89)</f>
        <v>-11878.87</v>
      </c>
      <c r="G89" s="4">
        <f t="shared" si="3"/>
        <v>0</v>
      </c>
      <c r="H89" s="2">
        <v>20210</v>
      </c>
      <c r="I89" s="3" t="s">
        <v>784</v>
      </c>
      <c r="J89" s="3" t="s">
        <v>785</v>
      </c>
      <c r="K89" s="4">
        <v>-11878.87</v>
      </c>
      <c r="L89" s="4">
        <v>1636.35</v>
      </c>
      <c r="M89" s="4">
        <v>1003.12</v>
      </c>
      <c r="N89" s="4">
        <v>-11245.64</v>
      </c>
      <c r="O89" s="4">
        <f>Tab_10.Out[[#This Row],[DÉBITO]]-Tab_10.Out[[#This Row],[CRÉDITO]]</f>
        <v>633.23</v>
      </c>
    </row>
    <row r="90" spans="2:15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A</v>
      </c>
      <c r="E90" s="2">
        <f>IF($I90="","",COUNTIFS(Tab_00.Trial[CONTA],$I90))</f>
        <v>1</v>
      </c>
      <c r="F90" s="4">
        <f>SUMIFS(Tab_09.Set[SALDO
ATUAL],Tab_09.Set[CONTA],$I90)</f>
        <v>-1807.67</v>
      </c>
      <c r="G90" s="4">
        <f t="shared" si="3"/>
        <v>0</v>
      </c>
      <c r="H90" s="2">
        <v>20225</v>
      </c>
      <c r="I90" s="3" t="s">
        <v>786</v>
      </c>
      <c r="J90" s="3" t="s">
        <v>787</v>
      </c>
      <c r="K90" s="4">
        <v>-1807.67</v>
      </c>
      <c r="L90" s="4">
        <v>330.73</v>
      </c>
      <c r="M90" s="4">
        <v>125.39</v>
      </c>
      <c r="N90" s="4">
        <v>-1602.33</v>
      </c>
      <c r="O90" s="4">
        <f>Tab_10.Out[[#This Row],[DÉBITO]]-Tab_10.Out[[#This Row],[CRÉDITO]]</f>
        <v>205.34</v>
      </c>
    </row>
    <row r="91" spans="2:15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A</v>
      </c>
      <c r="E91" s="2">
        <f>IF($I91="","",COUNTIFS(Tab_00.Trial[CONTA],$I91))</f>
        <v>1</v>
      </c>
      <c r="F91" s="4">
        <f>SUMIFS(Tab_09.Set[SALDO
ATUAL],Tab_09.Set[CONTA],$I91)</f>
        <v>-39794.730000000003</v>
      </c>
      <c r="G91" s="4">
        <f t="shared" si="3"/>
        <v>0</v>
      </c>
      <c r="H91" s="2">
        <v>10104</v>
      </c>
      <c r="I91" s="3" t="s">
        <v>788</v>
      </c>
      <c r="J91" s="3" t="s">
        <v>789</v>
      </c>
      <c r="K91" s="4">
        <v>-39794.730000000003</v>
      </c>
      <c r="L91" s="4">
        <v>5481.79</v>
      </c>
      <c r="M91" s="4">
        <v>3360.49</v>
      </c>
      <c r="N91" s="4">
        <v>-37673.43</v>
      </c>
      <c r="O91" s="4">
        <f>Tab_10.Out[[#This Row],[DÉBITO]]-Tab_10.Out[[#This Row],[CRÉDITO]]</f>
        <v>2121.3000000000002</v>
      </c>
    </row>
    <row r="92" spans="2:15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S</v>
      </c>
      <c r="E92" s="2">
        <f>IF($I92="","",COUNTIFS(Tab_00.Trial[CONTA],$I92))</f>
        <v>1</v>
      </c>
      <c r="F92" s="4">
        <f>SUMIFS(Tab_09.Set[SALDO
ATUAL],Tab_09.Set[CONTA],$I92)</f>
        <v>-35995.78</v>
      </c>
      <c r="G92" s="4">
        <f t="shared" si="3"/>
        <v>0</v>
      </c>
      <c r="H92" s="2">
        <v>20240</v>
      </c>
      <c r="I92" s="3" t="s">
        <v>562</v>
      </c>
      <c r="J92" s="3" t="s">
        <v>658</v>
      </c>
      <c r="K92" s="4">
        <v>-35995.78</v>
      </c>
      <c r="L92" s="4">
        <v>36716.49</v>
      </c>
      <c r="M92" s="4">
        <v>37355.019999999997</v>
      </c>
      <c r="N92" s="4">
        <v>-36634.31</v>
      </c>
      <c r="O92" s="4">
        <f>Tab_10.Out[[#This Row],[DÉBITO]]-Tab_10.Out[[#This Row],[CRÉDITO]]</f>
        <v>-638.53</v>
      </c>
    </row>
    <row r="93" spans="2:15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A</v>
      </c>
      <c r="E93" s="2">
        <f>IF($I93="","",COUNTIFS(Tab_00.Trial[CONTA],$I93))</f>
        <v>1</v>
      </c>
      <c r="F93" s="4">
        <f>SUMIFS(Tab_09.Set[SALDO
ATUAL],Tab_09.Set[CONTA],$I93)</f>
        <v>-35995.78</v>
      </c>
      <c r="G93" s="4">
        <f t="shared" si="3"/>
        <v>0</v>
      </c>
      <c r="H93" s="2">
        <v>20255</v>
      </c>
      <c r="I93" s="3" t="s">
        <v>336</v>
      </c>
      <c r="J93" s="3" t="s">
        <v>337</v>
      </c>
      <c r="K93" s="4">
        <v>-35995.78</v>
      </c>
      <c r="L93" s="4">
        <v>36173.050000000003</v>
      </c>
      <c r="M93" s="4">
        <v>36227.5</v>
      </c>
      <c r="N93" s="4">
        <v>-36050.230000000003</v>
      </c>
      <c r="O93" s="4">
        <f>Tab_10.Out[[#This Row],[DÉBITO]]-Tab_10.Out[[#This Row],[CRÉDITO]]</f>
        <v>-54.45</v>
      </c>
    </row>
    <row r="94" spans="2:15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A</v>
      </c>
      <c r="E94" s="2">
        <f>IF($I94="","",COUNTIFS(Tab_00.Trial[CONTA],$I94))</f>
        <v>1</v>
      </c>
      <c r="F94" s="4">
        <f>SUMIFS(Tab_09.Set[SALDO
ATUAL],Tab_09.Set[CONTA],$I94)</f>
        <v>0</v>
      </c>
      <c r="G94" s="4">
        <f t="shared" si="3"/>
        <v>0</v>
      </c>
      <c r="H94" s="2">
        <v>20270</v>
      </c>
      <c r="I94" s="3" t="s">
        <v>338</v>
      </c>
      <c r="J94" s="3" t="s">
        <v>339</v>
      </c>
      <c r="K94" s="4">
        <v>0</v>
      </c>
      <c r="L94" s="4">
        <v>543.44000000000005</v>
      </c>
      <c r="M94" s="4">
        <v>1127.52</v>
      </c>
      <c r="N94" s="4">
        <v>-584.08000000000004</v>
      </c>
      <c r="O94" s="4">
        <f>Tab_10.Out[[#This Row],[DÉBITO]]-Tab_10.Out[[#This Row],[CRÉDITO]]</f>
        <v>-584.08000000000004</v>
      </c>
    </row>
    <row r="95" spans="2:15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S</v>
      </c>
      <c r="E95" s="2">
        <f>IF($I95="","",COUNTIFS(Tab_00.Trial[CONTA],$I95))</f>
        <v>1</v>
      </c>
      <c r="F95" s="4">
        <f>SUMIFS(Tab_09.Set[SALDO
ATUAL],Tab_09.Set[CONTA],$I95)</f>
        <v>-9839.08</v>
      </c>
      <c r="G95" s="4">
        <f t="shared" si="3"/>
        <v>0</v>
      </c>
      <c r="H95" s="2">
        <v>20345</v>
      </c>
      <c r="I95" s="3" t="s">
        <v>563</v>
      </c>
      <c r="J95" s="3" t="s">
        <v>659</v>
      </c>
      <c r="K95" s="4">
        <v>-9839.08</v>
      </c>
      <c r="L95" s="4">
        <v>9765.91</v>
      </c>
      <c r="M95" s="4">
        <v>9814.73</v>
      </c>
      <c r="N95" s="4">
        <v>-9887.9</v>
      </c>
      <c r="O95" s="4">
        <f>Tab_10.Out[[#This Row],[DÉBITO]]-Tab_10.Out[[#This Row],[CRÉDITO]]</f>
        <v>-48.82</v>
      </c>
    </row>
    <row r="96" spans="2:15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A</v>
      </c>
      <c r="E96" s="2">
        <f>IF($I96="","",COUNTIFS(Tab_00.Trial[CONTA],$I96))</f>
        <v>1</v>
      </c>
      <c r="F96" s="4">
        <f>SUMIFS(Tab_09.Set[SALDO
ATUAL],Tab_09.Set[CONTA],$I96)</f>
        <v>-8680.81</v>
      </c>
      <c r="G96" s="4">
        <f t="shared" si="3"/>
        <v>0</v>
      </c>
      <c r="H96" s="2">
        <v>20360</v>
      </c>
      <c r="I96" s="3" t="s">
        <v>340</v>
      </c>
      <c r="J96" s="3" t="s">
        <v>341</v>
      </c>
      <c r="K96" s="4">
        <v>-8680.81</v>
      </c>
      <c r="L96" s="4">
        <v>8680.81</v>
      </c>
      <c r="M96" s="4">
        <v>8724.19</v>
      </c>
      <c r="N96" s="4">
        <v>-8724.19</v>
      </c>
      <c r="O96" s="4">
        <f>Tab_10.Out[[#This Row],[DÉBITO]]-Tab_10.Out[[#This Row],[CRÉDITO]]</f>
        <v>-43.38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A</v>
      </c>
      <c r="E97" s="2">
        <f>IF($I97="","",COUNTIFS(Tab_00.Trial[CONTA],$I97))</f>
        <v>1</v>
      </c>
      <c r="F97" s="4">
        <f>SUMIFS(Tab_09.Set[SALDO
ATUAL],Tab_09.Set[CONTA],$I97)</f>
        <v>-1158.27</v>
      </c>
      <c r="G97" s="4">
        <f t="shared" si="3"/>
        <v>0</v>
      </c>
      <c r="H97" s="2">
        <v>20375</v>
      </c>
      <c r="I97" s="3" t="s">
        <v>342</v>
      </c>
      <c r="J97" s="3" t="s">
        <v>343</v>
      </c>
      <c r="K97" s="4">
        <v>-1158.27</v>
      </c>
      <c r="L97" s="4">
        <v>1085.0999999999999</v>
      </c>
      <c r="M97" s="4">
        <v>1090.54</v>
      </c>
      <c r="N97" s="4">
        <v>-1163.71</v>
      </c>
      <c r="O97" s="4">
        <f>Tab_10.Out[[#This Row],[DÉBITO]]-Tab_10.Out[[#This Row],[CRÉDITO]]</f>
        <v>-5.44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S</v>
      </c>
      <c r="E98" s="2">
        <f>IF($I98="","",COUNTIFS(Tab_00.Trial[CONTA],$I98))</f>
        <v>1</v>
      </c>
      <c r="F98" s="4">
        <f>SUMIFS(Tab_09.Set[SALDO
ATUAL],Tab_09.Set[CONTA],$I98)</f>
        <v>-1049200.8</v>
      </c>
      <c r="G98" s="4">
        <f t="shared" si="3"/>
        <v>0</v>
      </c>
      <c r="H98" s="2">
        <v>20390</v>
      </c>
      <c r="I98" s="3" t="s">
        <v>218</v>
      </c>
      <c r="J98" s="3" t="s">
        <v>660</v>
      </c>
      <c r="K98" s="4">
        <v>-1049200.8</v>
      </c>
      <c r="L98" s="4">
        <v>851407.87</v>
      </c>
      <c r="M98" s="4">
        <v>839424.63</v>
      </c>
      <c r="N98" s="4">
        <v>-1037217.56</v>
      </c>
      <c r="O98" s="4">
        <f>Tab_10.Out[[#This Row],[DÉBITO]]-Tab_10.Out[[#This Row],[CRÉDITO]]</f>
        <v>11983.24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S</v>
      </c>
      <c r="E99" s="2">
        <f>IF($I99="","",COUNTIFS(Tab_00.Trial[CONTA],$I99))</f>
        <v>1</v>
      </c>
      <c r="F99" s="4">
        <f>SUMIFS(Tab_09.Set[SALDO
ATUAL],Tab_09.Set[CONTA],$I99)</f>
        <v>-55466.22</v>
      </c>
      <c r="G99" s="4">
        <f t="shared" si="3"/>
        <v>0</v>
      </c>
      <c r="H99" s="2">
        <v>20405</v>
      </c>
      <c r="I99" s="3" t="s">
        <v>219</v>
      </c>
      <c r="J99" s="3" t="s">
        <v>56</v>
      </c>
      <c r="K99" s="4">
        <v>-55466.22</v>
      </c>
      <c r="L99" s="4">
        <v>381550.6</v>
      </c>
      <c r="M99" s="4">
        <v>613953.35</v>
      </c>
      <c r="N99" s="4">
        <v>-287868.96999999997</v>
      </c>
      <c r="O99" s="4">
        <f>Tab_10.Out[[#This Row],[DÉBITO]]-Tab_10.Out[[#This Row],[CRÉDITO]]</f>
        <v>-232402.75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A</v>
      </c>
      <c r="E100" s="2">
        <f>IF($I100="","",COUNTIFS(Tab_00.Trial[CONTA],$I100))</f>
        <v>1</v>
      </c>
      <c r="F100" s="4">
        <f>SUMIFS(Tab_09.Set[SALDO
ATUAL],Tab_09.Set[CONTA],$I100)</f>
        <v>-55466.22</v>
      </c>
      <c r="G100" s="4">
        <f t="shared" si="3"/>
        <v>0</v>
      </c>
      <c r="H100" s="2">
        <v>20420</v>
      </c>
      <c r="I100" s="3" t="s">
        <v>344</v>
      </c>
      <c r="J100" s="3" t="s">
        <v>56</v>
      </c>
      <c r="K100" s="4">
        <v>-55466.22</v>
      </c>
      <c r="L100" s="4">
        <v>381550.6</v>
      </c>
      <c r="M100" s="4">
        <v>613953.35</v>
      </c>
      <c r="N100" s="4">
        <v>-287868.96999999997</v>
      </c>
      <c r="O100" s="4">
        <f>Tab_10.Out[[#This Row],[DÉBITO]]-Tab_10.Out[[#This Row],[CRÉDITO]]</f>
        <v>-232402.75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S</v>
      </c>
      <c r="E101" s="2">
        <f>IF($I101="","",COUNTIFS(Tab_00.Trial[CONTA],$I101))</f>
        <v>1</v>
      </c>
      <c r="F101" s="4">
        <f>SUMIFS(Tab_09.Set[SALDO
ATUAL],Tab_09.Set[CONTA],$I101)</f>
        <v>-993734.58</v>
      </c>
      <c r="G101" s="4">
        <f t="shared" si="3"/>
        <v>0</v>
      </c>
      <c r="H101" s="2">
        <v>20455</v>
      </c>
      <c r="I101" s="3" t="s">
        <v>220</v>
      </c>
      <c r="J101" s="3" t="s">
        <v>346</v>
      </c>
      <c r="K101" s="4">
        <v>-993734.58</v>
      </c>
      <c r="L101" s="4">
        <v>469857.27</v>
      </c>
      <c r="M101" s="4">
        <v>225471.28</v>
      </c>
      <c r="N101" s="4">
        <v>-749348.59</v>
      </c>
      <c r="O101" s="4">
        <f>Tab_10.Out[[#This Row],[DÉBITO]]-Tab_10.Out[[#This Row],[CRÉDITO]]</f>
        <v>244385.99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A</v>
      </c>
      <c r="E102" s="2">
        <f>IF($I102="","",COUNTIFS(Tab_00.Trial[CONTA],$I102))</f>
        <v>1</v>
      </c>
      <c r="F102" s="4">
        <f>SUMIFS(Tab_09.Set[SALDO
ATUAL],Tab_09.Set[CONTA],$I102)</f>
        <v>-993734.58</v>
      </c>
      <c r="G102" s="4">
        <f t="shared" si="3"/>
        <v>0</v>
      </c>
      <c r="H102" s="2">
        <v>20460</v>
      </c>
      <c r="I102" s="3" t="s">
        <v>345</v>
      </c>
      <c r="J102" s="3" t="s">
        <v>346</v>
      </c>
      <c r="K102" s="4">
        <v>-993734.58</v>
      </c>
      <c r="L102" s="4">
        <v>469857.27</v>
      </c>
      <c r="M102" s="4">
        <v>225471.28</v>
      </c>
      <c r="N102" s="4">
        <v>-749348.59</v>
      </c>
      <c r="O102" s="4">
        <f>Tab_10.Out[[#This Row],[DÉBITO]]-Tab_10.Out[[#This Row],[CRÉDITO]]</f>
        <v>244385.99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S</v>
      </c>
      <c r="E103" s="2">
        <f>IF($I103="","",COUNTIFS(Tab_00.Trial[CONTA],$I103))</f>
        <v>1</v>
      </c>
      <c r="F103" s="4">
        <f>SUMIFS(Tab_09.Set[SALDO
ATUAL],Tab_09.Set[CONTA],$I103)</f>
        <v>-15319.84</v>
      </c>
      <c r="G103" s="4">
        <f t="shared" si="3"/>
        <v>0</v>
      </c>
      <c r="H103" s="2">
        <v>20465</v>
      </c>
      <c r="I103" s="3" t="s">
        <v>221</v>
      </c>
      <c r="J103" s="3" t="s">
        <v>661</v>
      </c>
      <c r="K103" s="4">
        <v>-15319.84</v>
      </c>
      <c r="L103" s="4">
        <v>16913.52</v>
      </c>
      <c r="M103" s="4">
        <v>25461.99</v>
      </c>
      <c r="N103" s="4">
        <v>-23868.31</v>
      </c>
      <c r="O103" s="4">
        <f>Tab_10.Out[[#This Row],[DÉBITO]]-Tab_10.Out[[#This Row],[CRÉDITO]]</f>
        <v>-8548.4699999999993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S</v>
      </c>
      <c r="E104" s="2">
        <f>IF($I104="","",COUNTIFS(Tab_00.Trial[CONTA],$I104))</f>
        <v>1</v>
      </c>
      <c r="F104" s="4">
        <f>SUMIFS(Tab_09.Set[SALDO
ATUAL],Tab_09.Set[CONTA],$I104)</f>
        <v>-15319.84</v>
      </c>
      <c r="G104" s="4">
        <f t="shared" si="3"/>
        <v>0</v>
      </c>
      <c r="H104" s="2">
        <v>20480</v>
      </c>
      <c r="I104" s="3" t="s">
        <v>222</v>
      </c>
      <c r="J104" s="3" t="s">
        <v>662</v>
      </c>
      <c r="K104" s="4">
        <v>-15319.84</v>
      </c>
      <c r="L104" s="4">
        <v>16901.419999999998</v>
      </c>
      <c r="M104" s="4">
        <v>25449.89</v>
      </c>
      <c r="N104" s="4">
        <v>-23868.31</v>
      </c>
      <c r="O104" s="4">
        <f>Tab_10.Out[[#This Row],[DÉBITO]]-Tab_10.Out[[#This Row],[CRÉDITO]]</f>
        <v>-8548.4699999999993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A</v>
      </c>
      <c r="E105" s="2">
        <f>IF($I105="","",COUNTIFS(Tab_00.Trial[CONTA],$I105))</f>
        <v>1</v>
      </c>
      <c r="F105" s="4">
        <f>SUMIFS(Tab_09.Set[SALDO
ATUAL],Tab_09.Set[CONTA],$I105)</f>
        <v>-834.01</v>
      </c>
      <c r="G105" s="4">
        <f t="shared" si="3"/>
        <v>0</v>
      </c>
      <c r="H105" s="2">
        <v>20495</v>
      </c>
      <c r="I105" s="3" t="s">
        <v>191</v>
      </c>
      <c r="J105" s="3" t="s">
        <v>347</v>
      </c>
      <c r="K105" s="4">
        <v>-834.01</v>
      </c>
      <c r="L105" s="4">
        <v>1000.27</v>
      </c>
      <c r="M105" s="4">
        <v>2056.73</v>
      </c>
      <c r="N105" s="4">
        <v>-1890.47</v>
      </c>
      <c r="O105" s="4">
        <f>Tab_10.Out[[#This Row],[DÉBITO]]-Tab_10.Out[[#This Row],[CRÉDITO]]</f>
        <v>-1056.46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A</v>
      </c>
      <c r="E106" s="2">
        <f>IF($I106="","",COUNTIFS(Tab_00.Trial[CONTA],$I106))</f>
        <v>1</v>
      </c>
      <c r="F106" s="4">
        <f>SUMIFS(Tab_09.Set[SALDO
ATUAL],Tab_09.Set[CONTA],$I106)</f>
        <v>-12489.94</v>
      </c>
      <c r="G106" s="4">
        <f t="shared" si="3"/>
        <v>0</v>
      </c>
      <c r="H106" s="2">
        <v>20510</v>
      </c>
      <c r="I106" s="3" t="s">
        <v>192</v>
      </c>
      <c r="J106" s="3" t="s">
        <v>348</v>
      </c>
      <c r="K106" s="4">
        <v>-12489.94</v>
      </c>
      <c r="L106" s="4">
        <v>12489.94</v>
      </c>
      <c r="M106" s="4">
        <v>16402</v>
      </c>
      <c r="N106" s="4">
        <v>-16402</v>
      </c>
      <c r="O106" s="4">
        <f>Tab_10.Out[[#This Row],[DÉBITO]]-Tab_10.Out[[#This Row],[CRÉDITO]]</f>
        <v>-3912.06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A</v>
      </c>
      <c r="E107" s="2">
        <f>IF($I107="","",COUNTIFS(Tab_00.Trial[CONTA],$I107))</f>
        <v>1</v>
      </c>
      <c r="F107" s="4">
        <f>SUMIFS(Tab_09.Set[SALDO
ATUAL],Tab_09.Set[CONTA],$I107)</f>
        <v>-1984.61</v>
      </c>
      <c r="G107" s="4">
        <f t="shared" si="3"/>
        <v>0</v>
      </c>
      <c r="H107" s="2">
        <v>20525</v>
      </c>
      <c r="I107" s="3" t="s">
        <v>350</v>
      </c>
      <c r="J107" s="3" t="s">
        <v>351</v>
      </c>
      <c r="K107" s="4">
        <v>-1984.61</v>
      </c>
      <c r="L107" s="4">
        <v>3400.04</v>
      </c>
      <c r="M107" s="4">
        <v>6979.99</v>
      </c>
      <c r="N107" s="4">
        <v>-5564.56</v>
      </c>
      <c r="O107" s="4">
        <f>Tab_10.Out[[#This Row],[DÉBITO]]-Tab_10.Out[[#This Row],[CRÉDITO]]</f>
        <v>-3579.95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A</v>
      </c>
      <c r="E108" s="2">
        <f>IF($I108="","",COUNTIFS(Tab_00.Trial[CONTA],$I108))</f>
        <v>1</v>
      </c>
      <c r="F108" s="4">
        <f>SUMIFS(Tab_09.Set[SALDO
ATUAL],Tab_09.Set[CONTA],$I108)</f>
        <v>-11.28</v>
      </c>
      <c r="G108" s="4">
        <f t="shared" si="3"/>
        <v>0</v>
      </c>
      <c r="H108" s="2">
        <v>20540</v>
      </c>
      <c r="I108" s="3" t="s">
        <v>352</v>
      </c>
      <c r="J108" s="3" t="s">
        <v>353</v>
      </c>
      <c r="K108" s="4">
        <v>-11.28</v>
      </c>
      <c r="L108" s="4">
        <v>11.17</v>
      </c>
      <c r="M108" s="4">
        <v>11.17</v>
      </c>
      <c r="N108" s="4">
        <v>-11.28</v>
      </c>
      <c r="O108" s="4">
        <f>Tab_10.Out[[#This Row],[DÉBITO]]-Tab_10.Out[[#This Row],[CRÉDITO]]</f>
        <v>0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S</v>
      </c>
      <c r="E109" s="2">
        <f>IF($I109="","",COUNTIFS(Tab_00.Trial[CONTA],$I109))</f>
        <v>1</v>
      </c>
      <c r="F109" s="4">
        <f>SUMIFS(Tab_09.Set[SALDO
ATUAL],Tab_09.Set[CONTA],$I109)</f>
        <v>0</v>
      </c>
      <c r="G109" s="4">
        <f t="shared" si="3"/>
        <v>0</v>
      </c>
      <c r="H109" s="2">
        <v>20565</v>
      </c>
      <c r="I109" s="3" t="s">
        <v>223</v>
      </c>
      <c r="J109" s="3" t="s">
        <v>663</v>
      </c>
      <c r="K109" s="4">
        <v>0</v>
      </c>
      <c r="L109" s="4">
        <v>12.1</v>
      </c>
      <c r="M109" s="4">
        <v>12.1</v>
      </c>
      <c r="N109" s="4">
        <v>0</v>
      </c>
      <c r="O109" s="4">
        <f>Tab_10.Out[[#This Row],[DÉBITO]]-Tab_10.Out[[#This Row],[CRÉDITO]]</f>
        <v>0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A</v>
      </c>
      <c r="E110" s="2">
        <f>IF($I110="","",COUNTIFS(Tab_00.Trial[CONTA],$I110))</f>
        <v>1</v>
      </c>
      <c r="F110" s="4">
        <f>SUMIFS(Tab_09.Set[SALDO
ATUAL],Tab_09.Set[CONTA],$I110)</f>
        <v>0</v>
      </c>
      <c r="G110" s="4">
        <f t="shared" si="3"/>
        <v>0</v>
      </c>
      <c r="H110" s="2">
        <v>20576</v>
      </c>
      <c r="I110" s="3" t="s">
        <v>354</v>
      </c>
      <c r="J110" s="3" t="s">
        <v>355</v>
      </c>
      <c r="K110" s="4">
        <v>0</v>
      </c>
      <c r="L110" s="4">
        <v>12.1</v>
      </c>
      <c r="M110" s="4">
        <v>12.1</v>
      </c>
      <c r="N110" s="4">
        <v>0</v>
      </c>
      <c r="O110" s="4">
        <f>Tab_10.Out[[#This Row],[DÉBITO]]-Tab_10.Out[[#This Row],[CRÉDITO]]</f>
        <v>0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S</v>
      </c>
      <c r="E111" s="2">
        <f>IF($I111="","",COUNTIFS(Tab_00.Trial[CONTA],$I111))</f>
        <v>1</v>
      </c>
      <c r="F111" s="4">
        <f>SUMIFS(Tab_09.Set[SALDO
ATUAL],Tab_09.Set[CONTA],$I111)</f>
        <v>-22447.71</v>
      </c>
      <c r="G111" s="4">
        <f t="shared" si="3"/>
        <v>0</v>
      </c>
      <c r="H111" s="2">
        <v>20690</v>
      </c>
      <c r="I111" s="3" t="s">
        <v>224</v>
      </c>
      <c r="J111" s="3" t="s">
        <v>664</v>
      </c>
      <c r="K111" s="4">
        <v>-22447.71</v>
      </c>
      <c r="L111" s="4">
        <v>1347.68</v>
      </c>
      <c r="M111" s="4">
        <v>1958.17</v>
      </c>
      <c r="N111" s="4">
        <v>-23058.2</v>
      </c>
      <c r="O111" s="4">
        <f>Tab_10.Out[[#This Row],[DÉBITO]]-Tab_10.Out[[#This Row],[CRÉDITO]]</f>
        <v>-610.49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S</v>
      </c>
      <c r="E112" s="2">
        <f>IF($I112="","",COUNTIFS(Tab_00.Trial[CONTA],$I112))</f>
        <v>1</v>
      </c>
      <c r="F112" s="4">
        <f>SUMIFS(Tab_09.Set[SALDO
ATUAL],Tab_09.Set[CONTA],$I112)</f>
        <v>-22447.71</v>
      </c>
      <c r="G112" s="4">
        <f t="shared" si="3"/>
        <v>0</v>
      </c>
      <c r="H112" s="2">
        <v>20705</v>
      </c>
      <c r="I112" s="3" t="s">
        <v>225</v>
      </c>
      <c r="J112" s="3" t="s">
        <v>665</v>
      </c>
      <c r="K112" s="4">
        <v>-22447.71</v>
      </c>
      <c r="L112" s="4">
        <v>1347.68</v>
      </c>
      <c r="M112" s="4">
        <v>1958.17</v>
      </c>
      <c r="N112" s="4">
        <v>-23058.2</v>
      </c>
      <c r="O112" s="4">
        <f>Tab_10.Out[[#This Row],[DÉBITO]]-Tab_10.Out[[#This Row],[CRÉDITO]]</f>
        <v>-610.49</v>
      </c>
    </row>
    <row r="113" spans="2:15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A</v>
      </c>
      <c r="E113" s="2">
        <f>IF($I113="","",COUNTIFS(Tab_00.Trial[CONTA],$I113))</f>
        <v>1</v>
      </c>
      <c r="F113" s="4">
        <f>SUMIFS(Tab_09.Set[SALDO
ATUAL],Tab_09.Set[CONTA],$I113)</f>
        <v>-22447.71</v>
      </c>
      <c r="G113" s="4">
        <f t="shared" si="3"/>
        <v>0</v>
      </c>
      <c r="H113" s="2">
        <v>20750</v>
      </c>
      <c r="I113" s="3" t="s">
        <v>356</v>
      </c>
      <c r="J113" s="3" t="s">
        <v>357</v>
      </c>
      <c r="K113" s="4">
        <v>-22447.71</v>
      </c>
      <c r="L113" s="4">
        <v>1347.68</v>
      </c>
      <c r="M113" s="4">
        <v>1958.17</v>
      </c>
      <c r="N113" s="4">
        <v>-23058.2</v>
      </c>
      <c r="O113" s="4">
        <f>Tab_10.Out[[#This Row],[DÉBITO]]-Tab_10.Out[[#This Row],[CRÉDITO]]</f>
        <v>-610.49</v>
      </c>
    </row>
    <row r="114" spans="2:15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5</v>
      </c>
      <c r="D114" s="2" t="str">
        <f>_xlfn.XLOOKUP($I114,Tab_00.Trial[CONTA],Tab_00.Trial[S/A],"",0,1)</f>
        <v>S</v>
      </c>
      <c r="E114" s="2">
        <f>IF($I114="","",COUNTIFS(Tab_00.Trial[CONTA],$I114))</f>
        <v>1</v>
      </c>
      <c r="F114" s="4">
        <f>SUMIFS(Tab_09.Set[SALDO
ATUAL],Tab_09.Set[CONTA],$I114)</f>
        <v>-3849.2</v>
      </c>
      <c r="G114" s="4">
        <f t="shared" si="3"/>
        <v>0</v>
      </c>
      <c r="H114" s="2">
        <v>20765</v>
      </c>
      <c r="I114" s="3" t="s">
        <v>564</v>
      </c>
      <c r="J114" s="3" t="s">
        <v>666</v>
      </c>
      <c r="K114" s="4">
        <v>-3849.2</v>
      </c>
      <c r="L114" s="4">
        <v>0</v>
      </c>
      <c r="M114" s="4">
        <v>0</v>
      </c>
      <c r="N114" s="4">
        <v>-3849.2</v>
      </c>
      <c r="O114" s="4">
        <f>Tab_10.Out[[#This Row],[DÉBITO]]-Tab_10.Out[[#This Row],[CRÉDITO]]</f>
        <v>0</v>
      </c>
    </row>
    <row r="115" spans="2:15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5</v>
      </c>
      <c r="D115" s="2" t="str">
        <f>_xlfn.XLOOKUP($I115,Tab_00.Trial[CONTA],Tab_00.Trial[S/A],"",0,1)</f>
        <v>S</v>
      </c>
      <c r="E115" s="2">
        <f>IF($I115="","",COUNTIFS(Tab_00.Trial[CONTA],$I115))</f>
        <v>1</v>
      </c>
      <c r="F115" s="4">
        <f>SUMIFS(Tab_09.Set[SALDO
ATUAL],Tab_09.Set[CONTA],$I115)</f>
        <v>-3849.2</v>
      </c>
      <c r="G115" s="4">
        <f t="shared" si="3"/>
        <v>0</v>
      </c>
      <c r="H115" s="2">
        <v>20780</v>
      </c>
      <c r="I115" s="3" t="s">
        <v>565</v>
      </c>
      <c r="J115" s="3" t="s">
        <v>667</v>
      </c>
      <c r="K115" s="4">
        <v>-3849.2</v>
      </c>
      <c r="L115" s="4">
        <v>0</v>
      </c>
      <c r="M115" s="4">
        <v>0</v>
      </c>
      <c r="N115" s="4">
        <v>-3849.2</v>
      </c>
      <c r="O115" s="4">
        <f>Tab_10.Out[[#This Row],[DÉBITO]]-Tab_10.Out[[#This Row],[CRÉDITO]]</f>
        <v>0</v>
      </c>
    </row>
    <row r="116" spans="2:15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5</v>
      </c>
      <c r="D116" s="2" t="str">
        <f>_xlfn.XLOOKUP($I116,Tab_00.Trial[CONTA],Tab_00.Trial[S/A],"",0,1)</f>
        <v>A</v>
      </c>
      <c r="E116" s="2">
        <f>IF($I116="","",COUNTIFS(Tab_00.Trial[CONTA],$I116))</f>
        <v>1</v>
      </c>
      <c r="F116" s="4">
        <f>SUMIFS(Tab_09.Set[SALDO
ATUAL],Tab_09.Set[CONTA],$I116)</f>
        <v>-3849.2</v>
      </c>
      <c r="G116" s="4">
        <f t="shared" si="3"/>
        <v>0</v>
      </c>
      <c r="H116" s="2">
        <v>20790</v>
      </c>
      <c r="I116" s="3" t="s">
        <v>358</v>
      </c>
      <c r="J116" s="3" t="s">
        <v>359</v>
      </c>
      <c r="K116" s="4">
        <v>-3849.2</v>
      </c>
      <c r="L116" s="4">
        <v>0</v>
      </c>
      <c r="M116" s="4">
        <v>0</v>
      </c>
      <c r="N116" s="4">
        <v>-3849.2</v>
      </c>
      <c r="O116" s="4">
        <f>Tab_10.Out[[#This Row],[DÉBITO]]-Tab_10.Out[[#This Row],[CRÉDITO]]</f>
        <v>0</v>
      </c>
    </row>
    <row r="117" spans="2:15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2</v>
      </c>
      <c r="D117" s="2" t="str">
        <f>_xlfn.XLOOKUP($I117,Tab_00.Trial[CONTA],Tab_00.Trial[S/A],"",0,1)</f>
        <v>S</v>
      </c>
      <c r="E117" s="2">
        <f>IF($I117="","",COUNTIFS(Tab_00.Trial[CONTA],$I117))</f>
        <v>1</v>
      </c>
      <c r="F117" s="4">
        <f>SUMIFS(Tab_09.Set[SALDO
ATUAL],Tab_09.Set[CONTA],$I117)</f>
        <v>-46934.04</v>
      </c>
      <c r="G117" s="4">
        <f t="shared" si="3"/>
        <v>0</v>
      </c>
      <c r="H117" s="2">
        <v>20885</v>
      </c>
      <c r="I117" s="3" t="s">
        <v>226</v>
      </c>
      <c r="J117" s="3" t="s">
        <v>76</v>
      </c>
      <c r="K117" s="4">
        <v>-46934.04</v>
      </c>
      <c r="L117" s="4">
        <v>0</v>
      </c>
      <c r="M117" s="4">
        <v>0</v>
      </c>
      <c r="N117" s="4">
        <v>-46934.04</v>
      </c>
      <c r="O117" s="4">
        <f>Tab_10.Out[[#This Row],[DÉBITO]]-Tab_10.Out[[#This Row],[CRÉDITO]]</f>
        <v>0</v>
      </c>
    </row>
    <row r="118" spans="2:15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5</v>
      </c>
      <c r="D118" s="2" t="str">
        <f>_xlfn.XLOOKUP($I118,Tab_00.Trial[CONTA],Tab_00.Trial[S/A],"",0,1)</f>
        <v>S</v>
      </c>
      <c r="E118" s="2">
        <f>IF($I118="","",COUNTIFS(Tab_00.Trial[CONTA],$I118))</f>
        <v>1</v>
      </c>
      <c r="F118" s="4">
        <f>SUMIFS(Tab_09.Set[SALDO
ATUAL],Tab_09.Set[CONTA],$I118)</f>
        <v>-46934.04</v>
      </c>
      <c r="G118" s="4">
        <f t="shared" si="3"/>
        <v>0</v>
      </c>
      <c r="H118" s="2">
        <v>21110</v>
      </c>
      <c r="I118" s="3" t="s">
        <v>566</v>
      </c>
      <c r="J118" s="3" t="s">
        <v>668</v>
      </c>
      <c r="K118" s="4">
        <v>-46934.04</v>
      </c>
      <c r="L118" s="4">
        <v>0</v>
      </c>
      <c r="M118" s="4">
        <v>0</v>
      </c>
      <c r="N118" s="4">
        <v>-46934.04</v>
      </c>
      <c r="O118" s="4">
        <f>Tab_10.Out[[#This Row],[DÉBITO]]-Tab_10.Out[[#This Row],[CRÉDITO]]</f>
        <v>0</v>
      </c>
    </row>
    <row r="119" spans="2:15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5</v>
      </c>
      <c r="D119" s="2" t="str">
        <f>_xlfn.XLOOKUP($I119,Tab_00.Trial[CONTA],Tab_00.Trial[S/A],"",0,1)</f>
        <v>S</v>
      </c>
      <c r="E119" s="2">
        <f>IF($I119="","",COUNTIFS(Tab_00.Trial[CONTA],$I119))</f>
        <v>1</v>
      </c>
      <c r="F119" s="4">
        <f>SUMIFS(Tab_09.Set[SALDO
ATUAL],Tab_09.Set[CONTA],$I119)</f>
        <v>-46934.04</v>
      </c>
      <c r="G119" s="4">
        <f t="shared" si="3"/>
        <v>0</v>
      </c>
      <c r="H119" s="2">
        <v>21125</v>
      </c>
      <c r="I119" s="3" t="s">
        <v>567</v>
      </c>
      <c r="J119" s="3" t="s">
        <v>669</v>
      </c>
      <c r="K119" s="4">
        <v>-46934.04</v>
      </c>
      <c r="L119" s="4">
        <v>0</v>
      </c>
      <c r="M119" s="4">
        <v>0</v>
      </c>
      <c r="N119" s="4">
        <v>-46934.04</v>
      </c>
      <c r="O119" s="4">
        <f>Tab_10.Out[[#This Row],[DÉBITO]]-Tab_10.Out[[#This Row],[CRÉDITO]]</f>
        <v>0</v>
      </c>
    </row>
    <row r="120" spans="2:15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5</v>
      </c>
      <c r="D120" s="2" t="str">
        <f>_xlfn.XLOOKUP($I120,Tab_00.Trial[CONTA],Tab_00.Trial[S/A],"",0,1)</f>
        <v>A</v>
      </c>
      <c r="E120" s="2">
        <f>IF($I120="","",COUNTIFS(Tab_00.Trial[CONTA],$I120))</f>
        <v>1</v>
      </c>
      <c r="F120" s="4">
        <f>SUMIFS(Tab_09.Set[SALDO
ATUAL],Tab_09.Set[CONTA],$I120)</f>
        <v>-31934.04</v>
      </c>
      <c r="G120" s="4">
        <f t="shared" si="3"/>
        <v>0</v>
      </c>
      <c r="H120" s="2">
        <v>21170</v>
      </c>
      <c r="I120" s="3" t="s">
        <v>360</v>
      </c>
      <c r="J120" s="3" t="s">
        <v>361</v>
      </c>
      <c r="K120" s="4">
        <v>-31934.04</v>
      </c>
      <c r="L120" s="4">
        <v>0</v>
      </c>
      <c r="M120" s="4">
        <v>0</v>
      </c>
      <c r="N120" s="4">
        <v>-31934.04</v>
      </c>
      <c r="O120" s="4">
        <f>Tab_10.Out[[#This Row],[DÉBITO]]-Tab_10.Out[[#This Row],[CRÉDITO]]</f>
        <v>0</v>
      </c>
    </row>
    <row r="121" spans="2:15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5</v>
      </c>
      <c r="D121" s="2" t="str">
        <f>_xlfn.XLOOKUP($I121,Tab_00.Trial[CONTA],Tab_00.Trial[S/A],"",0,1)</f>
        <v>A</v>
      </c>
      <c r="E121" s="2">
        <f>IF($I121="","",COUNTIFS(Tab_00.Trial[CONTA],$I121))</f>
        <v>1</v>
      </c>
      <c r="F121" s="4">
        <f>SUMIFS(Tab_09.Set[SALDO
ATUAL],Tab_09.Set[CONTA],$I121)</f>
        <v>-15000</v>
      </c>
      <c r="G121" s="4">
        <f t="shared" si="3"/>
        <v>0</v>
      </c>
      <c r="H121" s="2">
        <v>21185</v>
      </c>
      <c r="I121" s="3" t="s">
        <v>362</v>
      </c>
      <c r="J121" s="3" t="s">
        <v>363</v>
      </c>
      <c r="K121" s="4">
        <v>-15000</v>
      </c>
      <c r="L121" s="4">
        <v>0</v>
      </c>
      <c r="M121" s="4">
        <v>0</v>
      </c>
      <c r="N121" s="4">
        <v>-15000</v>
      </c>
      <c r="O121" s="4">
        <f>Tab_10.Out[[#This Row],[DÉBITO]]-Tab_10.Out[[#This Row],[CRÉDITO]]</f>
        <v>0</v>
      </c>
    </row>
    <row r="122" spans="2:15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2</v>
      </c>
      <c r="D122" s="2" t="str">
        <f>_xlfn.XLOOKUP($I122,Tab_00.Trial[CONTA],Tab_00.Trial[S/A],"",0,1)</f>
        <v>S</v>
      </c>
      <c r="E122" s="2">
        <f>IF($I122="","",COUNTIFS(Tab_00.Trial[CONTA],$I122))</f>
        <v>1</v>
      </c>
      <c r="F122" s="4">
        <f>SUMIFS(Tab_09.Set[SALDO
ATUAL],Tab_09.Set[CONTA],$I122)</f>
        <v>-82087967.730000004</v>
      </c>
      <c r="G122" s="4">
        <f t="shared" si="3"/>
        <v>0</v>
      </c>
      <c r="H122" s="2">
        <v>21200</v>
      </c>
      <c r="I122" s="3" t="s">
        <v>228</v>
      </c>
      <c r="J122" s="3" t="s">
        <v>670</v>
      </c>
      <c r="K122" s="4">
        <v>-82087967.730000004</v>
      </c>
      <c r="L122" s="4">
        <v>0</v>
      </c>
      <c r="M122" s="4">
        <v>0</v>
      </c>
      <c r="N122" s="4">
        <v>-82087967.730000004</v>
      </c>
      <c r="O122" s="4">
        <f>Tab_10.Out[[#This Row],[DÉBITO]]-Tab_10.Out[[#This Row],[CRÉDITO]]</f>
        <v>0</v>
      </c>
    </row>
    <row r="123" spans="2:15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S</v>
      </c>
      <c r="E123" s="2">
        <f>IF($I123="","",COUNTIFS(Tab_00.Trial[CONTA],$I123))</f>
        <v>1</v>
      </c>
      <c r="F123" s="4">
        <f>SUMIFS(Tab_09.Set[SALDO
ATUAL],Tab_09.Set[CONTA],$I123)</f>
        <v>-82087967.730000004</v>
      </c>
      <c r="G123" s="4">
        <f t="shared" si="3"/>
        <v>0</v>
      </c>
      <c r="H123" s="2">
        <v>21215</v>
      </c>
      <c r="I123" s="3" t="s">
        <v>229</v>
      </c>
      <c r="J123" s="3" t="s">
        <v>670</v>
      </c>
      <c r="K123" s="4">
        <v>-82087967.730000004</v>
      </c>
      <c r="L123" s="4">
        <v>0</v>
      </c>
      <c r="M123" s="4">
        <v>0</v>
      </c>
      <c r="N123" s="4">
        <v>-82087967.730000004</v>
      </c>
      <c r="O123" s="4">
        <f>Tab_10.Out[[#This Row],[DÉBITO]]-Tab_10.Out[[#This Row],[CRÉDITO]]</f>
        <v>0</v>
      </c>
    </row>
    <row r="124" spans="2:15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5</v>
      </c>
      <c r="D124" s="2" t="str">
        <f>_xlfn.XLOOKUP($I124,Tab_00.Trial[CONTA],Tab_00.Trial[S/A],"",0,1)</f>
        <v>S</v>
      </c>
      <c r="E124" s="2">
        <f>IF($I124="","",COUNTIFS(Tab_00.Trial[CONTA],$I124))</f>
        <v>1</v>
      </c>
      <c r="F124" s="4">
        <f>SUMIFS(Tab_09.Set[SALDO
ATUAL],Tab_09.Set[CONTA],$I124)</f>
        <v>-104784619.59999999</v>
      </c>
      <c r="G124" s="4">
        <f t="shared" si="3"/>
        <v>0</v>
      </c>
      <c r="H124" s="2">
        <v>21230</v>
      </c>
      <c r="I124" s="3" t="s">
        <v>230</v>
      </c>
      <c r="J124" s="3" t="s">
        <v>364</v>
      </c>
      <c r="K124" s="4">
        <v>-104784619.59999999</v>
      </c>
      <c r="L124" s="4">
        <v>0</v>
      </c>
      <c r="M124" s="4">
        <v>0</v>
      </c>
      <c r="N124" s="4">
        <v>-104784619.59999999</v>
      </c>
      <c r="O124" s="4">
        <f>Tab_10.Out[[#This Row],[DÉBITO]]-Tab_10.Out[[#This Row],[CRÉDITO]]</f>
        <v>0</v>
      </c>
    </row>
    <row r="125" spans="2:15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5</v>
      </c>
      <c r="D125" s="2" t="str">
        <f>_xlfn.XLOOKUP($I125,Tab_00.Trial[CONTA],Tab_00.Trial[S/A],"",0,1)</f>
        <v>A</v>
      </c>
      <c r="E125" s="2">
        <f>IF($I125="","",COUNTIFS(Tab_00.Trial[CONTA],$I125))</f>
        <v>1</v>
      </c>
      <c r="F125" s="4">
        <f>SUMIFS(Tab_09.Set[SALDO
ATUAL],Tab_09.Set[CONTA],$I125)</f>
        <v>-104784619.59999999</v>
      </c>
      <c r="G125" s="4">
        <f t="shared" si="3"/>
        <v>0</v>
      </c>
      <c r="H125" s="2">
        <v>21245</v>
      </c>
      <c r="I125" s="3" t="s">
        <v>193</v>
      </c>
      <c r="J125" s="3" t="s">
        <v>364</v>
      </c>
      <c r="K125" s="4">
        <v>-104784619.59999999</v>
      </c>
      <c r="L125" s="4">
        <v>0</v>
      </c>
      <c r="M125" s="4">
        <v>0</v>
      </c>
      <c r="N125" s="4">
        <v>-104784619.59999999</v>
      </c>
      <c r="O125" s="4">
        <f>Tab_10.Out[[#This Row],[DÉBITO]]-Tab_10.Out[[#This Row],[CRÉDITO]]</f>
        <v>0</v>
      </c>
    </row>
    <row r="126" spans="2:15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S</v>
      </c>
      <c r="E126" s="2">
        <f>IF($I126="","",COUNTIFS(Tab_00.Trial[CONTA],$I126))</f>
        <v>1</v>
      </c>
      <c r="F126" s="4">
        <f>SUMIFS(Tab_09.Set[SALDO
ATUAL],Tab_09.Set[CONTA],$I126)</f>
        <v>32587250.850000001</v>
      </c>
      <c r="G126" s="4">
        <f t="shared" si="3"/>
        <v>0</v>
      </c>
      <c r="H126" s="2">
        <v>21305</v>
      </c>
      <c r="I126" s="3" t="s">
        <v>568</v>
      </c>
      <c r="J126" s="3" t="s">
        <v>671</v>
      </c>
      <c r="K126" s="4">
        <v>32587250.850000001</v>
      </c>
      <c r="L126" s="4">
        <v>0</v>
      </c>
      <c r="M126" s="4">
        <v>0</v>
      </c>
      <c r="N126" s="4">
        <v>32587250.850000001</v>
      </c>
      <c r="O126" s="4">
        <f>Tab_10.Out[[#This Row],[DÉBITO]]-Tab_10.Out[[#This Row],[CRÉDITO]]</f>
        <v>0</v>
      </c>
    </row>
    <row r="127" spans="2:15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A</v>
      </c>
      <c r="E127" s="2">
        <f>IF($I127="","",COUNTIFS(Tab_00.Trial[CONTA],$I127))</f>
        <v>1</v>
      </c>
      <c r="F127" s="4">
        <f>SUMIFS(Tab_09.Set[SALDO
ATUAL],Tab_09.Set[CONTA],$I127)</f>
        <v>-827719.82</v>
      </c>
      <c r="G127" s="4">
        <f t="shared" si="3"/>
        <v>0</v>
      </c>
      <c r="H127" s="2">
        <v>21320</v>
      </c>
      <c r="I127" s="3" t="s">
        <v>743</v>
      </c>
      <c r="J127" s="3" t="s">
        <v>744</v>
      </c>
      <c r="K127" s="4">
        <v>-827719.82</v>
      </c>
      <c r="L127" s="4">
        <v>0</v>
      </c>
      <c r="M127" s="4">
        <v>0</v>
      </c>
      <c r="N127" s="4">
        <v>-827719.82</v>
      </c>
      <c r="O127" s="4">
        <f>Tab_10.Out[[#This Row],[DÉBITO]]-Tab_10.Out[[#This Row],[CRÉDITO]]</f>
        <v>0</v>
      </c>
    </row>
    <row r="128" spans="2:15" x14ac:dyDescent="0.3">
      <c r="B128" s="2" t="str">
        <f>_xlfn.XLOOKUP($I128,Tab_00.Trial[CONTA],Tab_00.Trial[TP],"",0,1)</f>
        <v>P</v>
      </c>
      <c r="C128" s="2">
        <f>_xlfn.XLOOKUP($I128,Tab_00.Trial[CONTA],Tab_00.Trial[NV],"",0,1)</f>
        <v>5</v>
      </c>
      <c r="D128" s="2" t="str">
        <f>_xlfn.XLOOKUP($I128,Tab_00.Trial[CONTA],Tab_00.Trial[S/A],"",0,1)</f>
        <v>A</v>
      </c>
      <c r="E128" s="2">
        <f>IF($I128="","",COUNTIFS(Tab_00.Trial[CONTA],$I128))</f>
        <v>1</v>
      </c>
      <c r="F128" s="4">
        <f>SUMIFS(Tab_09.Set[SALDO
ATUAL],Tab_09.Set[CONTA],$I128)</f>
        <v>33414970.670000002</v>
      </c>
      <c r="G128" s="4">
        <f t="shared" si="3"/>
        <v>0</v>
      </c>
      <c r="H128" s="2">
        <v>21335</v>
      </c>
      <c r="I128" s="3" t="s">
        <v>365</v>
      </c>
      <c r="J128" s="3" t="s">
        <v>366</v>
      </c>
      <c r="K128" s="4">
        <v>33414970.670000002</v>
      </c>
      <c r="L128" s="4">
        <v>0</v>
      </c>
      <c r="M128" s="4">
        <v>0</v>
      </c>
      <c r="N128" s="4">
        <v>33414970.670000002</v>
      </c>
      <c r="O128" s="4">
        <f>Tab_10.Out[[#This Row],[DÉBITO]]-Tab_10.Out[[#This Row],[CRÉDITO]]</f>
        <v>0</v>
      </c>
    </row>
    <row r="129" spans="2:15" x14ac:dyDescent="0.3">
      <c r="B129" s="2" t="str">
        <f>_xlfn.XLOOKUP($I129,Tab_00.Trial[CONTA],Tab_00.Trial[TP],"",0,1)</f>
        <v>P</v>
      </c>
      <c r="C129" s="2">
        <f>_xlfn.XLOOKUP($I129,Tab_00.Trial[CONTA],Tab_00.Trial[NV],"",0,1)</f>
        <v>5</v>
      </c>
      <c r="D129" s="2" t="str">
        <f>_xlfn.XLOOKUP($I129,Tab_00.Trial[CONTA],Tab_00.Trial[S/A],"",0,1)</f>
        <v>S</v>
      </c>
      <c r="E129" s="2">
        <f>IF($I129="","",COUNTIFS(Tab_00.Trial[CONTA],$I129))</f>
        <v>1</v>
      </c>
      <c r="F129" s="4">
        <f>SUMIFS(Tab_09.Set[SALDO
ATUAL],Tab_09.Set[CONTA],$I129)</f>
        <v>-9890598.9800000004</v>
      </c>
      <c r="G129" s="4">
        <f t="shared" si="3"/>
        <v>0</v>
      </c>
      <c r="H129" s="2">
        <v>21350</v>
      </c>
      <c r="I129" s="3" t="s">
        <v>745</v>
      </c>
      <c r="J129" s="3" t="s">
        <v>746</v>
      </c>
      <c r="K129" s="4">
        <v>-9890598.9800000004</v>
      </c>
      <c r="L129" s="4">
        <v>0</v>
      </c>
      <c r="M129" s="4">
        <v>0</v>
      </c>
      <c r="N129" s="4">
        <v>-9890598.9800000004</v>
      </c>
      <c r="O129" s="4">
        <f>Tab_10.Out[[#This Row],[DÉBITO]]-Tab_10.Out[[#This Row],[CRÉDITO]]</f>
        <v>0</v>
      </c>
    </row>
    <row r="130" spans="2:15" x14ac:dyDescent="0.3">
      <c r="B130" s="2" t="str">
        <f>_xlfn.XLOOKUP($I130,Tab_00.Trial[CONTA],Tab_00.Trial[TP],"",0,1)</f>
        <v>P</v>
      </c>
      <c r="C130" s="2">
        <f>_xlfn.XLOOKUP($I130,Tab_00.Trial[CONTA],Tab_00.Trial[NV],"",0,1)</f>
        <v>5</v>
      </c>
      <c r="D130" s="2" t="str">
        <f>_xlfn.XLOOKUP($I130,Tab_00.Trial[CONTA],Tab_00.Trial[S/A],"",0,1)</f>
        <v>A</v>
      </c>
      <c r="E130" s="2">
        <f>IF($I130="","",COUNTIFS(Tab_00.Trial[CONTA],$I130))</f>
        <v>1</v>
      </c>
      <c r="F130" s="4">
        <f>SUMIFS(Tab_09.Set[SALDO
ATUAL],Tab_09.Set[CONTA],$I130)</f>
        <v>-9890598.9800000004</v>
      </c>
      <c r="G130" s="4">
        <f t="shared" si="3"/>
        <v>0</v>
      </c>
      <c r="H130" s="2">
        <v>21365</v>
      </c>
      <c r="I130" s="3" t="s">
        <v>747</v>
      </c>
      <c r="J130" s="3" t="s">
        <v>746</v>
      </c>
      <c r="K130" s="4">
        <v>-9890598.9800000004</v>
      </c>
      <c r="L130" s="4">
        <v>0</v>
      </c>
      <c r="M130" s="4">
        <v>0</v>
      </c>
      <c r="N130" s="4">
        <v>-9890598.9800000004</v>
      </c>
      <c r="O130" s="4">
        <f>Tab_10.Out[[#This Row],[DÉBITO]]-Tab_10.Out[[#This Row],[CRÉDITO]]</f>
        <v>0</v>
      </c>
    </row>
    <row r="131" spans="2:15" x14ac:dyDescent="0.3">
      <c r="B131" s="2" t="str">
        <f>_xlfn.XLOOKUP($I131,Tab_00.Trial[CONTA],Tab_00.Trial[TP],"",0,1)</f>
        <v>R</v>
      </c>
      <c r="C131" s="2">
        <f>_xlfn.XLOOKUP($I131,Tab_00.Trial[CONTA],Tab_00.Trial[NV],"",0,1)</f>
        <v>1</v>
      </c>
      <c r="D131" s="2" t="str">
        <f>_xlfn.XLOOKUP($I131,Tab_00.Trial[CONTA],Tab_00.Trial[S/A],"",0,1)</f>
        <v>S</v>
      </c>
      <c r="E131" s="2">
        <f>IF($I131="","",COUNTIFS(Tab_00.Trial[CONTA],$I131))</f>
        <v>1</v>
      </c>
      <c r="F131" s="4">
        <f>SUMIFS(Tab_09.Set[SALDO
ATUAL],Tab_09.Set[CONTA],$I131)</f>
        <v>-11583591.220000001</v>
      </c>
      <c r="G131" s="4">
        <f t="shared" si="3"/>
        <v>0</v>
      </c>
      <c r="H131" s="2">
        <v>30000</v>
      </c>
      <c r="I131" s="3">
        <v>3</v>
      </c>
      <c r="J131" s="3" t="s">
        <v>672</v>
      </c>
      <c r="K131" s="4">
        <v>-11583591.220000001</v>
      </c>
      <c r="L131" s="4">
        <v>12.1</v>
      </c>
      <c r="M131" s="4">
        <v>1457073.22</v>
      </c>
      <c r="N131" s="4">
        <v>-13040652.34</v>
      </c>
      <c r="O131" s="4">
        <f>Tab_10.Out[[#This Row],[DÉBITO]]-Tab_10.Out[[#This Row],[CRÉDITO]]</f>
        <v>-1457061.12</v>
      </c>
    </row>
    <row r="132" spans="2:15" x14ac:dyDescent="0.3">
      <c r="B132" s="2" t="str">
        <f>_xlfn.XLOOKUP($I132,Tab_00.Trial[CONTA],Tab_00.Trial[TP],"",0,1)</f>
        <v>R</v>
      </c>
      <c r="C132" s="2">
        <f>_xlfn.XLOOKUP($I132,Tab_00.Trial[CONTA],Tab_00.Trial[NV],"",0,1)</f>
        <v>2</v>
      </c>
      <c r="D132" s="2" t="str">
        <f>_xlfn.XLOOKUP($I132,Tab_00.Trial[CONTA],Tab_00.Trial[S/A],"",0,1)</f>
        <v>S</v>
      </c>
      <c r="E132" s="2">
        <f>IF($I132="","",COUNTIFS(Tab_00.Trial[CONTA],$I132))</f>
        <v>1</v>
      </c>
      <c r="F132" s="4">
        <f>SUMIFS(Tab_09.Set[SALDO
ATUAL],Tab_09.Set[CONTA],$I132)</f>
        <v>-5403116.6200000001</v>
      </c>
      <c r="G132" s="4">
        <f t="shared" si="3"/>
        <v>0</v>
      </c>
      <c r="H132" s="2">
        <v>30030</v>
      </c>
      <c r="I132" s="3" t="s">
        <v>231</v>
      </c>
      <c r="J132" s="3" t="s">
        <v>673</v>
      </c>
      <c r="K132" s="4">
        <v>-5403116.6200000001</v>
      </c>
      <c r="L132" s="4">
        <v>0</v>
      </c>
      <c r="M132" s="4">
        <v>775744.18</v>
      </c>
      <c r="N132" s="4">
        <v>-6178860.7999999998</v>
      </c>
      <c r="O132" s="4">
        <f>Tab_10.Out[[#This Row],[DÉBITO]]-Tab_10.Out[[#This Row],[CRÉDITO]]</f>
        <v>-775744.18</v>
      </c>
    </row>
    <row r="133" spans="2:15" x14ac:dyDescent="0.3">
      <c r="B133" s="2" t="str">
        <f>_xlfn.XLOOKUP($I133,Tab_00.Trial[CONTA],Tab_00.Trial[TP],"",0,1)</f>
        <v>R</v>
      </c>
      <c r="C133" s="2">
        <f>_xlfn.XLOOKUP($I133,Tab_00.Trial[CONTA],Tab_00.Trial[NV],"",0,1)</f>
        <v>5</v>
      </c>
      <c r="D133" s="2" t="str">
        <f>_xlfn.XLOOKUP($I133,Tab_00.Trial[CONTA],Tab_00.Trial[S/A],"",0,1)</f>
        <v>S</v>
      </c>
      <c r="E133" s="2">
        <f>IF($I133="","",COUNTIFS(Tab_00.Trial[CONTA],$I133))</f>
        <v>1</v>
      </c>
      <c r="F133" s="4">
        <f>SUMIFS(Tab_09.Set[SALDO
ATUAL],Tab_09.Set[CONTA],$I133)</f>
        <v>-3310249.6</v>
      </c>
      <c r="G133" s="4">
        <f t="shared" si="3"/>
        <v>0</v>
      </c>
      <c r="H133" s="2">
        <v>30045</v>
      </c>
      <c r="I133" s="3" t="s">
        <v>232</v>
      </c>
      <c r="J133" s="3" t="s">
        <v>674</v>
      </c>
      <c r="K133" s="4">
        <v>-3310249.6</v>
      </c>
      <c r="L133" s="4">
        <v>0</v>
      </c>
      <c r="M133" s="4">
        <v>578693.68000000005</v>
      </c>
      <c r="N133" s="4">
        <v>-3888943.28</v>
      </c>
      <c r="O133" s="4">
        <f>Tab_10.Out[[#This Row],[DÉBITO]]-Tab_10.Out[[#This Row],[CRÉDITO]]</f>
        <v>-578693.68000000005</v>
      </c>
    </row>
    <row r="134" spans="2:15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5</v>
      </c>
      <c r="D134" s="2" t="str">
        <f>_xlfn.XLOOKUP($I134,Tab_00.Trial[CONTA],Tab_00.Trial[S/A],"",0,1)</f>
        <v>S</v>
      </c>
      <c r="E134" s="2">
        <f>IF($I134="","",COUNTIFS(Tab_00.Trial[CONTA],$I134))</f>
        <v>1</v>
      </c>
      <c r="F134" s="4">
        <f>SUMIFS(Tab_09.Set[SALDO
ATUAL],Tab_09.Set[CONTA],$I134)</f>
        <v>-1184785.28</v>
      </c>
      <c r="G134" s="4">
        <f t="shared" si="3"/>
        <v>0</v>
      </c>
      <c r="H134" s="2">
        <v>30470</v>
      </c>
      <c r="I134" s="3" t="s">
        <v>233</v>
      </c>
      <c r="J134" s="3" t="s">
        <v>675</v>
      </c>
      <c r="K134" s="4">
        <v>-1184785.28</v>
      </c>
      <c r="L134" s="4">
        <v>0</v>
      </c>
      <c r="M134" s="4">
        <v>148911.84</v>
      </c>
      <c r="N134" s="4">
        <v>-1333697.1200000001</v>
      </c>
      <c r="O134" s="4">
        <f>Tab_10.Out[[#This Row],[DÉBITO]]-Tab_10.Out[[#This Row],[CRÉDITO]]</f>
        <v>-148911.84</v>
      </c>
    </row>
    <row r="135" spans="2:15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5</v>
      </c>
      <c r="D135" s="2" t="str">
        <f>_xlfn.XLOOKUP($I135,Tab_00.Trial[CONTA],Tab_00.Trial[S/A],"",0,1)</f>
        <v>A</v>
      </c>
      <c r="E135" s="2">
        <f>IF($I135="","",COUNTIFS(Tab_00.Trial[CONTA],$I135))</f>
        <v>1</v>
      </c>
      <c r="F135" s="4">
        <f>SUMIFS(Tab_09.Set[SALDO
ATUAL],Tab_09.Set[CONTA],$I135)</f>
        <v>-1184785.28</v>
      </c>
      <c r="G135" s="4">
        <f t="shared" si="3"/>
        <v>0</v>
      </c>
      <c r="H135" s="2">
        <v>30471</v>
      </c>
      <c r="I135" s="3" t="s">
        <v>194</v>
      </c>
      <c r="J135" s="3" t="s">
        <v>367</v>
      </c>
      <c r="K135" s="4">
        <v>-1184785.28</v>
      </c>
      <c r="L135" s="4">
        <v>0</v>
      </c>
      <c r="M135" s="4">
        <v>148911.84</v>
      </c>
      <c r="N135" s="4">
        <v>-1333697.1200000001</v>
      </c>
      <c r="O135" s="4">
        <f>Tab_10.Out[[#This Row],[DÉBITO]]-Tab_10.Out[[#This Row],[CRÉDITO]]</f>
        <v>-148911.84</v>
      </c>
    </row>
    <row r="136" spans="2:15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S</v>
      </c>
      <c r="E136" s="2">
        <f>IF($I136="","",COUNTIFS(Tab_00.Trial[CONTA],$I136))</f>
        <v>1</v>
      </c>
      <c r="F136" s="4">
        <f>SUMIFS(Tab_09.Set[SALDO
ATUAL],Tab_09.Set[CONTA],$I136)</f>
        <v>-2125464.3199999998</v>
      </c>
      <c r="G136" s="4">
        <f t="shared" si="3"/>
        <v>0</v>
      </c>
      <c r="H136" s="2">
        <v>30475</v>
      </c>
      <c r="I136" s="3" t="s">
        <v>735</v>
      </c>
      <c r="J136" s="3" t="s">
        <v>736</v>
      </c>
      <c r="K136" s="4">
        <v>-2125464.3199999998</v>
      </c>
      <c r="L136" s="4">
        <v>0</v>
      </c>
      <c r="M136" s="4">
        <v>429781.84</v>
      </c>
      <c r="N136" s="4">
        <v>-2555246.16</v>
      </c>
      <c r="O136" s="4">
        <f>Tab_10.Out[[#This Row],[DÉBITO]]-Tab_10.Out[[#This Row],[CRÉDITO]]</f>
        <v>-429781.84</v>
      </c>
    </row>
    <row r="137" spans="2:15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A</v>
      </c>
      <c r="E137" s="2">
        <f>IF($I137="","",COUNTIFS(Tab_00.Trial[CONTA],$I137))</f>
        <v>1</v>
      </c>
      <c r="F137" s="4">
        <f>SUMIFS(Tab_09.Set[SALDO
ATUAL],Tab_09.Set[CONTA],$I137)</f>
        <v>-2125464.3199999998</v>
      </c>
      <c r="G137" s="4">
        <f t="shared" si="3"/>
        <v>0</v>
      </c>
      <c r="H137" s="2">
        <v>30476</v>
      </c>
      <c r="I137" s="3" t="s">
        <v>737</v>
      </c>
      <c r="J137" s="3" t="s">
        <v>814</v>
      </c>
      <c r="K137" s="4">
        <v>-2125464.3199999998</v>
      </c>
      <c r="L137" s="4">
        <v>0</v>
      </c>
      <c r="M137" s="4">
        <v>429781.84</v>
      </c>
      <c r="N137" s="4">
        <v>-2555246.16</v>
      </c>
      <c r="O137" s="4">
        <f>Tab_10.Out[[#This Row],[DÉBITO]]-Tab_10.Out[[#This Row],[CRÉDITO]]</f>
        <v>-429781.84</v>
      </c>
    </row>
    <row r="138" spans="2:15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S</v>
      </c>
      <c r="E138" s="2">
        <f>IF($I138="","",COUNTIFS(Tab_00.Trial[CONTA],$I138))</f>
        <v>1</v>
      </c>
      <c r="F138" s="4">
        <f>SUMIFS(Tab_09.Set[SALDO
ATUAL],Tab_09.Set[CONTA],$I138)</f>
        <v>-2092867.02</v>
      </c>
      <c r="G138" s="4">
        <f t="shared" si="3"/>
        <v>0</v>
      </c>
      <c r="H138" s="2">
        <v>30645</v>
      </c>
      <c r="I138" s="3" t="s">
        <v>569</v>
      </c>
      <c r="J138" s="3" t="s">
        <v>676</v>
      </c>
      <c r="K138" s="4">
        <v>-2092867.02</v>
      </c>
      <c r="L138" s="4">
        <v>0</v>
      </c>
      <c r="M138" s="4">
        <v>197050.5</v>
      </c>
      <c r="N138" s="4">
        <v>-2289917.52</v>
      </c>
      <c r="O138" s="4">
        <f>Tab_10.Out[[#This Row],[DÉBITO]]-Tab_10.Out[[#This Row],[CRÉDITO]]</f>
        <v>-197050.5</v>
      </c>
    </row>
    <row r="139" spans="2:15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S</v>
      </c>
      <c r="E139" s="2">
        <f>IF($I139="","",COUNTIFS(Tab_00.Trial[CONTA],$I139))</f>
        <v>1</v>
      </c>
      <c r="F139" s="4">
        <f>SUMIFS(Tab_09.Set[SALDO
ATUAL],Tab_09.Set[CONTA],$I139)</f>
        <v>-1346172.29</v>
      </c>
      <c r="G139" s="4">
        <f t="shared" si="3"/>
        <v>0</v>
      </c>
      <c r="H139" s="2">
        <v>30660</v>
      </c>
      <c r="I139" s="3" t="s">
        <v>570</v>
      </c>
      <c r="J139" s="3" t="s">
        <v>677</v>
      </c>
      <c r="K139" s="4">
        <v>-1346172.29</v>
      </c>
      <c r="L139" s="4">
        <v>0</v>
      </c>
      <c r="M139" s="4">
        <v>114084.42</v>
      </c>
      <c r="N139" s="4">
        <v>-1460256.71</v>
      </c>
      <c r="O139" s="4">
        <f>Tab_10.Out[[#This Row],[DÉBITO]]-Tab_10.Out[[#This Row],[CRÉDITO]]</f>
        <v>-114084.42</v>
      </c>
    </row>
    <row r="140" spans="2:15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A</v>
      </c>
      <c r="E140" s="2">
        <f>IF($I140="","",COUNTIFS(Tab_00.Trial[CONTA],$I140))</f>
        <v>1</v>
      </c>
      <c r="F140" s="4">
        <f>SUMIFS(Tab_09.Set[SALDO
ATUAL],Tab_09.Set[CONTA],$I140)</f>
        <v>-496498.45</v>
      </c>
      <c r="G140" s="4">
        <f t="shared" si="3"/>
        <v>0</v>
      </c>
      <c r="H140" s="2">
        <v>30675</v>
      </c>
      <c r="I140" s="3" t="s">
        <v>368</v>
      </c>
      <c r="J140" s="3" t="s">
        <v>369</v>
      </c>
      <c r="K140" s="4">
        <v>-496498.45</v>
      </c>
      <c r="L140" s="4">
        <v>0</v>
      </c>
      <c r="M140" s="4">
        <v>4000</v>
      </c>
      <c r="N140" s="4">
        <v>-500498.45</v>
      </c>
      <c r="O140" s="4">
        <f>Tab_10.Out[[#This Row],[DÉBITO]]-Tab_10.Out[[#This Row],[CRÉDITO]]</f>
        <v>-4000</v>
      </c>
    </row>
    <row r="141" spans="2:15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5</v>
      </c>
      <c r="D141" s="2" t="str">
        <f>_xlfn.XLOOKUP($I141,Tab_00.Trial[CONTA],Tab_00.Trial[S/A],"",0,1)</f>
        <v>A</v>
      </c>
      <c r="E141" s="2">
        <f>IF($I141="","",COUNTIFS(Tab_00.Trial[CONTA],$I141))</f>
        <v>1</v>
      </c>
      <c r="F141" s="4">
        <f>SUMIFS(Tab_09.Set[SALDO
ATUAL],Tab_09.Set[CONTA],$I141)</f>
        <v>-634430.9</v>
      </c>
      <c r="G141" s="4">
        <f t="shared" si="3"/>
        <v>0</v>
      </c>
      <c r="H141" s="2">
        <v>30690</v>
      </c>
      <c r="I141" s="3" t="s">
        <v>370</v>
      </c>
      <c r="J141" s="3" t="s">
        <v>371</v>
      </c>
      <c r="K141" s="4">
        <v>-634430.9</v>
      </c>
      <c r="L141" s="4">
        <v>0</v>
      </c>
      <c r="M141" s="4">
        <v>91462.93</v>
      </c>
      <c r="N141" s="4">
        <v>-725893.83</v>
      </c>
      <c r="O141" s="4">
        <f>Tab_10.Out[[#This Row],[DÉBITO]]-Tab_10.Out[[#This Row],[CRÉDITO]]</f>
        <v>-91462.93</v>
      </c>
    </row>
    <row r="142" spans="2:15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A</v>
      </c>
      <c r="E142" s="2">
        <f>IF($I142="","",COUNTIFS(Tab_00.Trial[CONTA],$I142))</f>
        <v>1</v>
      </c>
      <c r="F142" s="4">
        <f>SUMIFS(Tab_09.Set[SALDO
ATUAL],Tab_09.Set[CONTA],$I142)</f>
        <v>-6547.36</v>
      </c>
      <c r="G142" s="4">
        <f t="shared" si="3"/>
        <v>0</v>
      </c>
      <c r="H142" s="2">
        <v>30705</v>
      </c>
      <c r="I142" s="3" t="s">
        <v>372</v>
      </c>
      <c r="J142" s="3" t="s">
        <v>373</v>
      </c>
      <c r="K142" s="4">
        <v>-6547.36</v>
      </c>
      <c r="L142" s="4">
        <v>0</v>
      </c>
      <c r="M142" s="4">
        <v>0</v>
      </c>
      <c r="N142" s="4">
        <v>-6547.36</v>
      </c>
      <c r="O142" s="4">
        <f>Tab_10.Out[[#This Row],[DÉBITO]]-Tab_10.Out[[#This Row],[CRÉDITO]]</f>
        <v>0</v>
      </c>
    </row>
    <row r="143" spans="2:15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A</v>
      </c>
      <c r="E143" s="2">
        <f>IF($I143="","",COUNTIFS(Tab_00.Trial[CONTA],$I143))</f>
        <v>1</v>
      </c>
      <c r="F143" s="4">
        <f>SUMIFS(Tab_09.Set[SALDO
ATUAL],Tab_09.Set[CONTA],$I143)</f>
        <v>-89617.06</v>
      </c>
      <c r="G143" s="4">
        <f t="shared" ref="G143:G206" si="4">$F143-$K143</f>
        <v>0</v>
      </c>
      <c r="H143" s="2">
        <v>30710</v>
      </c>
      <c r="I143" s="3" t="s">
        <v>845</v>
      </c>
      <c r="J143" s="3" t="s">
        <v>846</v>
      </c>
      <c r="K143" s="4">
        <v>-89617.06</v>
      </c>
      <c r="L143" s="4">
        <v>0</v>
      </c>
      <c r="M143" s="4">
        <v>0</v>
      </c>
      <c r="N143" s="4">
        <v>-89617.06</v>
      </c>
      <c r="O143" s="4">
        <f>Tab_10.Out[[#This Row],[DÉBITO]]-Tab_10.Out[[#This Row],[CRÉDITO]]</f>
        <v>0</v>
      </c>
    </row>
    <row r="144" spans="2:15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5</v>
      </c>
      <c r="D144" s="2" t="str">
        <f>_xlfn.XLOOKUP($I144,Tab_00.Trial[CONTA],Tab_00.Trial[S/A],"",0,1)</f>
        <v>A</v>
      </c>
      <c r="E144" s="2">
        <f>IF($I144="","",COUNTIFS(Tab_00.Trial[CONTA],$I144))</f>
        <v>1</v>
      </c>
      <c r="F144" s="4">
        <f>SUMIFS(Tab_09.Set[SALDO
ATUAL],Tab_09.Set[CONTA],$I144)</f>
        <v>-119078.52</v>
      </c>
      <c r="G144" s="4">
        <f t="shared" si="4"/>
        <v>0</v>
      </c>
      <c r="H144" s="2">
        <v>10895</v>
      </c>
      <c r="I144" s="3" t="s">
        <v>927</v>
      </c>
      <c r="J144" s="3" t="s">
        <v>928</v>
      </c>
      <c r="K144" s="4">
        <v>-119078.52</v>
      </c>
      <c r="L144" s="4">
        <v>0</v>
      </c>
      <c r="M144" s="4">
        <v>18621.490000000002</v>
      </c>
      <c r="N144" s="4">
        <v>-137700.01</v>
      </c>
      <c r="O144" s="4">
        <f>Tab_10.Out[[#This Row],[DÉBITO]]-Tab_10.Out[[#This Row],[CRÉDITO]]</f>
        <v>-18621.490000000002</v>
      </c>
    </row>
    <row r="145" spans="2:15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5</v>
      </c>
      <c r="D145" s="2" t="str">
        <f>_xlfn.XLOOKUP($I145,Tab_00.Trial[CONTA],Tab_00.Trial[S/A],"",0,1)</f>
        <v>S</v>
      </c>
      <c r="E145" s="2">
        <f>IF($I145="","",COUNTIFS(Tab_00.Trial[CONTA],$I145))</f>
        <v>1</v>
      </c>
      <c r="F145" s="4">
        <f>SUMIFS(Tab_09.Set[SALDO
ATUAL],Tab_09.Set[CONTA],$I145)</f>
        <v>-746694.73</v>
      </c>
      <c r="G145" s="4">
        <f t="shared" si="4"/>
        <v>0</v>
      </c>
      <c r="H145" s="2">
        <v>30720</v>
      </c>
      <c r="I145" s="3" t="s">
        <v>571</v>
      </c>
      <c r="J145" s="3" t="s">
        <v>377</v>
      </c>
      <c r="K145" s="4">
        <v>-746694.73</v>
      </c>
      <c r="L145" s="4">
        <v>0</v>
      </c>
      <c r="M145" s="4">
        <v>82966.080000000002</v>
      </c>
      <c r="N145" s="4">
        <v>-829660.81</v>
      </c>
      <c r="O145" s="4">
        <f>Tab_10.Out[[#This Row],[DÉBITO]]-Tab_10.Out[[#This Row],[CRÉDITO]]</f>
        <v>-82966.080000000002</v>
      </c>
    </row>
    <row r="146" spans="2:15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5</v>
      </c>
      <c r="D146" s="2" t="str">
        <f>_xlfn.XLOOKUP($I146,Tab_00.Trial[CONTA],Tab_00.Trial[S/A],"",0,1)</f>
        <v>A</v>
      </c>
      <c r="E146" s="2">
        <f>IF($I146="","",COUNTIFS(Tab_00.Trial[CONTA],$I146))</f>
        <v>1</v>
      </c>
      <c r="F146" s="4">
        <f>SUMIFS(Tab_09.Set[SALDO
ATUAL],Tab_09.Set[CONTA],$I146)</f>
        <v>-746694.73</v>
      </c>
      <c r="G146" s="4">
        <f t="shared" si="4"/>
        <v>0</v>
      </c>
      <c r="H146" s="2">
        <v>30735</v>
      </c>
      <c r="I146" s="3" t="s">
        <v>376</v>
      </c>
      <c r="J146" s="3" t="s">
        <v>377</v>
      </c>
      <c r="K146" s="4">
        <v>-746694.73</v>
      </c>
      <c r="L146" s="4">
        <v>0</v>
      </c>
      <c r="M146" s="4">
        <v>82966.080000000002</v>
      </c>
      <c r="N146" s="4">
        <v>-829660.81</v>
      </c>
      <c r="O146" s="4">
        <f>Tab_10.Out[[#This Row],[DÉBITO]]-Tab_10.Out[[#This Row],[CRÉDITO]]</f>
        <v>-82966.080000000002</v>
      </c>
    </row>
    <row r="147" spans="2:15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2</v>
      </c>
      <c r="D147" s="2" t="str">
        <f>_xlfn.XLOOKUP($I147,Tab_00.Trial[CONTA],Tab_00.Trial[S/A],"",0,1)</f>
        <v>S</v>
      </c>
      <c r="E147" s="2">
        <f>IF($I147="","",COUNTIFS(Tab_00.Trial[CONTA],$I147))</f>
        <v>1</v>
      </c>
      <c r="F147" s="4">
        <f>SUMIFS(Tab_09.Set[SALDO
ATUAL],Tab_09.Set[CONTA],$I147)</f>
        <v>-3971723.38</v>
      </c>
      <c r="G147" s="4">
        <f t="shared" si="4"/>
        <v>0</v>
      </c>
      <c r="H147" s="2">
        <v>31065</v>
      </c>
      <c r="I147" s="3" t="s">
        <v>574</v>
      </c>
      <c r="J147" s="3" t="s">
        <v>680</v>
      </c>
      <c r="K147" s="4">
        <v>-3971723.38</v>
      </c>
      <c r="L147" s="4">
        <v>12.1</v>
      </c>
      <c r="M147" s="4">
        <v>467702.28</v>
      </c>
      <c r="N147" s="4">
        <v>-4439413.5599999996</v>
      </c>
      <c r="O147" s="4">
        <f>Tab_10.Out[[#This Row],[DÉBITO]]-Tab_10.Out[[#This Row],[CRÉDITO]]</f>
        <v>-467690.18</v>
      </c>
    </row>
    <row r="148" spans="2:15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S</v>
      </c>
      <c r="E148" s="2">
        <f>IF($I148="","",COUNTIFS(Tab_00.Trial[CONTA],$I148))</f>
        <v>1</v>
      </c>
      <c r="F148" s="4">
        <f>SUMIFS(Tab_09.Set[SALDO
ATUAL],Tab_09.Set[CONTA],$I148)</f>
        <v>-5050</v>
      </c>
      <c r="G148" s="4">
        <f t="shared" si="4"/>
        <v>0</v>
      </c>
      <c r="H148" s="2">
        <v>31080</v>
      </c>
      <c r="I148" s="3" t="s">
        <v>575</v>
      </c>
      <c r="J148" s="3" t="s">
        <v>681</v>
      </c>
      <c r="K148" s="4">
        <v>-5050</v>
      </c>
      <c r="L148" s="4">
        <v>0</v>
      </c>
      <c r="M148" s="4">
        <v>2263.46</v>
      </c>
      <c r="N148" s="4">
        <v>-7313.46</v>
      </c>
      <c r="O148" s="4">
        <f>Tab_10.Out[[#This Row],[DÉBITO]]-Tab_10.Out[[#This Row],[CRÉDITO]]</f>
        <v>-2263.46</v>
      </c>
    </row>
    <row r="149" spans="2:15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5</v>
      </c>
      <c r="D149" s="2" t="str">
        <f>_xlfn.XLOOKUP($I149,Tab_00.Trial[CONTA],Tab_00.Trial[S/A],"",0,1)</f>
        <v>S</v>
      </c>
      <c r="E149" s="2">
        <f>IF($I149="","",COUNTIFS(Tab_00.Trial[CONTA],$I149))</f>
        <v>1</v>
      </c>
      <c r="F149" s="4">
        <f>SUMIFS(Tab_09.Set[SALDO
ATUAL],Tab_09.Set[CONTA],$I149)</f>
        <v>-5050</v>
      </c>
      <c r="G149" s="4">
        <f t="shared" si="4"/>
        <v>0</v>
      </c>
      <c r="H149" s="2">
        <v>31095</v>
      </c>
      <c r="I149" s="3" t="s">
        <v>576</v>
      </c>
      <c r="J149" s="3" t="s">
        <v>815</v>
      </c>
      <c r="K149" s="4">
        <v>-5050</v>
      </c>
      <c r="L149" s="4">
        <v>0</v>
      </c>
      <c r="M149" s="4">
        <v>2263.46</v>
      </c>
      <c r="N149" s="4">
        <v>-7313.46</v>
      </c>
      <c r="O149" s="4">
        <f>Tab_10.Out[[#This Row],[DÉBITO]]-Tab_10.Out[[#This Row],[CRÉDITO]]</f>
        <v>-2263.46</v>
      </c>
    </row>
    <row r="150" spans="2:15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5</v>
      </c>
      <c r="D150" s="2" t="str">
        <f>_xlfn.XLOOKUP($I150,Tab_00.Trial[CONTA],Tab_00.Trial[S/A],"",0,1)</f>
        <v>A</v>
      </c>
      <c r="E150" s="2">
        <f>IF($I150="","",COUNTIFS(Tab_00.Trial[CONTA],$I150))</f>
        <v>1</v>
      </c>
      <c r="F150" s="4">
        <f>SUMIFS(Tab_09.Set[SALDO
ATUAL],Tab_09.Set[CONTA],$I150)</f>
        <v>-5050</v>
      </c>
      <c r="G150" s="4">
        <f t="shared" si="4"/>
        <v>0</v>
      </c>
      <c r="H150" s="2">
        <v>31096</v>
      </c>
      <c r="I150" s="3" t="s">
        <v>382</v>
      </c>
      <c r="J150" s="3" t="s">
        <v>292</v>
      </c>
      <c r="K150" s="4">
        <v>-5050</v>
      </c>
      <c r="L150" s="4">
        <v>0</v>
      </c>
      <c r="M150" s="4">
        <v>2263.46</v>
      </c>
      <c r="N150" s="4">
        <v>-7313.46</v>
      </c>
      <c r="O150" s="4">
        <f>Tab_10.Out[[#This Row],[DÉBITO]]-Tab_10.Out[[#This Row],[CRÉDITO]]</f>
        <v>-2263.46</v>
      </c>
    </row>
    <row r="151" spans="2:15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5</v>
      </c>
      <c r="D151" s="2" t="str">
        <f>_xlfn.XLOOKUP($I151,Tab_00.Trial[CONTA],Tab_00.Trial[S/A],"",0,1)</f>
        <v>S</v>
      </c>
      <c r="E151" s="2">
        <f>IF($I151="","",COUNTIFS(Tab_00.Trial[CONTA],$I151))</f>
        <v>1</v>
      </c>
      <c r="F151" s="4">
        <f>SUMIFS(Tab_09.Set[SALDO
ATUAL],Tab_09.Set[CONTA],$I151)</f>
        <v>12127.06</v>
      </c>
      <c r="G151" s="4">
        <f t="shared" si="4"/>
        <v>0</v>
      </c>
      <c r="H151" s="2">
        <v>31140</v>
      </c>
      <c r="I151" s="3" t="s">
        <v>577</v>
      </c>
      <c r="J151" s="3" t="s">
        <v>683</v>
      </c>
      <c r="K151" s="4">
        <v>12127.06</v>
      </c>
      <c r="L151" s="4">
        <v>12.1</v>
      </c>
      <c r="M151" s="4">
        <v>0</v>
      </c>
      <c r="N151" s="4">
        <v>12139.16</v>
      </c>
      <c r="O151" s="4">
        <f>Tab_10.Out[[#This Row],[DÉBITO]]-Tab_10.Out[[#This Row],[CRÉDITO]]</f>
        <v>12.1</v>
      </c>
    </row>
    <row r="152" spans="2:15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5</v>
      </c>
      <c r="D152" s="2" t="str">
        <f>_xlfn.XLOOKUP($I152,Tab_00.Trial[CONTA],Tab_00.Trial[S/A],"",0,1)</f>
        <v>S</v>
      </c>
      <c r="E152" s="2">
        <f>IF($I152="","",COUNTIFS(Tab_00.Trial[CONTA],$I152))</f>
        <v>1</v>
      </c>
      <c r="F152" s="4">
        <f>SUMIFS(Tab_09.Set[SALDO
ATUAL],Tab_09.Set[CONTA],$I152)</f>
        <v>12127.06</v>
      </c>
      <c r="G152" s="4">
        <f t="shared" si="4"/>
        <v>0</v>
      </c>
      <c r="H152" s="2">
        <v>31215</v>
      </c>
      <c r="I152" s="3" t="s">
        <v>847</v>
      </c>
      <c r="J152" s="3" t="s">
        <v>848</v>
      </c>
      <c r="K152" s="4">
        <v>12127.06</v>
      </c>
      <c r="L152" s="4">
        <v>12.1</v>
      </c>
      <c r="M152" s="4">
        <v>0</v>
      </c>
      <c r="N152" s="4">
        <v>12139.16</v>
      </c>
      <c r="O152" s="4">
        <f>Tab_10.Out[[#This Row],[DÉBITO]]-Tab_10.Out[[#This Row],[CRÉDITO]]</f>
        <v>12.1</v>
      </c>
    </row>
    <row r="153" spans="2:15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5</v>
      </c>
      <c r="D153" s="2" t="str">
        <f>_xlfn.XLOOKUP($I153,Tab_00.Trial[CONTA],Tab_00.Trial[S/A],"",0,1)</f>
        <v>A</v>
      </c>
      <c r="E153" s="2">
        <f>IF($I153="","",COUNTIFS(Tab_00.Trial[CONTA],$I153))</f>
        <v>1</v>
      </c>
      <c r="F153" s="4">
        <f>SUMIFS(Tab_09.Set[SALDO
ATUAL],Tab_09.Set[CONTA],$I153)</f>
        <v>12127.06</v>
      </c>
      <c r="G153" s="4">
        <f t="shared" si="4"/>
        <v>0</v>
      </c>
      <c r="H153" s="2">
        <v>31246</v>
      </c>
      <c r="I153" s="3" t="s">
        <v>849</v>
      </c>
      <c r="J153" s="3" t="s">
        <v>850</v>
      </c>
      <c r="K153" s="4">
        <v>12127.06</v>
      </c>
      <c r="L153" s="4">
        <v>12.1</v>
      </c>
      <c r="M153" s="4">
        <v>0</v>
      </c>
      <c r="N153" s="4">
        <v>12139.16</v>
      </c>
      <c r="O153" s="4">
        <f>Tab_10.Out[[#This Row],[DÉBITO]]-Tab_10.Out[[#This Row],[CRÉDITO]]</f>
        <v>12.1</v>
      </c>
    </row>
    <row r="154" spans="2:15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5</v>
      </c>
      <c r="D154" s="2" t="str">
        <f>_xlfn.XLOOKUP($I154,Tab_00.Trial[CONTA],Tab_00.Trial[S/A],"",0,1)</f>
        <v>S</v>
      </c>
      <c r="E154" s="2">
        <f>IF($I154="","",COUNTIFS(Tab_00.Trial[CONTA],$I154))</f>
        <v>1</v>
      </c>
      <c r="F154" s="4">
        <f>SUMIFS(Tab_09.Set[SALDO
ATUAL],Tab_09.Set[CONTA],$I154)</f>
        <v>-3978800.44</v>
      </c>
      <c r="G154" s="4">
        <f t="shared" si="4"/>
        <v>0</v>
      </c>
      <c r="H154" s="2">
        <v>31260</v>
      </c>
      <c r="I154" s="3" t="s">
        <v>580</v>
      </c>
      <c r="J154" s="3" t="s">
        <v>816</v>
      </c>
      <c r="K154" s="4">
        <v>-3978800.44</v>
      </c>
      <c r="L154" s="4">
        <v>0</v>
      </c>
      <c r="M154" s="4">
        <v>465438.82</v>
      </c>
      <c r="N154" s="4">
        <v>-4444239.26</v>
      </c>
      <c r="O154" s="4">
        <f>Tab_10.Out[[#This Row],[DÉBITO]]-Tab_10.Out[[#This Row],[CRÉDITO]]</f>
        <v>-465438.82</v>
      </c>
    </row>
    <row r="155" spans="2:15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5</v>
      </c>
      <c r="D155" s="2" t="str">
        <f>_xlfn.XLOOKUP($I155,Tab_00.Trial[CONTA],Tab_00.Trial[S/A],"",0,1)</f>
        <v>S</v>
      </c>
      <c r="E155" s="2">
        <f>IF($I155="","",COUNTIFS(Tab_00.Trial[CONTA],$I155))</f>
        <v>1</v>
      </c>
      <c r="F155" s="4">
        <f>SUMIFS(Tab_09.Set[SALDO
ATUAL],Tab_09.Set[CONTA],$I155)</f>
        <v>-3978800.44</v>
      </c>
      <c r="G155" s="4">
        <f t="shared" si="4"/>
        <v>0</v>
      </c>
      <c r="H155" s="2">
        <v>31275</v>
      </c>
      <c r="I155" s="3" t="s">
        <v>581</v>
      </c>
      <c r="J155" s="3" t="s">
        <v>687</v>
      </c>
      <c r="K155" s="4">
        <v>-3978800.44</v>
      </c>
      <c r="L155" s="4">
        <v>0</v>
      </c>
      <c r="M155" s="4">
        <v>465438.82</v>
      </c>
      <c r="N155" s="4">
        <v>-4444239.26</v>
      </c>
      <c r="O155" s="4">
        <f>Tab_10.Out[[#This Row],[DÉBITO]]-Tab_10.Out[[#This Row],[CRÉDITO]]</f>
        <v>-465438.82</v>
      </c>
    </row>
    <row r="156" spans="2:15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5</v>
      </c>
      <c r="D156" s="2" t="str">
        <f>_xlfn.XLOOKUP($I156,Tab_00.Trial[CONTA],Tab_00.Trial[S/A],"",0,1)</f>
        <v>A</v>
      </c>
      <c r="E156" s="2">
        <f>IF($I156="","",COUNTIFS(Tab_00.Trial[CONTA],$I156))</f>
        <v>1</v>
      </c>
      <c r="F156" s="4">
        <f>SUMIFS(Tab_09.Set[SALDO
ATUAL],Tab_09.Set[CONTA],$I156)</f>
        <v>-3906942.42</v>
      </c>
      <c r="G156" s="4">
        <f t="shared" si="4"/>
        <v>0</v>
      </c>
      <c r="H156" s="2">
        <v>31291</v>
      </c>
      <c r="I156" s="3" t="s">
        <v>387</v>
      </c>
      <c r="J156" s="3" t="s">
        <v>388</v>
      </c>
      <c r="K156" s="4">
        <v>-3906942.42</v>
      </c>
      <c r="L156" s="4">
        <v>0</v>
      </c>
      <c r="M156" s="4">
        <v>440421.58</v>
      </c>
      <c r="N156" s="4">
        <v>-4347364</v>
      </c>
      <c r="O156" s="4">
        <f>Tab_10.Out[[#This Row],[DÉBITO]]-Tab_10.Out[[#This Row],[CRÉDITO]]</f>
        <v>-440421.58</v>
      </c>
    </row>
    <row r="157" spans="2:15" x14ac:dyDescent="0.3">
      <c r="B157" s="2" t="str">
        <f>_xlfn.XLOOKUP($I157,Tab_00.Trial[CONTA],Tab_00.Trial[TP],"",0,1)</f>
        <v>R</v>
      </c>
      <c r="C157" s="2">
        <f>_xlfn.XLOOKUP($I157,Tab_00.Trial[CONTA],Tab_00.Trial[NV],"",0,1)</f>
        <v>5</v>
      </c>
      <c r="D157" s="2" t="str">
        <f>_xlfn.XLOOKUP($I157,Tab_00.Trial[CONTA],Tab_00.Trial[S/A],"",0,1)</f>
        <v>A</v>
      </c>
      <c r="E157" s="2">
        <f>IF($I157="","",COUNTIFS(Tab_00.Trial[CONTA],$I157))</f>
        <v>1</v>
      </c>
      <c r="F157" s="4">
        <f>SUMIFS(Tab_09.Set[SALDO
ATUAL],Tab_09.Set[CONTA],$I157)</f>
        <v>-71858.02</v>
      </c>
      <c r="G157" s="4">
        <f t="shared" si="4"/>
        <v>0</v>
      </c>
      <c r="H157" s="2">
        <v>31292</v>
      </c>
      <c r="I157" s="3" t="s">
        <v>389</v>
      </c>
      <c r="J157" s="3" t="s">
        <v>390</v>
      </c>
      <c r="K157" s="4">
        <v>-71858.02</v>
      </c>
      <c r="L157" s="4">
        <v>0</v>
      </c>
      <c r="M157" s="4">
        <v>25017.24</v>
      </c>
      <c r="N157" s="4">
        <v>-96875.26</v>
      </c>
      <c r="O157" s="4">
        <f>Tab_10.Out[[#This Row],[DÉBITO]]-Tab_10.Out[[#This Row],[CRÉDITO]]</f>
        <v>-25017.24</v>
      </c>
    </row>
    <row r="158" spans="2:15" x14ac:dyDescent="0.3">
      <c r="B158" s="2" t="str">
        <f>_xlfn.XLOOKUP($I158,Tab_00.Trial[CONTA],Tab_00.Trial[TP],"",0,1)</f>
        <v>R</v>
      </c>
      <c r="C158" s="2">
        <f>_xlfn.XLOOKUP($I158,Tab_00.Trial[CONTA],Tab_00.Trial[NV],"",0,1)</f>
        <v>2</v>
      </c>
      <c r="D158" s="2" t="str">
        <f>_xlfn.XLOOKUP($I158,Tab_00.Trial[CONTA],Tab_00.Trial[S/A],"",0,1)</f>
        <v>S</v>
      </c>
      <c r="E158" s="2">
        <f>IF($I158="","",COUNTIFS(Tab_00.Trial[CONTA],$I158))</f>
        <v>1</v>
      </c>
      <c r="F158" s="4">
        <f>SUMIFS(Tab_09.Set[SALDO
ATUAL],Tab_09.Set[CONTA],$I158)</f>
        <v>-2201301.2200000002</v>
      </c>
      <c r="G158" s="4">
        <f t="shared" si="4"/>
        <v>0</v>
      </c>
      <c r="H158" s="2">
        <v>31470</v>
      </c>
      <c r="I158" s="3" t="s">
        <v>582</v>
      </c>
      <c r="J158" s="3" t="s">
        <v>688</v>
      </c>
      <c r="K158" s="4">
        <v>-2201301.2200000002</v>
      </c>
      <c r="L158" s="4">
        <v>0</v>
      </c>
      <c r="M158" s="4">
        <v>213626.76</v>
      </c>
      <c r="N158" s="4">
        <v>-2414927.98</v>
      </c>
      <c r="O158" s="4">
        <f>Tab_10.Out[[#This Row],[DÉBITO]]-Tab_10.Out[[#This Row],[CRÉDITO]]</f>
        <v>-213626.76</v>
      </c>
    </row>
    <row r="159" spans="2:15" x14ac:dyDescent="0.3">
      <c r="B159" s="2" t="str">
        <f>_xlfn.XLOOKUP($I159,Tab_00.Trial[CONTA],Tab_00.Trial[TP],"",0,1)</f>
        <v>R</v>
      </c>
      <c r="C159" s="2">
        <f>_xlfn.XLOOKUP($I159,Tab_00.Trial[CONTA],Tab_00.Trial[NV],"",0,1)</f>
        <v>5</v>
      </c>
      <c r="D159" s="2" t="str">
        <f>_xlfn.XLOOKUP($I159,Tab_00.Trial[CONTA],Tab_00.Trial[S/A],"",0,1)</f>
        <v>S</v>
      </c>
      <c r="E159" s="2">
        <f>IF($I159="","",COUNTIFS(Tab_00.Trial[CONTA],$I159))</f>
        <v>1</v>
      </c>
      <c r="F159" s="4">
        <f>SUMIFS(Tab_09.Set[SALDO
ATUAL],Tab_09.Set[CONTA],$I159)</f>
        <v>-673.54</v>
      </c>
      <c r="G159" s="4">
        <f t="shared" si="4"/>
        <v>0</v>
      </c>
      <c r="H159" s="2">
        <v>31590</v>
      </c>
      <c r="I159" s="3" t="s">
        <v>583</v>
      </c>
      <c r="J159" s="3" t="s">
        <v>689</v>
      </c>
      <c r="K159" s="4">
        <v>-673.54</v>
      </c>
      <c r="L159" s="4">
        <v>0</v>
      </c>
      <c r="M159" s="4">
        <v>0</v>
      </c>
      <c r="N159" s="4">
        <v>-673.54</v>
      </c>
      <c r="O159" s="4">
        <f>Tab_10.Out[[#This Row],[DÉBITO]]-Tab_10.Out[[#This Row],[CRÉDITO]]</f>
        <v>0</v>
      </c>
    </row>
    <row r="160" spans="2:15" x14ac:dyDescent="0.3">
      <c r="B160" s="2" t="str">
        <f>_xlfn.XLOOKUP($I160,Tab_00.Trial[CONTA],Tab_00.Trial[TP],"",0,1)</f>
        <v>R</v>
      </c>
      <c r="C160" s="2">
        <f>_xlfn.XLOOKUP($I160,Tab_00.Trial[CONTA],Tab_00.Trial[NV],"",0,1)</f>
        <v>5</v>
      </c>
      <c r="D160" s="2" t="str">
        <f>_xlfn.XLOOKUP($I160,Tab_00.Trial[CONTA],Tab_00.Trial[S/A],"",0,1)</f>
        <v>S</v>
      </c>
      <c r="E160" s="2">
        <f>IF($I160="","",COUNTIFS(Tab_00.Trial[CONTA],$I160))</f>
        <v>1</v>
      </c>
      <c r="F160" s="4">
        <f>SUMIFS(Tab_09.Set[SALDO
ATUAL],Tab_09.Set[CONTA],$I160)</f>
        <v>-673.54</v>
      </c>
      <c r="G160" s="4">
        <f t="shared" si="4"/>
        <v>0</v>
      </c>
      <c r="H160" s="2">
        <v>31605</v>
      </c>
      <c r="I160" s="3" t="s">
        <v>584</v>
      </c>
      <c r="J160" s="3" t="s">
        <v>689</v>
      </c>
      <c r="K160" s="4">
        <v>-673.54</v>
      </c>
      <c r="L160" s="4">
        <v>0</v>
      </c>
      <c r="M160" s="4">
        <v>0</v>
      </c>
      <c r="N160" s="4">
        <v>-673.54</v>
      </c>
      <c r="O160" s="4">
        <f>Tab_10.Out[[#This Row],[DÉBITO]]-Tab_10.Out[[#This Row],[CRÉDITO]]</f>
        <v>0</v>
      </c>
    </row>
    <row r="161" spans="2:15" x14ac:dyDescent="0.3">
      <c r="B161" s="2" t="str">
        <f>_xlfn.XLOOKUP($I161,Tab_00.Trial[CONTA],Tab_00.Trial[TP],"",0,1)</f>
        <v>R</v>
      </c>
      <c r="C161" s="2">
        <f>_xlfn.XLOOKUP($I161,Tab_00.Trial[CONTA],Tab_00.Trial[NV],"",0,1)</f>
        <v>5</v>
      </c>
      <c r="D161" s="2" t="str">
        <f>_xlfn.XLOOKUP($I161,Tab_00.Trial[CONTA],Tab_00.Trial[S/A],"",0,1)</f>
        <v>A</v>
      </c>
      <c r="E161" s="2">
        <f>IF($I161="","",COUNTIFS(Tab_00.Trial[CONTA],$I161))</f>
        <v>1</v>
      </c>
      <c r="F161" s="4">
        <f>SUMIFS(Tab_09.Set[SALDO
ATUAL],Tab_09.Set[CONTA],$I161)</f>
        <v>-673.54</v>
      </c>
      <c r="G161" s="4">
        <f t="shared" si="4"/>
        <v>0</v>
      </c>
      <c r="H161" s="2">
        <v>31645</v>
      </c>
      <c r="I161" s="3" t="s">
        <v>391</v>
      </c>
      <c r="J161" s="3" t="s">
        <v>392</v>
      </c>
      <c r="K161" s="4">
        <v>-673.54</v>
      </c>
      <c r="L161" s="4">
        <v>0</v>
      </c>
      <c r="M161" s="4">
        <v>0</v>
      </c>
      <c r="N161" s="4">
        <v>-673.54</v>
      </c>
      <c r="O161" s="4">
        <f>Tab_10.Out[[#This Row],[DÉBITO]]-Tab_10.Out[[#This Row],[CRÉDITO]]</f>
        <v>0</v>
      </c>
    </row>
    <row r="162" spans="2:15" x14ac:dyDescent="0.3">
      <c r="B162" s="2" t="str">
        <f>_xlfn.XLOOKUP($I162,Tab_00.Trial[CONTA],Tab_00.Trial[TP],"",0,1)</f>
        <v>R</v>
      </c>
      <c r="C162" s="2">
        <f>_xlfn.XLOOKUP($I162,Tab_00.Trial[CONTA],Tab_00.Trial[NV],"",0,1)</f>
        <v>5</v>
      </c>
      <c r="D162" s="2" t="str">
        <f>_xlfn.XLOOKUP($I162,Tab_00.Trial[CONTA],Tab_00.Trial[S/A],"",0,1)</f>
        <v>S</v>
      </c>
      <c r="E162" s="2">
        <f>IF($I162="","",COUNTIFS(Tab_00.Trial[CONTA],$I162))</f>
        <v>1</v>
      </c>
      <c r="F162" s="4">
        <f>SUMIFS(Tab_09.Set[SALDO
ATUAL],Tab_09.Set[CONTA],$I162)</f>
        <v>-2200627.6800000002</v>
      </c>
      <c r="G162" s="4">
        <f t="shared" si="4"/>
        <v>0</v>
      </c>
      <c r="H162" s="2">
        <v>31650</v>
      </c>
      <c r="I162" s="3" t="s">
        <v>585</v>
      </c>
      <c r="J162" s="3" t="s">
        <v>690</v>
      </c>
      <c r="K162" s="4">
        <v>-2200627.6800000002</v>
      </c>
      <c r="L162" s="4">
        <v>0</v>
      </c>
      <c r="M162" s="4">
        <v>213626.76</v>
      </c>
      <c r="N162" s="4">
        <v>-2414254.44</v>
      </c>
      <c r="O162" s="4">
        <f>Tab_10.Out[[#This Row],[DÉBITO]]-Tab_10.Out[[#This Row],[CRÉDITO]]</f>
        <v>-213626.76</v>
      </c>
    </row>
    <row r="163" spans="2:15" x14ac:dyDescent="0.3">
      <c r="B163" s="2" t="str">
        <f>_xlfn.XLOOKUP($I163,Tab_00.Trial[CONTA],Tab_00.Trial[TP],"",0,1)</f>
        <v>R</v>
      </c>
      <c r="C163" s="2">
        <f>_xlfn.XLOOKUP($I163,Tab_00.Trial[CONTA],Tab_00.Trial[NV],"",0,1)</f>
        <v>5</v>
      </c>
      <c r="D163" s="2" t="str">
        <f>_xlfn.XLOOKUP($I163,Tab_00.Trial[CONTA],Tab_00.Trial[S/A],"",0,1)</f>
        <v>S</v>
      </c>
      <c r="E163" s="2">
        <f>IF($I163="","",COUNTIFS(Tab_00.Trial[CONTA],$I163))</f>
        <v>1</v>
      </c>
      <c r="F163" s="4">
        <f>SUMIFS(Tab_09.Set[SALDO
ATUAL],Tab_09.Set[CONTA],$I163)</f>
        <v>-2200627.6800000002</v>
      </c>
      <c r="G163" s="4">
        <f t="shared" si="4"/>
        <v>0</v>
      </c>
      <c r="H163" s="2">
        <v>31665</v>
      </c>
      <c r="I163" s="3" t="s">
        <v>586</v>
      </c>
      <c r="J163" s="3" t="s">
        <v>394</v>
      </c>
      <c r="K163" s="4">
        <v>-2200627.6800000002</v>
      </c>
      <c r="L163" s="4">
        <v>0</v>
      </c>
      <c r="M163" s="4">
        <v>213626.76</v>
      </c>
      <c r="N163" s="4">
        <v>-2414254.44</v>
      </c>
      <c r="O163" s="4">
        <f>Tab_10.Out[[#This Row],[DÉBITO]]-Tab_10.Out[[#This Row],[CRÉDITO]]</f>
        <v>-213626.76</v>
      </c>
    </row>
    <row r="164" spans="2:15" x14ac:dyDescent="0.3">
      <c r="B164" s="2" t="str">
        <f>_xlfn.XLOOKUP($I164,Tab_00.Trial[CONTA],Tab_00.Trial[TP],"",0,1)</f>
        <v>R</v>
      </c>
      <c r="C164" s="2">
        <f>_xlfn.XLOOKUP($I164,Tab_00.Trial[CONTA],Tab_00.Trial[NV],"",0,1)</f>
        <v>5</v>
      </c>
      <c r="D164" s="2" t="str">
        <f>_xlfn.XLOOKUP($I164,Tab_00.Trial[CONTA],Tab_00.Trial[S/A],"",0,1)</f>
        <v>A</v>
      </c>
      <c r="E164" s="2">
        <f>IF($I164="","",COUNTIFS(Tab_00.Trial[CONTA],$I164))</f>
        <v>1</v>
      </c>
      <c r="F164" s="4">
        <f>SUMIFS(Tab_09.Set[SALDO
ATUAL],Tab_09.Set[CONTA],$I164)</f>
        <v>-2200627.6800000002</v>
      </c>
      <c r="G164" s="4">
        <f t="shared" si="4"/>
        <v>0</v>
      </c>
      <c r="H164" s="2">
        <v>31680</v>
      </c>
      <c r="I164" s="3" t="s">
        <v>393</v>
      </c>
      <c r="J164" s="3" t="s">
        <v>394</v>
      </c>
      <c r="K164" s="4">
        <v>-2200627.6800000002</v>
      </c>
      <c r="L164" s="4">
        <v>0</v>
      </c>
      <c r="M164" s="4">
        <v>213626.76</v>
      </c>
      <c r="N164" s="4">
        <v>-2414254.44</v>
      </c>
      <c r="O164" s="4">
        <f>Tab_10.Out[[#This Row],[DÉBITO]]-Tab_10.Out[[#This Row],[CRÉDITO]]</f>
        <v>-213626.76</v>
      </c>
    </row>
    <row r="165" spans="2:15" x14ac:dyDescent="0.3">
      <c r="B165" s="2" t="str">
        <f>_xlfn.XLOOKUP($I165,Tab_00.Trial[CONTA],Tab_00.Trial[TP],"",0,1)</f>
        <v>R</v>
      </c>
      <c r="C165" s="2">
        <f>_xlfn.XLOOKUP($I165,Tab_00.Trial[CONTA],Tab_00.Trial[NV],"",0,1)</f>
        <v>2</v>
      </c>
      <c r="D165" s="2" t="str">
        <f>_xlfn.XLOOKUP($I165,Tab_00.Trial[CONTA],Tab_00.Trial[S/A],"",0,1)</f>
        <v>S</v>
      </c>
      <c r="E165" s="2">
        <f>IF($I165="","",COUNTIFS(Tab_00.Trial[CONTA],$I165))</f>
        <v>1</v>
      </c>
      <c r="F165" s="4">
        <f>SUMIFS(Tab_09.Set[SALDO
ATUAL],Tab_09.Set[CONTA],$I165)</f>
        <v>-7450</v>
      </c>
      <c r="G165" s="4">
        <f t="shared" si="4"/>
        <v>0</v>
      </c>
      <c r="H165" s="2">
        <v>31725</v>
      </c>
      <c r="I165" s="3" t="s">
        <v>587</v>
      </c>
      <c r="J165" s="3" t="s">
        <v>691</v>
      </c>
      <c r="K165" s="4">
        <v>-7450</v>
      </c>
      <c r="L165" s="4">
        <v>0</v>
      </c>
      <c r="M165" s="4">
        <v>0</v>
      </c>
      <c r="N165" s="4">
        <v>-7450</v>
      </c>
      <c r="O165" s="4">
        <f>Tab_10.Out[[#This Row],[DÉBITO]]-Tab_10.Out[[#This Row],[CRÉDITO]]</f>
        <v>0</v>
      </c>
    </row>
    <row r="166" spans="2:15" x14ac:dyDescent="0.3">
      <c r="B166" s="2" t="str">
        <f>_xlfn.XLOOKUP($I166,Tab_00.Trial[CONTA],Tab_00.Trial[TP],"",0,1)</f>
        <v>R</v>
      </c>
      <c r="C166" s="2">
        <f>_xlfn.XLOOKUP($I166,Tab_00.Trial[CONTA],Tab_00.Trial[NV],"",0,1)</f>
        <v>5</v>
      </c>
      <c r="D166" s="2" t="str">
        <f>_xlfn.XLOOKUP($I166,Tab_00.Trial[CONTA],Tab_00.Trial[S/A],"",0,1)</f>
        <v>S</v>
      </c>
      <c r="E166" s="2">
        <f>IF($I166="","",COUNTIFS(Tab_00.Trial[CONTA],$I166))</f>
        <v>1</v>
      </c>
      <c r="F166" s="4">
        <f>SUMIFS(Tab_09.Set[SALDO
ATUAL],Tab_09.Set[CONTA],$I166)</f>
        <v>-7450</v>
      </c>
      <c r="G166" s="4">
        <f t="shared" si="4"/>
        <v>0</v>
      </c>
      <c r="H166" s="2">
        <v>30722</v>
      </c>
      <c r="I166" s="3" t="s">
        <v>588</v>
      </c>
      <c r="J166" s="3" t="s">
        <v>692</v>
      </c>
      <c r="K166" s="4">
        <v>-7450</v>
      </c>
      <c r="L166" s="4">
        <v>0</v>
      </c>
      <c r="M166" s="4">
        <v>0</v>
      </c>
      <c r="N166" s="4">
        <v>-7450</v>
      </c>
      <c r="O166" s="4">
        <f>Tab_10.Out[[#This Row],[DÉBITO]]-Tab_10.Out[[#This Row],[CRÉDITO]]</f>
        <v>0</v>
      </c>
    </row>
    <row r="167" spans="2:15" x14ac:dyDescent="0.3">
      <c r="B167" s="2" t="str">
        <f>_xlfn.XLOOKUP($I167,Tab_00.Trial[CONTA],Tab_00.Trial[TP],"",0,1)</f>
        <v>R</v>
      </c>
      <c r="C167" s="2">
        <f>_xlfn.XLOOKUP($I167,Tab_00.Trial[CONTA],Tab_00.Trial[NV],"",0,1)</f>
        <v>5</v>
      </c>
      <c r="D167" s="2" t="str">
        <f>_xlfn.XLOOKUP($I167,Tab_00.Trial[CONTA],Tab_00.Trial[S/A],"",0,1)</f>
        <v>S</v>
      </c>
      <c r="E167" s="2">
        <f>IF($I167="","",COUNTIFS(Tab_00.Trial[CONTA],$I167))</f>
        <v>1</v>
      </c>
      <c r="F167" s="4">
        <f>SUMIFS(Tab_09.Set[SALDO
ATUAL],Tab_09.Set[CONTA],$I167)</f>
        <v>-7450</v>
      </c>
      <c r="G167" s="4">
        <f t="shared" si="4"/>
        <v>0</v>
      </c>
      <c r="H167" s="2">
        <v>30729</v>
      </c>
      <c r="I167" s="3" t="s">
        <v>589</v>
      </c>
      <c r="J167" s="3" t="s">
        <v>692</v>
      </c>
      <c r="K167" s="4">
        <v>-7450</v>
      </c>
      <c r="L167" s="4">
        <v>0</v>
      </c>
      <c r="M167" s="4">
        <v>0</v>
      </c>
      <c r="N167" s="4">
        <v>-7450</v>
      </c>
      <c r="O167" s="4">
        <f>Tab_10.Out[[#This Row],[DÉBITO]]-Tab_10.Out[[#This Row],[CRÉDITO]]</f>
        <v>0</v>
      </c>
    </row>
    <row r="168" spans="2:15" x14ac:dyDescent="0.3">
      <c r="B168" s="2" t="str">
        <f>_xlfn.XLOOKUP($I168,Tab_00.Trial[CONTA],Tab_00.Trial[TP],"",0,1)</f>
        <v>R</v>
      </c>
      <c r="C168" s="2">
        <f>_xlfn.XLOOKUP($I168,Tab_00.Trial[CONTA],Tab_00.Trial[NV],"",0,1)</f>
        <v>5</v>
      </c>
      <c r="D168" s="2" t="str">
        <f>_xlfn.XLOOKUP($I168,Tab_00.Trial[CONTA],Tab_00.Trial[S/A],"",0,1)</f>
        <v>A</v>
      </c>
      <c r="E168" s="2">
        <f>IF($I168="","",COUNTIFS(Tab_00.Trial[CONTA],$I168))</f>
        <v>1</v>
      </c>
      <c r="F168" s="4">
        <f>SUMIFS(Tab_09.Set[SALDO
ATUAL],Tab_09.Set[CONTA],$I168)</f>
        <v>-7450</v>
      </c>
      <c r="G168" s="4">
        <f t="shared" si="4"/>
        <v>0</v>
      </c>
      <c r="H168" s="2">
        <v>30736</v>
      </c>
      <c r="I168" s="3" t="s">
        <v>395</v>
      </c>
      <c r="J168" s="3" t="s">
        <v>396</v>
      </c>
      <c r="K168" s="4">
        <v>-7450</v>
      </c>
      <c r="L168" s="4">
        <v>0</v>
      </c>
      <c r="M168" s="4">
        <v>0</v>
      </c>
      <c r="N168" s="4">
        <v>-7450</v>
      </c>
      <c r="O168" s="4">
        <f>Tab_10.Out[[#This Row],[DÉBITO]]-Tab_10.Out[[#This Row],[CRÉDITO]]</f>
        <v>0</v>
      </c>
    </row>
    <row r="169" spans="2:15" x14ac:dyDescent="0.3">
      <c r="B169" s="2" t="str">
        <f>_xlfn.XLOOKUP($I169,Tab_00.Trial[CONTA],Tab_00.Trial[TP],"",0,1)</f>
        <v>C</v>
      </c>
      <c r="C169" s="2">
        <f>_xlfn.XLOOKUP($I169,Tab_00.Trial[CONTA],Tab_00.Trial[NV],"",0,1)</f>
        <v>1</v>
      </c>
      <c r="D169" s="2" t="str">
        <f>_xlfn.XLOOKUP($I169,Tab_00.Trial[CONTA],Tab_00.Trial[S/A],"",0,1)</f>
        <v>S</v>
      </c>
      <c r="E169" s="2">
        <f>IF($I169="","",COUNTIFS(Tab_00.Trial[CONTA],$I169))</f>
        <v>1</v>
      </c>
      <c r="F169" s="4">
        <f>SUMIFS(Tab_09.Set[SALDO
ATUAL],Tab_09.Set[CONTA],$I169)</f>
        <v>7419925.2599999998</v>
      </c>
      <c r="G169" s="4">
        <f t="shared" si="4"/>
        <v>0</v>
      </c>
      <c r="H169" s="2">
        <v>40000</v>
      </c>
      <c r="I169" s="3">
        <v>4</v>
      </c>
      <c r="J169" s="3" t="s">
        <v>693</v>
      </c>
      <c r="K169" s="4">
        <v>7419925.2599999998</v>
      </c>
      <c r="L169" s="4">
        <v>973142.74</v>
      </c>
      <c r="M169" s="4">
        <v>13662</v>
      </c>
      <c r="N169" s="4">
        <v>8379406</v>
      </c>
      <c r="O169" s="4">
        <f>Tab_10.Out[[#This Row],[DÉBITO]]-Tab_10.Out[[#This Row],[CRÉDITO]]</f>
        <v>959480.74</v>
      </c>
    </row>
    <row r="170" spans="2:15" x14ac:dyDescent="0.3">
      <c r="B170" s="2" t="str">
        <f>_xlfn.XLOOKUP($I170,Tab_00.Trial[CONTA],Tab_00.Trial[TP],"",0,1)</f>
        <v>C</v>
      </c>
      <c r="C170" s="2">
        <f>_xlfn.XLOOKUP($I170,Tab_00.Trial[CONTA],Tab_00.Trial[NV],"",0,1)</f>
        <v>2</v>
      </c>
      <c r="D170" s="2" t="str">
        <f>_xlfn.XLOOKUP($I170,Tab_00.Trial[CONTA],Tab_00.Trial[S/A],"",0,1)</f>
        <v>S</v>
      </c>
      <c r="E170" s="2">
        <f>IF($I170="","",COUNTIFS(Tab_00.Trial[CONTA],$I170))</f>
        <v>1</v>
      </c>
      <c r="F170" s="4">
        <f>SUMIFS(Tab_09.Set[SALDO
ATUAL],Tab_09.Set[CONTA],$I170)</f>
        <v>7419100.5899999999</v>
      </c>
      <c r="G170" s="4">
        <f t="shared" si="4"/>
        <v>0</v>
      </c>
      <c r="H170" s="2">
        <v>40015</v>
      </c>
      <c r="I170" s="3" t="s">
        <v>234</v>
      </c>
      <c r="J170" s="3" t="s">
        <v>817</v>
      </c>
      <c r="K170" s="4">
        <v>7419100.5899999999</v>
      </c>
      <c r="L170" s="4">
        <v>973126.57</v>
      </c>
      <c r="M170" s="4">
        <v>13662</v>
      </c>
      <c r="N170" s="4">
        <v>8378565.1600000001</v>
      </c>
      <c r="O170" s="4">
        <f>Tab_10.Out[[#This Row],[DÉBITO]]-Tab_10.Out[[#This Row],[CRÉDITO]]</f>
        <v>959464.57</v>
      </c>
    </row>
    <row r="171" spans="2:15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5</v>
      </c>
      <c r="D171" s="2" t="str">
        <f>_xlfn.XLOOKUP($I171,Tab_00.Trial[CONTA],Tab_00.Trial[S/A],"",0,1)</f>
        <v>S</v>
      </c>
      <c r="E171" s="2">
        <f>IF($I171="","",COUNTIFS(Tab_00.Trial[CONTA],$I171))</f>
        <v>1</v>
      </c>
      <c r="F171" s="4">
        <f>SUMIFS(Tab_09.Set[SALDO
ATUAL],Tab_09.Set[CONTA],$I171)</f>
        <v>1506524.82</v>
      </c>
      <c r="G171" s="4">
        <f t="shared" si="4"/>
        <v>0</v>
      </c>
      <c r="H171" s="2">
        <v>40030</v>
      </c>
      <c r="I171" s="3" t="s">
        <v>235</v>
      </c>
      <c r="J171" s="3" t="s">
        <v>818</v>
      </c>
      <c r="K171" s="4">
        <v>1506524.82</v>
      </c>
      <c r="L171" s="4">
        <v>168961.61</v>
      </c>
      <c r="M171" s="4">
        <v>13662</v>
      </c>
      <c r="N171" s="4">
        <v>1661824.43</v>
      </c>
      <c r="O171" s="4">
        <f>Tab_10.Out[[#This Row],[DÉBITO]]-Tab_10.Out[[#This Row],[CRÉDITO]]</f>
        <v>155299.60999999999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5</v>
      </c>
      <c r="D172" s="2" t="str">
        <f>_xlfn.XLOOKUP($I172,Tab_00.Trial[CONTA],Tab_00.Trial[S/A],"",0,1)</f>
        <v>S</v>
      </c>
      <c r="E172" s="2">
        <f>IF($I172="","",COUNTIFS(Tab_00.Trial[CONTA],$I172))</f>
        <v>1</v>
      </c>
      <c r="F172" s="4">
        <f>SUMIFS(Tab_09.Set[SALDO
ATUAL],Tab_09.Set[CONTA],$I172)</f>
        <v>621104.32999999996</v>
      </c>
      <c r="G172" s="4">
        <f t="shared" si="4"/>
        <v>0</v>
      </c>
      <c r="H172" s="2">
        <v>40045</v>
      </c>
      <c r="I172" s="3" t="s">
        <v>236</v>
      </c>
      <c r="J172" s="3" t="s">
        <v>696</v>
      </c>
      <c r="K172" s="4">
        <v>621104.32999999996</v>
      </c>
      <c r="L172" s="4">
        <v>73500.44</v>
      </c>
      <c r="M172" s="4">
        <v>9309.68</v>
      </c>
      <c r="N172" s="4">
        <v>685295.09</v>
      </c>
      <c r="O172" s="4">
        <f>Tab_10.Out[[#This Row],[DÉBITO]]-Tab_10.Out[[#This Row],[CRÉDITO]]</f>
        <v>64190.76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A</v>
      </c>
      <c r="E173" s="2">
        <f>IF($I173="","",COUNTIFS(Tab_00.Trial[CONTA],$I173))</f>
        <v>1</v>
      </c>
      <c r="F173" s="4">
        <f>SUMIFS(Tab_09.Set[SALDO
ATUAL],Tab_09.Set[CONTA],$I173)</f>
        <v>444376.65</v>
      </c>
      <c r="G173" s="4">
        <f t="shared" si="4"/>
        <v>0</v>
      </c>
      <c r="H173" s="2">
        <v>40060</v>
      </c>
      <c r="I173" s="3" t="s">
        <v>195</v>
      </c>
      <c r="J173" s="3" t="s">
        <v>427</v>
      </c>
      <c r="K173" s="4">
        <v>444376.65</v>
      </c>
      <c r="L173" s="4">
        <v>56506.91</v>
      </c>
      <c r="M173" s="4">
        <v>9309.68</v>
      </c>
      <c r="N173" s="4">
        <v>491573.88</v>
      </c>
      <c r="O173" s="4">
        <f>Tab_10.Out[[#This Row],[DÉBITO]]-Tab_10.Out[[#This Row],[CRÉDITO]]</f>
        <v>47197.23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A</v>
      </c>
      <c r="E174" s="2">
        <f>IF($I174="","",COUNTIFS(Tab_00.Trial[CONTA],$I174))</f>
        <v>1</v>
      </c>
      <c r="F174" s="4">
        <f>SUMIFS(Tab_09.Set[SALDO
ATUAL],Tab_09.Set[CONTA],$I174)</f>
        <v>68632.02</v>
      </c>
      <c r="G174" s="4">
        <f t="shared" si="4"/>
        <v>0</v>
      </c>
      <c r="H174" s="2">
        <v>40075</v>
      </c>
      <c r="I174" s="3" t="s">
        <v>430</v>
      </c>
      <c r="J174" s="3" t="s">
        <v>431</v>
      </c>
      <c r="K174" s="4">
        <v>68632.02</v>
      </c>
      <c r="L174" s="4">
        <v>12504.53</v>
      </c>
      <c r="M174" s="4">
        <v>0</v>
      </c>
      <c r="N174" s="4">
        <v>81136.55</v>
      </c>
      <c r="O174" s="4">
        <f>Tab_10.Out[[#This Row],[DÉBITO]]-Tab_10.Out[[#This Row],[CRÉDITO]]</f>
        <v>12504.53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A</v>
      </c>
      <c r="E175" s="2">
        <f>IF($I175="","",COUNTIFS(Tab_00.Trial[CONTA],$I175))</f>
        <v>1</v>
      </c>
      <c r="F175" s="4">
        <f>SUMIFS(Tab_09.Set[SALDO
ATUAL],Tab_09.Set[CONTA],$I175)</f>
        <v>48912.75</v>
      </c>
      <c r="G175" s="4">
        <f t="shared" si="4"/>
        <v>0</v>
      </c>
      <c r="H175" s="2">
        <v>40085</v>
      </c>
      <c r="I175" s="3" t="s">
        <v>432</v>
      </c>
      <c r="J175" s="3" t="s">
        <v>433</v>
      </c>
      <c r="K175" s="4">
        <v>48912.75</v>
      </c>
      <c r="L175" s="4">
        <v>0</v>
      </c>
      <c r="M175" s="4">
        <v>0</v>
      </c>
      <c r="N175" s="4">
        <v>48912.75</v>
      </c>
      <c r="O175" s="4">
        <f>Tab_10.Out[[#This Row],[DÉBITO]]-Tab_10.Out[[#This Row],[CRÉDITO]]</f>
        <v>0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A</v>
      </c>
      <c r="E176" s="2">
        <f>IF($I176="","",COUNTIFS(Tab_00.Trial[CONTA],$I176))</f>
        <v>1</v>
      </c>
      <c r="F176" s="4">
        <f>SUMIFS(Tab_09.Set[SALDO
ATUAL],Tab_09.Set[CONTA],$I176)</f>
        <v>39794.730000000003</v>
      </c>
      <c r="G176" s="4">
        <f t="shared" si="4"/>
        <v>0</v>
      </c>
      <c r="H176" s="2">
        <v>10111</v>
      </c>
      <c r="I176" s="3" t="s">
        <v>790</v>
      </c>
      <c r="J176" s="3" t="s">
        <v>791</v>
      </c>
      <c r="K176" s="4">
        <v>39794.730000000003</v>
      </c>
      <c r="L176" s="4">
        <v>3360.49</v>
      </c>
      <c r="M176" s="4">
        <v>0</v>
      </c>
      <c r="N176" s="4">
        <v>43155.22</v>
      </c>
      <c r="O176" s="4">
        <f>Tab_10.Out[[#This Row],[DÉBITO]]-Tab_10.Out[[#This Row],[CRÉDITO]]</f>
        <v>3360.49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A</v>
      </c>
      <c r="E177" s="2">
        <f>IF($I177="","",COUNTIFS(Tab_00.Trial[CONTA],$I177))</f>
        <v>1</v>
      </c>
      <c r="F177" s="4">
        <f>SUMIFS(Tab_09.Set[SALDO
ATUAL],Tab_09.Set[CONTA],$I177)</f>
        <v>1901.31</v>
      </c>
      <c r="G177" s="4">
        <f t="shared" si="4"/>
        <v>0</v>
      </c>
      <c r="H177" s="2">
        <v>10118</v>
      </c>
      <c r="I177" s="3" t="s">
        <v>792</v>
      </c>
      <c r="J177" s="3" t="s">
        <v>793</v>
      </c>
      <c r="K177" s="4">
        <v>1901.31</v>
      </c>
      <c r="L177" s="4">
        <v>1003.12</v>
      </c>
      <c r="M177" s="4">
        <v>0</v>
      </c>
      <c r="N177" s="4">
        <v>2904.43</v>
      </c>
      <c r="O177" s="4">
        <f>Tab_10.Out[[#This Row],[DÉBITO]]-Tab_10.Out[[#This Row],[CRÉDITO]]</f>
        <v>1003.12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A</v>
      </c>
      <c r="E178" s="2">
        <f>IF($I178="","",COUNTIFS(Tab_00.Trial[CONTA],$I178))</f>
        <v>1</v>
      </c>
      <c r="F178" s="4">
        <f>SUMIFS(Tab_09.Set[SALDO
ATUAL],Tab_09.Set[CONTA],$I178)</f>
        <v>365.56</v>
      </c>
      <c r="G178" s="4">
        <f t="shared" si="4"/>
        <v>0</v>
      </c>
      <c r="H178" s="2">
        <v>10139</v>
      </c>
      <c r="I178" s="3" t="s">
        <v>794</v>
      </c>
      <c r="J178" s="3" t="s">
        <v>795</v>
      </c>
      <c r="K178" s="4">
        <v>365.56</v>
      </c>
      <c r="L178" s="4">
        <v>0</v>
      </c>
      <c r="M178" s="4">
        <v>0</v>
      </c>
      <c r="N178" s="4">
        <v>365.56</v>
      </c>
      <c r="O178" s="4">
        <f>Tab_10.Out[[#This Row],[DÉBITO]]-Tab_10.Out[[#This Row],[CRÉDITO]]</f>
        <v>0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A</v>
      </c>
      <c r="E179" s="2">
        <f>IF($I179="","",COUNTIFS(Tab_00.Trial[CONTA],$I179))</f>
        <v>1</v>
      </c>
      <c r="F179" s="4">
        <f>SUMIFS(Tab_09.Set[SALDO
ATUAL],Tab_09.Set[CONTA],$I179)</f>
        <v>12943.65</v>
      </c>
      <c r="G179" s="4">
        <f t="shared" si="4"/>
        <v>0</v>
      </c>
      <c r="H179" s="2">
        <v>10146</v>
      </c>
      <c r="I179" s="3" t="s">
        <v>796</v>
      </c>
      <c r="J179" s="3" t="s">
        <v>797</v>
      </c>
      <c r="K179" s="4">
        <v>12943.65</v>
      </c>
      <c r="L179" s="4">
        <v>0</v>
      </c>
      <c r="M179" s="4">
        <v>0</v>
      </c>
      <c r="N179" s="4">
        <v>12943.65</v>
      </c>
      <c r="O179" s="4">
        <f>Tab_10.Out[[#This Row],[DÉBITO]]-Tab_10.Out[[#This Row],[CRÉDITO]]</f>
        <v>0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A</v>
      </c>
      <c r="E180" s="2">
        <f>IF($I180="","",COUNTIFS(Tab_00.Trial[CONTA],$I180))</f>
        <v>1</v>
      </c>
      <c r="F180" s="4">
        <f>SUMIFS(Tab_09.Set[SALDO
ATUAL],Tab_09.Set[CONTA],$I180)</f>
        <v>3913</v>
      </c>
      <c r="G180" s="4">
        <f t="shared" si="4"/>
        <v>0</v>
      </c>
      <c r="H180" s="2">
        <v>10153</v>
      </c>
      <c r="I180" s="3" t="s">
        <v>798</v>
      </c>
      <c r="J180" s="3" t="s">
        <v>799</v>
      </c>
      <c r="K180" s="4">
        <v>3913</v>
      </c>
      <c r="L180" s="4">
        <v>0</v>
      </c>
      <c r="M180" s="4">
        <v>0</v>
      </c>
      <c r="N180" s="4">
        <v>3913</v>
      </c>
      <c r="O180" s="4">
        <f>Tab_10.Out[[#This Row],[DÉBITO]]-Tab_10.Out[[#This Row],[CRÉDITO]]</f>
        <v>0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A</v>
      </c>
      <c r="E181" s="2">
        <f>IF($I181="","",COUNTIFS(Tab_00.Trial[CONTA],$I181))</f>
        <v>1</v>
      </c>
      <c r="F181" s="4">
        <f>SUMIFS(Tab_09.Set[SALDO
ATUAL],Tab_09.Set[CONTA],$I181)</f>
        <v>264.66000000000003</v>
      </c>
      <c r="G181" s="4">
        <f t="shared" si="4"/>
        <v>0</v>
      </c>
      <c r="H181" s="2">
        <v>10160</v>
      </c>
      <c r="I181" s="3" t="s">
        <v>800</v>
      </c>
      <c r="J181" s="3" t="s">
        <v>801</v>
      </c>
      <c r="K181" s="4">
        <v>264.66000000000003</v>
      </c>
      <c r="L181" s="4">
        <v>125.39</v>
      </c>
      <c r="M181" s="4">
        <v>0</v>
      </c>
      <c r="N181" s="4">
        <v>390.05</v>
      </c>
      <c r="O181" s="4">
        <f>Tab_10.Out[[#This Row],[DÉBITO]]-Tab_10.Out[[#This Row],[CRÉDITO]]</f>
        <v>125.39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S</v>
      </c>
      <c r="E182" s="2">
        <f>IF($I182="","",COUNTIFS(Tab_00.Trial[CONTA],$I182))</f>
        <v>1</v>
      </c>
      <c r="F182" s="4">
        <f>SUMIFS(Tab_09.Set[SALDO
ATUAL],Tab_09.Set[CONTA],$I182)</f>
        <v>230804.85</v>
      </c>
      <c r="G182" s="4">
        <f t="shared" si="4"/>
        <v>0</v>
      </c>
      <c r="H182" s="2">
        <v>40150</v>
      </c>
      <c r="I182" s="3" t="s">
        <v>590</v>
      </c>
      <c r="J182" s="3" t="s">
        <v>697</v>
      </c>
      <c r="K182" s="4">
        <v>230804.85</v>
      </c>
      <c r="L182" s="4">
        <v>25971.57</v>
      </c>
      <c r="M182" s="4">
        <v>4352.32</v>
      </c>
      <c r="N182" s="4">
        <v>252424.1</v>
      </c>
      <c r="O182" s="4">
        <f>Tab_10.Out[[#This Row],[DÉBITO]]-Tab_10.Out[[#This Row],[CRÉDITO]]</f>
        <v>21619.25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A</v>
      </c>
      <c r="E183" s="2">
        <f>IF($I183="","",COUNTIFS(Tab_00.Trial[CONTA],$I183))</f>
        <v>1</v>
      </c>
      <c r="F183" s="4">
        <f>SUMIFS(Tab_09.Set[SALDO
ATUAL],Tab_09.Set[CONTA],$I183)</f>
        <v>222850.66</v>
      </c>
      <c r="G183" s="4">
        <f t="shared" si="4"/>
        <v>0</v>
      </c>
      <c r="H183" s="2">
        <v>40165</v>
      </c>
      <c r="I183" s="3" t="s">
        <v>434</v>
      </c>
      <c r="J183" s="3" t="s">
        <v>435</v>
      </c>
      <c r="K183" s="4">
        <v>222850.66</v>
      </c>
      <c r="L183" s="4">
        <v>25971.57</v>
      </c>
      <c r="M183" s="4">
        <v>3163.54</v>
      </c>
      <c r="N183" s="4">
        <v>245658.69</v>
      </c>
      <c r="O183" s="4">
        <f>Tab_10.Out[[#This Row],[DÉBITO]]-Tab_10.Out[[#This Row],[CRÉDITO]]</f>
        <v>22808.03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A</v>
      </c>
      <c r="E184" s="2">
        <f>IF($I184="","",COUNTIFS(Tab_00.Trial[CONTA],$I184))</f>
        <v>1</v>
      </c>
      <c r="F184" s="4">
        <f>SUMIFS(Tab_09.Set[SALDO
ATUAL],Tab_09.Set[CONTA],$I184)</f>
        <v>7954.19</v>
      </c>
      <c r="G184" s="4">
        <f t="shared" si="4"/>
        <v>0</v>
      </c>
      <c r="H184" s="2">
        <v>40195</v>
      </c>
      <c r="I184" s="3" t="s">
        <v>750</v>
      </c>
      <c r="J184" s="3" t="s">
        <v>751</v>
      </c>
      <c r="K184" s="4">
        <v>7954.19</v>
      </c>
      <c r="L184" s="4">
        <v>0</v>
      </c>
      <c r="M184" s="4">
        <v>1188.78</v>
      </c>
      <c r="N184" s="4">
        <v>6765.41</v>
      </c>
      <c r="O184" s="4">
        <f>Tab_10.Out[[#This Row],[DÉBITO]]-Tab_10.Out[[#This Row],[CRÉDITO]]</f>
        <v>-1188.78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S</v>
      </c>
      <c r="E185" s="2">
        <f>IF($I185="","",COUNTIFS(Tab_00.Trial[CONTA],$I185))</f>
        <v>1</v>
      </c>
      <c r="F185" s="4">
        <f>SUMIFS(Tab_09.Set[SALDO
ATUAL],Tab_09.Set[CONTA],$I185)</f>
        <v>190587.49</v>
      </c>
      <c r="G185" s="4">
        <f t="shared" si="4"/>
        <v>0</v>
      </c>
      <c r="H185" s="2">
        <v>40210</v>
      </c>
      <c r="I185" s="3" t="s">
        <v>591</v>
      </c>
      <c r="J185" s="3" t="s">
        <v>698</v>
      </c>
      <c r="K185" s="4">
        <v>190587.49</v>
      </c>
      <c r="L185" s="4">
        <v>14958.23</v>
      </c>
      <c r="M185" s="4">
        <v>0</v>
      </c>
      <c r="N185" s="4">
        <v>205545.72</v>
      </c>
      <c r="O185" s="4">
        <f>Tab_10.Out[[#This Row],[DÉBITO]]-Tab_10.Out[[#This Row],[CRÉDITO]]</f>
        <v>14958.23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A</v>
      </c>
      <c r="E186" s="2">
        <f>IF($I186="","",COUNTIFS(Tab_00.Trial[CONTA],$I186))</f>
        <v>1</v>
      </c>
      <c r="F186" s="4">
        <f>SUMIFS(Tab_09.Set[SALDO
ATUAL],Tab_09.Set[CONTA],$I186)</f>
        <v>149766.78</v>
      </c>
      <c r="G186" s="4">
        <f t="shared" si="4"/>
        <v>0</v>
      </c>
      <c r="H186" s="2">
        <v>40225</v>
      </c>
      <c r="I186" s="3" t="s">
        <v>436</v>
      </c>
      <c r="J186" s="3" t="s">
        <v>437</v>
      </c>
      <c r="K186" s="4">
        <v>149766.78</v>
      </c>
      <c r="L186" s="4">
        <v>10875.9</v>
      </c>
      <c r="M186" s="4">
        <v>0</v>
      </c>
      <c r="N186" s="4">
        <v>160642.68</v>
      </c>
      <c r="O186" s="4">
        <f>Tab_10.Out[[#This Row],[DÉBITO]]-Tab_10.Out[[#This Row],[CRÉDITO]]</f>
        <v>10875.9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A</v>
      </c>
      <c r="E187" s="2">
        <f>IF($I187="","",COUNTIFS(Tab_00.Trial[CONTA],$I187))</f>
        <v>1</v>
      </c>
      <c r="F187" s="4">
        <f>SUMIFS(Tab_09.Set[SALDO
ATUAL],Tab_09.Set[CONTA],$I187)</f>
        <v>35584.75</v>
      </c>
      <c r="G187" s="4">
        <f t="shared" si="4"/>
        <v>0</v>
      </c>
      <c r="H187" s="2">
        <v>40240</v>
      </c>
      <c r="I187" s="3" t="s">
        <v>438</v>
      </c>
      <c r="J187" s="3" t="s">
        <v>196</v>
      </c>
      <c r="K187" s="4">
        <v>35584.75</v>
      </c>
      <c r="L187" s="4">
        <v>3628.72</v>
      </c>
      <c r="M187" s="4">
        <v>0</v>
      </c>
      <c r="N187" s="4">
        <v>39213.47</v>
      </c>
      <c r="O187" s="4">
        <f>Tab_10.Out[[#This Row],[DÉBITO]]-Tab_10.Out[[#This Row],[CRÉDITO]]</f>
        <v>3628.72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A</v>
      </c>
      <c r="E188" s="2">
        <f>IF($I188="","",COUNTIFS(Tab_00.Trial[CONTA],$I188))</f>
        <v>1</v>
      </c>
      <c r="F188" s="4">
        <f>SUMIFS(Tab_09.Set[SALDO
ATUAL],Tab_09.Set[CONTA],$I188)</f>
        <v>5235.96</v>
      </c>
      <c r="G188" s="4">
        <f t="shared" si="4"/>
        <v>0</v>
      </c>
      <c r="H188" s="2">
        <v>40255</v>
      </c>
      <c r="I188" s="3" t="s">
        <v>439</v>
      </c>
      <c r="J188" s="3" t="s">
        <v>440</v>
      </c>
      <c r="K188" s="4">
        <v>5235.96</v>
      </c>
      <c r="L188" s="4">
        <v>453.61</v>
      </c>
      <c r="M188" s="4">
        <v>0</v>
      </c>
      <c r="N188" s="4">
        <v>5689.57</v>
      </c>
      <c r="O188" s="4">
        <f>Tab_10.Out[[#This Row],[DÉBITO]]-Tab_10.Out[[#This Row],[CRÉDITO]]</f>
        <v>453.61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S</v>
      </c>
      <c r="E189" s="2">
        <f>IF($I189="","",COUNTIFS(Tab_00.Trial[CONTA],$I189))</f>
        <v>1</v>
      </c>
      <c r="F189" s="4">
        <f>SUMIFS(Tab_09.Set[SALDO
ATUAL],Tab_09.Set[CONTA],$I189)</f>
        <v>10362.82</v>
      </c>
      <c r="G189" s="4">
        <f t="shared" si="4"/>
        <v>0</v>
      </c>
      <c r="H189" s="2">
        <v>40285</v>
      </c>
      <c r="I189" s="3" t="s">
        <v>592</v>
      </c>
      <c r="J189" s="3" t="s">
        <v>699</v>
      </c>
      <c r="K189" s="4">
        <v>10362.82</v>
      </c>
      <c r="L189" s="4">
        <v>2186.0500000000002</v>
      </c>
      <c r="M189" s="4">
        <v>0</v>
      </c>
      <c r="N189" s="4">
        <v>12548.87</v>
      </c>
      <c r="O189" s="4">
        <f>Tab_10.Out[[#This Row],[DÉBITO]]-Tab_10.Out[[#This Row],[CRÉDITO]]</f>
        <v>2186.0500000000002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A</v>
      </c>
      <c r="E190" s="2">
        <f>IF($I190="","",COUNTIFS(Tab_00.Trial[CONTA],$I190))</f>
        <v>1</v>
      </c>
      <c r="F190" s="4">
        <f>SUMIFS(Tab_09.Set[SALDO
ATUAL],Tab_09.Set[CONTA],$I190)</f>
        <v>9768.99</v>
      </c>
      <c r="G190" s="4">
        <f t="shared" si="4"/>
        <v>0</v>
      </c>
      <c r="H190" s="2">
        <v>40300</v>
      </c>
      <c r="I190" s="3" t="s">
        <v>397</v>
      </c>
      <c r="J190" s="3" t="s">
        <v>398</v>
      </c>
      <c r="K190" s="4">
        <v>9768.99</v>
      </c>
      <c r="L190" s="4">
        <v>1148.25</v>
      </c>
      <c r="M190" s="4">
        <v>0</v>
      </c>
      <c r="N190" s="4">
        <v>10917.24</v>
      </c>
      <c r="O190" s="4">
        <f>Tab_10.Out[[#This Row],[DÉBITO]]-Tab_10.Out[[#This Row],[CRÉDITO]]</f>
        <v>1148.25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A</v>
      </c>
      <c r="E191" s="2">
        <f>IF($I191="","",COUNTIFS(Tab_00.Trial[CONTA],$I191))</f>
        <v>1</v>
      </c>
      <c r="F191" s="4">
        <f>SUMIFS(Tab_09.Set[SALDO
ATUAL],Tab_09.Set[CONTA],$I191)</f>
        <v>593.83000000000004</v>
      </c>
      <c r="G191" s="4">
        <f t="shared" si="4"/>
        <v>0</v>
      </c>
      <c r="H191" s="2">
        <v>40315</v>
      </c>
      <c r="I191" s="3" t="s">
        <v>399</v>
      </c>
      <c r="J191" s="3" t="s">
        <v>400</v>
      </c>
      <c r="K191" s="4">
        <v>593.83000000000004</v>
      </c>
      <c r="L191" s="4">
        <v>1037.8</v>
      </c>
      <c r="M191" s="4">
        <v>0</v>
      </c>
      <c r="N191" s="4">
        <v>1631.63</v>
      </c>
      <c r="O191" s="4">
        <f>Tab_10.Out[[#This Row],[DÉBITO]]-Tab_10.Out[[#This Row],[CRÉDITO]]</f>
        <v>1037.8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S</v>
      </c>
      <c r="E192" s="2">
        <f>IF($I192="","",COUNTIFS(Tab_00.Trial[CONTA],$I192))</f>
        <v>1</v>
      </c>
      <c r="F192" s="4">
        <f>SUMIFS(Tab_09.Set[SALDO
ATUAL],Tab_09.Set[CONTA],$I192)</f>
        <v>321220.69</v>
      </c>
      <c r="G192" s="4">
        <f t="shared" si="4"/>
        <v>0</v>
      </c>
      <c r="H192" s="2">
        <v>40295</v>
      </c>
      <c r="I192" s="3" t="s">
        <v>593</v>
      </c>
      <c r="J192" s="3" t="s">
        <v>711</v>
      </c>
      <c r="K192" s="4">
        <v>321220.69</v>
      </c>
      <c r="L192" s="4">
        <v>32165.96</v>
      </c>
      <c r="M192" s="4">
        <v>0</v>
      </c>
      <c r="N192" s="4">
        <v>353386.65</v>
      </c>
      <c r="O192" s="4">
        <f>Tab_10.Out[[#This Row],[DÉBITO]]-Tab_10.Out[[#This Row],[CRÉDITO]]</f>
        <v>32165.96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5</v>
      </c>
      <c r="D193" s="2" t="str">
        <f>_xlfn.XLOOKUP($I193,Tab_00.Trial[CONTA],Tab_00.Trial[S/A],"",0,1)</f>
        <v>A</v>
      </c>
      <c r="E193" s="2">
        <f>IF($I193="","",COUNTIFS(Tab_00.Trial[CONTA],$I193))</f>
        <v>1</v>
      </c>
      <c r="F193" s="4">
        <f>SUMIFS(Tab_09.Set[SALDO
ATUAL],Tab_09.Set[CONTA],$I193)</f>
        <v>39293.440000000002</v>
      </c>
      <c r="G193" s="4">
        <f t="shared" si="4"/>
        <v>0</v>
      </c>
      <c r="H193" s="2">
        <v>40339</v>
      </c>
      <c r="I193" s="3" t="s">
        <v>403</v>
      </c>
      <c r="J193" s="3" t="s">
        <v>404</v>
      </c>
      <c r="K193" s="4">
        <v>39293.440000000002</v>
      </c>
      <c r="L193" s="4">
        <v>4415.96</v>
      </c>
      <c r="M193" s="4">
        <v>0</v>
      </c>
      <c r="N193" s="4">
        <v>43709.4</v>
      </c>
      <c r="O193" s="4">
        <f>Tab_10.Out[[#This Row],[DÉBITO]]-Tab_10.Out[[#This Row],[CRÉDITO]]</f>
        <v>4415.96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5</v>
      </c>
      <c r="D194" s="2" t="str">
        <f>_xlfn.XLOOKUP($I194,Tab_00.Trial[CONTA],Tab_00.Trial[S/A],"",0,1)</f>
        <v>A</v>
      </c>
      <c r="E194" s="2">
        <f>IF($I194="","",COUNTIFS(Tab_00.Trial[CONTA],$I194))</f>
        <v>1</v>
      </c>
      <c r="F194" s="4">
        <f>SUMIFS(Tab_09.Set[SALDO
ATUAL],Tab_09.Set[CONTA],$I194)</f>
        <v>261562</v>
      </c>
      <c r="G194" s="4">
        <f t="shared" si="4"/>
        <v>0</v>
      </c>
      <c r="H194" s="2">
        <v>40341</v>
      </c>
      <c r="I194" s="3" t="s">
        <v>405</v>
      </c>
      <c r="J194" s="3" t="s">
        <v>406</v>
      </c>
      <c r="K194" s="4">
        <v>261562</v>
      </c>
      <c r="L194" s="4">
        <v>27750</v>
      </c>
      <c r="M194" s="4">
        <v>0</v>
      </c>
      <c r="N194" s="4">
        <v>289312</v>
      </c>
      <c r="O194" s="4">
        <f>Tab_10.Out[[#This Row],[DÉBITO]]-Tab_10.Out[[#This Row],[CRÉDITO]]</f>
        <v>27750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A</v>
      </c>
      <c r="E195" s="2">
        <f>IF($I195="","",COUNTIFS(Tab_00.Trial[CONTA],$I195))</f>
        <v>1</v>
      </c>
      <c r="F195" s="4">
        <f>SUMIFS(Tab_09.Set[SALDO
ATUAL],Tab_09.Set[CONTA],$I195)</f>
        <v>20365.25</v>
      </c>
      <c r="G195" s="4">
        <f t="shared" si="4"/>
        <v>0</v>
      </c>
      <c r="H195" s="2">
        <v>40350</v>
      </c>
      <c r="I195" s="3" t="s">
        <v>407</v>
      </c>
      <c r="J195" s="3" t="s">
        <v>408</v>
      </c>
      <c r="K195" s="4">
        <v>20365.25</v>
      </c>
      <c r="L195" s="4">
        <v>0</v>
      </c>
      <c r="M195" s="4">
        <v>0</v>
      </c>
      <c r="N195" s="4">
        <v>20365.25</v>
      </c>
      <c r="O195" s="4">
        <f>Tab_10.Out[[#This Row],[DÉBITO]]-Tab_10.Out[[#This Row],[CRÉDITO]]</f>
        <v>0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S</v>
      </c>
      <c r="E196" s="2">
        <f>IF($I196="","",COUNTIFS(Tab_00.Trial[CONTA],$I196))</f>
        <v>1</v>
      </c>
      <c r="F196" s="4">
        <f>SUMIFS(Tab_09.Set[SALDO
ATUAL],Tab_09.Set[CONTA],$I196)</f>
        <v>126204.03</v>
      </c>
      <c r="G196" s="4">
        <f t="shared" si="4"/>
        <v>0</v>
      </c>
      <c r="H196" s="2">
        <v>40353</v>
      </c>
      <c r="I196" s="3" t="s">
        <v>594</v>
      </c>
      <c r="J196" s="3" t="s">
        <v>819</v>
      </c>
      <c r="K196" s="4">
        <v>126204.03</v>
      </c>
      <c r="L196" s="4">
        <v>19752.099999999999</v>
      </c>
      <c r="M196" s="4">
        <v>0</v>
      </c>
      <c r="N196" s="4">
        <v>145956.13</v>
      </c>
      <c r="O196" s="4">
        <f>Tab_10.Out[[#This Row],[DÉBITO]]-Tab_10.Out[[#This Row],[CRÉDITO]]</f>
        <v>19752.099999999999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5</v>
      </c>
      <c r="D197" s="2" t="str">
        <f>_xlfn.XLOOKUP($I197,Tab_00.Trial[CONTA],Tab_00.Trial[S/A],"",0,1)</f>
        <v>A</v>
      </c>
      <c r="E197" s="2">
        <f>IF($I197="","",COUNTIFS(Tab_00.Trial[CONTA],$I197))</f>
        <v>1</v>
      </c>
      <c r="F197" s="4">
        <f>SUMIFS(Tab_09.Set[SALDO
ATUAL],Tab_09.Set[CONTA],$I197)</f>
        <v>300</v>
      </c>
      <c r="G197" s="4">
        <f t="shared" si="4"/>
        <v>0</v>
      </c>
      <c r="H197" s="2">
        <v>40354</v>
      </c>
      <c r="I197" s="3" t="s">
        <v>411</v>
      </c>
      <c r="J197" s="3" t="s">
        <v>412</v>
      </c>
      <c r="K197" s="4">
        <v>300</v>
      </c>
      <c r="L197" s="4">
        <v>0</v>
      </c>
      <c r="M197" s="4">
        <v>0</v>
      </c>
      <c r="N197" s="4">
        <v>300</v>
      </c>
      <c r="O197" s="4">
        <f>Tab_10.Out[[#This Row],[DÉBITO]]-Tab_10.Out[[#This Row],[CRÉDITO]]</f>
        <v>0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5</v>
      </c>
      <c r="D198" s="2" t="str">
        <f>_xlfn.XLOOKUP($I198,Tab_00.Trial[CONTA],Tab_00.Trial[S/A],"",0,1)</f>
        <v>A</v>
      </c>
      <c r="E198" s="2">
        <f>IF($I198="","",COUNTIFS(Tab_00.Trial[CONTA],$I198))</f>
        <v>1</v>
      </c>
      <c r="F198" s="4">
        <f>SUMIFS(Tab_09.Set[SALDO
ATUAL],Tab_09.Set[CONTA],$I198)</f>
        <v>125851.57</v>
      </c>
      <c r="G198" s="4">
        <f t="shared" si="4"/>
        <v>0</v>
      </c>
      <c r="H198" s="2">
        <v>40355</v>
      </c>
      <c r="I198" s="3" t="s">
        <v>413</v>
      </c>
      <c r="J198" s="3" t="s">
        <v>414</v>
      </c>
      <c r="K198" s="4">
        <v>125851.57</v>
      </c>
      <c r="L198" s="4">
        <v>19752.099999999999</v>
      </c>
      <c r="M198" s="4">
        <v>0</v>
      </c>
      <c r="N198" s="4">
        <v>145603.67000000001</v>
      </c>
      <c r="O198" s="4">
        <f>Tab_10.Out[[#This Row],[DÉBITO]]-Tab_10.Out[[#This Row],[CRÉDITO]]</f>
        <v>19752.099999999999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5</v>
      </c>
      <c r="D199" s="2" t="str">
        <f>_xlfn.XLOOKUP($I199,Tab_00.Trial[CONTA],Tab_00.Trial[S/A],"",0,1)</f>
        <v>A</v>
      </c>
      <c r="E199" s="2">
        <f>IF($I199="","",COUNTIFS(Tab_00.Trial[CONTA],$I199))</f>
        <v>1</v>
      </c>
      <c r="F199" s="4">
        <f>SUMIFS(Tab_09.Set[SALDO
ATUAL],Tab_09.Set[CONTA],$I199)</f>
        <v>52.46</v>
      </c>
      <c r="G199" s="4">
        <f t="shared" si="4"/>
        <v>0</v>
      </c>
      <c r="H199" s="2">
        <v>40358</v>
      </c>
      <c r="I199" s="3" t="s">
        <v>417</v>
      </c>
      <c r="J199" s="3" t="s">
        <v>418</v>
      </c>
      <c r="K199" s="4">
        <v>52.46</v>
      </c>
      <c r="L199" s="4">
        <v>0</v>
      </c>
      <c r="M199" s="4">
        <v>0</v>
      </c>
      <c r="N199" s="4">
        <v>52.46</v>
      </c>
      <c r="O199" s="4">
        <f>Tab_10.Out[[#This Row],[DÉBITO]]-Tab_10.Out[[#This Row],[CRÉDITO]]</f>
        <v>0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5</v>
      </c>
      <c r="D200" s="2" t="str">
        <f>_xlfn.XLOOKUP($I200,Tab_00.Trial[CONTA],Tab_00.Trial[S/A],"",0,1)</f>
        <v>S</v>
      </c>
      <c r="E200" s="2">
        <f>IF($I200="","",COUNTIFS(Tab_00.Trial[CONTA],$I200))</f>
        <v>1</v>
      </c>
      <c r="F200" s="4">
        <f>SUMIFS(Tab_09.Set[SALDO
ATUAL],Tab_09.Set[CONTA],$I200)</f>
        <v>6240.61</v>
      </c>
      <c r="G200" s="4">
        <f t="shared" si="4"/>
        <v>0</v>
      </c>
      <c r="H200" s="2">
        <v>40365</v>
      </c>
      <c r="I200" s="3" t="s">
        <v>595</v>
      </c>
      <c r="J200" s="3" t="s">
        <v>420</v>
      </c>
      <c r="K200" s="4">
        <v>6240.61</v>
      </c>
      <c r="L200" s="4">
        <v>427.26</v>
      </c>
      <c r="M200" s="4">
        <v>0</v>
      </c>
      <c r="N200" s="4">
        <v>6667.87</v>
      </c>
      <c r="O200" s="4">
        <f>Tab_10.Out[[#This Row],[DÉBITO]]-Tab_10.Out[[#This Row],[CRÉDITO]]</f>
        <v>427.26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5</v>
      </c>
      <c r="D201" s="2" t="str">
        <f>_xlfn.XLOOKUP($I201,Tab_00.Trial[CONTA],Tab_00.Trial[S/A],"",0,1)</f>
        <v>A</v>
      </c>
      <c r="E201" s="2">
        <f>IF($I201="","",COUNTIFS(Tab_00.Trial[CONTA],$I201))</f>
        <v>1</v>
      </c>
      <c r="F201" s="4">
        <f>SUMIFS(Tab_09.Set[SALDO
ATUAL],Tab_09.Set[CONTA],$I201)</f>
        <v>6240.61</v>
      </c>
      <c r="G201" s="4">
        <f t="shared" si="4"/>
        <v>0</v>
      </c>
      <c r="H201" s="2">
        <v>40366</v>
      </c>
      <c r="I201" s="3" t="s">
        <v>419</v>
      </c>
      <c r="J201" s="3" t="s">
        <v>420</v>
      </c>
      <c r="K201" s="4">
        <v>6240.61</v>
      </c>
      <c r="L201" s="4">
        <v>427.26</v>
      </c>
      <c r="M201" s="4">
        <v>0</v>
      </c>
      <c r="N201" s="4">
        <v>6667.87</v>
      </c>
      <c r="O201" s="4">
        <f>Tab_10.Out[[#This Row],[DÉBITO]]-Tab_10.Out[[#This Row],[CRÉDITO]]</f>
        <v>427.26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5</v>
      </c>
      <c r="D202" s="2" t="str">
        <f>_xlfn.XLOOKUP($I202,Tab_00.Trial[CONTA],Tab_00.Trial[S/A],"",0,1)</f>
        <v>S</v>
      </c>
      <c r="E202" s="2">
        <f>IF($I202="","",COUNTIFS(Tab_00.Trial[CONTA],$I202))</f>
        <v>1</v>
      </c>
      <c r="F202" s="4">
        <f>SUMIFS(Tab_09.Set[SALDO
ATUAL],Tab_09.Set[CONTA],$I202)</f>
        <v>5912575.7699999996</v>
      </c>
      <c r="G202" s="4">
        <f t="shared" si="4"/>
        <v>0</v>
      </c>
      <c r="H202" s="2">
        <v>40345</v>
      </c>
      <c r="I202" s="3" t="s">
        <v>237</v>
      </c>
      <c r="J202" s="3" t="s">
        <v>702</v>
      </c>
      <c r="K202" s="4">
        <v>5912575.7699999996</v>
      </c>
      <c r="L202" s="4">
        <v>804164.96</v>
      </c>
      <c r="M202" s="4">
        <v>0</v>
      </c>
      <c r="N202" s="4">
        <v>6716740.7300000004</v>
      </c>
      <c r="O202" s="4">
        <f>Tab_10.Out[[#This Row],[DÉBITO]]-Tab_10.Out[[#This Row],[CRÉDITO]]</f>
        <v>804164.96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5</v>
      </c>
      <c r="D203" s="2" t="str">
        <f>_xlfn.XLOOKUP($I203,Tab_00.Trial[CONTA],Tab_00.Trial[S/A],"",0,1)</f>
        <v>S</v>
      </c>
      <c r="E203" s="2">
        <f>IF($I203="","",COUNTIFS(Tab_00.Trial[CONTA],$I203))</f>
        <v>1</v>
      </c>
      <c r="F203" s="4">
        <f>SUMIFS(Tab_09.Set[SALDO
ATUAL],Tab_09.Set[CONTA],$I203)</f>
        <v>5912575.7699999996</v>
      </c>
      <c r="G203" s="4">
        <f t="shared" si="4"/>
        <v>0</v>
      </c>
      <c r="H203" s="2">
        <v>40360</v>
      </c>
      <c r="I203" s="3" t="s">
        <v>238</v>
      </c>
      <c r="J203" s="3" t="s">
        <v>820</v>
      </c>
      <c r="K203" s="4">
        <v>5912575.7699999996</v>
      </c>
      <c r="L203" s="4">
        <v>804164.96</v>
      </c>
      <c r="M203" s="4">
        <v>0</v>
      </c>
      <c r="N203" s="4">
        <v>6716740.7300000004</v>
      </c>
      <c r="O203" s="4">
        <f>Tab_10.Out[[#This Row],[DÉBITO]]-Tab_10.Out[[#This Row],[CRÉDITO]]</f>
        <v>804164.96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5</v>
      </c>
      <c r="D204" s="2" t="str">
        <f>_xlfn.XLOOKUP($I204,Tab_00.Trial[CONTA],Tab_00.Trial[S/A],"",0,1)</f>
        <v>A</v>
      </c>
      <c r="E204" s="2">
        <f>IF($I204="","",COUNTIFS(Tab_00.Trial[CONTA],$I204))</f>
        <v>1</v>
      </c>
      <c r="F204" s="4">
        <f>SUMIFS(Tab_09.Set[SALDO
ATUAL],Tab_09.Set[CONTA],$I204)</f>
        <v>2125464.3199999998</v>
      </c>
      <c r="G204" s="4">
        <f t="shared" si="4"/>
        <v>0</v>
      </c>
      <c r="H204" s="2">
        <v>40425</v>
      </c>
      <c r="I204" s="3" t="s">
        <v>421</v>
      </c>
      <c r="J204" s="3" t="s">
        <v>422</v>
      </c>
      <c r="K204" s="4">
        <v>2125464.3199999998</v>
      </c>
      <c r="L204" s="4">
        <v>429781.84</v>
      </c>
      <c r="M204" s="4">
        <v>0</v>
      </c>
      <c r="N204" s="4">
        <v>2555246.16</v>
      </c>
      <c r="O204" s="4">
        <f>Tab_10.Out[[#This Row],[DÉBITO]]-Tab_10.Out[[#This Row],[CRÉDITO]]</f>
        <v>429781.84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5</v>
      </c>
      <c r="D205" s="2" t="str">
        <f>_xlfn.XLOOKUP($I205,Tab_00.Trial[CONTA],Tab_00.Trial[S/A],"",0,1)</f>
        <v>A</v>
      </c>
      <c r="E205" s="2">
        <f>IF($I205="","",COUNTIFS(Tab_00.Trial[CONTA],$I205))</f>
        <v>1</v>
      </c>
      <c r="F205" s="4">
        <f>SUMIFS(Tab_09.Set[SALDO
ATUAL],Tab_09.Set[CONTA],$I205)</f>
        <v>1184785.28</v>
      </c>
      <c r="G205" s="4">
        <f t="shared" si="4"/>
        <v>0</v>
      </c>
      <c r="H205" s="2">
        <v>40468</v>
      </c>
      <c r="I205" s="3" t="s">
        <v>738</v>
      </c>
      <c r="J205" s="3" t="s">
        <v>367</v>
      </c>
      <c r="K205" s="4">
        <v>1184785.28</v>
      </c>
      <c r="L205" s="4">
        <v>148911.84</v>
      </c>
      <c r="M205" s="4">
        <v>0</v>
      </c>
      <c r="N205" s="4">
        <v>1333697.1200000001</v>
      </c>
      <c r="O205" s="4">
        <f>Tab_10.Out[[#This Row],[DÉBITO]]-Tab_10.Out[[#This Row],[CRÉDITO]]</f>
        <v>148911.84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5</v>
      </c>
      <c r="D206" s="2" t="str">
        <f>_xlfn.XLOOKUP($I206,Tab_00.Trial[CONTA],Tab_00.Trial[S/A],"",0,1)</f>
        <v>A</v>
      </c>
      <c r="E206" s="2">
        <f>IF($I206="","",COUNTIFS(Tab_00.Trial[CONTA],$I206))</f>
        <v>1</v>
      </c>
      <c r="F206" s="4">
        <f>SUMIFS(Tab_09.Set[SALDO
ATUAL],Tab_09.Set[CONTA],$I206)</f>
        <v>2602326.17</v>
      </c>
      <c r="G206" s="4">
        <f t="shared" si="4"/>
        <v>0</v>
      </c>
      <c r="H206" s="2">
        <v>40469</v>
      </c>
      <c r="I206" s="3" t="s">
        <v>423</v>
      </c>
      <c r="J206" s="3" t="s">
        <v>424</v>
      </c>
      <c r="K206" s="4">
        <v>2602326.17</v>
      </c>
      <c r="L206" s="4">
        <v>225471.28</v>
      </c>
      <c r="M206" s="4">
        <v>0</v>
      </c>
      <c r="N206" s="4">
        <v>2827797.45</v>
      </c>
      <c r="O206" s="4">
        <f>Tab_10.Out[[#This Row],[DÉBITO]]-Tab_10.Out[[#This Row],[CRÉDITO]]</f>
        <v>225471.28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2</v>
      </c>
      <c r="D207" s="2" t="str">
        <f>_xlfn.XLOOKUP($I207,Tab_00.Trial[CONTA],Tab_00.Trial[S/A],"",0,1)</f>
        <v>S</v>
      </c>
      <c r="E207" s="2">
        <f>IF($I207="","",COUNTIFS(Tab_00.Trial[CONTA],$I207))</f>
        <v>1</v>
      </c>
      <c r="F207" s="4">
        <f>SUMIFS(Tab_09.Set[SALDO
ATUAL],Tab_09.Set[CONTA],$I207)</f>
        <v>824.67</v>
      </c>
      <c r="G207" s="4">
        <f t="shared" ref="G207:G269" si="5">$F207-$K207</f>
        <v>0</v>
      </c>
      <c r="H207" s="2">
        <v>40590</v>
      </c>
      <c r="I207" s="3" t="s">
        <v>596</v>
      </c>
      <c r="J207" s="3" t="s">
        <v>680</v>
      </c>
      <c r="K207" s="4">
        <v>824.67</v>
      </c>
      <c r="L207" s="4">
        <v>16.170000000000002</v>
      </c>
      <c r="M207" s="4">
        <v>0</v>
      </c>
      <c r="N207" s="4">
        <v>840.84</v>
      </c>
      <c r="O207" s="4">
        <f>Tab_10.Out[[#This Row],[DÉBITO]]-Tab_10.Out[[#This Row],[CRÉDITO]]</f>
        <v>16.170000000000002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5</v>
      </c>
      <c r="D208" s="2" t="str">
        <f>_xlfn.XLOOKUP($I208,Tab_00.Trial[CONTA],Tab_00.Trial[S/A],"",0,1)</f>
        <v>S</v>
      </c>
      <c r="E208" s="2">
        <f>IF($I208="","",COUNTIFS(Tab_00.Trial[CONTA],$I208))</f>
        <v>1</v>
      </c>
      <c r="F208" s="4">
        <f>SUMIFS(Tab_09.Set[SALDO
ATUAL],Tab_09.Set[CONTA],$I208)</f>
        <v>824.67</v>
      </c>
      <c r="G208" s="4">
        <f t="shared" si="5"/>
        <v>0</v>
      </c>
      <c r="H208" s="2">
        <v>40600</v>
      </c>
      <c r="I208" s="3" t="s">
        <v>597</v>
      </c>
      <c r="J208" s="3" t="s">
        <v>703</v>
      </c>
      <c r="K208" s="4">
        <v>824.67</v>
      </c>
      <c r="L208" s="4">
        <v>16.170000000000002</v>
      </c>
      <c r="M208" s="4">
        <v>0</v>
      </c>
      <c r="N208" s="4">
        <v>840.84</v>
      </c>
      <c r="O208" s="4">
        <f>Tab_10.Out[[#This Row],[DÉBITO]]-Tab_10.Out[[#This Row],[CRÉDITO]]</f>
        <v>16.170000000000002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5</v>
      </c>
      <c r="D209" s="2" t="str">
        <f>_xlfn.XLOOKUP($I209,Tab_00.Trial[CONTA],Tab_00.Trial[S/A],"",0,1)</f>
        <v>S</v>
      </c>
      <c r="E209" s="2">
        <f>IF($I209="","",COUNTIFS(Tab_00.Trial[CONTA],$I209))</f>
        <v>1</v>
      </c>
      <c r="F209" s="4">
        <f>SUMIFS(Tab_09.Set[SALDO
ATUAL],Tab_09.Set[CONTA],$I209)</f>
        <v>824.67</v>
      </c>
      <c r="G209" s="4">
        <f t="shared" si="5"/>
        <v>0</v>
      </c>
      <c r="H209" s="2">
        <v>40615</v>
      </c>
      <c r="I209" s="3" t="s">
        <v>598</v>
      </c>
      <c r="J209" s="3" t="s">
        <v>704</v>
      </c>
      <c r="K209" s="4">
        <v>824.67</v>
      </c>
      <c r="L209" s="4">
        <v>16.170000000000002</v>
      </c>
      <c r="M209" s="4">
        <v>0</v>
      </c>
      <c r="N209" s="4">
        <v>840.84</v>
      </c>
      <c r="O209" s="4">
        <f>Tab_10.Out[[#This Row],[DÉBITO]]-Tab_10.Out[[#This Row],[CRÉDITO]]</f>
        <v>16.170000000000002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5</v>
      </c>
      <c r="D210" s="2" t="str">
        <f>_xlfn.XLOOKUP($I210,Tab_00.Trial[CONTA],Tab_00.Trial[S/A],"",0,1)</f>
        <v>A</v>
      </c>
      <c r="E210" s="2">
        <f>IF($I210="","",COUNTIFS(Tab_00.Trial[CONTA],$I210))</f>
        <v>1</v>
      </c>
      <c r="F210" s="4">
        <f>SUMIFS(Tab_09.Set[SALDO
ATUAL],Tab_09.Set[CONTA],$I210)</f>
        <v>824.67</v>
      </c>
      <c r="G210" s="4">
        <f t="shared" si="5"/>
        <v>0</v>
      </c>
      <c r="H210" s="2">
        <v>40620</v>
      </c>
      <c r="I210" s="3" t="s">
        <v>425</v>
      </c>
      <c r="J210" s="3" t="s">
        <v>426</v>
      </c>
      <c r="K210" s="4">
        <v>824.67</v>
      </c>
      <c r="L210" s="4">
        <v>16.170000000000002</v>
      </c>
      <c r="M210" s="4">
        <v>0</v>
      </c>
      <c r="N210" s="4">
        <v>840.84</v>
      </c>
      <c r="O210" s="4">
        <f>Tab_10.Out[[#This Row],[DÉBITO]]-Tab_10.Out[[#This Row],[CRÉDITO]]</f>
        <v>16.170000000000002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1</v>
      </c>
      <c r="D211" s="2" t="str">
        <f>_xlfn.XLOOKUP($I211,Tab_00.Trial[CONTA],Tab_00.Trial[S/A],"",0,1)</f>
        <v>S</v>
      </c>
      <c r="E211" s="2">
        <f>IF($I211="","",COUNTIFS(Tab_00.Trial[CONTA],$I211))</f>
        <v>1</v>
      </c>
      <c r="F211" s="4">
        <f>SUMIFS(Tab_09.Set[SALDO
ATUAL],Tab_09.Set[CONTA],$I211)</f>
        <v>2611572.69</v>
      </c>
      <c r="G211" s="4">
        <f t="shared" si="5"/>
        <v>0</v>
      </c>
      <c r="H211" s="2">
        <v>50000</v>
      </c>
      <c r="I211" s="3">
        <v>5</v>
      </c>
      <c r="J211" s="3" t="s">
        <v>705</v>
      </c>
      <c r="K211" s="4">
        <v>2611572.69</v>
      </c>
      <c r="L211" s="4">
        <v>280801.28000000003</v>
      </c>
      <c r="M211" s="4">
        <v>10152.08</v>
      </c>
      <c r="N211" s="4">
        <v>2882221.89</v>
      </c>
      <c r="O211" s="4">
        <f>Tab_10.Out[[#This Row],[DÉBITO]]-Tab_10.Out[[#This Row],[CRÉDITO]]</f>
        <v>270649.2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2</v>
      </c>
      <c r="D212" s="2" t="str">
        <f>_xlfn.XLOOKUP($I212,Tab_00.Trial[CONTA],Tab_00.Trial[S/A],"",0,1)</f>
        <v>S</v>
      </c>
      <c r="E212" s="2">
        <f>IF($I212="","",COUNTIFS(Tab_00.Trial[CONTA],$I212))</f>
        <v>1</v>
      </c>
      <c r="F212" s="4">
        <f>SUMIFS(Tab_09.Set[SALDO
ATUAL],Tab_09.Set[CONTA],$I212)</f>
        <v>2611356.69</v>
      </c>
      <c r="G212" s="4">
        <f t="shared" si="5"/>
        <v>0</v>
      </c>
      <c r="H212" s="2">
        <v>50015</v>
      </c>
      <c r="I212" s="3" t="s">
        <v>599</v>
      </c>
      <c r="J212" s="3" t="s">
        <v>821</v>
      </c>
      <c r="K212" s="4">
        <v>2611356.69</v>
      </c>
      <c r="L212" s="4">
        <v>280801.28000000003</v>
      </c>
      <c r="M212" s="4">
        <v>10152.08</v>
      </c>
      <c r="N212" s="4">
        <v>2882005.89</v>
      </c>
      <c r="O212" s="4">
        <f>Tab_10.Out[[#This Row],[DÉBITO]]-Tab_10.Out[[#This Row],[CRÉDITO]]</f>
        <v>270649.2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S</v>
      </c>
      <c r="E213" s="2">
        <f>IF($I213="","",COUNTIFS(Tab_00.Trial[CONTA],$I213))</f>
        <v>1</v>
      </c>
      <c r="F213" s="4">
        <f>SUMIFS(Tab_09.Set[SALDO
ATUAL],Tab_09.Set[CONTA],$I213)</f>
        <v>941985.01</v>
      </c>
      <c r="G213" s="4">
        <f t="shared" si="5"/>
        <v>0</v>
      </c>
      <c r="H213" s="2">
        <v>50030</v>
      </c>
      <c r="I213" s="3" t="s">
        <v>600</v>
      </c>
      <c r="J213" s="3" t="s">
        <v>706</v>
      </c>
      <c r="K213" s="4">
        <v>941985.01</v>
      </c>
      <c r="L213" s="4">
        <v>83277.97</v>
      </c>
      <c r="M213" s="4">
        <v>10152.08</v>
      </c>
      <c r="N213" s="4">
        <v>1015110.9</v>
      </c>
      <c r="O213" s="4">
        <f>Tab_10.Out[[#This Row],[DÉBITO]]-Tab_10.Out[[#This Row],[CRÉDITO]]</f>
        <v>73125.89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5</v>
      </c>
      <c r="D214" s="2" t="str">
        <f>_xlfn.XLOOKUP($I214,Tab_00.Trial[CONTA],Tab_00.Trial[S/A],"",0,1)</f>
        <v>S</v>
      </c>
      <c r="E214" s="2">
        <f>IF($I214="","",COUNTIFS(Tab_00.Trial[CONTA],$I214))</f>
        <v>1</v>
      </c>
      <c r="F214" s="4">
        <f>SUMIFS(Tab_09.Set[SALDO
ATUAL],Tab_09.Set[CONTA],$I214)</f>
        <v>615045.84</v>
      </c>
      <c r="G214" s="4">
        <f t="shared" si="5"/>
        <v>0</v>
      </c>
      <c r="H214" s="2">
        <v>50045</v>
      </c>
      <c r="I214" s="3" t="s">
        <v>601</v>
      </c>
      <c r="J214" s="3" t="s">
        <v>707</v>
      </c>
      <c r="K214" s="4">
        <v>615045.84</v>
      </c>
      <c r="L214" s="4">
        <v>67518.399999999994</v>
      </c>
      <c r="M214" s="4">
        <v>10152.08</v>
      </c>
      <c r="N214" s="4">
        <v>672412.16000000003</v>
      </c>
      <c r="O214" s="4">
        <f>Tab_10.Out[[#This Row],[DÉBITO]]-Tab_10.Out[[#This Row],[CRÉDITO]]</f>
        <v>57366.32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A</v>
      </c>
      <c r="E215" s="2">
        <f>IF($I215="","",COUNTIFS(Tab_00.Trial[CONTA],$I215))</f>
        <v>1</v>
      </c>
      <c r="F215" s="4">
        <f>SUMIFS(Tab_09.Set[SALDO
ATUAL],Tab_09.Set[CONTA],$I215)</f>
        <v>398237.66</v>
      </c>
      <c r="G215" s="4">
        <f t="shared" si="5"/>
        <v>0</v>
      </c>
      <c r="H215" s="2">
        <v>50060</v>
      </c>
      <c r="I215" s="3" t="s">
        <v>441</v>
      </c>
      <c r="J215" s="3" t="s">
        <v>427</v>
      </c>
      <c r="K215" s="4">
        <v>398237.66</v>
      </c>
      <c r="L215" s="4">
        <v>55771.67</v>
      </c>
      <c r="M215" s="4">
        <v>10152.08</v>
      </c>
      <c r="N215" s="4">
        <v>443857.25</v>
      </c>
      <c r="O215" s="4">
        <f>Tab_10.Out[[#This Row],[DÉBITO]]-Tab_10.Out[[#This Row],[CRÉDITO]]</f>
        <v>45619.59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A</v>
      </c>
      <c r="E216" s="2">
        <f>IF($I216="","",COUNTIFS(Tab_00.Trial[CONTA],$I216))</f>
        <v>1</v>
      </c>
      <c r="F216" s="4">
        <f>SUMIFS(Tab_09.Set[SALDO
ATUAL],Tab_09.Set[CONTA],$I216)</f>
        <v>55069.19</v>
      </c>
      <c r="G216" s="4">
        <f t="shared" si="5"/>
        <v>0</v>
      </c>
      <c r="H216" s="2">
        <v>50090</v>
      </c>
      <c r="I216" s="3" t="s">
        <v>443</v>
      </c>
      <c r="J216" s="3" t="s">
        <v>431</v>
      </c>
      <c r="K216" s="4">
        <v>55069.19</v>
      </c>
      <c r="L216" s="4">
        <v>0</v>
      </c>
      <c r="M216" s="4">
        <v>0</v>
      </c>
      <c r="N216" s="4">
        <v>55069.19</v>
      </c>
      <c r="O216" s="4">
        <f>Tab_10.Out[[#This Row],[DÉBITO]]-Tab_10.Out[[#This Row],[CRÉDITO]]</f>
        <v>0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A</v>
      </c>
      <c r="E217" s="2">
        <f>IF($I217="","",COUNTIFS(Tab_00.Trial[CONTA],$I217))</f>
        <v>1</v>
      </c>
      <c r="F217" s="4">
        <f>SUMIFS(Tab_09.Set[SALDO
ATUAL],Tab_09.Set[CONTA],$I217)</f>
        <v>41199.1</v>
      </c>
      <c r="G217" s="4">
        <f t="shared" si="5"/>
        <v>0</v>
      </c>
      <c r="H217" s="2">
        <v>50105</v>
      </c>
      <c r="I217" s="3" t="s">
        <v>444</v>
      </c>
      <c r="J217" s="3" t="s">
        <v>433</v>
      </c>
      <c r="K217" s="4">
        <v>41199.1</v>
      </c>
      <c r="L217" s="4">
        <v>8651.6</v>
      </c>
      <c r="M217" s="4">
        <v>0</v>
      </c>
      <c r="N217" s="4">
        <v>49850.7</v>
      </c>
      <c r="O217" s="4">
        <f>Tab_10.Out[[#This Row],[DÉBITO]]-Tab_10.Out[[#This Row],[CRÉDITO]]</f>
        <v>8651.6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A</v>
      </c>
      <c r="E218" s="2">
        <f>IF($I218="","",COUNTIFS(Tab_00.Trial[CONTA],$I218))</f>
        <v>1</v>
      </c>
      <c r="F218" s="4">
        <f>SUMIFS(Tab_09.Set[SALDO
ATUAL],Tab_09.Set[CONTA],$I218)</f>
        <v>85959.77</v>
      </c>
      <c r="G218" s="4">
        <f t="shared" si="5"/>
        <v>0</v>
      </c>
      <c r="H218" s="2">
        <v>50120</v>
      </c>
      <c r="I218" s="3" t="s">
        <v>775</v>
      </c>
      <c r="J218" s="3" t="s">
        <v>749</v>
      </c>
      <c r="K218" s="4">
        <v>85959.77</v>
      </c>
      <c r="L218" s="4">
        <v>0</v>
      </c>
      <c r="M218" s="4">
        <v>0</v>
      </c>
      <c r="N218" s="4">
        <v>85959.77</v>
      </c>
      <c r="O218" s="4">
        <f>Tab_10.Out[[#This Row],[DÉBITO]]-Tab_10.Out[[#This Row],[CRÉDITO]]</f>
        <v>0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A</v>
      </c>
      <c r="E219" s="2">
        <f>IF($I219="","",COUNTIFS(Tab_00.Trial[CONTA],$I219))</f>
        <v>1</v>
      </c>
      <c r="F219" s="4">
        <f>SUMIFS(Tab_09.Set[SALDO
ATUAL],Tab_09.Set[CONTA],$I219)</f>
        <v>1576.67</v>
      </c>
      <c r="G219" s="4">
        <f t="shared" si="5"/>
        <v>0</v>
      </c>
      <c r="H219" s="2">
        <v>50205</v>
      </c>
      <c r="I219" s="3" t="s">
        <v>447</v>
      </c>
      <c r="J219" s="3" t="s">
        <v>448</v>
      </c>
      <c r="K219" s="4">
        <v>1576.67</v>
      </c>
      <c r="L219" s="4">
        <v>0</v>
      </c>
      <c r="M219" s="4">
        <v>0</v>
      </c>
      <c r="N219" s="4">
        <v>1576.67</v>
      </c>
      <c r="O219" s="4">
        <f>Tab_10.Out[[#This Row],[DÉBITO]]-Tab_10.Out[[#This Row],[CRÉDITO]]</f>
        <v>0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A</v>
      </c>
      <c r="E220" s="2">
        <f>IF($I220="","",COUNTIFS(Tab_00.Trial[CONTA],$I220))</f>
        <v>1</v>
      </c>
      <c r="F220" s="4">
        <f>SUMIFS(Tab_09.Set[SALDO
ATUAL],Tab_09.Set[CONTA],$I220)</f>
        <v>8227.25</v>
      </c>
      <c r="G220" s="4">
        <f t="shared" si="5"/>
        <v>0</v>
      </c>
      <c r="H220" s="2">
        <v>10167</v>
      </c>
      <c r="I220" s="3" t="s">
        <v>802</v>
      </c>
      <c r="J220" s="3" t="s">
        <v>791</v>
      </c>
      <c r="K220" s="4">
        <v>8227.25</v>
      </c>
      <c r="L220" s="4">
        <v>0</v>
      </c>
      <c r="M220" s="4">
        <v>0</v>
      </c>
      <c r="N220" s="4">
        <v>8227.25</v>
      </c>
      <c r="O220" s="4">
        <f>Tab_10.Out[[#This Row],[DÉBITO]]-Tab_10.Out[[#This Row],[CRÉDITO]]</f>
        <v>0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A</v>
      </c>
      <c r="E221" s="2">
        <f>IF($I221="","",COUNTIFS(Tab_00.Trial[CONTA],$I221))</f>
        <v>1</v>
      </c>
      <c r="F221" s="4">
        <f>SUMIFS(Tab_09.Set[SALDO
ATUAL],Tab_09.Set[CONTA],$I221)</f>
        <v>11878.87</v>
      </c>
      <c r="G221" s="4">
        <f t="shared" si="5"/>
        <v>0</v>
      </c>
      <c r="H221" s="2">
        <v>10174</v>
      </c>
      <c r="I221" s="3" t="s">
        <v>803</v>
      </c>
      <c r="J221" s="3" t="s">
        <v>793</v>
      </c>
      <c r="K221" s="4">
        <v>11878.87</v>
      </c>
      <c r="L221" s="4">
        <v>0</v>
      </c>
      <c r="M221" s="4">
        <v>0</v>
      </c>
      <c r="N221" s="4">
        <v>11878.87</v>
      </c>
      <c r="O221" s="4">
        <f>Tab_10.Out[[#This Row],[DÉBITO]]-Tab_10.Out[[#This Row],[CRÉDITO]]</f>
        <v>0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A</v>
      </c>
      <c r="E222" s="2">
        <f>IF($I222="","",COUNTIFS(Tab_00.Trial[CONTA],$I222))</f>
        <v>1</v>
      </c>
      <c r="F222" s="4">
        <f>SUMIFS(Tab_09.Set[SALDO
ATUAL],Tab_09.Set[CONTA],$I222)</f>
        <v>272.25</v>
      </c>
      <c r="G222" s="4">
        <f t="shared" si="5"/>
        <v>0</v>
      </c>
      <c r="H222" s="2">
        <v>10181</v>
      </c>
      <c r="I222" s="3" t="s">
        <v>804</v>
      </c>
      <c r="J222" s="3" t="s">
        <v>795</v>
      </c>
      <c r="K222" s="4">
        <v>272.25</v>
      </c>
      <c r="L222" s="4">
        <v>0</v>
      </c>
      <c r="M222" s="4">
        <v>0</v>
      </c>
      <c r="N222" s="4">
        <v>272.25</v>
      </c>
      <c r="O222" s="4">
        <f>Tab_10.Out[[#This Row],[DÉBITO]]-Tab_10.Out[[#This Row],[CRÉDITO]]</f>
        <v>0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A</v>
      </c>
      <c r="E223" s="2">
        <f>IF($I223="","",COUNTIFS(Tab_00.Trial[CONTA],$I223))</f>
        <v>1</v>
      </c>
      <c r="F223" s="4">
        <f>SUMIFS(Tab_09.Set[SALDO
ATUAL],Tab_09.Set[CONTA],$I223)</f>
        <v>9441.61</v>
      </c>
      <c r="G223" s="4">
        <f t="shared" si="5"/>
        <v>0</v>
      </c>
      <c r="H223" s="2">
        <v>10188</v>
      </c>
      <c r="I223" s="3" t="s">
        <v>805</v>
      </c>
      <c r="J223" s="3" t="s">
        <v>797</v>
      </c>
      <c r="K223" s="4">
        <v>9441.61</v>
      </c>
      <c r="L223" s="4">
        <v>2316.54</v>
      </c>
      <c r="M223" s="4">
        <v>0</v>
      </c>
      <c r="N223" s="4">
        <v>11758.15</v>
      </c>
      <c r="O223" s="4">
        <f>Tab_10.Out[[#This Row],[DÉBITO]]-Tab_10.Out[[#This Row],[CRÉDITO]]</f>
        <v>2316.54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A</v>
      </c>
      <c r="E224" s="2">
        <f>IF($I224="","",COUNTIFS(Tab_00.Trial[CONTA],$I224))</f>
        <v>1</v>
      </c>
      <c r="F224" s="4">
        <f>SUMIFS(Tab_09.Set[SALDO
ATUAL],Tab_09.Set[CONTA],$I224)</f>
        <v>2818.32</v>
      </c>
      <c r="G224" s="4">
        <f t="shared" si="5"/>
        <v>0</v>
      </c>
      <c r="H224" s="2">
        <v>10202</v>
      </c>
      <c r="I224" s="3" t="s">
        <v>806</v>
      </c>
      <c r="J224" s="3" t="s">
        <v>799</v>
      </c>
      <c r="K224" s="4">
        <v>2818.32</v>
      </c>
      <c r="L224" s="4">
        <v>692.14</v>
      </c>
      <c r="M224" s="4">
        <v>0</v>
      </c>
      <c r="N224" s="4">
        <v>3510.46</v>
      </c>
      <c r="O224" s="4">
        <f>Tab_10.Out[[#This Row],[DÉBITO]]-Tab_10.Out[[#This Row],[CRÉDITO]]</f>
        <v>692.14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A</v>
      </c>
      <c r="E225" s="2">
        <f>IF($I225="","",COUNTIFS(Tab_00.Trial[CONTA],$I225))</f>
        <v>1</v>
      </c>
      <c r="F225" s="4">
        <f>SUMIFS(Tab_09.Set[SALDO
ATUAL],Tab_09.Set[CONTA],$I225)</f>
        <v>365.15</v>
      </c>
      <c r="G225" s="4">
        <f t="shared" si="5"/>
        <v>0</v>
      </c>
      <c r="H225" s="192">
        <v>10209</v>
      </c>
      <c r="I225" s="3" t="s">
        <v>807</v>
      </c>
      <c r="J225" s="3" t="s">
        <v>801</v>
      </c>
      <c r="K225" s="4">
        <v>365.15</v>
      </c>
      <c r="L225" s="4">
        <v>86.45</v>
      </c>
      <c r="M225" s="4">
        <v>0</v>
      </c>
      <c r="N225" s="4">
        <v>451.6</v>
      </c>
      <c r="O225" s="4">
        <f>Tab_10.Out[[#This Row],[DÉBITO]]-Tab_10.Out[[#This Row],[CRÉDITO]]</f>
        <v>86.45</v>
      </c>
    </row>
    <row r="226" spans="2:15" x14ac:dyDescent="0.3">
      <c r="B226" s="2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S</v>
      </c>
      <c r="E226" s="2">
        <f>IF($I226="","",COUNTIFS(Tab_00.Trial[CONTA],$I226))</f>
        <v>1</v>
      </c>
      <c r="F226" s="4">
        <f>SUMIFS(Tab_09.Set[SALDO
ATUAL],Tab_09.Set[CONTA],$I226)</f>
        <v>1014</v>
      </c>
      <c r="G226" s="4">
        <f t="shared" si="5"/>
        <v>0</v>
      </c>
      <c r="H226" s="192">
        <v>50150</v>
      </c>
      <c r="I226" s="3" t="s">
        <v>602</v>
      </c>
      <c r="J226" s="3" t="s">
        <v>708</v>
      </c>
      <c r="K226" s="4">
        <v>1014</v>
      </c>
      <c r="L226" s="4">
        <v>0</v>
      </c>
      <c r="M226" s="4">
        <v>0</v>
      </c>
      <c r="N226" s="4">
        <v>1014</v>
      </c>
      <c r="O226" s="4">
        <f>Tab_10.Out[[#This Row],[DÉBITO]]-Tab_10.Out[[#This Row],[CRÉDITO]]</f>
        <v>0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A</v>
      </c>
      <c r="E227" s="2">
        <f>IF($I227="","",COUNTIFS(Tab_00.Trial[CONTA],$I227))</f>
        <v>1</v>
      </c>
      <c r="F227" s="4">
        <f>SUMIFS(Tab_09.Set[SALDO
ATUAL],Tab_09.Set[CONTA],$I227)</f>
        <v>1014</v>
      </c>
      <c r="G227" s="4">
        <f t="shared" si="5"/>
        <v>0</v>
      </c>
      <c r="H227" s="192">
        <v>50211</v>
      </c>
      <c r="I227" s="3" t="s">
        <v>455</v>
      </c>
      <c r="J227" s="3" t="s">
        <v>456</v>
      </c>
      <c r="K227" s="4">
        <v>1014</v>
      </c>
      <c r="L227" s="4">
        <v>0</v>
      </c>
      <c r="M227" s="4">
        <v>0</v>
      </c>
      <c r="N227" s="4">
        <v>1014</v>
      </c>
      <c r="O227" s="4">
        <f>Tab_10.Out[[#This Row],[DÉBITO]]-Tab_10.Out[[#This Row],[CRÉDITO]]</f>
        <v>0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S</v>
      </c>
      <c r="E228" s="2">
        <f>IF($I228="","",COUNTIFS(Tab_00.Trial[CONTA],$I228))</f>
        <v>1</v>
      </c>
      <c r="F228" s="4">
        <f>SUMIFS(Tab_09.Set[SALDO
ATUAL],Tab_09.Set[CONTA],$I228)</f>
        <v>323000.17</v>
      </c>
      <c r="G228" s="4">
        <f t="shared" si="5"/>
        <v>0</v>
      </c>
      <c r="H228" s="192">
        <v>50215</v>
      </c>
      <c r="I228" s="3" t="s">
        <v>603</v>
      </c>
      <c r="J228" s="3" t="s">
        <v>709</v>
      </c>
      <c r="K228" s="4">
        <v>323000.17</v>
      </c>
      <c r="L228" s="4">
        <v>15479.57</v>
      </c>
      <c r="M228" s="4">
        <v>0</v>
      </c>
      <c r="N228" s="4">
        <v>338479.74</v>
      </c>
      <c r="O228" s="4">
        <f>Tab_10.Out[[#This Row],[DÉBITO]]-Tab_10.Out[[#This Row],[CRÉDITO]]</f>
        <v>15479.57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A</v>
      </c>
      <c r="E229" s="2">
        <f>IF($I229="","",COUNTIFS(Tab_00.Trial[CONTA],$I229))</f>
        <v>1</v>
      </c>
      <c r="F229" s="4">
        <f>SUMIFS(Tab_09.Set[SALDO
ATUAL],Tab_09.Set[CONTA],$I229)</f>
        <v>103942.8</v>
      </c>
      <c r="G229" s="4">
        <f t="shared" si="5"/>
        <v>0</v>
      </c>
      <c r="H229" s="192">
        <v>50225</v>
      </c>
      <c r="I229" s="3" t="s">
        <v>451</v>
      </c>
      <c r="J229" s="3" t="s">
        <v>437</v>
      </c>
      <c r="K229" s="4">
        <v>103942.8</v>
      </c>
      <c r="L229" s="4">
        <v>11588.06</v>
      </c>
      <c r="M229" s="4">
        <v>0</v>
      </c>
      <c r="N229" s="4">
        <v>115530.86</v>
      </c>
      <c r="O229" s="4">
        <f>Tab_10.Out[[#This Row],[DÉBITO]]-Tab_10.Out[[#This Row],[CRÉDITO]]</f>
        <v>11588.06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A</v>
      </c>
      <c r="E230" s="2">
        <f>IF($I230="","",COUNTIFS(Tab_00.Trial[CONTA],$I230))</f>
        <v>1</v>
      </c>
      <c r="F230" s="4">
        <f>SUMIFS(Tab_09.Set[SALDO
ATUAL],Tab_09.Set[CONTA],$I230)</f>
        <v>215178.31</v>
      </c>
      <c r="G230" s="4">
        <f t="shared" si="5"/>
        <v>0</v>
      </c>
      <c r="H230" s="192">
        <v>50240</v>
      </c>
      <c r="I230" s="3" t="s">
        <v>452</v>
      </c>
      <c r="J230" s="3" t="s">
        <v>196</v>
      </c>
      <c r="K230" s="4">
        <v>215178.31</v>
      </c>
      <c r="L230" s="4">
        <v>3459.12</v>
      </c>
      <c r="M230" s="4">
        <v>0</v>
      </c>
      <c r="N230" s="4">
        <v>218637.43</v>
      </c>
      <c r="O230" s="4">
        <f>Tab_10.Out[[#This Row],[DÉBITO]]-Tab_10.Out[[#This Row],[CRÉDITO]]</f>
        <v>3459.12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A</v>
      </c>
      <c r="E231" s="2">
        <f>IF($I231="","",COUNTIFS(Tab_00.Trial[CONTA],$I231))</f>
        <v>1</v>
      </c>
      <c r="F231" s="4">
        <f>SUMIFS(Tab_09.Set[SALDO
ATUAL],Tab_09.Set[CONTA],$I231)</f>
        <v>3879.06</v>
      </c>
      <c r="G231" s="4">
        <f t="shared" si="5"/>
        <v>0</v>
      </c>
      <c r="H231" s="192">
        <v>50255</v>
      </c>
      <c r="I231" s="3" t="s">
        <v>453</v>
      </c>
      <c r="J231" s="3" t="s">
        <v>454</v>
      </c>
      <c r="K231" s="4">
        <v>3879.06</v>
      </c>
      <c r="L231" s="4">
        <v>432.39</v>
      </c>
      <c r="M231" s="4">
        <v>0</v>
      </c>
      <c r="N231" s="4">
        <v>4311.45</v>
      </c>
      <c r="O231" s="4">
        <f>Tab_10.Out[[#This Row],[DÉBITO]]-Tab_10.Out[[#This Row],[CRÉDITO]]</f>
        <v>432.39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S</v>
      </c>
      <c r="E232" s="2">
        <f>IF($I232="","",COUNTIFS(Tab_00.Trial[CONTA],$I232))</f>
        <v>1</v>
      </c>
      <c r="F232" s="4">
        <f>SUMIFS(Tab_09.Set[SALDO
ATUAL],Tab_09.Set[CONTA],$I232)</f>
        <v>2925</v>
      </c>
      <c r="G232" s="4">
        <f t="shared" si="5"/>
        <v>0</v>
      </c>
      <c r="H232" s="192">
        <v>50290</v>
      </c>
      <c r="I232" s="3" t="s">
        <v>604</v>
      </c>
      <c r="J232" s="3" t="s">
        <v>710</v>
      </c>
      <c r="K232" s="4">
        <v>2925</v>
      </c>
      <c r="L232" s="4">
        <v>280</v>
      </c>
      <c r="M232" s="4">
        <v>0</v>
      </c>
      <c r="N232" s="4">
        <v>3205</v>
      </c>
      <c r="O232" s="4">
        <f>Tab_10.Out[[#This Row],[DÉBITO]]-Tab_10.Out[[#This Row],[CRÉDITO]]</f>
        <v>280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A</v>
      </c>
      <c r="E233" s="2">
        <f>IF($I233="","",COUNTIFS(Tab_00.Trial[CONTA],$I233))</f>
        <v>1</v>
      </c>
      <c r="F233" s="4">
        <f>SUMIFS(Tab_09.Set[SALDO
ATUAL],Tab_09.Set[CONTA],$I233)</f>
        <v>2925</v>
      </c>
      <c r="G233" s="4">
        <f t="shared" si="5"/>
        <v>0</v>
      </c>
      <c r="H233" s="192">
        <v>50295</v>
      </c>
      <c r="I233" s="3" t="s">
        <v>457</v>
      </c>
      <c r="J233" s="3" t="s">
        <v>458</v>
      </c>
      <c r="K233" s="4">
        <v>2925</v>
      </c>
      <c r="L233" s="4">
        <v>280</v>
      </c>
      <c r="M233" s="4">
        <v>0</v>
      </c>
      <c r="N233" s="4">
        <v>3205</v>
      </c>
      <c r="O233" s="4">
        <f>Tab_10.Out[[#This Row],[DÉBITO]]-Tab_10.Out[[#This Row],[CRÉDITO]]</f>
        <v>280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S</v>
      </c>
      <c r="E234" s="2">
        <f>IF($I234="","",COUNTIFS(Tab_00.Trial[CONTA],$I234))</f>
        <v>1</v>
      </c>
      <c r="F234" s="4">
        <f>SUMIFS(Tab_09.Set[SALDO
ATUAL],Tab_09.Set[CONTA],$I234)</f>
        <v>1358889.56</v>
      </c>
      <c r="G234" s="4">
        <f t="shared" si="5"/>
        <v>0</v>
      </c>
      <c r="H234" s="192">
        <v>50285</v>
      </c>
      <c r="I234" s="3" t="s">
        <v>605</v>
      </c>
      <c r="J234" s="3" t="s">
        <v>711</v>
      </c>
      <c r="K234" s="4">
        <v>1358889.56</v>
      </c>
      <c r="L234" s="4">
        <v>161531.21</v>
      </c>
      <c r="M234" s="4">
        <v>0</v>
      </c>
      <c r="N234" s="4">
        <v>1520420.77</v>
      </c>
      <c r="O234" s="4">
        <f>Tab_10.Out[[#This Row],[DÉBITO]]-Tab_10.Out[[#This Row],[CRÉDITO]]</f>
        <v>161531.21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S</v>
      </c>
      <c r="E235" s="2">
        <f>IF($I235="","",COUNTIFS(Tab_00.Trial[CONTA],$I235))</f>
        <v>1</v>
      </c>
      <c r="F235" s="4">
        <f>SUMIFS(Tab_09.Set[SALDO
ATUAL],Tab_09.Set[CONTA],$I235)</f>
        <v>612194.82999999996</v>
      </c>
      <c r="G235" s="4">
        <f t="shared" si="5"/>
        <v>0</v>
      </c>
      <c r="H235" s="192">
        <v>50300</v>
      </c>
      <c r="I235" s="3" t="s">
        <v>606</v>
      </c>
      <c r="J235" s="3" t="s">
        <v>712</v>
      </c>
      <c r="K235" s="4">
        <v>612194.82999999996</v>
      </c>
      <c r="L235" s="4">
        <v>78565.13</v>
      </c>
      <c r="M235" s="4">
        <v>0</v>
      </c>
      <c r="N235" s="4">
        <v>690759.96</v>
      </c>
      <c r="O235" s="4">
        <f>Tab_10.Out[[#This Row],[DÉBITO]]-Tab_10.Out[[#This Row],[CRÉDITO]]</f>
        <v>78565.13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A</v>
      </c>
      <c r="E236" s="2">
        <f>IF($I236="","",COUNTIFS(Tab_00.Trial[CONTA],$I236))</f>
        <v>1</v>
      </c>
      <c r="F236" s="4">
        <f>SUMIFS(Tab_09.Set[SALDO
ATUAL],Tab_09.Set[CONTA],$I236)</f>
        <v>70601.56</v>
      </c>
      <c r="G236" s="4">
        <f t="shared" si="5"/>
        <v>0</v>
      </c>
      <c r="H236" s="192">
        <v>50315</v>
      </c>
      <c r="I236" s="3" t="s">
        <v>459</v>
      </c>
      <c r="J236" s="3" t="s">
        <v>460</v>
      </c>
      <c r="K236" s="4">
        <v>70601.56</v>
      </c>
      <c r="L236" s="4">
        <v>9157.56</v>
      </c>
      <c r="M236" s="4">
        <v>0</v>
      </c>
      <c r="N236" s="4">
        <v>79759.12</v>
      </c>
      <c r="O236" s="4">
        <f>Tab_10.Out[[#This Row],[DÉBITO]]-Tab_10.Out[[#This Row],[CRÉDITO]]</f>
        <v>9157.56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A</v>
      </c>
      <c r="E237" s="2">
        <f>IF($I237="","",COUNTIFS(Tab_00.Trial[CONTA],$I237))</f>
        <v>1</v>
      </c>
      <c r="F237" s="4">
        <f>SUMIFS(Tab_09.Set[SALDO
ATUAL],Tab_09.Set[CONTA],$I237)</f>
        <v>131622.1</v>
      </c>
      <c r="G237" s="4">
        <f t="shared" si="5"/>
        <v>0</v>
      </c>
      <c r="H237" s="192">
        <v>50330</v>
      </c>
      <c r="I237" s="3" t="s">
        <v>461</v>
      </c>
      <c r="J237" s="3" t="s">
        <v>462</v>
      </c>
      <c r="K237" s="4">
        <v>131622.1</v>
      </c>
      <c r="L237" s="4">
        <v>12350</v>
      </c>
      <c r="M237" s="4">
        <v>0</v>
      </c>
      <c r="N237" s="4">
        <v>143972.1</v>
      </c>
      <c r="O237" s="4">
        <f>Tab_10.Out[[#This Row],[DÉBITO]]-Tab_10.Out[[#This Row],[CRÉDITO]]</f>
        <v>12350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A</v>
      </c>
      <c r="E238" s="2">
        <f>IF($I238="","",COUNTIFS(Tab_00.Trial[CONTA],$I238))</f>
        <v>1</v>
      </c>
      <c r="F238" s="4">
        <f>SUMIFS(Tab_09.Set[SALDO
ATUAL],Tab_09.Set[CONTA],$I238)</f>
        <v>21500.01</v>
      </c>
      <c r="G238" s="4">
        <f t="shared" si="5"/>
        <v>0</v>
      </c>
      <c r="H238" s="192">
        <v>50345</v>
      </c>
      <c r="I238" s="3" t="s">
        <v>463</v>
      </c>
      <c r="J238" s="3" t="s">
        <v>464</v>
      </c>
      <c r="K238" s="4">
        <v>21500.01</v>
      </c>
      <c r="L238" s="4">
        <v>0</v>
      </c>
      <c r="M238" s="4">
        <v>0</v>
      </c>
      <c r="N238" s="4">
        <v>21500.01</v>
      </c>
      <c r="O238" s="4">
        <f>Tab_10.Out[[#This Row],[DÉBITO]]-Tab_10.Out[[#This Row],[CRÉDITO]]</f>
        <v>0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A</v>
      </c>
      <c r="E239" s="2">
        <f>IF($I239="","",COUNTIFS(Tab_00.Trial[CONTA],$I239))</f>
        <v>1</v>
      </c>
      <c r="F239" s="4">
        <f>SUMIFS(Tab_09.Set[SALDO
ATUAL],Tab_09.Set[CONTA],$I239)</f>
        <v>246320.03</v>
      </c>
      <c r="G239" s="4">
        <f t="shared" si="5"/>
        <v>0</v>
      </c>
      <c r="H239" s="192">
        <v>50360</v>
      </c>
      <c r="I239" s="3" t="s">
        <v>465</v>
      </c>
      <c r="J239" s="3" t="s">
        <v>466</v>
      </c>
      <c r="K239" s="4">
        <v>246320.03</v>
      </c>
      <c r="L239" s="4">
        <v>42074.27</v>
      </c>
      <c r="M239" s="4">
        <v>0</v>
      </c>
      <c r="N239" s="4">
        <v>288394.3</v>
      </c>
      <c r="O239" s="4">
        <f>Tab_10.Out[[#This Row],[DÉBITO]]-Tab_10.Out[[#This Row],[CRÉDITO]]</f>
        <v>42074.27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A</v>
      </c>
      <c r="E240" s="2">
        <f>IF($I240="","",COUNTIFS(Tab_00.Trial[CONTA],$I240))</f>
        <v>1</v>
      </c>
      <c r="F240" s="4">
        <f>SUMIFS(Tab_09.Set[SALDO
ATUAL],Tab_09.Set[CONTA],$I240)</f>
        <v>40500</v>
      </c>
      <c r="G240" s="4">
        <f t="shared" si="5"/>
        <v>0</v>
      </c>
      <c r="H240" s="192">
        <v>50375</v>
      </c>
      <c r="I240" s="3" t="s">
        <v>473</v>
      </c>
      <c r="J240" s="3" t="s">
        <v>474</v>
      </c>
      <c r="K240" s="4">
        <v>40500</v>
      </c>
      <c r="L240" s="4">
        <v>4500</v>
      </c>
      <c r="M240" s="4">
        <v>0</v>
      </c>
      <c r="N240" s="4">
        <v>45000</v>
      </c>
      <c r="O240" s="4">
        <f>Tab_10.Out[[#This Row],[DÉBITO]]-Tab_10.Out[[#This Row],[CRÉDITO]]</f>
        <v>4500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A</v>
      </c>
      <c r="E241" s="2">
        <f>IF($I241="","",COUNTIFS(Tab_00.Trial[CONTA],$I241))</f>
        <v>1</v>
      </c>
      <c r="F241" s="4">
        <f>SUMIFS(Tab_09.Set[SALDO
ATUAL],Tab_09.Set[CONTA],$I241)</f>
        <v>2012.04</v>
      </c>
      <c r="G241" s="4">
        <f t="shared" si="5"/>
        <v>0</v>
      </c>
      <c r="H241" s="192">
        <v>50405</v>
      </c>
      <c r="I241" s="3" t="s">
        <v>467</v>
      </c>
      <c r="J241" s="3" t="s">
        <v>468</v>
      </c>
      <c r="K241" s="4">
        <v>2012.04</v>
      </c>
      <c r="L241" s="4">
        <v>223.56</v>
      </c>
      <c r="M241" s="4">
        <v>0</v>
      </c>
      <c r="N241" s="4">
        <v>2235.6</v>
      </c>
      <c r="O241" s="4">
        <f>Tab_10.Out[[#This Row],[DÉBITO]]-Tab_10.Out[[#This Row],[CRÉDITO]]</f>
        <v>223.56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A</v>
      </c>
      <c r="E242" s="2">
        <f>IF($I242="","",COUNTIFS(Tab_00.Trial[CONTA],$I242))</f>
        <v>1</v>
      </c>
      <c r="F242" s="4">
        <f>SUMIFS(Tab_09.Set[SALDO
ATUAL],Tab_09.Set[CONTA],$I242)</f>
        <v>56098.74</v>
      </c>
      <c r="G242" s="4">
        <f t="shared" si="5"/>
        <v>0</v>
      </c>
      <c r="H242" s="192">
        <v>50430</v>
      </c>
      <c r="I242" s="3" t="s">
        <v>469</v>
      </c>
      <c r="J242" s="3" t="s">
        <v>470</v>
      </c>
      <c r="K242" s="4">
        <v>56098.74</v>
      </c>
      <c r="L242" s="4">
        <v>4950</v>
      </c>
      <c r="M242" s="4">
        <v>0</v>
      </c>
      <c r="N242" s="4">
        <v>61048.74</v>
      </c>
      <c r="O242" s="4">
        <f>Tab_10.Out[[#This Row],[DÉBITO]]-Tab_10.Out[[#This Row],[CRÉDITO]]</f>
        <v>4950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A</v>
      </c>
      <c r="E243" s="2">
        <f>IF($I243="","",COUNTIFS(Tab_00.Trial[CONTA],$I243))</f>
        <v>1</v>
      </c>
      <c r="F243" s="4">
        <f>SUMIFS(Tab_09.Set[SALDO
ATUAL],Tab_09.Set[CONTA],$I243)</f>
        <v>43540.35</v>
      </c>
      <c r="G243" s="4">
        <f t="shared" si="5"/>
        <v>0</v>
      </c>
      <c r="H243" s="192">
        <v>50432</v>
      </c>
      <c r="I243" s="3" t="s">
        <v>471</v>
      </c>
      <c r="J243" s="3" t="s">
        <v>472</v>
      </c>
      <c r="K243" s="4">
        <v>43540.35</v>
      </c>
      <c r="L243" s="4">
        <v>5309.74</v>
      </c>
      <c r="M243" s="4">
        <v>0</v>
      </c>
      <c r="N243" s="4">
        <v>48850.09</v>
      </c>
      <c r="O243" s="4">
        <f>Tab_10.Out[[#This Row],[DÉBITO]]-Tab_10.Out[[#This Row],[CRÉDITO]]</f>
        <v>5309.74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S</v>
      </c>
      <c r="E244" s="2">
        <f>IF($I244="","",COUNTIFS(Tab_00.Trial[CONTA],$I244))</f>
        <v>1</v>
      </c>
      <c r="F244" s="4">
        <f>SUMIFS(Tab_09.Set[SALDO
ATUAL],Tab_09.Set[CONTA],$I244)</f>
        <v>746694.73</v>
      </c>
      <c r="G244" s="4">
        <f t="shared" si="5"/>
        <v>0</v>
      </c>
      <c r="H244" s="192">
        <v>50465</v>
      </c>
      <c r="I244" s="3" t="s">
        <v>608</v>
      </c>
      <c r="J244" s="3" t="s">
        <v>713</v>
      </c>
      <c r="K244" s="4">
        <v>746694.73</v>
      </c>
      <c r="L244" s="4">
        <v>82966.080000000002</v>
      </c>
      <c r="M244" s="4">
        <v>0</v>
      </c>
      <c r="N244" s="4">
        <v>829660.81</v>
      </c>
      <c r="O244" s="4">
        <f>Tab_10.Out[[#This Row],[DÉBITO]]-Tab_10.Out[[#This Row],[CRÉDITO]]</f>
        <v>82966.080000000002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A</v>
      </c>
      <c r="E245" s="2">
        <f>IF($I245="","",COUNTIFS(Tab_00.Trial[CONTA],$I245))</f>
        <v>1</v>
      </c>
      <c r="F245" s="4">
        <f>SUMIFS(Tab_09.Set[SALDO
ATUAL],Tab_09.Set[CONTA],$I245)</f>
        <v>161820.73000000001</v>
      </c>
      <c r="G245" s="4">
        <f t="shared" si="5"/>
        <v>0</v>
      </c>
      <c r="H245" s="192">
        <v>50480</v>
      </c>
      <c r="I245" s="3" t="s">
        <v>741</v>
      </c>
      <c r="J245" s="3" t="s">
        <v>742</v>
      </c>
      <c r="K245" s="4">
        <v>161820.73000000001</v>
      </c>
      <c r="L245" s="4">
        <v>17980.080000000002</v>
      </c>
      <c r="M245" s="4">
        <v>0</v>
      </c>
      <c r="N245" s="4">
        <v>179800.81</v>
      </c>
      <c r="O245" s="4">
        <f>Tab_10.Out[[#This Row],[DÉBITO]]-Tab_10.Out[[#This Row],[CRÉDITO]]</f>
        <v>17980.080000000002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A</v>
      </c>
      <c r="E246" s="2">
        <f>IF($I246="","",COUNTIFS(Tab_00.Trial[CONTA],$I246))</f>
        <v>1</v>
      </c>
      <c r="F246" s="4">
        <f>SUMIFS(Tab_09.Set[SALDO
ATUAL],Tab_09.Set[CONTA],$I246)</f>
        <v>67500</v>
      </c>
      <c r="G246" s="4">
        <f t="shared" si="5"/>
        <v>0</v>
      </c>
      <c r="H246" s="192">
        <v>50495</v>
      </c>
      <c r="I246" s="3" t="s">
        <v>833</v>
      </c>
      <c r="J246" s="3" t="s">
        <v>834</v>
      </c>
      <c r="K246" s="4">
        <v>67500</v>
      </c>
      <c r="L246" s="4">
        <v>7500</v>
      </c>
      <c r="M246" s="4">
        <v>0</v>
      </c>
      <c r="N246" s="4">
        <v>75000</v>
      </c>
      <c r="O246" s="4">
        <f>Tab_10.Out[[#This Row],[DÉBITO]]-Tab_10.Out[[#This Row],[CRÉDITO]]</f>
        <v>7500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A</v>
      </c>
      <c r="E247" s="2">
        <f>IF($I247="","",COUNTIFS(Tab_00.Trial[CONTA],$I247))</f>
        <v>1</v>
      </c>
      <c r="F247" s="4">
        <f>SUMIFS(Tab_09.Set[SALDO
ATUAL],Tab_09.Set[CONTA],$I247)</f>
        <v>517374</v>
      </c>
      <c r="G247" s="4">
        <f t="shared" si="5"/>
        <v>0</v>
      </c>
      <c r="H247" s="192">
        <v>50500</v>
      </c>
      <c r="I247" s="3" t="s">
        <v>480</v>
      </c>
      <c r="J247" s="3" t="s">
        <v>481</v>
      </c>
      <c r="K247" s="4">
        <v>517374</v>
      </c>
      <c r="L247" s="4">
        <v>57486</v>
      </c>
      <c r="M247" s="4">
        <v>0</v>
      </c>
      <c r="N247" s="4">
        <v>574860</v>
      </c>
      <c r="O247" s="4">
        <f>Tab_10.Out[[#This Row],[DÉBITO]]-Tab_10.Out[[#This Row],[CRÉDITO]]</f>
        <v>57486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S</v>
      </c>
      <c r="E248" s="2">
        <f>IF($I248="","",COUNTIFS(Tab_00.Trial[CONTA],$I248))</f>
        <v>1</v>
      </c>
      <c r="F248" s="4">
        <f>SUMIFS(Tab_09.Set[SALDO
ATUAL],Tab_09.Set[CONTA],$I248)</f>
        <v>17796.89</v>
      </c>
      <c r="G248" s="4">
        <f t="shared" si="5"/>
        <v>0</v>
      </c>
      <c r="H248" s="192">
        <v>50510</v>
      </c>
      <c r="I248" s="3" t="s">
        <v>609</v>
      </c>
      <c r="J248" s="3" t="s">
        <v>714</v>
      </c>
      <c r="K248" s="4">
        <v>17796.89</v>
      </c>
      <c r="L248" s="4">
        <v>1300.33</v>
      </c>
      <c r="M248" s="4">
        <v>0</v>
      </c>
      <c r="N248" s="4">
        <v>19097.22</v>
      </c>
      <c r="O248" s="4">
        <f>Tab_10.Out[[#This Row],[DÉBITO]]-Tab_10.Out[[#This Row],[CRÉDITO]]</f>
        <v>1300.33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S</v>
      </c>
      <c r="E249" s="2">
        <f>IF($I249="","",COUNTIFS(Tab_00.Trial[CONTA],$I249))</f>
        <v>1</v>
      </c>
      <c r="F249" s="4">
        <f>SUMIFS(Tab_09.Set[SALDO
ATUAL],Tab_09.Set[CONTA],$I249)</f>
        <v>17568.89</v>
      </c>
      <c r="G249" s="4">
        <f t="shared" si="5"/>
        <v>0</v>
      </c>
      <c r="H249" s="192">
        <v>50525</v>
      </c>
      <c r="I249" s="3" t="s">
        <v>610</v>
      </c>
      <c r="J249" s="3" t="s">
        <v>714</v>
      </c>
      <c r="K249" s="4">
        <v>17568.89</v>
      </c>
      <c r="L249" s="4">
        <v>1300.33</v>
      </c>
      <c r="M249" s="4">
        <v>0</v>
      </c>
      <c r="N249" s="4">
        <v>18869.22</v>
      </c>
      <c r="O249" s="4">
        <f>Tab_10.Out[[#This Row],[DÉBITO]]-Tab_10.Out[[#This Row],[CRÉDITO]]</f>
        <v>1300.33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A</v>
      </c>
      <c r="E250" s="2">
        <f>IF($I250="","",COUNTIFS(Tab_00.Trial[CONTA],$I250))</f>
        <v>1</v>
      </c>
      <c r="F250" s="4">
        <f>SUMIFS(Tab_09.Set[SALDO
ATUAL],Tab_09.Set[CONTA],$I250)</f>
        <v>5436.61</v>
      </c>
      <c r="G250" s="4">
        <f t="shared" si="5"/>
        <v>0</v>
      </c>
      <c r="H250" s="192">
        <v>50540</v>
      </c>
      <c r="I250" s="3" t="s">
        <v>482</v>
      </c>
      <c r="J250" s="3" t="s">
        <v>483</v>
      </c>
      <c r="K250" s="4">
        <v>5436.61</v>
      </c>
      <c r="L250" s="4">
        <v>456</v>
      </c>
      <c r="M250" s="4">
        <v>0</v>
      </c>
      <c r="N250" s="4">
        <v>5892.61</v>
      </c>
      <c r="O250" s="4">
        <f>Tab_10.Out[[#This Row],[DÉBITO]]-Tab_10.Out[[#This Row],[CRÉDITO]]</f>
        <v>456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A</v>
      </c>
      <c r="E251" s="2">
        <f>IF($I251="","",COUNTIFS(Tab_00.Trial[CONTA],$I251))</f>
        <v>1</v>
      </c>
      <c r="F251" s="4">
        <f>SUMIFS(Tab_09.Set[SALDO
ATUAL],Tab_09.Set[CONTA],$I251)</f>
        <v>5000</v>
      </c>
      <c r="G251" s="4">
        <f t="shared" si="5"/>
        <v>0</v>
      </c>
      <c r="H251" s="192">
        <v>50555</v>
      </c>
      <c r="I251" s="3" t="s">
        <v>752</v>
      </c>
      <c r="J251" s="3" t="s">
        <v>753</v>
      </c>
      <c r="K251" s="4">
        <v>5000</v>
      </c>
      <c r="L251" s="4">
        <v>0</v>
      </c>
      <c r="M251" s="4">
        <v>0</v>
      </c>
      <c r="N251" s="4">
        <v>5000</v>
      </c>
      <c r="O251" s="4">
        <f>Tab_10.Out[[#This Row],[DÉBITO]]-Tab_10.Out[[#This Row],[CRÉDITO]]</f>
        <v>0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A</v>
      </c>
      <c r="E252" s="2">
        <f>IF($I252="","",COUNTIFS(Tab_00.Trial[CONTA],$I252))</f>
        <v>1</v>
      </c>
      <c r="F252" s="4">
        <f>SUMIFS(Tab_09.Set[SALDO
ATUAL],Tab_09.Set[CONTA],$I252)</f>
        <v>7132.28</v>
      </c>
      <c r="G252" s="4">
        <f t="shared" si="5"/>
        <v>0</v>
      </c>
      <c r="H252" s="192">
        <v>50570</v>
      </c>
      <c r="I252" s="3" t="s">
        <v>484</v>
      </c>
      <c r="J252" s="3" t="s">
        <v>485</v>
      </c>
      <c r="K252" s="4">
        <v>7132.28</v>
      </c>
      <c r="L252" s="4">
        <v>844.33</v>
      </c>
      <c r="M252" s="4">
        <v>0</v>
      </c>
      <c r="N252" s="4">
        <v>7976.61</v>
      </c>
      <c r="O252" s="4">
        <f>Tab_10.Out[[#This Row],[DÉBITO]]-Tab_10.Out[[#This Row],[CRÉDITO]]</f>
        <v>844.33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S</v>
      </c>
      <c r="E253" s="2">
        <f>IF($I253="","",COUNTIFS(Tab_00.Trial[CONTA],$I253))</f>
        <v>1</v>
      </c>
      <c r="F253" s="4">
        <f>SUMIFS(Tab_09.Set[SALDO
ATUAL],Tab_09.Set[CONTA],$I253)</f>
        <v>228</v>
      </c>
      <c r="G253" s="4">
        <f t="shared" si="5"/>
        <v>0</v>
      </c>
      <c r="H253" s="192">
        <v>50630</v>
      </c>
      <c r="I253" s="3" t="s">
        <v>611</v>
      </c>
      <c r="J253" s="3" t="s">
        <v>715</v>
      </c>
      <c r="K253" s="4">
        <v>228</v>
      </c>
      <c r="L253" s="4">
        <v>0</v>
      </c>
      <c r="M253" s="4">
        <v>0</v>
      </c>
      <c r="N253" s="4">
        <v>228</v>
      </c>
      <c r="O253" s="4">
        <f>Tab_10.Out[[#This Row],[DÉBITO]]-Tab_10.Out[[#This Row],[CRÉDITO]]</f>
        <v>0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A</v>
      </c>
      <c r="E254" s="2">
        <f>IF($I254="","",COUNTIFS(Tab_00.Trial[CONTA],$I254))</f>
        <v>1</v>
      </c>
      <c r="F254" s="4">
        <f>SUMIFS(Tab_09.Set[SALDO
ATUAL],Tab_09.Set[CONTA],$I254)</f>
        <v>228</v>
      </c>
      <c r="G254" s="4">
        <f t="shared" si="5"/>
        <v>0</v>
      </c>
      <c r="H254" s="192">
        <v>50645</v>
      </c>
      <c r="I254" s="3" t="s">
        <v>489</v>
      </c>
      <c r="J254" s="3" t="s">
        <v>490</v>
      </c>
      <c r="K254" s="4">
        <v>228</v>
      </c>
      <c r="L254" s="4">
        <v>0</v>
      </c>
      <c r="M254" s="4">
        <v>0</v>
      </c>
      <c r="N254" s="4">
        <v>228</v>
      </c>
      <c r="O254" s="4">
        <f>Tab_10.Out[[#This Row],[DÉBITO]]-Tab_10.Out[[#This Row],[CRÉDITO]]</f>
        <v>0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S</v>
      </c>
      <c r="E255" s="2">
        <f>IF($I255="","",COUNTIFS(Tab_00.Trial[CONTA],$I255))</f>
        <v>1</v>
      </c>
      <c r="F255" s="4">
        <f>SUMIFS(Tab_09.Set[SALDO
ATUAL],Tab_09.Set[CONTA],$I255)</f>
        <v>95404.99</v>
      </c>
      <c r="G255" s="4">
        <f t="shared" si="5"/>
        <v>0</v>
      </c>
      <c r="H255" s="192">
        <v>50660</v>
      </c>
      <c r="I255" s="3" t="s">
        <v>612</v>
      </c>
      <c r="J255" s="3" t="s">
        <v>716</v>
      </c>
      <c r="K255" s="4">
        <v>95404.99</v>
      </c>
      <c r="L255" s="4">
        <v>7085.09</v>
      </c>
      <c r="M255" s="4">
        <v>0</v>
      </c>
      <c r="N255" s="4">
        <v>102490.08</v>
      </c>
      <c r="O255" s="4">
        <f>Tab_10.Out[[#This Row],[DÉBITO]]-Tab_10.Out[[#This Row],[CRÉDITO]]</f>
        <v>7085.09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S</v>
      </c>
      <c r="E256" s="2">
        <f>IF($I256="","",COUNTIFS(Tab_00.Trial[CONTA],$I256))</f>
        <v>1</v>
      </c>
      <c r="F256" s="4">
        <f>SUMIFS(Tab_09.Set[SALDO
ATUAL],Tab_09.Set[CONTA],$I256)</f>
        <v>49954.59</v>
      </c>
      <c r="G256" s="4">
        <f t="shared" si="5"/>
        <v>0</v>
      </c>
      <c r="H256" s="192">
        <v>50675</v>
      </c>
      <c r="I256" s="3" t="s">
        <v>613</v>
      </c>
      <c r="J256" s="3" t="s">
        <v>717</v>
      </c>
      <c r="K256" s="4">
        <v>49954.59</v>
      </c>
      <c r="L256" s="4">
        <v>3567.61</v>
      </c>
      <c r="M256" s="4">
        <v>0</v>
      </c>
      <c r="N256" s="4">
        <v>53522.2</v>
      </c>
      <c r="O256" s="4">
        <f>Tab_10.Out[[#This Row],[DÉBITO]]-Tab_10.Out[[#This Row],[CRÉDITO]]</f>
        <v>3567.61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A</v>
      </c>
      <c r="E257" s="2">
        <f>IF($I257="","",COUNTIFS(Tab_00.Trial[CONTA],$I257))</f>
        <v>1</v>
      </c>
      <c r="F257" s="4">
        <f>SUMIFS(Tab_09.Set[SALDO
ATUAL],Tab_09.Set[CONTA],$I257)</f>
        <v>22375.78</v>
      </c>
      <c r="G257" s="4">
        <f t="shared" si="5"/>
        <v>0</v>
      </c>
      <c r="H257" s="192">
        <v>50690</v>
      </c>
      <c r="I257" s="3" t="s">
        <v>491</v>
      </c>
      <c r="J257" s="3" t="s">
        <v>492</v>
      </c>
      <c r="K257" s="4">
        <v>22375.78</v>
      </c>
      <c r="L257" s="4">
        <v>1970.55</v>
      </c>
      <c r="M257" s="4">
        <v>0</v>
      </c>
      <c r="N257" s="4">
        <v>24346.33</v>
      </c>
      <c r="O257" s="4">
        <f>Tab_10.Out[[#This Row],[DÉBITO]]-Tab_10.Out[[#This Row],[CRÉDITO]]</f>
        <v>1970.55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A</v>
      </c>
      <c r="E258" s="2">
        <f>IF($I258="","",COUNTIFS(Tab_00.Trial[CONTA],$I258))</f>
        <v>1</v>
      </c>
      <c r="F258" s="4">
        <f>SUMIFS(Tab_09.Set[SALDO
ATUAL],Tab_09.Set[CONTA],$I258)</f>
        <v>14859.44</v>
      </c>
      <c r="G258" s="4">
        <f t="shared" si="5"/>
        <v>0</v>
      </c>
      <c r="H258" s="192">
        <v>50705</v>
      </c>
      <c r="I258" s="3" t="s">
        <v>493</v>
      </c>
      <c r="J258" s="3" t="s">
        <v>494</v>
      </c>
      <c r="K258" s="4">
        <v>14859.44</v>
      </c>
      <c r="L258" s="4">
        <v>0</v>
      </c>
      <c r="M258" s="4">
        <v>0</v>
      </c>
      <c r="N258" s="4">
        <v>14859.44</v>
      </c>
      <c r="O258" s="4">
        <f>Tab_10.Out[[#This Row],[DÉBITO]]-Tab_10.Out[[#This Row],[CRÉDITO]]</f>
        <v>0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A</v>
      </c>
      <c r="E259" s="2">
        <f>IF($I259="","",COUNTIFS(Tab_00.Trial[CONTA],$I259))</f>
        <v>1</v>
      </c>
      <c r="F259" s="4">
        <f>SUMIFS(Tab_09.Set[SALDO
ATUAL],Tab_09.Set[CONTA],$I259)</f>
        <v>12719.37</v>
      </c>
      <c r="G259" s="4">
        <f t="shared" si="5"/>
        <v>0</v>
      </c>
      <c r="H259" s="192">
        <v>50720</v>
      </c>
      <c r="I259" s="3" t="s">
        <v>495</v>
      </c>
      <c r="J259" s="3" t="s">
        <v>496</v>
      </c>
      <c r="K259" s="4">
        <v>12719.37</v>
      </c>
      <c r="L259" s="4">
        <v>1597.06</v>
      </c>
      <c r="M259" s="4">
        <v>0</v>
      </c>
      <c r="N259" s="4">
        <v>14316.43</v>
      </c>
      <c r="O259" s="4">
        <f>Tab_10.Out[[#This Row],[DÉBITO]]-Tab_10.Out[[#This Row],[CRÉDITO]]</f>
        <v>1597.06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S</v>
      </c>
      <c r="E260" s="2">
        <f>IF($I260="","",COUNTIFS(Tab_00.Trial[CONTA],$I260))</f>
        <v>1</v>
      </c>
      <c r="F260" s="4">
        <f>SUMIFS(Tab_09.Set[SALDO
ATUAL],Tab_09.Set[CONTA],$I260)</f>
        <v>45450.400000000001</v>
      </c>
      <c r="G260" s="4">
        <f t="shared" si="5"/>
        <v>0</v>
      </c>
      <c r="H260" s="192">
        <v>50750</v>
      </c>
      <c r="I260" s="3" t="s">
        <v>614</v>
      </c>
      <c r="J260" s="3" t="s">
        <v>718</v>
      </c>
      <c r="K260" s="4">
        <v>45450.400000000001</v>
      </c>
      <c r="L260" s="4">
        <v>3517.48</v>
      </c>
      <c r="M260" s="4">
        <v>0</v>
      </c>
      <c r="N260" s="4">
        <v>48967.88</v>
      </c>
      <c r="O260" s="4">
        <f>Tab_10.Out[[#This Row],[DÉBITO]]-Tab_10.Out[[#This Row],[CRÉDITO]]</f>
        <v>3517.48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A</v>
      </c>
      <c r="E261" s="2">
        <f>IF($I261="","",COUNTIFS(Tab_00.Trial[CONTA],$I261))</f>
        <v>1</v>
      </c>
      <c r="F261" s="4">
        <f>SUMIFS(Tab_09.Set[SALDO
ATUAL],Tab_09.Set[CONTA],$I261)</f>
        <v>95</v>
      </c>
      <c r="G261" s="4">
        <f t="shared" si="5"/>
        <v>0</v>
      </c>
      <c r="H261" s="192">
        <v>50765</v>
      </c>
      <c r="I261" s="3" t="s">
        <v>497</v>
      </c>
      <c r="J261" s="3" t="s">
        <v>498</v>
      </c>
      <c r="K261" s="4">
        <v>95</v>
      </c>
      <c r="L261" s="4">
        <v>0</v>
      </c>
      <c r="M261" s="4">
        <v>0</v>
      </c>
      <c r="N261" s="4">
        <v>95</v>
      </c>
      <c r="O261" s="4">
        <f>Tab_10.Out[[#This Row],[DÉBITO]]-Tab_10.Out[[#This Row],[CRÉDITO]]</f>
        <v>0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A</v>
      </c>
      <c r="E262" s="2">
        <f>IF($I262="","",COUNTIFS(Tab_00.Trial[CONTA],$I262))</f>
        <v>1</v>
      </c>
      <c r="F262" s="4">
        <f>SUMIFS(Tab_09.Set[SALDO
ATUAL],Tab_09.Set[CONTA],$I262)</f>
        <v>21409.439999999999</v>
      </c>
      <c r="G262" s="4">
        <f t="shared" si="5"/>
        <v>0</v>
      </c>
      <c r="H262" s="192">
        <v>50780</v>
      </c>
      <c r="I262" s="3" t="s">
        <v>499</v>
      </c>
      <c r="J262" s="3" t="s">
        <v>500</v>
      </c>
      <c r="K262" s="4">
        <v>21409.439999999999</v>
      </c>
      <c r="L262" s="4">
        <v>334.8</v>
      </c>
      <c r="M262" s="4">
        <v>0</v>
      </c>
      <c r="N262" s="4">
        <v>21744.240000000002</v>
      </c>
      <c r="O262" s="4">
        <f>Tab_10.Out[[#This Row],[DÉBITO]]-Tab_10.Out[[#This Row],[CRÉDITO]]</f>
        <v>334.8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A</v>
      </c>
      <c r="E263" s="2">
        <f>IF($I263="","",COUNTIFS(Tab_00.Trial[CONTA],$I263))</f>
        <v>1</v>
      </c>
      <c r="F263" s="4">
        <f>SUMIFS(Tab_09.Set[SALDO
ATUAL],Tab_09.Set[CONTA],$I263)</f>
        <v>14396.02</v>
      </c>
      <c r="G263" s="4">
        <f t="shared" si="5"/>
        <v>0</v>
      </c>
      <c r="H263" s="192">
        <v>50795</v>
      </c>
      <c r="I263" s="3" t="s">
        <v>501</v>
      </c>
      <c r="J263" s="3" t="s">
        <v>502</v>
      </c>
      <c r="K263" s="4">
        <v>14396.02</v>
      </c>
      <c r="L263" s="4">
        <v>166</v>
      </c>
      <c r="M263" s="4">
        <v>0</v>
      </c>
      <c r="N263" s="4">
        <v>14562.02</v>
      </c>
      <c r="O263" s="4">
        <f>Tab_10.Out[[#This Row],[DÉBITO]]-Tab_10.Out[[#This Row],[CRÉDITO]]</f>
        <v>166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A</v>
      </c>
      <c r="E264" s="2">
        <f>IF($I264="","",COUNTIFS(Tab_00.Trial[CONTA],$I264))</f>
        <v>1</v>
      </c>
      <c r="F264" s="4">
        <f>SUMIFS(Tab_09.Set[SALDO
ATUAL],Tab_09.Set[CONTA],$I264)</f>
        <v>9529.7800000000007</v>
      </c>
      <c r="G264" s="4">
        <f t="shared" si="5"/>
        <v>0</v>
      </c>
      <c r="H264" s="192">
        <v>50810</v>
      </c>
      <c r="I264" s="3" t="s">
        <v>503</v>
      </c>
      <c r="J264" s="3" t="s">
        <v>504</v>
      </c>
      <c r="K264" s="4">
        <v>9529.7800000000007</v>
      </c>
      <c r="L264" s="4">
        <v>3016.68</v>
      </c>
      <c r="M264" s="4">
        <v>0</v>
      </c>
      <c r="N264" s="4">
        <v>12546.46</v>
      </c>
      <c r="O264" s="4">
        <f>Tab_10.Out[[#This Row],[DÉBITO]]-Tab_10.Out[[#This Row],[CRÉDITO]]</f>
        <v>3016.68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A</v>
      </c>
      <c r="E265" s="2">
        <f>IF($I265="","",COUNTIFS(Tab_00.Trial[CONTA],$I265))</f>
        <v>1</v>
      </c>
      <c r="F265" s="4">
        <f>SUMIFS(Tab_09.Set[SALDO
ATUAL],Tab_09.Set[CONTA],$I265)</f>
        <v>20.16</v>
      </c>
      <c r="G265" s="4">
        <f t="shared" si="5"/>
        <v>0</v>
      </c>
      <c r="H265" s="192">
        <v>50815</v>
      </c>
      <c r="I265" s="3" t="s">
        <v>505</v>
      </c>
      <c r="J265" s="3" t="s">
        <v>506</v>
      </c>
      <c r="K265" s="4">
        <v>20.16</v>
      </c>
      <c r="L265" s="4">
        <v>0</v>
      </c>
      <c r="M265" s="4">
        <v>0</v>
      </c>
      <c r="N265" s="4">
        <v>20.16</v>
      </c>
      <c r="O265" s="4">
        <f>Tab_10.Out[[#This Row],[DÉBITO]]-Tab_10.Out[[#This Row],[CRÉDITO]]</f>
        <v>0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S</v>
      </c>
      <c r="E266" s="2">
        <f>IF($I266="","",COUNTIFS(Tab_00.Trial[CONTA],$I266))</f>
        <v>1</v>
      </c>
      <c r="F266" s="4">
        <f>SUMIFS(Tab_09.Set[SALDO
ATUAL],Tab_09.Set[CONTA],$I266)</f>
        <v>52287.86</v>
      </c>
      <c r="G266" s="4">
        <f t="shared" si="5"/>
        <v>0</v>
      </c>
      <c r="H266" s="192">
        <v>50870</v>
      </c>
      <c r="I266" s="3" t="s">
        <v>615</v>
      </c>
      <c r="J266" s="3" t="s">
        <v>719</v>
      </c>
      <c r="K266" s="4">
        <v>52287.86</v>
      </c>
      <c r="L266" s="4">
        <v>6641.29</v>
      </c>
      <c r="M266" s="4">
        <v>0</v>
      </c>
      <c r="N266" s="4">
        <v>58929.15</v>
      </c>
      <c r="O266" s="4">
        <f>Tab_10.Out[[#This Row],[DÉBITO]]-Tab_10.Out[[#This Row],[CRÉDITO]]</f>
        <v>6641.29</v>
      </c>
    </row>
    <row r="267" spans="2:15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5</v>
      </c>
      <c r="D267" s="2" t="str">
        <f>_xlfn.XLOOKUP($I267,Tab_00.Trial[CONTA],Tab_00.Trial[S/A],"",0,1)</f>
        <v>S</v>
      </c>
      <c r="E267" s="2">
        <f>IF($I267="","",COUNTIFS(Tab_00.Trial[CONTA],$I267))</f>
        <v>1</v>
      </c>
      <c r="F267" s="4">
        <f>SUMIFS(Tab_09.Set[SALDO
ATUAL],Tab_09.Set[CONTA],$I267)</f>
        <v>2577.0700000000002</v>
      </c>
      <c r="G267" s="4">
        <f t="shared" si="5"/>
        <v>0</v>
      </c>
      <c r="H267" s="192">
        <v>50915</v>
      </c>
      <c r="I267" s="3" t="s">
        <v>617</v>
      </c>
      <c r="J267" s="3" t="s">
        <v>721</v>
      </c>
      <c r="K267" s="4">
        <v>2577.0700000000002</v>
      </c>
      <c r="L267" s="4">
        <v>291.76</v>
      </c>
      <c r="M267" s="4">
        <v>0</v>
      </c>
      <c r="N267" s="4">
        <v>2868.83</v>
      </c>
      <c r="O267" s="4">
        <f>Tab_10.Out[[#This Row],[DÉBITO]]-Tab_10.Out[[#This Row],[CRÉDITO]]</f>
        <v>291.76</v>
      </c>
    </row>
    <row r="268" spans="2:15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5</v>
      </c>
      <c r="D268" s="2" t="str">
        <f>_xlfn.XLOOKUP($I268,Tab_00.Trial[CONTA],Tab_00.Trial[S/A],"",0,1)</f>
        <v>A</v>
      </c>
      <c r="E268" s="2">
        <f>IF($I268="","",COUNTIFS(Tab_00.Trial[CONTA],$I268))</f>
        <v>1</v>
      </c>
      <c r="F268" s="4">
        <f>SUMIFS(Tab_09.Set[SALDO
ATUAL],Tab_09.Set[CONTA],$I268)</f>
        <v>2577.0700000000002</v>
      </c>
      <c r="G268" s="4">
        <f t="shared" si="5"/>
        <v>0</v>
      </c>
      <c r="H268" s="192">
        <v>50945</v>
      </c>
      <c r="I268" s="3" t="s">
        <v>739</v>
      </c>
      <c r="J268" s="3" t="s">
        <v>740</v>
      </c>
      <c r="K268" s="4">
        <v>2577.0700000000002</v>
      </c>
      <c r="L268" s="4">
        <v>291.76</v>
      </c>
      <c r="M268" s="4">
        <v>0</v>
      </c>
      <c r="N268" s="4">
        <v>2868.83</v>
      </c>
      <c r="O268" s="4">
        <f>Tab_10.Out[[#This Row],[DÉBITO]]-Tab_10.Out[[#This Row],[CRÉDITO]]</f>
        <v>291.76</v>
      </c>
    </row>
    <row r="269" spans="2:15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5</v>
      </c>
      <c r="D269" s="2" t="str">
        <f>_xlfn.XLOOKUP($I269,Tab_00.Trial[CONTA],Tab_00.Trial[S/A],"",0,1)</f>
        <v>S</v>
      </c>
      <c r="E269" s="2">
        <f>IF($I269="","",COUNTIFS(Tab_00.Trial[CONTA],$I269))</f>
        <v>1</v>
      </c>
      <c r="F269" s="4">
        <f>SUMIFS(Tab_09.Set[SALDO
ATUAL],Tab_09.Set[CONTA],$I269)</f>
        <v>23714.41</v>
      </c>
      <c r="G269" s="4">
        <f t="shared" si="5"/>
        <v>0</v>
      </c>
      <c r="H269" s="192">
        <v>50960</v>
      </c>
      <c r="I269" s="3" t="s">
        <v>618</v>
      </c>
      <c r="J269" s="3" t="s">
        <v>722</v>
      </c>
      <c r="K269" s="4">
        <v>23714.41</v>
      </c>
      <c r="L269" s="4">
        <v>3235.8</v>
      </c>
      <c r="M269" s="4">
        <v>0</v>
      </c>
      <c r="N269" s="4">
        <v>26950.21</v>
      </c>
      <c r="O269" s="4">
        <f>Tab_10.Out[[#This Row],[DÉBITO]]-Tab_10.Out[[#This Row],[CRÉDITO]]</f>
        <v>3235.8</v>
      </c>
    </row>
    <row r="270" spans="2:15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A</v>
      </c>
      <c r="E270" s="2">
        <f>IF($I270="","",COUNTIFS(Tab_00.Trial[CONTA],$I270))</f>
        <v>1</v>
      </c>
      <c r="F270" s="4">
        <f>SUMIFS(Tab_09.Set[SALDO
ATUAL],Tab_09.Set[CONTA],$I270)</f>
        <v>23714.41</v>
      </c>
      <c r="G270" s="4">
        <f t="shared" ref="G270:G298" si="6">$F270-$K270</f>
        <v>0</v>
      </c>
      <c r="H270" s="192">
        <v>50965</v>
      </c>
      <c r="I270" s="3" t="s">
        <v>511</v>
      </c>
      <c r="J270" s="3" t="s">
        <v>512</v>
      </c>
      <c r="K270" s="4">
        <v>23714.41</v>
      </c>
      <c r="L270" s="4">
        <v>3235.8</v>
      </c>
      <c r="M270" s="4">
        <v>0</v>
      </c>
      <c r="N270" s="4">
        <v>26950.21</v>
      </c>
      <c r="O270" s="4">
        <f>Tab_10.Out[[#This Row],[DÉBITO]]-Tab_10.Out[[#This Row],[CRÉDITO]]</f>
        <v>3235.8</v>
      </c>
    </row>
    <row r="271" spans="2:15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5</v>
      </c>
      <c r="D271" s="2" t="str">
        <f>_xlfn.XLOOKUP($I271,Tab_00.Trial[CONTA],Tab_00.Trial[S/A],"",0,1)</f>
        <v>S</v>
      </c>
      <c r="E271" s="2">
        <f>IF($I271="","",COUNTIFS(Tab_00.Trial[CONTA],$I271))</f>
        <v>1</v>
      </c>
      <c r="F271" s="4">
        <f>SUMIFS(Tab_09.Set[SALDO
ATUAL],Tab_09.Set[CONTA],$I271)</f>
        <v>25996.38</v>
      </c>
      <c r="G271" s="4">
        <f t="shared" si="6"/>
        <v>0</v>
      </c>
      <c r="H271" s="192">
        <v>50970</v>
      </c>
      <c r="I271" s="3" t="s">
        <v>619</v>
      </c>
      <c r="J271" s="3" t="s">
        <v>420</v>
      </c>
      <c r="K271" s="4">
        <v>25996.38</v>
      </c>
      <c r="L271" s="4">
        <v>3113.73</v>
      </c>
      <c r="M271" s="4">
        <v>0</v>
      </c>
      <c r="N271" s="4">
        <v>29110.11</v>
      </c>
      <c r="O271" s="4">
        <f>Tab_10.Out[[#This Row],[DÉBITO]]-Tab_10.Out[[#This Row],[CRÉDITO]]</f>
        <v>3113.73</v>
      </c>
    </row>
    <row r="272" spans="2:15" x14ac:dyDescent="0.3">
      <c r="B272" s="2" t="str">
        <f>_xlfn.XLOOKUP($I272,Tab_00.Trial[CONTA],Tab_00.Trial[TP],"",0,1)</f>
        <v>C</v>
      </c>
      <c r="C272" s="2">
        <f>_xlfn.XLOOKUP($I272,Tab_00.Trial[CONTA],Tab_00.Trial[NV],"",0,1)</f>
        <v>5</v>
      </c>
      <c r="D272" s="2" t="str">
        <f>_xlfn.XLOOKUP($I272,Tab_00.Trial[CONTA],Tab_00.Trial[S/A],"",0,1)</f>
        <v>A</v>
      </c>
      <c r="E272" s="2">
        <f>IF($I272="","",COUNTIFS(Tab_00.Trial[CONTA],$I272))</f>
        <v>1</v>
      </c>
      <c r="F272" s="4">
        <f>SUMIFS(Tab_09.Set[SALDO
ATUAL],Tab_09.Set[CONTA],$I272)</f>
        <v>25996.38</v>
      </c>
      <c r="G272" s="4">
        <f t="shared" si="6"/>
        <v>0</v>
      </c>
      <c r="H272" s="192">
        <v>50975</v>
      </c>
      <c r="I272" s="3" t="s">
        <v>515</v>
      </c>
      <c r="J272" s="3" t="s">
        <v>420</v>
      </c>
      <c r="K272" s="4">
        <v>25996.38</v>
      </c>
      <c r="L272" s="4">
        <v>3113.73</v>
      </c>
      <c r="M272" s="4">
        <v>0</v>
      </c>
      <c r="N272" s="4">
        <v>29110.11</v>
      </c>
      <c r="O272" s="4">
        <f>Tab_10.Out[[#This Row],[DÉBITO]]-Tab_10.Out[[#This Row],[CRÉDITO]]</f>
        <v>3113.73</v>
      </c>
    </row>
    <row r="273" spans="2:15" x14ac:dyDescent="0.3">
      <c r="B273" s="2" t="str">
        <f>_xlfn.XLOOKUP($I273,Tab_00.Trial[CONTA],Tab_00.Trial[TP],"",0,1)</f>
        <v>C</v>
      </c>
      <c r="C273" s="2">
        <f>_xlfn.XLOOKUP($I273,Tab_00.Trial[CONTA],Tab_00.Trial[NV],"",0,1)</f>
        <v>5</v>
      </c>
      <c r="D273" s="2" t="str">
        <f>_xlfn.XLOOKUP($I273,Tab_00.Trial[CONTA],Tab_00.Trial[S/A],"",0,1)</f>
        <v>S</v>
      </c>
      <c r="E273" s="2">
        <f>IF($I273="","",COUNTIFS(Tab_00.Trial[CONTA],$I273))</f>
        <v>1</v>
      </c>
      <c r="F273" s="4">
        <f>SUMIFS(Tab_09.Set[SALDO
ATUAL],Tab_09.Set[CONTA],$I273)</f>
        <v>14314</v>
      </c>
      <c r="G273" s="4">
        <f t="shared" si="6"/>
        <v>0</v>
      </c>
      <c r="H273" s="192">
        <v>50990</v>
      </c>
      <c r="I273" s="3" t="s">
        <v>621</v>
      </c>
      <c r="J273" s="3" t="s">
        <v>723</v>
      </c>
      <c r="K273" s="4">
        <v>14314</v>
      </c>
      <c r="L273" s="4">
        <v>12142.14</v>
      </c>
      <c r="M273" s="4">
        <v>0</v>
      </c>
      <c r="N273" s="4">
        <v>26456.14</v>
      </c>
      <c r="O273" s="4">
        <f>Tab_10.Out[[#This Row],[DÉBITO]]-Tab_10.Out[[#This Row],[CRÉDITO]]</f>
        <v>12142.14</v>
      </c>
    </row>
    <row r="274" spans="2:15" x14ac:dyDescent="0.3">
      <c r="B274" s="2" t="str">
        <f>_xlfn.XLOOKUP($I274,Tab_00.Trial[CONTA],Tab_00.Trial[TP],"",0,1)</f>
        <v>C</v>
      </c>
      <c r="C274" s="2">
        <f>_xlfn.XLOOKUP($I274,Tab_00.Trial[CONTA],Tab_00.Trial[NV],"",0,1)</f>
        <v>5</v>
      </c>
      <c r="D274" s="2" t="str">
        <f>_xlfn.XLOOKUP($I274,Tab_00.Trial[CONTA],Tab_00.Trial[S/A],"",0,1)</f>
        <v>S</v>
      </c>
      <c r="E274" s="2">
        <f>IF($I274="","",COUNTIFS(Tab_00.Trial[CONTA],$I274))</f>
        <v>1</v>
      </c>
      <c r="F274" s="4">
        <f>SUMIFS(Tab_09.Set[SALDO
ATUAL],Tab_09.Set[CONTA],$I274)</f>
        <v>14314</v>
      </c>
      <c r="G274" s="4">
        <f t="shared" si="6"/>
        <v>0</v>
      </c>
      <c r="H274" s="192">
        <v>51005</v>
      </c>
      <c r="I274" s="3" t="s">
        <v>622</v>
      </c>
      <c r="J274" s="3" t="s">
        <v>723</v>
      </c>
      <c r="K274" s="4">
        <v>14314</v>
      </c>
      <c r="L274" s="4">
        <v>12142.14</v>
      </c>
      <c r="M274" s="4">
        <v>0</v>
      </c>
      <c r="N274" s="4">
        <v>26456.14</v>
      </c>
      <c r="O274" s="4">
        <f>Tab_10.Out[[#This Row],[DÉBITO]]-Tab_10.Out[[#This Row],[CRÉDITO]]</f>
        <v>12142.14</v>
      </c>
    </row>
    <row r="275" spans="2:15" x14ac:dyDescent="0.3">
      <c r="B275" s="2" t="str">
        <f>_xlfn.XLOOKUP($I275,Tab_00.Trial[CONTA],Tab_00.Trial[TP],"",0,1)</f>
        <v>C</v>
      </c>
      <c r="C275" s="2">
        <f>_xlfn.XLOOKUP($I275,Tab_00.Trial[CONTA],Tab_00.Trial[NV],"",0,1)</f>
        <v>5</v>
      </c>
      <c r="D275" s="2" t="str">
        <f>_xlfn.XLOOKUP($I275,Tab_00.Trial[CONTA],Tab_00.Trial[S/A],"",0,1)</f>
        <v>A</v>
      </c>
      <c r="E275" s="2">
        <f>IF($I275="","",COUNTIFS(Tab_00.Trial[CONTA],$I275))</f>
        <v>1</v>
      </c>
      <c r="F275" s="4">
        <f>SUMIFS(Tab_09.Set[SALDO
ATUAL],Tab_09.Set[CONTA],$I275)</f>
        <v>14314</v>
      </c>
      <c r="G275" s="4">
        <f t="shared" si="6"/>
        <v>0</v>
      </c>
      <c r="H275" s="192">
        <v>51019</v>
      </c>
      <c r="I275" s="3" t="s">
        <v>518</v>
      </c>
      <c r="J275" s="3" t="s">
        <v>519</v>
      </c>
      <c r="K275" s="4">
        <v>14314</v>
      </c>
      <c r="L275" s="4">
        <v>12142.14</v>
      </c>
      <c r="M275" s="4">
        <v>0</v>
      </c>
      <c r="N275" s="4">
        <v>26456.14</v>
      </c>
      <c r="O275" s="4">
        <f>Tab_10.Out[[#This Row],[DÉBITO]]-Tab_10.Out[[#This Row],[CRÉDITO]]</f>
        <v>12142.14</v>
      </c>
    </row>
    <row r="276" spans="2:15" x14ac:dyDescent="0.3">
      <c r="B276" s="2" t="str">
        <f>_xlfn.XLOOKUP($I276,Tab_00.Trial[CONTA],Tab_00.Trial[TP],"",0,1)</f>
        <v>C</v>
      </c>
      <c r="C276" s="2">
        <f>_xlfn.XLOOKUP($I276,Tab_00.Trial[CONTA],Tab_00.Trial[NV],"",0,1)</f>
        <v>5</v>
      </c>
      <c r="D276" s="2" t="str">
        <f>_xlfn.XLOOKUP($I276,Tab_00.Trial[CONTA],Tab_00.Trial[S/A],"",0,1)</f>
        <v>S</v>
      </c>
      <c r="E276" s="2">
        <f>IF($I276="","",COUNTIFS(Tab_00.Trial[CONTA],$I276))</f>
        <v>1</v>
      </c>
      <c r="F276" s="4">
        <f>SUMIFS(Tab_09.Set[SALDO
ATUAL],Tab_09.Set[CONTA],$I276)</f>
        <v>36281.99</v>
      </c>
      <c r="G276" s="4">
        <f t="shared" si="6"/>
        <v>0</v>
      </c>
      <c r="H276" s="192">
        <v>51050</v>
      </c>
      <c r="I276" s="3" t="s">
        <v>623</v>
      </c>
      <c r="J276" s="3" t="s">
        <v>724</v>
      </c>
      <c r="K276" s="4">
        <v>36281.99</v>
      </c>
      <c r="L276" s="4">
        <v>3666.75</v>
      </c>
      <c r="M276" s="4">
        <v>0</v>
      </c>
      <c r="N276" s="4">
        <v>39948.74</v>
      </c>
      <c r="O276" s="4">
        <f>Tab_10.Out[[#This Row],[DÉBITO]]-Tab_10.Out[[#This Row],[CRÉDITO]]</f>
        <v>3666.75</v>
      </c>
    </row>
    <row r="277" spans="2:15" x14ac:dyDescent="0.3">
      <c r="B277" s="2" t="str">
        <f>_xlfn.XLOOKUP($I277,Tab_00.Trial[CONTA],Tab_00.Trial[TP],"",0,1)</f>
        <v>C</v>
      </c>
      <c r="C277" s="2">
        <f>_xlfn.XLOOKUP($I277,Tab_00.Trial[CONTA],Tab_00.Trial[NV],"",0,1)</f>
        <v>5</v>
      </c>
      <c r="D277" s="2" t="str">
        <f>_xlfn.XLOOKUP($I277,Tab_00.Trial[CONTA],Tab_00.Trial[S/A],"",0,1)</f>
        <v>S</v>
      </c>
      <c r="E277" s="2">
        <f>IF($I277="","",COUNTIFS(Tab_00.Trial[CONTA],$I277))</f>
        <v>1</v>
      </c>
      <c r="F277" s="4">
        <f>SUMIFS(Tab_09.Set[SALDO
ATUAL],Tab_09.Set[CONTA],$I277)</f>
        <v>36281.99</v>
      </c>
      <c r="G277" s="4">
        <f t="shared" si="6"/>
        <v>0</v>
      </c>
      <c r="H277" s="192">
        <v>51065</v>
      </c>
      <c r="I277" s="3" t="s">
        <v>624</v>
      </c>
      <c r="J277" s="3" t="s">
        <v>724</v>
      </c>
      <c r="K277" s="4">
        <v>36281.99</v>
      </c>
      <c r="L277" s="4">
        <v>3666.75</v>
      </c>
      <c r="M277" s="4">
        <v>0</v>
      </c>
      <c r="N277" s="4">
        <v>39948.74</v>
      </c>
      <c r="O277" s="4">
        <f>Tab_10.Out[[#This Row],[DÉBITO]]-Tab_10.Out[[#This Row],[CRÉDITO]]</f>
        <v>3666.75</v>
      </c>
    </row>
    <row r="278" spans="2:15" x14ac:dyDescent="0.3">
      <c r="B278" s="2" t="str">
        <f>_xlfn.XLOOKUP($I278,Tab_00.Trial[CONTA],Tab_00.Trial[TP],"",0,1)</f>
        <v>C</v>
      </c>
      <c r="C278" s="2">
        <f>_xlfn.XLOOKUP($I278,Tab_00.Trial[CONTA],Tab_00.Trial[NV],"",0,1)</f>
        <v>5</v>
      </c>
      <c r="D278" s="2" t="str">
        <f>_xlfn.XLOOKUP($I278,Tab_00.Trial[CONTA],Tab_00.Trial[S/A],"",0,1)</f>
        <v>A</v>
      </c>
      <c r="E278" s="2">
        <f>IF($I278="","",COUNTIFS(Tab_00.Trial[CONTA],$I278))</f>
        <v>1</v>
      </c>
      <c r="F278" s="4">
        <f>SUMIFS(Tab_09.Set[SALDO
ATUAL],Tab_09.Set[CONTA],$I278)</f>
        <v>36281.99</v>
      </c>
      <c r="G278" s="4">
        <f t="shared" si="6"/>
        <v>0</v>
      </c>
      <c r="H278" s="192">
        <v>51080</v>
      </c>
      <c r="I278" s="3" t="s">
        <v>520</v>
      </c>
      <c r="J278" s="3" t="s">
        <v>521</v>
      </c>
      <c r="K278" s="4">
        <v>36281.99</v>
      </c>
      <c r="L278" s="4">
        <v>3666.75</v>
      </c>
      <c r="M278" s="4">
        <v>0</v>
      </c>
      <c r="N278" s="4">
        <v>39948.74</v>
      </c>
      <c r="O278" s="4">
        <f>Tab_10.Out[[#This Row],[DÉBITO]]-Tab_10.Out[[#This Row],[CRÉDITO]]</f>
        <v>3666.75</v>
      </c>
    </row>
    <row r="279" spans="2:15" x14ac:dyDescent="0.3">
      <c r="B279" s="2" t="str">
        <f>_xlfn.XLOOKUP($I279,Tab_00.Trial[CONTA],Tab_00.Trial[TP],"",0,1)</f>
        <v>C</v>
      </c>
      <c r="C279" s="2">
        <f>_xlfn.XLOOKUP($I279,Tab_00.Trial[CONTA],Tab_00.Trial[NV],"",0,1)</f>
        <v>5</v>
      </c>
      <c r="D279" s="2" t="str">
        <f>_xlfn.XLOOKUP($I279,Tab_00.Trial[CONTA],Tab_00.Trial[S/A],"",0,1)</f>
        <v>S</v>
      </c>
      <c r="E279" s="2">
        <f>IF($I279="","",COUNTIFS(Tab_00.Trial[CONTA],$I279))</f>
        <v>1</v>
      </c>
      <c r="F279" s="4">
        <f>SUMIFS(Tab_09.Set[SALDO
ATUAL],Tab_09.Set[CONTA],$I279)</f>
        <v>44494.89</v>
      </c>
      <c r="G279" s="4">
        <f t="shared" si="6"/>
        <v>0</v>
      </c>
      <c r="H279" s="192">
        <v>51110</v>
      </c>
      <c r="I279" s="3" t="s">
        <v>625</v>
      </c>
      <c r="J279" s="3" t="s">
        <v>542</v>
      </c>
      <c r="K279" s="4">
        <v>44494.89</v>
      </c>
      <c r="L279" s="4">
        <v>5156.5</v>
      </c>
      <c r="M279" s="4">
        <v>0</v>
      </c>
      <c r="N279" s="4">
        <v>49651.39</v>
      </c>
      <c r="O279" s="4">
        <f>Tab_10.Out[[#This Row],[DÉBITO]]-Tab_10.Out[[#This Row],[CRÉDITO]]</f>
        <v>5156.5</v>
      </c>
    </row>
    <row r="280" spans="2:15" x14ac:dyDescent="0.3">
      <c r="B280" s="2" t="str">
        <f>_xlfn.XLOOKUP($I280,Tab_00.Trial[CONTA],Tab_00.Trial[TP],"",0,1)</f>
        <v>C</v>
      </c>
      <c r="C280" s="2">
        <f>_xlfn.XLOOKUP($I280,Tab_00.Trial[CONTA],Tab_00.Trial[NV],"",0,1)</f>
        <v>5</v>
      </c>
      <c r="D280" s="2" t="str">
        <f>_xlfn.XLOOKUP($I280,Tab_00.Trial[CONTA],Tab_00.Trial[S/A],"",0,1)</f>
        <v>S</v>
      </c>
      <c r="E280" s="2">
        <f>IF($I280="","",COUNTIFS(Tab_00.Trial[CONTA],$I280))</f>
        <v>1</v>
      </c>
      <c r="F280" s="4">
        <f>SUMIFS(Tab_09.Set[SALDO
ATUAL],Tab_09.Set[CONTA],$I280)</f>
        <v>16197.91</v>
      </c>
      <c r="G280" s="4">
        <f t="shared" si="6"/>
        <v>0</v>
      </c>
      <c r="H280" s="192">
        <v>51125</v>
      </c>
      <c r="I280" s="3" t="s">
        <v>626</v>
      </c>
      <c r="J280" s="3" t="s">
        <v>725</v>
      </c>
      <c r="K280" s="4">
        <v>16197.91</v>
      </c>
      <c r="L280" s="4">
        <v>0</v>
      </c>
      <c r="M280" s="4">
        <v>0</v>
      </c>
      <c r="N280" s="4">
        <v>16197.91</v>
      </c>
      <c r="O280" s="4">
        <f>Tab_10.Out[[#This Row],[DÉBITO]]-Tab_10.Out[[#This Row],[CRÉDITO]]</f>
        <v>0</v>
      </c>
    </row>
    <row r="281" spans="2:15" x14ac:dyDescent="0.3">
      <c r="B281" s="2" t="str">
        <f>_xlfn.XLOOKUP($I281,Tab_00.Trial[CONTA],Tab_00.Trial[TP],"",0,1)</f>
        <v>C</v>
      </c>
      <c r="C281" s="2">
        <f>_xlfn.XLOOKUP($I281,Tab_00.Trial[CONTA],Tab_00.Trial[NV],"",0,1)</f>
        <v>5</v>
      </c>
      <c r="D281" s="2" t="str">
        <f>_xlfn.XLOOKUP($I281,Tab_00.Trial[CONTA],Tab_00.Trial[S/A],"",0,1)</f>
        <v>A</v>
      </c>
      <c r="E281" s="2">
        <f>IF($I281="","",COUNTIFS(Tab_00.Trial[CONTA],$I281))</f>
        <v>1</v>
      </c>
      <c r="F281" s="4">
        <f>SUMIFS(Tab_09.Set[SALDO
ATUAL],Tab_09.Set[CONTA],$I281)</f>
        <v>15527.74</v>
      </c>
      <c r="G281" s="4">
        <f t="shared" si="6"/>
        <v>0</v>
      </c>
      <c r="H281" s="192">
        <v>51200</v>
      </c>
      <c r="I281" s="3" t="s">
        <v>522</v>
      </c>
      <c r="J281" s="3" t="s">
        <v>523</v>
      </c>
      <c r="K281" s="4">
        <v>15527.74</v>
      </c>
      <c r="L281" s="4">
        <v>0</v>
      </c>
      <c r="M281" s="4">
        <v>0</v>
      </c>
      <c r="N281" s="4">
        <v>15527.74</v>
      </c>
      <c r="O281" s="4">
        <f>Tab_10.Out[[#This Row],[DÉBITO]]-Tab_10.Out[[#This Row],[CRÉDITO]]</f>
        <v>0</v>
      </c>
    </row>
    <row r="282" spans="2:15" x14ac:dyDescent="0.3">
      <c r="B282" s="2" t="str">
        <f>_xlfn.XLOOKUP($I282,Tab_00.Trial[CONTA],Tab_00.Trial[TP],"",0,1)</f>
        <v>C</v>
      </c>
      <c r="C282" s="2">
        <f>_xlfn.XLOOKUP($I282,Tab_00.Trial[CONTA],Tab_00.Trial[NV],"",0,1)</f>
        <v>5</v>
      </c>
      <c r="D282" s="2" t="str">
        <f>_xlfn.XLOOKUP($I282,Tab_00.Trial[CONTA],Tab_00.Trial[S/A],"",0,1)</f>
        <v>A</v>
      </c>
      <c r="E282" s="2">
        <f>IF($I282="","",COUNTIFS(Tab_00.Trial[CONTA],$I282))</f>
        <v>1</v>
      </c>
      <c r="F282" s="4">
        <f>SUMIFS(Tab_09.Set[SALDO
ATUAL],Tab_09.Set[CONTA],$I282)</f>
        <v>670.17</v>
      </c>
      <c r="G282" s="4">
        <f t="shared" si="6"/>
        <v>0</v>
      </c>
      <c r="H282" s="192">
        <v>51220</v>
      </c>
      <c r="I282" s="3" t="s">
        <v>524</v>
      </c>
      <c r="J282" s="3" t="s">
        <v>525</v>
      </c>
      <c r="K282" s="4">
        <v>670.17</v>
      </c>
      <c r="L282" s="4">
        <v>0</v>
      </c>
      <c r="M282" s="4">
        <v>0</v>
      </c>
      <c r="N282" s="4">
        <v>670.17</v>
      </c>
      <c r="O282" s="4">
        <f>Tab_10.Out[[#This Row],[DÉBITO]]-Tab_10.Out[[#This Row],[CRÉDITO]]</f>
        <v>0</v>
      </c>
    </row>
    <row r="283" spans="2:15" x14ac:dyDescent="0.3">
      <c r="B283" s="2" t="str">
        <f>_xlfn.XLOOKUP($I283,Tab_00.Trial[CONTA],Tab_00.Trial[TP],"",0,1)</f>
        <v>C</v>
      </c>
      <c r="C283" s="2">
        <f>_xlfn.XLOOKUP($I283,Tab_00.Trial[CONTA],Tab_00.Trial[NV],"",0,1)</f>
        <v>5</v>
      </c>
      <c r="D283" s="2" t="str">
        <f>_xlfn.XLOOKUP($I283,Tab_00.Trial[CONTA],Tab_00.Trial[S/A],"",0,1)</f>
        <v>S</v>
      </c>
      <c r="E283" s="2">
        <f>IF($I283="","",COUNTIFS(Tab_00.Trial[CONTA],$I283))</f>
        <v>1</v>
      </c>
      <c r="F283" s="4">
        <f>SUMIFS(Tab_09.Set[SALDO
ATUAL],Tab_09.Set[CONTA],$I283)</f>
        <v>28296.98</v>
      </c>
      <c r="G283" s="4">
        <f t="shared" si="6"/>
        <v>0</v>
      </c>
      <c r="H283" s="192">
        <v>51230</v>
      </c>
      <c r="I283" s="3" t="s">
        <v>627</v>
      </c>
      <c r="J283" s="3" t="s">
        <v>542</v>
      </c>
      <c r="K283" s="4">
        <v>28296.98</v>
      </c>
      <c r="L283" s="4">
        <v>5156.5</v>
      </c>
      <c r="M283" s="4">
        <v>0</v>
      </c>
      <c r="N283" s="4">
        <v>33453.480000000003</v>
      </c>
      <c r="O283" s="4">
        <f>Tab_10.Out[[#This Row],[DÉBITO]]-Tab_10.Out[[#This Row],[CRÉDITO]]</f>
        <v>5156.5</v>
      </c>
    </row>
    <row r="284" spans="2:15" x14ac:dyDescent="0.3">
      <c r="B284" s="2" t="str">
        <f>_xlfn.XLOOKUP($I284,Tab_00.Trial[CONTA],Tab_00.Trial[TP],"",0,1)</f>
        <v>C</v>
      </c>
      <c r="C284" s="2">
        <f>_xlfn.XLOOKUP($I284,Tab_00.Trial[CONTA],Tab_00.Trial[NV],"",0,1)</f>
        <v>5</v>
      </c>
      <c r="D284" s="2" t="str">
        <f>_xlfn.XLOOKUP($I284,Tab_00.Trial[CONTA],Tab_00.Trial[S/A],"",0,1)</f>
        <v>A</v>
      </c>
      <c r="E284" s="2">
        <f>IF($I284="","",COUNTIFS(Tab_00.Trial[CONTA],$I284))</f>
        <v>1</v>
      </c>
      <c r="F284" s="4">
        <f>SUMIFS(Tab_09.Set[SALDO
ATUAL],Tab_09.Set[CONTA],$I284)</f>
        <v>1677.42</v>
      </c>
      <c r="G284" s="4">
        <f t="shared" si="6"/>
        <v>0</v>
      </c>
      <c r="H284" s="192">
        <v>51245</v>
      </c>
      <c r="I284" s="3" t="s">
        <v>528</v>
      </c>
      <c r="J284" s="3" t="s">
        <v>416</v>
      </c>
      <c r="K284" s="4">
        <v>1677.42</v>
      </c>
      <c r="L284" s="4">
        <v>787.32</v>
      </c>
      <c r="M284" s="4">
        <v>0</v>
      </c>
      <c r="N284" s="4">
        <v>2464.7399999999998</v>
      </c>
      <c r="O284" s="4">
        <f>Tab_10.Out[[#This Row],[DÉBITO]]-Tab_10.Out[[#This Row],[CRÉDITO]]</f>
        <v>787.32</v>
      </c>
    </row>
    <row r="285" spans="2:15" x14ac:dyDescent="0.3">
      <c r="B285" s="2" t="str">
        <f>_xlfn.XLOOKUP($I285,Tab_00.Trial[CONTA],Tab_00.Trial[TP],"",0,1)</f>
        <v>C</v>
      </c>
      <c r="C285" s="2">
        <f>_xlfn.XLOOKUP($I285,Tab_00.Trial[CONTA],Tab_00.Trial[NV],"",0,1)</f>
        <v>5</v>
      </c>
      <c r="D285" s="2" t="str">
        <f>_xlfn.XLOOKUP($I285,Tab_00.Trial[CONTA],Tab_00.Trial[S/A],"",0,1)</f>
        <v>A</v>
      </c>
      <c r="E285" s="2">
        <f>IF($I285="","",COUNTIFS(Tab_00.Trial[CONTA],$I285))</f>
        <v>1</v>
      </c>
      <c r="F285" s="4">
        <f>SUMIFS(Tab_09.Set[SALDO
ATUAL],Tab_09.Set[CONTA],$I285)</f>
        <v>349.32</v>
      </c>
      <c r="G285" s="4">
        <f t="shared" si="6"/>
        <v>0</v>
      </c>
      <c r="H285" s="192">
        <v>51275</v>
      </c>
      <c r="I285" s="3" t="s">
        <v>529</v>
      </c>
      <c r="J285" s="3" t="s">
        <v>530</v>
      </c>
      <c r="K285" s="4">
        <v>349.32</v>
      </c>
      <c r="L285" s="4">
        <v>500</v>
      </c>
      <c r="M285" s="4">
        <v>0</v>
      </c>
      <c r="N285" s="4">
        <v>849.32</v>
      </c>
      <c r="O285" s="4">
        <f>Tab_10.Out[[#This Row],[DÉBITO]]-Tab_10.Out[[#This Row],[CRÉDITO]]</f>
        <v>500</v>
      </c>
    </row>
    <row r="286" spans="2:15" x14ac:dyDescent="0.3">
      <c r="B286" s="2" t="str">
        <f>_xlfn.XLOOKUP($I286,Tab_00.Trial[CONTA],Tab_00.Trial[TP],"",0,1)</f>
        <v>C</v>
      </c>
      <c r="C286" s="2">
        <f>_xlfn.XLOOKUP($I286,Tab_00.Trial[CONTA],Tab_00.Trial[NV],"",0,1)</f>
        <v>5</v>
      </c>
      <c r="D286" s="2" t="str">
        <f>_xlfn.XLOOKUP($I286,Tab_00.Trial[CONTA],Tab_00.Trial[S/A],"",0,1)</f>
        <v>A</v>
      </c>
      <c r="E286" s="2">
        <f>IF($I286="","",COUNTIFS(Tab_00.Trial[CONTA],$I286))</f>
        <v>1</v>
      </c>
      <c r="F286" s="4">
        <f>SUMIFS(Tab_09.Set[SALDO
ATUAL],Tab_09.Set[CONTA],$I286)</f>
        <v>1437.92</v>
      </c>
      <c r="G286" s="4">
        <f t="shared" si="6"/>
        <v>0</v>
      </c>
      <c r="H286" s="192">
        <v>51290</v>
      </c>
      <c r="I286" s="3" t="s">
        <v>531</v>
      </c>
      <c r="J286" s="3" t="s">
        <v>532</v>
      </c>
      <c r="K286" s="4">
        <v>1437.92</v>
      </c>
      <c r="L286" s="4">
        <v>169.5</v>
      </c>
      <c r="M286" s="4">
        <v>0</v>
      </c>
      <c r="N286" s="4">
        <v>1607.42</v>
      </c>
      <c r="O286" s="4">
        <f>Tab_10.Out[[#This Row],[DÉBITO]]-Tab_10.Out[[#This Row],[CRÉDITO]]</f>
        <v>169.5</v>
      </c>
    </row>
    <row r="287" spans="2:15" x14ac:dyDescent="0.3">
      <c r="B287" s="2" t="str">
        <f>_xlfn.XLOOKUP($I287,Tab_00.Trial[CONTA],Tab_00.Trial[TP],"",0,1)</f>
        <v>C</v>
      </c>
      <c r="C287" s="2">
        <f>_xlfn.XLOOKUP($I287,Tab_00.Trial[CONTA],Tab_00.Trial[NV],"",0,1)</f>
        <v>5</v>
      </c>
      <c r="D287" s="2" t="str">
        <f>_xlfn.XLOOKUP($I287,Tab_00.Trial[CONTA],Tab_00.Trial[S/A],"",0,1)</f>
        <v>A</v>
      </c>
      <c r="E287" s="2">
        <f>IF($I287="","",COUNTIFS(Tab_00.Trial[CONTA],$I287))</f>
        <v>1</v>
      </c>
      <c r="F287" s="4">
        <f>SUMIFS(Tab_09.Set[SALDO
ATUAL],Tab_09.Set[CONTA],$I287)</f>
        <v>3798.91</v>
      </c>
      <c r="G287" s="4">
        <f t="shared" si="6"/>
        <v>0</v>
      </c>
      <c r="H287" s="192">
        <v>51305</v>
      </c>
      <c r="I287" s="3" t="s">
        <v>533</v>
      </c>
      <c r="J287" s="3" t="s">
        <v>534</v>
      </c>
      <c r="K287" s="4">
        <v>3798.91</v>
      </c>
      <c r="L287" s="4">
        <v>1190</v>
      </c>
      <c r="M287" s="4">
        <v>0</v>
      </c>
      <c r="N287" s="4">
        <v>4988.91</v>
      </c>
      <c r="O287" s="4">
        <f>Tab_10.Out[[#This Row],[DÉBITO]]-Tab_10.Out[[#This Row],[CRÉDITO]]</f>
        <v>1190</v>
      </c>
    </row>
    <row r="288" spans="2:15" x14ac:dyDescent="0.3">
      <c r="B288" s="2" t="str">
        <f>_xlfn.XLOOKUP($I288,Tab_00.Trial[CONTA],Tab_00.Trial[TP],"",0,1)</f>
        <v>C</v>
      </c>
      <c r="C288" s="2">
        <f>_xlfn.XLOOKUP($I288,Tab_00.Trial[CONTA],Tab_00.Trial[NV],"",0,1)</f>
        <v>5</v>
      </c>
      <c r="D288" s="2" t="str">
        <f>_xlfn.XLOOKUP($I288,Tab_00.Trial[CONTA],Tab_00.Trial[S/A],"",0,1)</f>
        <v>A</v>
      </c>
      <c r="E288" s="2">
        <f>IF($I288="","",COUNTIFS(Tab_00.Trial[CONTA],$I288))</f>
        <v>1</v>
      </c>
      <c r="F288" s="4">
        <f>SUMIFS(Tab_09.Set[SALDO
ATUAL],Tab_09.Set[CONTA],$I288)</f>
        <v>4749.8900000000003</v>
      </c>
      <c r="G288" s="4">
        <f t="shared" si="6"/>
        <v>0</v>
      </c>
      <c r="H288" s="192">
        <v>51335</v>
      </c>
      <c r="I288" s="3" t="s">
        <v>537</v>
      </c>
      <c r="J288" s="3" t="s">
        <v>538</v>
      </c>
      <c r="K288" s="4">
        <v>4749.8900000000003</v>
      </c>
      <c r="L288" s="4">
        <v>0</v>
      </c>
      <c r="M288" s="4">
        <v>0</v>
      </c>
      <c r="N288" s="4">
        <v>4749.8900000000003</v>
      </c>
      <c r="O288" s="4">
        <f>Tab_10.Out[[#This Row],[DÉBITO]]-Tab_10.Out[[#This Row],[CRÉDITO]]</f>
        <v>0</v>
      </c>
    </row>
    <row r="289" spans="2:15" x14ac:dyDescent="0.3">
      <c r="B289" s="2" t="str">
        <f>_xlfn.XLOOKUP($I289,Tab_00.Trial[CONTA],Tab_00.Trial[TP],"",0,1)</f>
        <v>C</v>
      </c>
      <c r="C289" s="2">
        <f>_xlfn.XLOOKUP($I289,Tab_00.Trial[CONTA],Tab_00.Trial[NV],"",0,1)</f>
        <v>5</v>
      </c>
      <c r="D289" s="2" t="str">
        <f>_xlfn.XLOOKUP($I289,Tab_00.Trial[CONTA],Tab_00.Trial[S/A],"",0,1)</f>
        <v>A</v>
      </c>
      <c r="E289" s="2">
        <f>IF($I289="","",COUNTIFS(Tab_00.Trial[CONTA],$I289))</f>
        <v>1</v>
      </c>
      <c r="F289" s="4">
        <f>SUMIFS(Tab_09.Set[SALDO
ATUAL],Tab_09.Set[CONTA],$I289)</f>
        <v>13596.8</v>
      </c>
      <c r="G289" s="4">
        <f t="shared" si="6"/>
        <v>0</v>
      </c>
      <c r="H289" s="192">
        <v>51338</v>
      </c>
      <c r="I289" s="3" t="s">
        <v>539</v>
      </c>
      <c r="J289" s="3" t="s">
        <v>540</v>
      </c>
      <c r="K289" s="4">
        <v>13596.8</v>
      </c>
      <c r="L289" s="4">
        <v>1304.8</v>
      </c>
      <c r="M289" s="4">
        <v>0</v>
      </c>
      <c r="N289" s="4">
        <v>14901.6</v>
      </c>
      <c r="O289" s="4">
        <f>Tab_10.Out[[#This Row],[DÉBITO]]-Tab_10.Out[[#This Row],[CRÉDITO]]</f>
        <v>1304.8</v>
      </c>
    </row>
    <row r="290" spans="2:15" x14ac:dyDescent="0.3">
      <c r="B290" s="2" t="str">
        <f>_xlfn.XLOOKUP($I290,Tab_00.Trial[CONTA],Tab_00.Trial[TP],"",0,1)</f>
        <v>C</v>
      </c>
      <c r="C290" s="2">
        <f>_xlfn.XLOOKUP($I290,Tab_00.Trial[CONTA],Tab_00.Trial[NV],"",0,1)</f>
        <v>5</v>
      </c>
      <c r="D290" s="2" t="str">
        <f>_xlfn.XLOOKUP($I290,Tab_00.Trial[CONTA],Tab_00.Trial[S/A],"",0,1)</f>
        <v>A</v>
      </c>
      <c r="E290" s="2">
        <f>IF($I290="","",COUNTIFS(Tab_00.Trial[CONTA],$I290))</f>
        <v>1</v>
      </c>
      <c r="F290" s="4">
        <f>SUMIFS(Tab_09.Set[SALDO
ATUAL],Tab_09.Set[CONTA],$I290)</f>
        <v>2686.72</v>
      </c>
      <c r="G290" s="4">
        <f t="shared" si="6"/>
        <v>0</v>
      </c>
      <c r="H290" s="192">
        <v>51337</v>
      </c>
      <c r="I290" s="3" t="s">
        <v>541</v>
      </c>
      <c r="J290" s="3" t="s">
        <v>542</v>
      </c>
      <c r="K290" s="4">
        <v>2686.72</v>
      </c>
      <c r="L290" s="4">
        <v>1204.8800000000001</v>
      </c>
      <c r="M290" s="4">
        <v>0</v>
      </c>
      <c r="N290" s="4">
        <v>3891.6</v>
      </c>
      <c r="O290" s="4">
        <f>Tab_10.Out[[#This Row],[DÉBITO]]-Tab_10.Out[[#This Row],[CRÉDITO]]</f>
        <v>1204.8800000000001</v>
      </c>
    </row>
    <row r="291" spans="2:15" x14ac:dyDescent="0.3">
      <c r="B291" s="2" t="str">
        <f>_xlfn.XLOOKUP($I291,Tab_00.Trial[CONTA],Tab_00.Trial[TP],"",0,1)</f>
        <v>C</v>
      </c>
      <c r="C291" s="2">
        <f>_xlfn.XLOOKUP($I291,Tab_00.Trial[CONTA],Tab_00.Trial[NV],"",0,1)</f>
        <v>5</v>
      </c>
      <c r="D291" s="2" t="str">
        <f>_xlfn.XLOOKUP($I291,Tab_00.Trial[CONTA],Tab_00.Trial[S/A],"",0,1)</f>
        <v>S</v>
      </c>
      <c r="E291" s="2">
        <f>IF($I291="","",COUNTIFS(Tab_00.Trial[CONTA],$I291))</f>
        <v>1</v>
      </c>
      <c r="F291" s="4">
        <f>SUMIFS(Tab_09.Set[SALDO
ATUAL],Tab_09.Set[CONTA],$I291)</f>
        <v>49901.5</v>
      </c>
      <c r="G291" s="4">
        <f t="shared" si="6"/>
        <v>0</v>
      </c>
      <c r="H291" s="192">
        <v>51340</v>
      </c>
      <c r="I291" s="3" t="s">
        <v>628</v>
      </c>
      <c r="J291" s="3" t="s">
        <v>726</v>
      </c>
      <c r="K291" s="4">
        <v>49901.5</v>
      </c>
      <c r="L291" s="4">
        <v>0</v>
      </c>
      <c r="M291" s="4">
        <v>0</v>
      </c>
      <c r="N291" s="4">
        <v>49901.5</v>
      </c>
      <c r="O291" s="4">
        <f>Tab_10.Out[[#This Row],[DÉBITO]]-Tab_10.Out[[#This Row],[CRÉDITO]]</f>
        <v>0</v>
      </c>
    </row>
    <row r="292" spans="2:15" x14ac:dyDescent="0.3">
      <c r="B292" s="2" t="str">
        <f>_xlfn.XLOOKUP($I292,Tab_00.Trial[CONTA],Tab_00.Trial[TP],"",0,1)</f>
        <v>C</v>
      </c>
      <c r="C292" s="2">
        <f>_xlfn.XLOOKUP($I292,Tab_00.Trial[CONTA],Tab_00.Trial[NV],"",0,1)</f>
        <v>5</v>
      </c>
      <c r="D292" s="2" t="str">
        <f>_xlfn.XLOOKUP($I292,Tab_00.Trial[CONTA],Tab_00.Trial[S/A],"",0,1)</f>
        <v>S</v>
      </c>
      <c r="E292" s="2">
        <f>IF($I292="","",COUNTIFS(Tab_00.Trial[CONTA],$I292))</f>
        <v>1</v>
      </c>
      <c r="F292" s="4">
        <f>SUMIFS(Tab_09.Set[SALDO
ATUAL],Tab_09.Set[CONTA],$I292)</f>
        <v>49901.5</v>
      </c>
      <c r="G292" s="4">
        <f t="shared" si="6"/>
        <v>0</v>
      </c>
      <c r="H292" s="192">
        <v>51370</v>
      </c>
      <c r="I292" s="3" t="s">
        <v>1004</v>
      </c>
      <c r="J292" s="3" t="s">
        <v>1005</v>
      </c>
      <c r="K292" s="4">
        <v>49901.5</v>
      </c>
      <c r="L292" s="4">
        <v>0</v>
      </c>
      <c r="M292" s="4">
        <v>0</v>
      </c>
      <c r="N292" s="4">
        <v>49901.5</v>
      </c>
      <c r="O292" s="4">
        <f>Tab_10.Out[[#This Row],[DÉBITO]]-Tab_10.Out[[#This Row],[CRÉDITO]]</f>
        <v>0</v>
      </c>
    </row>
    <row r="293" spans="2:15" x14ac:dyDescent="0.3">
      <c r="B293" s="2" t="str">
        <f>_xlfn.XLOOKUP($I293,Tab_00.Trial[CONTA],Tab_00.Trial[TP],"",0,1)</f>
        <v>C</v>
      </c>
      <c r="C293" s="2">
        <f>_xlfn.XLOOKUP($I293,Tab_00.Trial[CONTA],Tab_00.Trial[NV],"",0,1)</f>
        <v>5</v>
      </c>
      <c r="D293" s="2" t="str">
        <f>_xlfn.XLOOKUP($I293,Tab_00.Trial[CONTA],Tab_00.Trial[S/A],"",0,1)</f>
        <v>A</v>
      </c>
      <c r="E293" s="2">
        <f>IF($I293="","",COUNTIFS(Tab_00.Trial[CONTA],$I293))</f>
        <v>1</v>
      </c>
      <c r="F293" s="4">
        <f>SUMIFS(Tab_09.Set[SALDO
ATUAL],Tab_09.Set[CONTA],$I293)</f>
        <v>49901.5</v>
      </c>
      <c r="G293" s="4">
        <f t="shared" si="6"/>
        <v>0</v>
      </c>
      <c r="H293" s="192">
        <v>51374</v>
      </c>
      <c r="I293" s="3" t="s">
        <v>1006</v>
      </c>
      <c r="J293" s="3" t="s">
        <v>1007</v>
      </c>
      <c r="K293" s="4">
        <v>49901.5</v>
      </c>
      <c r="L293" s="4">
        <v>0</v>
      </c>
      <c r="M293" s="4">
        <v>0</v>
      </c>
      <c r="N293" s="4">
        <v>49901.5</v>
      </c>
      <c r="O293" s="4">
        <f>Tab_10.Out[[#This Row],[DÉBITO]]-Tab_10.Out[[#This Row],[CRÉDITO]]</f>
        <v>0</v>
      </c>
    </row>
    <row r="294" spans="2:15" x14ac:dyDescent="0.3">
      <c r="B294" s="2" t="str">
        <f>_xlfn.XLOOKUP($I294,Tab_00.Trial[CONTA],Tab_00.Trial[TP],"",0,1)</f>
        <v>C</v>
      </c>
      <c r="C294" s="2">
        <f>_xlfn.XLOOKUP($I294,Tab_00.Trial[CONTA],Tab_00.Trial[NV],"",0,1)</f>
        <v>2</v>
      </c>
      <c r="D294" s="2" t="str">
        <f>_xlfn.XLOOKUP($I294,Tab_00.Trial[CONTA],Tab_00.Trial[S/A],"",0,1)</f>
        <v>S</v>
      </c>
      <c r="E294" s="2">
        <f>IF($I294="","",COUNTIFS(Tab_00.Trial[CONTA],$I294))</f>
        <v>1</v>
      </c>
      <c r="F294" s="4">
        <f>SUMIFS(Tab_09.Set[SALDO
ATUAL],Tab_09.Set[CONTA],$I294)</f>
        <v>405</v>
      </c>
      <c r="G294" s="4">
        <f t="shared" si="6"/>
        <v>0</v>
      </c>
      <c r="H294" s="192">
        <v>51500</v>
      </c>
      <c r="I294" s="3" t="s">
        <v>630</v>
      </c>
      <c r="J294" s="3" t="s">
        <v>728</v>
      </c>
      <c r="K294" s="4">
        <v>405</v>
      </c>
      <c r="L294" s="4">
        <v>0</v>
      </c>
      <c r="M294" s="4">
        <v>0</v>
      </c>
      <c r="N294" s="4">
        <v>405</v>
      </c>
      <c r="O294" s="4">
        <f>Tab_10.Out[[#This Row],[DÉBITO]]-Tab_10.Out[[#This Row],[CRÉDITO]]</f>
        <v>0</v>
      </c>
    </row>
    <row r="295" spans="2:15" x14ac:dyDescent="0.3">
      <c r="B295" s="2" t="str">
        <f>_xlfn.XLOOKUP($I295,Tab_00.Trial[CONTA],Tab_00.Trial[TP],"",0,1)</f>
        <v>C</v>
      </c>
      <c r="C295" s="2">
        <f>_xlfn.XLOOKUP($I295,Tab_00.Trial[CONTA],Tab_00.Trial[NV],"",0,1)</f>
        <v>5</v>
      </c>
      <c r="D295" s="2" t="str">
        <f>_xlfn.XLOOKUP($I295,Tab_00.Trial[CONTA],Tab_00.Trial[S/A],"",0,1)</f>
        <v>S</v>
      </c>
      <c r="E295" s="2">
        <f>IF($I295="","",COUNTIFS(Tab_00.Trial[CONTA],$I295))</f>
        <v>1</v>
      </c>
      <c r="F295" s="4">
        <f>SUMIFS(Tab_09.Set[SALDO
ATUAL],Tab_09.Set[CONTA],$I295)</f>
        <v>405</v>
      </c>
      <c r="G295" s="4">
        <f t="shared" si="6"/>
        <v>0</v>
      </c>
      <c r="H295" s="192">
        <v>51505</v>
      </c>
      <c r="I295" s="3" t="s">
        <v>631</v>
      </c>
      <c r="J295" s="3" t="s">
        <v>728</v>
      </c>
      <c r="K295" s="4">
        <v>405</v>
      </c>
      <c r="L295" s="4">
        <v>0</v>
      </c>
      <c r="M295" s="4">
        <v>0</v>
      </c>
      <c r="N295" s="4">
        <v>405</v>
      </c>
      <c r="O295" s="4">
        <f>Tab_10.Out[[#This Row],[DÉBITO]]-Tab_10.Out[[#This Row],[CRÉDITO]]</f>
        <v>0</v>
      </c>
    </row>
    <row r="296" spans="2:15" x14ac:dyDescent="0.3">
      <c r="B296" s="2" t="str">
        <f>_xlfn.XLOOKUP($I296,Tab_00.Trial[CONTA],Tab_00.Trial[TP],"",0,1)</f>
        <v>C</v>
      </c>
      <c r="C296" s="2">
        <f>_xlfn.XLOOKUP($I296,Tab_00.Trial[CONTA],Tab_00.Trial[NV],"",0,1)</f>
        <v>5</v>
      </c>
      <c r="D296" s="2" t="str">
        <f>_xlfn.XLOOKUP($I296,Tab_00.Trial[CONTA],Tab_00.Trial[S/A],"",0,1)</f>
        <v>S</v>
      </c>
      <c r="E296" s="2">
        <f>IF($I296="","",COUNTIFS(Tab_00.Trial[CONTA],$I296))</f>
        <v>1</v>
      </c>
      <c r="F296" s="4">
        <f>SUMIFS(Tab_09.Set[SALDO
ATUAL],Tab_09.Set[CONTA],$I296)</f>
        <v>405</v>
      </c>
      <c r="G296" s="4">
        <f t="shared" si="6"/>
        <v>0</v>
      </c>
      <c r="H296" s="192">
        <v>51565</v>
      </c>
      <c r="I296" s="3" t="s">
        <v>633</v>
      </c>
      <c r="J296" s="3" t="s">
        <v>548</v>
      </c>
      <c r="K296" s="4">
        <v>405</v>
      </c>
      <c r="L296" s="4">
        <v>0</v>
      </c>
      <c r="M296" s="4">
        <v>0</v>
      </c>
      <c r="N296" s="4">
        <v>405</v>
      </c>
      <c r="O296" s="4">
        <f>Tab_10.Out[[#This Row],[DÉBITO]]-Tab_10.Out[[#This Row],[CRÉDITO]]</f>
        <v>0</v>
      </c>
    </row>
    <row r="297" spans="2:15" x14ac:dyDescent="0.3">
      <c r="B297" s="2" t="str">
        <f>_xlfn.XLOOKUP($I297,Tab_00.Trial[CONTA],Tab_00.Trial[TP],"",0,1)</f>
        <v>C</v>
      </c>
      <c r="C297" s="2">
        <f>_xlfn.XLOOKUP($I297,Tab_00.Trial[CONTA],Tab_00.Trial[NV],"",0,1)</f>
        <v>5</v>
      </c>
      <c r="D297" s="2" t="str">
        <f>_xlfn.XLOOKUP($I297,Tab_00.Trial[CONTA],Tab_00.Trial[S/A],"",0,1)</f>
        <v>A</v>
      </c>
      <c r="E297" s="2">
        <f>IF($I297="","",COUNTIFS(Tab_00.Trial[CONTA],$I297))</f>
        <v>1</v>
      </c>
      <c r="F297" s="4">
        <f>SUMIFS(Tab_09.Set[SALDO
ATUAL],Tab_09.Set[CONTA],$I297)</f>
        <v>405</v>
      </c>
      <c r="G297" s="4">
        <f t="shared" si="6"/>
        <v>0</v>
      </c>
      <c r="H297" s="192">
        <v>51570</v>
      </c>
      <c r="I297" s="3" t="s">
        <v>547</v>
      </c>
      <c r="J297" s="3" t="s">
        <v>548</v>
      </c>
      <c r="K297" s="4">
        <v>405</v>
      </c>
      <c r="L297" s="4">
        <v>0</v>
      </c>
      <c r="M297" s="4">
        <v>0</v>
      </c>
      <c r="N297" s="4">
        <v>405</v>
      </c>
      <c r="O297" s="4">
        <f>Tab_10.Out[[#This Row],[DÉBITO]]-Tab_10.Out[[#This Row],[CRÉDITO]]</f>
        <v>0</v>
      </c>
    </row>
    <row r="298" spans="2:15" x14ac:dyDescent="0.3">
      <c r="B298" s="2" t="str">
        <f>_xlfn.XLOOKUP($I298,Tab_00.Trial[CONTA],Tab_00.Trial[TP],"",0,1)</f>
        <v>C</v>
      </c>
      <c r="C298" s="2">
        <f>_xlfn.XLOOKUP($I298,Tab_00.Trial[CONTA],Tab_00.Trial[NV],"",0,1)</f>
        <v>2</v>
      </c>
      <c r="D298" s="2" t="str">
        <f>_xlfn.XLOOKUP($I298,Tab_00.Trial[CONTA],Tab_00.Trial[S/A],"",0,1)</f>
        <v>S</v>
      </c>
      <c r="E298" s="2">
        <f>IF($I298="","",COUNTIFS(Tab_00.Trial[CONTA],$I298))</f>
        <v>1</v>
      </c>
      <c r="F298" s="4">
        <f>SUMIFS(Tab_09.Set[SALDO
ATUAL],Tab_09.Set[CONTA],$I298)</f>
        <v>-189</v>
      </c>
      <c r="G298" s="4">
        <f t="shared" si="6"/>
        <v>0</v>
      </c>
      <c r="H298" s="192">
        <v>51590</v>
      </c>
      <c r="I298" s="3" t="s">
        <v>634</v>
      </c>
      <c r="J298" s="3" t="s">
        <v>730</v>
      </c>
      <c r="K298" s="4">
        <v>-189</v>
      </c>
      <c r="L298" s="4">
        <v>0</v>
      </c>
      <c r="M298" s="4">
        <v>0</v>
      </c>
      <c r="N298" s="4">
        <v>-189</v>
      </c>
      <c r="O298" s="4">
        <f>Tab_10.Out[[#This Row],[DÉBITO]]-Tab_10.Out[[#This Row],[CRÉDITO]]</f>
        <v>0</v>
      </c>
    </row>
    <row r="299" spans="2:15" x14ac:dyDescent="0.3">
      <c r="B299" s="2" t="str">
        <f>_xlfn.XLOOKUP($I299,Tab_00.Trial[CONTA],Tab_00.Trial[TP],"",0,1)</f>
        <v>C</v>
      </c>
      <c r="C299" s="2">
        <f>_xlfn.XLOOKUP($I299,Tab_00.Trial[CONTA],Tab_00.Trial[NV],"",0,1)</f>
        <v>5</v>
      </c>
      <c r="D299" s="2" t="str">
        <f>_xlfn.XLOOKUP($I299,Tab_00.Trial[CONTA],Tab_00.Trial[S/A],"",0,1)</f>
        <v>S</v>
      </c>
      <c r="E299" s="2">
        <f>IF($I299="","",COUNTIFS(Tab_00.Trial[CONTA],$I299))</f>
        <v>1</v>
      </c>
      <c r="F299" s="4">
        <f>SUMIFS(Tab_09.Set[SALDO
ATUAL],Tab_09.Set[CONTA],$I299)</f>
        <v>-189</v>
      </c>
      <c r="G299" s="4">
        <f t="shared" ref="G299:G301" si="7">$F299-$K299</f>
        <v>0</v>
      </c>
      <c r="H299" s="192">
        <v>10216</v>
      </c>
      <c r="I299" s="3" t="s">
        <v>825</v>
      </c>
      <c r="J299" s="3" t="s">
        <v>826</v>
      </c>
      <c r="K299" s="4">
        <v>-189</v>
      </c>
      <c r="L299" s="4">
        <v>0</v>
      </c>
      <c r="M299" s="4">
        <v>0</v>
      </c>
      <c r="N299" s="4">
        <v>-189</v>
      </c>
      <c r="O299" s="4">
        <f>Tab_10.Out[[#This Row],[DÉBITO]]-Tab_10.Out[[#This Row],[CRÉDITO]]</f>
        <v>0</v>
      </c>
    </row>
    <row r="300" spans="2:15" x14ac:dyDescent="0.3">
      <c r="B300" s="2" t="str">
        <f>_xlfn.XLOOKUP($I300,Tab_00.Trial[CONTA],Tab_00.Trial[TP],"",0,1)</f>
        <v>C</v>
      </c>
      <c r="C300" s="2">
        <f>_xlfn.XLOOKUP($I300,Tab_00.Trial[CONTA],Tab_00.Trial[NV],"",0,1)</f>
        <v>5</v>
      </c>
      <c r="D300" s="2" t="str">
        <f>_xlfn.XLOOKUP($I300,Tab_00.Trial[CONTA],Tab_00.Trial[S/A],"",0,1)</f>
        <v>S</v>
      </c>
      <c r="E300" s="2">
        <f>IF($I300="","",COUNTIFS(Tab_00.Trial[CONTA],$I300))</f>
        <v>1</v>
      </c>
      <c r="F300" s="4">
        <f>SUMIFS(Tab_09.Set[SALDO
ATUAL],Tab_09.Set[CONTA],$I300)</f>
        <v>-189</v>
      </c>
      <c r="G300" s="4">
        <f t="shared" si="7"/>
        <v>0</v>
      </c>
      <c r="H300" s="192">
        <v>10230</v>
      </c>
      <c r="I300" s="3" t="s">
        <v>827</v>
      </c>
      <c r="J300" s="3" t="s">
        <v>826</v>
      </c>
      <c r="K300" s="4">
        <v>-189</v>
      </c>
      <c r="L300" s="4">
        <v>0</v>
      </c>
      <c r="M300" s="4">
        <v>0</v>
      </c>
      <c r="N300" s="4">
        <v>-189</v>
      </c>
      <c r="O300" s="4">
        <f>Tab_10.Out[[#This Row],[DÉBITO]]-Tab_10.Out[[#This Row],[CRÉDITO]]</f>
        <v>0</v>
      </c>
    </row>
    <row r="301" spans="2:15" x14ac:dyDescent="0.3">
      <c r="B301" s="2" t="str">
        <f>_xlfn.XLOOKUP($I301,Tab_00.Trial[CONTA],Tab_00.Trial[TP],"",0,1)</f>
        <v>C</v>
      </c>
      <c r="C301" s="2">
        <f>_xlfn.XLOOKUP($I301,Tab_00.Trial[CONTA],Tab_00.Trial[NV],"",0,1)</f>
        <v>5</v>
      </c>
      <c r="D301" s="2" t="str">
        <f>_xlfn.XLOOKUP($I301,Tab_00.Trial[CONTA],Tab_00.Trial[S/A],"",0,1)</f>
        <v>A</v>
      </c>
      <c r="E301" s="2">
        <f>IF($I301="","",COUNTIFS(Tab_00.Trial[CONTA],$I301))</f>
        <v>1</v>
      </c>
      <c r="F301" s="4">
        <f>SUMIFS(Tab_09.Set[SALDO
ATUAL],Tab_09.Set[CONTA],$I301)</f>
        <v>-189</v>
      </c>
      <c r="G301" s="4">
        <f t="shared" si="7"/>
        <v>0</v>
      </c>
      <c r="H301" s="192">
        <v>10237</v>
      </c>
      <c r="I301" s="3" t="s">
        <v>828</v>
      </c>
      <c r="J301" s="3" t="s">
        <v>829</v>
      </c>
      <c r="K301" s="4">
        <v>-189</v>
      </c>
      <c r="L301" s="4">
        <v>0</v>
      </c>
      <c r="M301" s="4">
        <v>0</v>
      </c>
      <c r="N301" s="4">
        <v>-189</v>
      </c>
      <c r="O301" s="4">
        <f>Tab_10.Out[[#This Row],[DÉBITO]]-Tab_10.Out[[#This Row],[CRÉDITO]]</f>
        <v>0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C6E7D-3006-476E-BBD6-E2CFC21BC60B}">
  <sheetPr codeName="Planilha21"/>
  <dimension ref="B1:Q303"/>
  <sheetViews>
    <sheetView showGridLines="0" showRowColHeaders="0" zoomScale="85" zoomScaleNormal="85" workbookViewId="0">
      <pane xSplit="7" ySplit="14" topLeftCell="H15" activePane="bottomRight" state="frozen"/>
      <selection activeCell="H15" sqref="H15"/>
      <selection pane="topRight" activeCell="H15" sqref="H15"/>
      <selection pane="bottomLeft" activeCell="H15" sqref="H15"/>
      <selection pane="bottomRight" activeCell="H15" sqref="H15:N303"/>
    </sheetView>
  </sheetViews>
  <sheetFormatPr defaultColWidth="8.88671875" defaultRowHeight="13.8" outlineLevelRow="1" x14ac:dyDescent="0.3"/>
  <cols>
    <col min="1" max="1" width="2.6640625" style="1" customWidth="1"/>
    <col min="2" max="2" width="4.6640625" customWidth="1"/>
    <col min="3" max="5" width="4.6640625" style="2" customWidth="1"/>
    <col min="6" max="7" width="20.6640625" style="4" customWidth="1"/>
    <col min="8" max="8" width="15.6640625" customWidth="1"/>
    <col min="9" max="9" width="17.6640625" customWidth="1"/>
    <col min="10" max="10" width="75.6640625" customWidth="1"/>
    <col min="11" max="11" width="20.6640625" style="2" customWidth="1"/>
    <col min="12" max="13" width="20.6640625" style="3" customWidth="1"/>
    <col min="14" max="15" width="20.6640625" style="4" customWidth="1"/>
    <col min="16" max="16384" width="8.88671875" style="1"/>
  </cols>
  <sheetData>
    <row r="1" spans="2:15" x14ac:dyDescent="0.3">
      <c r="B1" s="2"/>
      <c r="H1" s="3"/>
      <c r="I1" s="3"/>
      <c r="J1" s="3"/>
      <c r="K1" s="4"/>
      <c r="L1" s="4"/>
      <c r="M1" s="4"/>
    </row>
    <row r="2" spans="2:15" outlineLevel="1" x14ac:dyDescent="0.3">
      <c r="B2" s="2" t="s">
        <v>16</v>
      </c>
      <c r="F2" s="7">
        <f ca="1">SUMIFS(INDIRECT("Tab_11.Nov["&amp;F$14&amp;"]"),Tab_11.Nov[TP],$B2,Tab_11.Nov[NV],"A")</f>
        <v>0</v>
      </c>
      <c r="G2" s="7">
        <f ca="1">SUMIFS(INDIRECT("Tab_11.Nov["&amp;G$14&amp;"]"),Tab_11.Nov[TP],$B2,Tab_11.Nov[NV],"A")</f>
        <v>0</v>
      </c>
      <c r="H2" s="3"/>
      <c r="I2" s="3"/>
      <c r="J2" s="88" t="s">
        <v>15</v>
      </c>
      <c r="K2" s="7">
        <f ca="1">SUMIFS(INDIRECT("Tab_11.Nov["&amp;K$14&amp;"]"),Tab_11.Nov[TP],$B2,Tab_11.Nov[S/A],"A")</f>
        <v>85355176.530000001</v>
      </c>
      <c r="L2" s="7">
        <f ca="1">SUMIFS(INDIRECT("Tab_11.Nov["&amp;L$14&amp;"]"),Tab_11.Nov[TP],$B2,Tab_11.Nov[S/A],"A")</f>
        <v>2173489.7400000002</v>
      </c>
      <c r="M2" s="7">
        <f ca="1">SUMIFS(INDIRECT("Tab_11.Nov["&amp;M$14&amp;"]"),Tab_11.Nov[TP],$B2,Tab_11.Nov[S/A],"A")</f>
        <v>1857694.2</v>
      </c>
      <c r="N2" s="7">
        <f ca="1">SUMIFS(INDIRECT("Tab_11.Nov["&amp;N$14&amp;"]"),Tab_11.Nov[TP],$B2,Tab_11.Nov[S/A],"A")</f>
        <v>85670972.069999993</v>
      </c>
      <c r="O2" s="7">
        <f ca="1">SUMIFS(INDIRECT("Tab_11.Nov["&amp;O$14&amp;"]"),Tab_11.Nov[TP],$B2,Tab_11.Nov[S/A],"A")</f>
        <v>315795.53999999998</v>
      </c>
    </row>
    <row r="3" spans="2:15" outlineLevel="1" x14ac:dyDescent="0.3">
      <c r="B3" s="2" t="s">
        <v>116</v>
      </c>
      <c r="F3" s="7">
        <f ca="1">SUMIFS(INDIRECT("Tab_11.Nov["&amp;F$14&amp;"]"),Tab_11.Nov[TP],$B3,Tab_11.Nov[NV],"A")</f>
        <v>0</v>
      </c>
      <c r="G3" s="7">
        <f ca="1">SUMIFS(INDIRECT("Tab_11.Nov["&amp;G$14&amp;"]"),Tab_11.Nov[TP],$B3,Tab_11.Nov[NV],"A")</f>
        <v>0</v>
      </c>
      <c r="H3" s="3"/>
      <c r="I3" s="3"/>
      <c r="J3" s="88" t="s">
        <v>110</v>
      </c>
      <c r="K3" s="7">
        <f ca="1">SUMIFS(INDIRECT("Tab_11.Nov["&amp;K$14&amp;"]"),Tab_11.Nov[TP],$B3,Tab_11.Nov[S/A],"A")</f>
        <v>-83576152.079999998</v>
      </c>
      <c r="L3" s="7">
        <f ca="1">SUMIFS(INDIRECT("Tab_11.Nov["&amp;L$14&amp;"]"),Tab_11.Nov[TP],$B3,Tab_11.Nov[S/A],"A")</f>
        <v>517643.48</v>
      </c>
      <c r="M3" s="7">
        <f ca="1">SUMIFS(INDIRECT("Tab_11.Nov["&amp;M$14&amp;"]"),Tab_11.Nov[TP],$B3,Tab_11.Nov[S/A],"A")</f>
        <v>332080.09000000003</v>
      </c>
      <c r="N3" s="7">
        <f ca="1">SUMIFS(INDIRECT("Tab_11.Nov["&amp;N$14&amp;"]"),Tab_11.Nov[TP],$B3,Tab_11.Nov[S/A],"A")</f>
        <v>-83390588.689999998</v>
      </c>
      <c r="O3" s="7">
        <f ca="1">SUMIFS(INDIRECT("Tab_11.Nov["&amp;O$14&amp;"]"),Tab_11.Nov[TP],$B3,Tab_11.Nov[S/A],"A")</f>
        <v>185563.39</v>
      </c>
    </row>
    <row r="4" spans="2:15" outlineLevel="1" x14ac:dyDescent="0.3">
      <c r="B4" s="2"/>
      <c r="F4" s="8">
        <f ca="1">SUM(F$2:F$3)</f>
        <v>0</v>
      </c>
      <c r="G4" s="8">
        <f ca="1">SUM(G$2:G$3)</f>
        <v>0</v>
      </c>
      <c r="H4" s="3"/>
      <c r="I4" s="3"/>
      <c r="J4" s="88"/>
      <c r="K4" s="8">
        <f t="shared" ref="K4:O4" ca="1" si="0">SUM(K$2:K$3)</f>
        <v>1779024.45</v>
      </c>
      <c r="L4" s="8">
        <f t="shared" ca="1" si="0"/>
        <v>2691133.22</v>
      </c>
      <c r="M4" s="8">
        <f t="shared" ca="1" si="0"/>
        <v>2189774.29</v>
      </c>
      <c r="N4" s="8">
        <f ca="1">SUM(N$2:N$3)</f>
        <v>2280383.38</v>
      </c>
      <c r="O4" s="8">
        <f t="shared" ca="1" si="0"/>
        <v>501358.93</v>
      </c>
    </row>
    <row r="5" spans="2:15" ht="5.0999999999999996" customHeight="1" outlineLevel="1" x14ac:dyDescent="0.3">
      <c r="B5" s="2"/>
      <c r="H5" s="3"/>
      <c r="I5" s="3"/>
      <c r="J5" s="89"/>
      <c r="K5" s="4"/>
      <c r="L5" s="4"/>
      <c r="M5" s="4"/>
    </row>
    <row r="6" spans="2:15" outlineLevel="1" x14ac:dyDescent="0.3">
      <c r="B6" s="2" t="s">
        <v>19</v>
      </c>
      <c r="F6" s="7">
        <f ca="1">SUMIFS(INDIRECT("Tab_11.Nov["&amp;F$14&amp;"]"),Tab_11.Nov[TP],$B6,Tab_11.Nov[NV],"A")</f>
        <v>0</v>
      </c>
      <c r="G6" s="7">
        <f ca="1">SUMIFS(INDIRECT("Tab_11.Nov["&amp;G$14&amp;"]"),Tab_11.Nov[TP],$B6,Tab_11.Nov[NV],"A")</f>
        <v>0</v>
      </c>
      <c r="H6" s="3"/>
      <c r="I6" s="3"/>
      <c r="J6" s="88" t="s">
        <v>18</v>
      </c>
      <c r="K6" s="7">
        <f ca="1">SUMIFS(INDIRECT("Tab_11.Nov["&amp;K$14&amp;"]"),Tab_11.Nov[TP],$B6,Tab_11.Nov[S/A],"A")</f>
        <v>-13040652.34</v>
      </c>
      <c r="L6" s="7">
        <f ca="1">SUMIFS(INDIRECT("Tab_11.Nov["&amp;L$14&amp;"]"),Tab_11.Nov[TP],$B6,Tab_11.Nov[S/A],"A")</f>
        <v>1899</v>
      </c>
      <c r="M6" s="7">
        <f ca="1">SUMIFS(INDIRECT("Tab_11.Nov["&amp;M$14&amp;"]"),Tab_11.Nov[TP],$B6,Tab_11.Nov[S/A],"A")</f>
        <v>1251137.18</v>
      </c>
      <c r="N6" s="7">
        <f ca="1">SUMIFS(INDIRECT("Tab_11.Nov["&amp;N$14&amp;"]"),Tab_11.Nov[TP],$B6,Tab_11.Nov[S/A],"A")</f>
        <v>-14289890.52</v>
      </c>
      <c r="O6" s="7">
        <f ca="1">SUMIFS(INDIRECT("Tab_11.Nov["&amp;O$14&amp;"]"),Tab_11.Nov[TP],$B6,Tab_11.Nov[S/A],"A")</f>
        <v>-1249238.18</v>
      </c>
    </row>
    <row r="7" spans="2:15" outlineLevel="1" x14ac:dyDescent="0.3">
      <c r="B7" s="2" t="s">
        <v>20</v>
      </c>
      <c r="F7" s="7">
        <f ca="1">SUMIFS(INDIRECT("Tab_11.Nov["&amp;F$14&amp;"]"),Tab_11.Nov[TP],$B7,Tab_11.Nov[NV],"A")</f>
        <v>0</v>
      </c>
      <c r="G7" s="7">
        <f ca="1">SUMIFS(INDIRECT("Tab_11.Nov["&amp;G$14&amp;"]"),Tab_11.Nov[TP],$B7,Tab_11.Nov[NV],"A")</f>
        <v>0</v>
      </c>
      <c r="H7" s="3"/>
      <c r="I7" s="3"/>
      <c r="J7" s="88" t="s">
        <v>111</v>
      </c>
      <c r="K7" s="7">
        <f ca="1">SUMIFS(INDIRECT("Tab_11.Nov["&amp;K$14&amp;"]"),Tab_11.Nov[TP],$B7,Tab_11.Nov[S/A],"A")</f>
        <v>11261627.890000001</v>
      </c>
      <c r="L7" s="7">
        <f ca="1">SUMIFS(INDIRECT("Tab_11.Nov["&amp;L$14&amp;"]"),Tab_11.Nov[TP],$B7,Tab_11.Nov[S/A],"A")</f>
        <v>773310.8</v>
      </c>
      <c r="M7" s="7">
        <f ca="1">SUMIFS(INDIRECT("Tab_11.Nov["&amp;M$14&amp;"]"),Tab_11.Nov[TP],$B7,Tab_11.Nov[S/A],"A")</f>
        <v>25431.55</v>
      </c>
      <c r="N7" s="7">
        <f ca="1">SUMIFS(INDIRECT("Tab_11.Nov["&amp;N$14&amp;"]"),Tab_11.Nov[TP],$B7,Tab_11.Nov[S/A],"A")</f>
        <v>12009507.140000001</v>
      </c>
      <c r="O7" s="7">
        <f ca="1">SUMIFS(INDIRECT("Tab_11.Nov["&amp;O$14&amp;"]"),Tab_11.Nov[TP],$B7,Tab_11.Nov[S/A],"A")</f>
        <v>747879.25</v>
      </c>
    </row>
    <row r="8" spans="2:15" outlineLevel="1" x14ac:dyDescent="0.3">
      <c r="B8" s="2"/>
      <c r="F8" s="8">
        <f ca="1">SUM(F$6:F$7)</f>
        <v>0</v>
      </c>
      <c r="G8" s="8">
        <f ca="1">SUM(G$6:G$7)</f>
        <v>0</v>
      </c>
      <c r="H8" s="3"/>
      <c r="I8" s="3"/>
      <c r="J8" s="88"/>
      <c r="K8" s="8">
        <f ca="1">SUM(K$6:K$7)</f>
        <v>-1779024.45</v>
      </c>
      <c r="L8" s="8">
        <f ca="1">SUM(L$6:L$7)</f>
        <v>775209.8</v>
      </c>
      <c r="M8" s="8">
        <f ca="1">SUM(M$6:M$7)</f>
        <v>1276568.73</v>
      </c>
      <c r="N8" s="8">
        <f ca="1">SUM(N$6:N$7)</f>
        <v>-2280383.38</v>
      </c>
      <c r="O8" s="8">
        <f ca="1">SUM(O$6:O$7)</f>
        <v>-501358.93</v>
      </c>
    </row>
    <row r="9" spans="2:15" ht="5.0999999999999996" customHeight="1" outlineLevel="1" x14ac:dyDescent="0.3">
      <c r="B9" s="2"/>
      <c r="H9" s="3"/>
      <c r="I9" s="3"/>
      <c r="J9" s="89"/>
      <c r="K9" s="4"/>
      <c r="L9" s="4"/>
      <c r="M9" s="4"/>
    </row>
    <row r="10" spans="2:15" x14ac:dyDescent="0.3">
      <c r="B10" s="2"/>
      <c r="F10" s="11">
        <f ca="1">SUM(F$4,F$8)</f>
        <v>0</v>
      </c>
      <c r="G10" s="11">
        <f ca="1">SUM(G$4,G$8)</f>
        <v>0</v>
      </c>
      <c r="H10" s="3"/>
      <c r="I10" s="3"/>
      <c r="J10" s="88" t="s">
        <v>22</v>
      </c>
      <c r="K10" s="11">
        <f t="shared" ref="K10:O10" ca="1" si="1">SUM(K$4,K$8)</f>
        <v>0</v>
      </c>
      <c r="L10" s="11">
        <f t="shared" ca="1" si="1"/>
        <v>3466343.02</v>
      </c>
      <c r="M10" s="11">
        <f t="shared" ca="1" si="1"/>
        <v>3466343.02</v>
      </c>
      <c r="N10" s="11">
        <f ca="1">SUM(N$4,N$8)</f>
        <v>0</v>
      </c>
      <c r="O10" s="11">
        <f t="shared" ca="1" si="1"/>
        <v>0</v>
      </c>
    </row>
    <row r="11" spans="2:15" ht="5.0999999999999996" customHeight="1" x14ac:dyDescent="0.3">
      <c r="B11" s="2"/>
      <c r="H11" s="3"/>
      <c r="I11" s="3"/>
      <c r="J11" s="3"/>
      <c r="K11" s="4"/>
      <c r="L11" s="4"/>
      <c r="M11" s="4"/>
    </row>
    <row r="12" spans="2:15" x14ac:dyDescent="0.3">
      <c r="B12" s="2"/>
      <c r="F12" s="7">
        <f>SUBTOTAL(9,Tab_11.Nov[SALDO FINAL
ANTERIOR])</f>
        <v>0</v>
      </c>
      <c r="G12" s="7">
        <f>SUBTOTAL(9,Tab_11.Nov[DIFERENÇA])</f>
        <v>0</v>
      </c>
      <c r="H12" s="3"/>
      <c r="I12" s="3"/>
      <c r="J12" s="3"/>
      <c r="K12" s="7">
        <f>SUBTOTAL(9,Tab_11.Nov[SALDO
ANTERIOR])</f>
        <v>0</v>
      </c>
      <c r="L12" s="7">
        <f>SUBTOTAL(9,Tab_11.Nov[DÉBITO])</f>
        <v>17331715.100000001</v>
      </c>
      <c r="M12" s="7">
        <f>SUBTOTAL(9,Tab_11.Nov[CRÉDITO])</f>
        <v>17331715.100000001</v>
      </c>
      <c r="N12" s="7">
        <f>SUBTOTAL(9,Tab_11.Nov[SALDO
ATUAL])</f>
        <v>0</v>
      </c>
      <c r="O12" s="7">
        <f>SUBTOTAL(9,Tab_11.Nov[MOVIMENTO])</f>
        <v>0</v>
      </c>
    </row>
    <row r="13" spans="2:15" ht="5.0999999999999996" customHeight="1" x14ac:dyDescent="0.3">
      <c r="B13" s="2"/>
      <c r="H13" s="3"/>
      <c r="I13" s="3"/>
      <c r="J13" s="3"/>
      <c r="K13" s="4"/>
      <c r="L13" s="4"/>
      <c r="M13" s="4"/>
    </row>
    <row r="14" spans="2:15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5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SUMIFS(Tab_10.Out[SALDO
ATUAL],Tab_10.Out[CONTA],$I15)</f>
        <v>85355176.530000001</v>
      </c>
      <c r="G15" s="4">
        <f t="shared" ref="G15:G78" si="2">$F15-$K15</f>
        <v>0</v>
      </c>
      <c r="H15" s="1">
        <v>10000</v>
      </c>
      <c r="I15" s="3">
        <v>1</v>
      </c>
      <c r="J15" s="3" t="s">
        <v>637</v>
      </c>
      <c r="K15" s="4">
        <v>85355176.530000001</v>
      </c>
      <c r="L15" s="4">
        <v>2173489.7400000002</v>
      </c>
      <c r="M15" s="4">
        <v>1857694.2</v>
      </c>
      <c r="N15" s="4">
        <v>85670972.069999993</v>
      </c>
      <c r="O15" s="4">
        <f>Tab_11.Nov[[#This Row],[DÉBITO]]-Tab_11.Nov[[#This Row],[CRÉDITO]]</f>
        <v>315795.53999999998</v>
      </c>
    </row>
    <row r="16" spans="2:15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SUMIFS(Tab_10.Out[SALDO
ATUAL],Tab_10.Out[CONTA],$I16)</f>
        <v>11314732.35</v>
      </c>
      <c r="G16" s="4">
        <f t="shared" si="2"/>
        <v>0</v>
      </c>
      <c r="H16" s="1">
        <v>10015</v>
      </c>
      <c r="I16" s="3" t="s">
        <v>197</v>
      </c>
      <c r="J16" s="3" t="s">
        <v>247</v>
      </c>
      <c r="K16" s="4">
        <v>11314732.35</v>
      </c>
      <c r="L16" s="4">
        <v>1924702.32</v>
      </c>
      <c r="M16" s="4">
        <v>1851631.45</v>
      </c>
      <c r="N16" s="4">
        <v>11387803.220000001</v>
      </c>
      <c r="O16" s="4">
        <f>Tab_11.Nov[[#This Row],[DÉBITO]]-Tab_11.Nov[[#This Row],[CRÉDITO]]</f>
        <v>73070.87</v>
      </c>
    </row>
    <row r="17" spans="2:15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SUMIFS(Tab_10.Out[SALDO
ATUAL],Tab_10.Out[CONTA],$I17)</f>
        <v>10941584.48</v>
      </c>
      <c r="G17" s="4">
        <f t="shared" si="2"/>
        <v>0</v>
      </c>
      <c r="H17" s="1">
        <v>10030</v>
      </c>
      <c r="I17" s="3" t="s">
        <v>199</v>
      </c>
      <c r="J17" s="3" t="s">
        <v>638</v>
      </c>
      <c r="K17" s="4">
        <v>10941584.48</v>
      </c>
      <c r="L17" s="4">
        <v>1827989.98</v>
      </c>
      <c r="M17" s="4">
        <v>1829607.08</v>
      </c>
      <c r="N17" s="4">
        <v>10939967.380000001</v>
      </c>
      <c r="O17" s="4">
        <f>Tab_11.Nov[[#This Row],[DÉBITO]]-Tab_11.Nov[[#This Row],[CRÉDITO]]</f>
        <v>-1617.1</v>
      </c>
    </row>
    <row r="18" spans="2:15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SUMIFS(Tab_10.Out[SALDO
ATUAL],Tab_10.Out[CONTA],$I18)</f>
        <v>547.73</v>
      </c>
      <c r="G18" s="4">
        <f t="shared" si="2"/>
        <v>0</v>
      </c>
      <c r="H18" s="1">
        <v>10045</v>
      </c>
      <c r="I18" s="3" t="s">
        <v>201</v>
      </c>
      <c r="J18" s="3" t="s">
        <v>639</v>
      </c>
      <c r="K18" s="4">
        <v>547.73</v>
      </c>
      <c r="L18" s="4">
        <v>2065</v>
      </c>
      <c r="M18" s="4">
        <v>2138.2800000000002</v>
      </c>
      <c r="N18" s="4">
        <v>474.45</v>
      </c>
      <c r="O18" s="4">
        <f>Tab_11.Nov[[#This Row],[DÉBITO]]-Tab_11.Nov[[#This Row],[CRÉDITO]]</f>
        <v>-73.28</v>
      </c>
    </row>
    <row r="19" spans="2:15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SUMIFS(Tab_10.Out[SALDO
ATUAL],Tab_10.Out[CONTA],$I19)</f>
        <v>547.73</v>
      </c>
      <c r="G19" s="4">
        <f t="shared" si="2"/>
        <v>0</v>
      </c>
      <c r="H19" s="1">
        <v>10075</v>
      </c>
      <c r="I19" s="3" t="s">
        <v>176</v>
      </c>
      <c r="J19" s="3" t="s">
        <v>274</v>
      </c>
      <c r="K19" s="4">
        <v>547.73</v>
      </c>
      <c r="L19" s="4">
        <v>2065</v>
      </c>
      <c r="M19" s="4">
        <v>2138.2800000000002</v>
      </c>
      <c r="N19" s="4">
        <v>474.45</v>
      </c>
      <c r="O19" s="4">
        <f>Tab_11.Nov[[#This Row],[DÉBITO]]-Tab_11.Nov[[#This Row],[CRÉDITO]]</f>
        <v>-73.28</v>
      </c>
    </row>
    <row r="20" spans="2:15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SUMIFS(Tab_10.Out[SALDO
ATUAL],Tab_10.Out[CONTA],$I20)</f>
        <v>28287.49</v>
      </c>
      <c r="G20" s="4">
        <f t="shared" si="2"/>
        <v>0</v>
      </c>
      <c r="H20" s="1">
        <v>10090</v>
      </c>
      <c r="I20" s="3" t="s">
        <v>202</v>
      </c>
      <c r="J20" s="3" t="s">
        <v>640</v>
      </c>
      <c r="K20" s="4">
        <v>28287.49</v>
      </c>
      <c r="L20" s="4">
        <v>1510529.39</v>
      </c>
      <c r="M20" s="4">
        <v>1484580.66</v>
      </c>
      <c r="N20" s="4">
        <v>54236.22</v>
      </c>
      <c r="O20" s="4">
        <f>Tab_11.Nov[[#This Row],[DÉBITO]]-Tab_11.Nov[[#This Row],[CRÉDITO]]</f>
        <v>25948.73</v>
      </c>
    </row>
    <row r="21" spans="2:15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SUMIFS(Tab_10.Out[SALDO
ATUAL],Tab_10.Out[CONTA],$I21)</f>
        <v>1.02</v>
      </c>
      <c r="G21" s="4">
        <f t="shared" si="2"/>
        <v>0</v>
      </c>
      <c r="H21" s="1">
        <v>10110</v>
      </c>
      <c r="I21" s="3" t="s">
        <v>277</v>
      </c>
      <c r="J21" s="3" t="s">
        <v>278</v>
      </c>
      <c r="K21" s="4">
        <v>1.02</v>
      </c>
      <c r="L21" s="4">
        <v>794896.83</v>
      </c>
      <c r="M21" s="4">
        <v>794896.83</v>
      </c>
      <c r="N21" s="4">
        <v>1.02</v>
      </c>
      <c r="O21" s="4">
        <f>Tab_11.Nov[[#This Row],[DÉBITO]]-Tab_11.Nov[[#This Row],[CRÉDITO]]</f>
        <v>0</v>
      </c>
    </row>
    <row r="22" spans="2:15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SUMIFS(Tab_10.Out[SALDO
ATUAL],Tab_10.Out[CONTA],$I22)</f>
        <v>17101.68</v>
      </c>
      <c r="G22" s="4">
        <f t="shared" si="2"/>
        <v>0</v>
      </c>
      <c r="H22" s="1">
        <v>10131</v>
      </c>
      <c r="I22" s="3" t="s">
        <v>177</v>
      </c>
      <c r="J22" s="3" t="s">
        <v>279</v>
      </c>
      <c r="K22" s="4">
        <v>17101.68</v>
      </c>
      <c r="L22" s="4">
        <v>714057.35</v>
      </c>
      <c r="M22" s="4">
        <v>689545.44</v>
      </c>
      <c r="N22" s="4">
        <v>41613.589999999997</v>
      </c>
      <c r="O22" s="4">
        <f>Tab_11.Nov[[#This Row],[DÉBITO]]-Tab_11.Nov[[#This Row],[CRÉDITO]]</f>
        <v>24511.91</v>
      </c>
    </row>
    <row r="23" spans="2:15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SUMIFS(Tab_10.Out[SALDO
ATUAL],Tab_10.Out[CONTA],$I23)</f>
        <v>11184.79</v>
      </c>
      <c r="G23" s="4">
        <f t="shared" si="2"/>
        <v>0</v>
      </c>
      <c r="H23" s="1">
        <v>10132</v>
      </c>
      <c r="I23" s="3" t="s">
        <v>280</v>
      </c>
      <c r="J23" s="3" t="s">
        <v>281</v>
      </c>
      <c r="K23" s="4">
        <v>11184.79</v>
      </c>
      <c r="L23" s="4">
        <v>1575.21</v>
      </c>
      <c r="M23" s="4">
        <v>138.38999999999999</v>
      </c>
      <c r="N23" s="4">
        <v>12621.61</v>
      </c>
      <c r="O23" s="4">
        <f>Tab_11.Nov[[#This Row],[DÉBITO]]-Tab_11.Nov[[#This Row],[CRÉDITO]]</f>
        <v>1436.82</v>
      </c>
    </row>
    <row r="24" spans="2:15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S</v>
      </c>
      <c r="E24" s="2">
        <f>IF($I24="","",COUNTIFS(Tab_00.Trial[CONTA],$I24))</f>
        <v>1</v>
      </c>
      <c r="F24" s="4">
        <f>SUMIFS(Tab_10.Out[SALDO
ATUAL],Tab_10.Out[CONTA],$I24)</f>
        <v>10912749.26</v>
      </c>
      <c r="G24" s="4">
        <f t="shared" si="2"/>
        <v>0</v>
      </c>
      <c r="H24" s="1">
        <v>10180</v>
      </c>
      <c r="I24" s="3" t="s">
        <v>203</v>
      </c>
      <c r="J24" s="3" t="s">
        <v>641</v>
      </c>
      <c r="K24" s="4">
        <v>10912749.26</v>
      </c>
      <c r="L24" s="4">
        <v>315395.59000000003</v>
      </c>
      <c r="M24" s="4">
        <v>342888.14</v>
      </c>
      <c r="N24" s="4">
        <v>10885256.710000001</v>
      </c>
      <c r="O24" s="4">
        <f>Tab_11.Nov[[#This Row],[DÉBITO]]-Tab_11.Nov[[#This Row],[CRÉDITO]]</f>
        <v>-27492.55</v>
      </c>
    </row>
    <row r="25" spans="2:15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A</v>
      </c>
      <c r="E25" s="2">
        <f>IF($I25="","",COUNTIFS(Tab_00.Trial[CONTA],$I25))</f>
        <v>1</v>
      </c>
      <c r="F25" s="4">
        <f>SUMIFS(Tab_10.Out[SALDO
ATUAL],Tab_10.Out[CONTA],$I25)</f>
        <v>5010937.84</v>
      </c>
      <c r="G25" s="4">
        <f t="shared" si="2"/>
        <v>0</v>
      </c>
      <c r="H25" s="1">
        <v>10200</v>
      </c>
      <c r="I25" s="3" t="s">
        <v>178</v>
      </c>
      <c r="J25" s="3" t="s">
        <v>284</v>
      </c>
      <c r="K25" s="4">
        <v>5010937.84</v>
      </c>
      <c r="L25" s="4">
        <v>38937.47</v>
      </c>
      <c r="M25" s="4">
        <v>47888.14</v>
      </c>
      <c r="N25" s="4">
        <v>5001987.17</v>
      </c>
      <c r="O25" s="4">
        <f>Tab_11.Nov[[#This Row],[DÉBITO]]-Tab_11.Nov[[#This Row],[CRÉDITO]]</f>
        <v>-8950.67</v>
      </c>
    </row>
    <row r="26" spans="2:15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SUMIFS(Tab_10.Out[SALDO
ATUAL],Tab_10.Out[CONTA],$I26)</f>
        <v>5901811.4199999999</v>
      </c>
      <c r="G26" s="4">
        <f t="shared" si="2"/>
        <v>0</v>
      </c>
      <c r="H26" s="1">
        <v>10223</v>
      </c>
      <c r="I26" s="3" t="s">
        <v>287</v>
      </c>
      <c r="J26" s="3" t="s">
        <v>288</v>
      </c>
      <c r="K26" s="4">
        <v>5901811.4199999999</v>
      </c>
      <c r="L26" s="4">
        <v>276458.12</v>
      </c>
      <c r="M26" s="4">
        <v>295000</v>
      </c>
      <c r="N26" s="4">
        <v>5883269.54</v>
      </c>
      <c r="O26" s="4">
        <f>Tab_11.Nov[[#This Row],[DÉBITO]]-Tab_11.Nov[[#This Row],[CRÉDITO]]</f>
        <v>-18541.88</v>
      </c>
    </row>
    <row r="27" spans="2:15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S</v>
      </c>
      <c r="E27" s="2">
        <f>IF($I27="","",COUNTIFS(Tab_00.Trial[CONTA],$I27))</f>
        <v>1</v>
      </c>
      <c r="F27" s="4">
        <f>SUMIFS(Tab_10.Out[SALDO
ATUAL],Tab_10.Out[CONTA],$I27)</f>
        <v>99324.97</v>
      </c>
      <c r="G27" s="4">
        <f t="shared" si="2"/>
        <v>0</v>
      </c>
      <c r="H27" s="1">
        <v>10270</v>
      </c>
      <c r="I27" s="3" t="s">
        <v>204</v>
      </c>
      <c r="J27" s="3" t="s">
        <v>642</v>
      </c>
      <c r="K27" s="4">
        <v>99324.97</v>
      </c>
      <c r="L27" s="4">
        <v>4845.49</v>
      </c>
      <c r="M27" s="4">
        <v>139.54</v>
      </c>
      <c r="N27" s="4">
        <v>104030.92</v>
      </c>
      <c r="O27" s="4">
        <f>Tab_11.Nov[[#This Row],[DÉBITO]]-Tab_11.Nov[[#This Row],[CRÉDITO]]</f>
        <v>4705.95</v>
      </c>
    </row>
    <row r="28" spans="2:15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SUMIFS(Tab_10.Out[SALDO
ATUAL],Tab_10.Out[CONTA],$I28)</f>
        <v>99324.97</v>
      </c>
      <c r="G28" s="4">
        <f t="shared" si="2"/>
        <v>0</v>
      </c>
      <c r="H28" s="1">
        <v>10345</v>
      </c>
      <c r="I28" s="3" t="s">
        <v>205</v>
      </c>
      <c r="J28" s="3" t="s">
        <v>643</v>
      </c>
      <c r="K28" s="4">
        <v>99324.97</v>
      </c>
      <c r="L28" s="4">
        <v>0</v>
      </c>
      <c r="M28" s="4">
        <v>0</v>
      </c>
      <c r="N28" s="4">
        <v>99324.97</v>
      </c>
      <c r="O28" s="4">
        <f>Tab_11.Nov[[#This Row],[DÉBITO]]-Tab_11.Nov[[#This Row],[CRÉDITO]]</f>
        <v>0</v>
      </c>
    </row>
    <row r="29" spans="2:15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A</v>
      </c>
      <c r="E29" s="2">
        <f>IF($I29="","",COUNTIFS(Tab_00.Trial[CONTA],$I29))</f>
        <v>1</v>
      </c>
      <c r="F29" s="4">
        <f>SUMIFS(Tab_10.Out[SALDO
ATUAL],Tab_10.Out[CONTA],$I29)</f>
        <v>99324.97</v>
      </c>
      <c r="G29" s="4">
        <f t="shared" si="2"/>
        <v>0</v>
      </c>
      <c r="H29" s="1">
        <v>10377</v>
      </c>
      <c r="I29" s="3" t="s">
        <v>291</v>
      </c>
      <c r="J29" s="3" t="s">
        <v>292</v>
      </c>
      <c r="K29" s="4">
        <v>99324.97</v>
      </c>
      <c r="L29" s="4">
        <v>0</v>
      </c>
      <c r="M29" s="4">
        <v>0</v>
      </c>
      <c r="N29" s="4">
        <v>99324.97</v>
      </c>
      <c r="O29" s="4">
        <f>Tab_11.Nov[[#This Row],[DÉBITO]]-Tab_11.Nov[[#This Row],[CRÉDITO]]</f>
        <v>0</v>
      </c>
    </row>
    <row r="30" spans="2:15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S</v>
      </c>
      <c r="E30" s="2">
        <f>IF($I30="","",COUNTIFS(Tab_00.Trial[CONTA],$I30))</f>
        <v>1</v>
      </c>
      <c r="F30" s="4">
        <f>SUMIFS(Tab_10.Out[SALDO
ATUAL],Tab_10.Out[CONTA],$I30)</f>
        <v>0</v>
      </c>
      <c r="G30" s="4">
        <f t="shared" si="2"/>
        <v>0</v>
      </c>
      <c r="H30" s="1">
        <v>10390</v>
      </c>
      <c r="I30" s="3" t="s">
        <v>835</v>
      </c>
      <c r="J30" s="3" t="s">
        <v>836</v>
      </c>
      <c r="K30" s="4">
        <v>0</v>
      </c>
      <c r="L30" s="4">
        <v>4845.49</v>
      </c>
      <c r="M30" s="4">
        <v>139.54</v>
      </c>
      <c r="N30" s="4">
        <v>4705.95</v>
      </c>
      <c r="O30" s="4">
        <f>Tab_11.Nov[[#This Row],[DÉBITO]]-Tab_11.Nov[[#This Row],[CRÉDITO]]</f>
        <v>4705.95</v>
      </c>
    </row>
    <row r="31" spans="2:15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A</v>
      </c>
      <c r="E31" s="2">
        <f>IF($I31="","",COUNTIFS(Tab_00.Trial[CONTA],$I31))</f>
        <v>1</v>
      </c>
      <c r="F31" s="4">
        <f>SUMIFS(Tab_10.Out[SALDO
ATUAL],Tab_10.Out[CONTA],$I31)</f>
        <v>0</v>
      </c>
      <c r="G31" s="4">
        <f t="shared" si="2"/>
        <v>0</v>
      </c>
      <c r="H31" s="1">
        <v>10405</v>
      </c>
      <c r="I31" s="3" t="s">
        <v>837</v>
      </c>
      <c r="J31" s="3" t="s">
        <v>836</v>
      </c>
      <c r="K31" s="4">
        <v>0</v>
      </c>
      <c r="L31" s="4">
        <v>4845.49</v>
      </c>
      <c r="M31" s="4">
        <v>139.54</v>
      </c>
      <c r="N31" s="4">
        <v>4705.95</v>
      </c>
      <c r="O31" s="4">
        <f>Tab_11.Nov[[#This Row],[DÉBITO]]-Tab_11.Nov[[#This Row],[CRÉDITO]]</f>
        <v>4705.95</v>
      </c>
    </row>
    <row r="32" spans="2:15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S</v>
      </c>
      <c r="E32" s="2">
        <f>IF($I32="","",COUNTIFS(Tab_00.Trial[CONTA],$I32))</f>
        <v>1</v>
      </c>
      <c r="F32" s="4">
        <f>SUMIFS(Tab_10.Out[SALDO
ATUAL],Tab_10.Out[CONTA],$I32)</f>
        <v>15053.24</v>
      </c>
      <c r="G32" s="4">
        <f t="shared" si="2"/>
        <v>0</v>
      </c>
      <c r="H32" s="1">
        <v>10630</v>
      </c>
      <c r="I32" s="3" t="s">
        <v>206</v>
      </c>
      <c r="J32" s="3" t="s">
        <v>644</v>
      </c>
      <c r="K32" s="4">
        <v>15053.24</v>
      </c>
      <c r="L32" s="4">
        <v>77696.63</v>
      </c>
      <c r="M32" s="4">
        <v>6992.69</v>
      </c>
      <c r="N32" s="4">
        <v>85757.18</v>
      </c>
      <c r="O32" s="4">
        <f>Tab_11.Nov[[#This Row],[DÉBITO]]-Tab_11.Nov[[#This Row],[CRÉDITO]]</f>
        <v>70703.94</v>
      </c>
    </row>
    <row r="33" spans="2:15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S</v>
      </c>
      <c r="E33" s="2">
        <f>IF($I33="","",COUNTIFS(Tab_00.Trial[CONTA],$I33))</f>
        <v>1</v>
      </c>
      <c r="F33" s="4">
        <f>SUMIFS(Tab_10.Out[SALDO
ATUAL],Tab_10.Out[CONTA],$I33)</f>
        <v>6872.45</v>
      </c>
      <c r="G33" s="4">
        <f t="shared" si="2"/>
        <v>0</v>
      </c>
      <c r="H33" s="1">
        <v>10645</v>
      </c>
      <c r="I33" s="3" t="s">
        <v>208</v>
      </c>
      <c r="J33" s="3" t="s">
        <v>139</v>
      </c>
      <c r="K33" s="4">
        <v>6872.45</v>
      </c>
      <c r="L33" s="4">
        <v>77684.53</v>
      </c>
      <c r="M33" s="4">
        <v>5093.6899999999996</v>
      </c>
      <c r="N33" s="4">
        <v>79463.289999999994</v>
      </c>
      <c r="O33" s="4">
        <f>Tab_11.Nov[[#This Row],[DÉBITO]]-Tab_11.Nov[[#This Row],[CRÉDITO]]</f>
        <v>72590.84</v>
      </c>
    </row>
    <row r="34" spans="2:15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A</v>
      </c>
      <c r="E34" s="2">
        <f>IF($I34="","",COUNTIFS(Tab_00.Trial[CONTA],$I34))</f>
        <v>1</v>
      </c>
      <c r="F34" s="4">
        <f>SUMIFS(Tab_10.Out[SALDO
ATUAL],Tab_10.Out[CONTA],$I34)</f>
        <v>2779.68</v>
      </c>
      <c r="G34" s="4">
        <f t="shared" si="2"/>
        <v>0</v>
      </c>
      <c r="H34" s="1">
        <v>10720</v>
      </c>
      <c r="I34" s="3" t="s">
        <v>812</v>
      </c>
      <c r="J34" s="3" t="s">
        <v>813</v>
      </c>
      <c r="K34" s="4">
        <v>2779.68</v>
      </c>
      <c r="L34" s="4">
        <v>75697.63</v>
      </c>
      <c r="M34" s="4">
        <v>0</v>
      </c>
      <c r="N34" s="4">
        <v>78477.31</v>
      </c>
      <c r="O34" s="4">
        <f>Tab_11.Nov[[#This Row],[DÉBITO]]-Tab_11.Nov[[#This Row],[CRÉDITO]]</f>
        <v>75697.63</v>
      </c>
    </row>
    <row r="35" spans="2:15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A</v>
      </c>
      <c r="E35" s="2">
        <f>IF($I35="","",COUNTIFS(Tab_00.Trial[CONTA],$I35))</f>
        <v>1</v>
      </c>
      <c r="F35" s="4">
        <f>SUMIFS(Tab_10.Out[SALDO
ATUAL],Tab_10.Out[CONTA],$I35)</f>
        <v>4092.77</v>
      </c>
      <c r="G35" s="4">
        <f t="shared" si="2"/>
        <v>0</v>
      </c>
      <c r="H35" s="1">
        <v>10735</v>
      </c>
      <c r="I35" s="3" t="s">
        <v>294</v>
      </c>
      <c r="J35" s="3" t="s">
        <v>295</v>
      </c>
      <c r="K35" s="4">
        <v>4092.77</v>
      </c>
      <c r="L35" s="4">
        <v>1986.9</v>
      </c>
      <c r="M35" s="4">
        <v>5093.6899999999996</v>
      </c>
      <c r="N35" s="4">
        <v>985.98</v>
      </c>
      <c r="O35" s="4">
        <f>Tab_11.Nov[[#This Row],[DÉBITO]]-Tab_11.Nov[[#This Row],[CRÉDITO]]</f>
        <v>-3106.79</v>
      </c>
    </row>
    <row r="36" spans="2:15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S</v>
      </c>
      <c r="E36" s="2">
        <f>IF($I36="","",COUNTIFS(Tab_00.Trial[CONTA],$I36))</f>
        <v>1</v>
      </c>
      <c r="F36" s="4">
        <f>SUMIFS(Tab_10.Out[SALDO
ATUAL],Tab_10.Out[CONTA],$I36)</f>
        <v>8180.79</v>
      </c>
      <c r="G36" s="4">
        <f t="shared" si="2"/>
        <v>0</v>
      </c>
      <c r="H36" s="1">
        <v>10765</v>
      </c>
      <c r="I36" s="3" t="s">
        <v>551</v>
      </c>
      <c r="J36" s="3" t="s">
        <v>645</v>
      </c>
      <c r="K36" s="4">
        <v>8180.79</v>
      </c>
      <c r="L36" s="4">
        <v>12.1</v>
      </c>
      <c r="M36" s="4">
        <v>1899</v>
      </c>
      <c r="N36" s="4">
        <v>6293.89</v>
      </c>
      <c r="O36" s="4">
        <f>Tab_11.Nov[[#This Row],[DÉBITO]]-Tab_11.Nov[[#This Row],[CRÉDITO]]</f>
        <v>-1886.9</v>
      </c>
    </row>
    <row r="37" spans="2:15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A</v>
      </c>
      <c r="E37" s="2">
        <f>IF($I37="","",COUNTIFS(Tab_00.Trial[CONTA],$I37))</f>
        <v>1</v>
      </c>
      <c r="F37" s="4">
        <f>SUMIFS(Tab_10.Out[SALDO
ATUAL],Tab_10.Out[CONTA],$I37)</f>
        <v>86.53</v>
      </c>
      <c r="G37" s="4">
        <f t="shared" si="2"/>
        <v>0</v>
      </c>
      <c r="H37" s="1">
        <v>10825</v>
      </c>
      <c r="I37" s="3" t="s">
        <v>838</v>
      </c>
      <c r="J37" s="3" t="s">
        <v>839</v>
      </c>
      <c r="K37" s="4">
        <v>86.53</v>
      </c>
      <c r="L37" s="4">
        <v>12.1</v>
      </c>
      <c r="M37" s="4">
        <v>0</v>
      </c>
      <c r="N37" s="4">
        <v>98.63</v>
      </c>
      <c r="O37" s="4">
        <f>Tab_11.Nov[[#This Row],[DÉBITO]]-Tab_11.Nov[[#This Row],[CRÉDITO]]</f>
        <v>12.1</v>
      </c>
    </row>
    <row r="38" spans="2:15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A</v>
      </c>
      <c r="E38" s="2">
        <f>IF($I38="","",COUNTIFS(Tab_00.Trial[CONTA],$I38))</f>
        <v>1</v>
      </c>
      <c r="F38" s="4">
        <f>SUMIFS(Tab_10.Out[SALDO
ATUAL],Tab_10.Out[CONTA],$I38)</f>
        <v>8094.26</v>
      </c>
      <c r="G38" s="4">
        <f t="shared" si="2"/>
        <v>0</v>
      </c>
      <c r="H38" s="1">
        <v>10867</v>
      </c>
      <c r="I38" s="3" t="s">
        <v>831</v>
      </c>
      <c r="J38" s="3" t="s">
        <v>832</v>
      </c>
      <c r="K38" s="4">
        <v>8094.26</v>
      </c>
      <c r="L38" s="4">
        <v>0</v>
      </c>
      <c r="M38" s="4">
        <v>1899</v>
      </c>
      <c r="N38" s="4">
        <v>6195.26</v>
      </c>
      <c r="O38" s="4">
        <f>Tab_11.Nov[[#This Row],[DÉBITO]]-Tab_11.Nov[[#This Row],[CRÉDITO]]</f>
        <v>-1899</v>
      </c>
    </row>
    <row r="39" spans="2:15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S</v>
      </c>
      <c r="E39" s="2">
        <f>IF($I39="","",COUNTIFS(Tab_00.Trial[CONTA],$I39))</f>
        <v>1</v>
      </c>
      <c r="F39" s="4">
        <f>SUMIFS(Tab_10.Out[SALDO
ATUAL],Tab_10.Out[CONTA],$I39)</f>
        <v>255560.28</v>
      </c>
      <c r="G39" s="4">
        <f t="shared" si="2"/>
        <v>0</v>
      </c>
      <c r="H39" s="1">
        <v>10840</v>
      </c>
      <c r="I39" s="3" t="s">
        <v>840</v>
      </c>
      <c r="J39" s="3" t="s">
        <v>841</v>
      </c>
      <c r="K39" s="4">
        <v>255560.28</v>
      </c>
      <c r="L39" s="4">
        <v>14170.22</v>
      </c>
      <c r="M39" s="4">
        <v>14600.38</v>
      </c>
      <c r="N39" s="4">
        <v>255130.12</v>
      </c>
      <c r="O39" s="4">
        <f>Tab_11.Nov[[#This Row],[DÉBITO]]-Tab_11.Nov[[#This Row],[CRÉDITO]]</f>
        <v>-430.16</v>
      </c>
    </row>
    <row r="40" spans="2:15" x14ac:dyDescent="0.3">
      <c r="B40" s="2" t="str">
        <f>_xlfn.XLOOKUP($I40,Tab_00.Trial[CONTA],Tab_00.Trial[TP],"",0,1)</f>
        <v>A</v>
      </c>
      <c r="C40" s="2">
        <f>_xlfn.XLOOKUP($I40,Tab_00.Trial[CONTA],Tab_00.Trial[NV],"",0,1)</f>
        <v>5</v>
      </c>
      <c r="D40" s="2" t="str">
        <f>_xlfn.XLOOKUP($I40,Tab_00.Trial[CONTA],Tab_00.Trial[S/A],"",0,1)</f>
        <v>S</v>
      </c>
      <c r="E40" s="2">
        <f>IF($I40="","",COUNTIFS(Tab_00.Trial[CONTA],$I40))</f>
        <v>1</v>
      </c>
      <c r="F40" s="4">
        <f>SUMIFS(Tab_10.Out[SALDO
ATUAL],Tab_10.Out[CONTA],$I40)</f>
        <v>255560.28</v>
      </c>
      <c r="G40" s="4">
        <f t="shared" si="2"/>
        <v>0</v>
      </c>
      <c r="H40" s="1">
        <v>10965</v>
      </c>
      <c r="I40" s="3" t="s">
        <v>842</v>
      </c>
      <c r="J40" s="3" t="s">
        <v>843</v>
      </c>
      <c r="K40" s="4">
        <v>255560.28</v>
      </c>
      <c r="L40" s="4">
        <v>0</v>
      </c>
      <c r="M40" s="4">
        <v>430.16</v>
      </c>
      <c r="N40" s="4">
        <v>255130.12</v>
      </c>
      <c r="O40" s="4">
        <f>Tab_11.Nov[[#This Row],[DÉBITO]]-Tab_11.Nov[[#This Row],[CRÉDITO]]</f>
        <v>-430.16</v>
      </c>
    </row>
    <row r="41" spans="2:15" x14ac:dyDescent="0.3">
      <c r="B41" s="2" t="str">
        <f>_xlfn.XLOOKUP($I41,Tab_00.Trial[CONTA],Tab_00.Trial[TP],"",0,1)</f>
        <v>A</v>
      </c>
      <c r="C41" s="2">
        <f>_xlfn.XLOOKUP($I41,Tab_00.Trial[CONTA],Tab_00.Trial[NV],"",0,1)</f>
        <v>5</v>
      </c>
      <c r="D41" s="2" t="str">
        <f>_xlfn.XLOOKUP($I41,Tab_00.Trial[CONTA],Tab_00.Trial[S/A],"",0,1)</f>
        <v>A</v>
      </c>
      <c r="E41" s="2">
        <f>IF($I41="","",COUNTIFS(Tab_00.Trial[CONTA],$I41))</f>
        <v>1</v>
      </c>
      <c r="F41" s="4">
        <f>SUMIFS(Tab_10.Out[SALDO
ATUAL],Tab_10.Out[CONTA],$I41)</f>
        <v>255560.28</v>
      </c>
      <c r="G41" s="4">
        <f t="shared" si="2"/>
        <v>0</v>
      </c>
      <c r="H41" s="1">
        <v>10874</v>
      </c>
      <c r="I41" s="3" t="s">
        <v>844</v>
      </c>
      <c r="J41" s="3" t="s">
        <v>843</v>
      </c>
      <c r="K41" s="4">
        <v>255560.28</v>
      </c>
      <c r="L41" s="4">
        <v>0</v>
      </c>
      <c r="M41" s="4">
        <v>430.16</v>
      </c>
      <c r="N41" s="4">
        <v>255130.12</v>
      </c>
      <c r="O41" s="4">
        <f>Tab_11.Nov[[#This Row],[DÉBITO]]-Tab_11.Nov[[#This Row],[CRÉDITO]]</f>
        <v>-430.16</v>
      </c>
    </row>
    <row r="42" spans="2:15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S</v>
      </c>
      <c r="E42" s="2">
        <f>IF($I42="","",COUNTIFS(Tab_00.Trial[CONTA],$I42))</f>
        <v>1</v>
      </c>
      <c r="F42" s="4">
        <f>SUMIFS(Tab_10.Out[SALDO
ATUAL],Tab_10.Out[CONTA],$I42)</f>
        <v>0</v>
      </c>
      <c r="G42" s="4">
        <f t="shared" si="2"/>
        <v>0</v>
      </c>
      <c r="H42" s="1">
        <v>10881</v>
      </c>
      <c r="I42" s="3" t="s">
        <v>864</v>
      </c>
      <c r="J42" s="3" t="s">
        <v>865</v>
      </c>
      <c r="K42" s="4">
        <v>0</v>
      </c>
      <c r="L42" s="4">
        <v>14170.22</v>
      </c>
      <c r="M42" s="4">
        <v>14170.22</v>
      </c>
      <c r="N42" s="4">
        <v>0</v>
      </c>
      <c r="O42" s="4">
        <f>Tab_11.Nov[[#This Row],[DÉBITO]]-Tab_11.Nov[[#This Row],[CRÉDITO]]</f>
        <v>0</v>
      </c>
    </row>
    <row r="43" spans="2:15" x14ac:dyDescent="0.3">
      <c r="B43" s="2" t="str">
        <f>_xlfn.XLOOKUP($I43,Tab_00.Trial[CONTA],Tab_00.Trial[TP],"",0,1)</f>
        <v>A</v>
      </c>
      <c r="C43" s="2">
        <f>_xlfn.XLOOKUP($I43,Tab_00.Trial[CONTA],Tab_00.Trial[NV],"",0,1)</f>
        <v>5</v>
      </c>
      <c r="D43" s="2" t="str">
        <f>_xlfn.XLOOKUP($I43,Tab_00.Trial[CONTA],Tab_00.Trial[S/A],"",0,1)</f>
        <v>A</v>
      </c>
      <c r="E43" s="2">
        <f>IF($I43="","",COUNTIFS(Tab_00.Trial[CONTA],$I43))</f>
        <v>1</v>
      </c>
      <c r="F43" s="4">
        <f>SUMIFS(Tab_10.Out[SALDO
ATUAL],Tab_10.Out[CONTA],$I43)</f>
        <v>0</v>
      </c>
      <c r="G43" s="4">
        <f t="shared" si="2"/>
        <v>0</v>
      </c>
      <c r="H43" s="1">
        <v>10888</v>
      </c>
      <c r="I43" s="3" t="s">
        <v>867</v>
      </c>
      <c r="J43" s="3" t="s">
        <v>868</v>
      </c>
      <c r="K43" s="4">
        <v>0</v>
      </c>
      <c r="L43" s="4">
        <v>14170.22</v>
      </c>
      <c r="M43" s="4">
        <v>14170.22</v>
      </c>
      <c r="N43" s="4">
        <v>0</v>
      </c>
      <c r="O43" s="4">
        <f>Tab_11.Nov[[#This Row],[DÉBITO]]-Tab_11.Nov[[#This Row],[CRÉDITO]]</f>
        <v>0</v>
      </c>
    </row>
    <row r="44" spans="2:15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S</v>
      </c>
      <c r="E44" s="2">
        <f>IF($I44="","",COUNTIFS(Tab_00.Trial[CONTA],$I44))</f>
        <v>1</v>
      </c>
      <c r="F44" s="4">
        <f>SUMIFS(Tab_10.Out[SALDO
ATUAL],Tab_10.Out[CONTA],$I44)</f>
        <v>3209.38</v>
      </c>
      <c r="G44" s="4">
        <f t="shared" si="2"/>
        <v>0</v>
      </c>
      <c r="H44" s="1">
        <v>10975</v>
      </c>
      <c r="I44" s="3" t="s">
        <v>209</v>
      </c>
      <c r="J44" s="3" t="s">
        <v>646</v>
      </c>
      <c r="K44" s="4">
        <v>3209.38</v>
      </c>
      <c r="L44" s="4">
        <v>0</v>
      </c>
      <c r="M44" s="4">
        <v>291.76</v>
      </c>
      <c r="N44" s="4">
        <v>2917.62</v>
      </c>
      <c r="O44" s="4">
        <f>Tab_11.Nov[[#This Row],[DÉBITO]]-Tab_11.Nov[[#This Row],[CRÉDITO]]</f>
        <v>-291.76</v>
      </c>
    </row>
    <row r="45" spans="2:15" x14ac:dyDescent="0.3">
      <c r="B45" s="2" t="str">
        <f>_xlfn.XLOOKUP($I45,Tab_00.Trial[CONTA],Tab_00.Trial[TP],"",0,1)</f>
        <v>A</v>
      </c>
      <c r="C45" s="2">
        <f>_xlfn.XLOOKUP($I45,Tab_00.Trial[CONTA],Tab_00.Trial[NV],"",0,1)</f>
        <v>5</v>
      </c>
      <c r="D45" s="2" t="str">
        <f>_xlfn.XLOOKUP($I45,Tab_00.Trial[CONTA],Tab_00.Trial[S/A],"",0,1)</f>
        <v>S</v>
      </c>
      <c r="E45" s="2">
        <f>IF($I45="","",COUNTIFS(Tab_00.Trial[CONTA],$I45))</f>
        <v>1</v>
      </c>
      <c r="F45" s="4">
        <f>SUMIFS(Tab_10.Out[SALDO
ATUAL],Tab_10.Out[CONTA],$I45)</f>
        <v>3209.38</v>
      </c>
      <c r="G45" s="4">
        <f t="shared" si="2"/>
        <v>0</v>
      </c>
      <c r="H45" s="1">
        <v>10990</v>
      </c>
      <c r="I45" s="3" t="s">
        <v>210</v>
      </c>
      <c r="J45" s="3" t="s">
        <v>646</v>
      </c>
      <c r="K45" s="4">
        <v>3209.38</v>
      </c>
      <c r="L45" s="4">
        <v>0</v>
      </c>
      <c r="M45" s="4">
        <v>291.76</v>
      </c>
      <c r="N45" s="4">
        <v>2917.62</v>
      </c>
      <c r="O45" s="4">
        <f>Tab_11.Nov[[#This Row],[DÉBITO]]-Tab_11.Nov[[#This Row],[CRÉDITO]]</f>
        <v>-291.76</v>
      </c>
    </row>
    <row r="46" spans="2:15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A</v>
      </c>
      <c r="E46" s="2">
        <f>IF($I46="","",COUNTIFS(Tab_00.Trial[CONTA],$I46))</f>
        <v>1</v>
      </c>
      <c r="F46" s="4">
        <f>SUMIFS(Tab_10.Out[SALDO
ATUAL],Tab_10.Out[CONTA],$I46)</f>
        <v>3209.38</v>
      </c>
      <c r="G46" s="4">
        <f t="shared" si="2"/>
        <v>0</v>
      </c>
      <c r="H46" s="1">
        <v>11005</v>
      </c>
      <c r="I46" s="3" t="s">
        <v>298</v>
      </c>
      <c r="J46" s="3" t="s">
        <v>299</v>
      </c>
      <c r="K46" s="4">
        <v>3209.38</v>
      </c>
      <c r="L46" s="4">
        <v>0</v>
      </c>
      <c r="M46" s="4">
        <v>291.76</v>
      </c>
      <c r="N46" s="4">
        <v>2917.62</v>
      </c>
      <c r="O46" s="4">
        <f>Tab_11.Nov[[#This Row],[DÉBITO]]-Tab_11.Nov[[#This Row],[CRÉDITO]]</f>
        <v>-291.76</v>
      </c>
    </row>
    <row r="47" spans="2:15" x14ac:dyDescent="0.3">
      <c r="B47" s="2" t="str">
        <f>_xlfn.XLOOKUP($I47,Tab_00.Trial[CONTA],Tab_00.Trial[TP],"",0,1)</f>
        <v>A</v>
      </c>
      <c r="C47" s="2">
        <f>_xlfn.XLOOKUP($I47,Tab_00.Trial[CONTA],Tab_00.Trial[NV],"",0,1)</f>
        <v>2</v>
      </c>
      <c r="D47" s="2" t="str">
        <f>_xlfn.XLOOKUP($I47,Tab_00.Trial[CONTA],Tab_00.Trial[S/A],"",0,1)</f>
        <v>S</v>
      </c>
      <c r="E47" s="2">
        <f>IF($I47="","",COUNTIFS(Tab_00.Trial[CONTA],$I47))</f>
        <v>1</v>
      </c>
      <c r="F47" s="4">
        <f>SUMIFS(Tab_10.Out[SALDO
ATUAL],Tab_10.Out[CONTA],$I47)</f>
        <v>74040444.180000007</v>
      </c>
      <c r="G47" s="4">
        <f t="shared" si="2"/>
        <v>0</v>
      </c>
      <c r="H47" s="1">
        <v>11065</v>
      </c>
      <c r="I47" s="3" t="s">
        <v>211</v>
      </c>
      <c r="J47" s="3" t="s">
        <v>76</v>
      </c>
      <c r="K47" s="4">
        <v>74040444.180000007</v>
      </c>
      <c r="L47" s="4">
        <v>248787.42</v>
      </c>
      <c r="M47" s="4">
        <v>6062.75</v>
      </c>
      <c r="N47" s="4">
        <v>74283168.849999994</v>
      </c>
      <c r="O47" s="4">
        <f>Tab_11.Nov[[#This Row],[DÉBITO]]-Tab_11.Nov[[#This Row],[CRÉDITO]]</f>
        <v>242724.67</v>
      </c>
    </row>
    <row r="48" spans="2:15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S</v>
      </c>
      <c r="E48" s="2">
        <f>IF($I48="","",COUNTIFS(Tab_00.Trial[CONTA],$I48))</f>
        <v>1</v>
      </c>
      <c r="F48" s="4">
        <f>SUMIFS(Tab_10.Out[SALDO
ATUAL],Tab_10.Out[CONTA],$I48)</f>
        <v>256169.55</v>
      </c>
      <c r="G48" s="4">
        <f t="shared" si="2"/>
        <v>0</v>
      </c>
      <c r="H48" s="1">
        <v>11080</v>
      </c>
      <c r="I48" s="3" t="s">
        <v>552</v>
      </c>
      <c r="J48" s="3" t="s">
        <v>647</v>
      </c>
      <c r="K48" s="4">
        <v>256169.55</v>
      </c>
      <c r="L48" s="4">
        <v>814.42</v>
      </c>
      <c r="M48" s="4">
        <v>0</v>
      </c>
      <c r="N48" s="4">
        <v>256983.97</v>
      </c>
      <c r="O48" s="4">
        <f>Tab_11.Nov[[#This Row],[DÉBITO]]-Tab_11.Nov[[#This Row],[CRÉDITO]]</f>
        <v>814.42</v>
      </c>
    </row>
    <row r="49" spans="2:15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S</v>
      </c>
      <c r="E49" s="2">
        <f>IF($I49="","",COUNTIFS(Tab_00.Trial[CONTA],$I49))</f>
        <v>1</v>
      </c>
      <c r="F49" s="4">
        <f>SUMIFS(Tab_10.Out[SALDO
ATUAL],Tab_10.Out[CONTA],$I49)</f>
        <v>256169.55</v>
      </c>
      <c r="G49" s="4">
        <f t="shared" si="2"/>
        <v>0</v>
      </c>
      <c r="H49" s="1">
        <v>11125</v>
      </c>
      <c r="I49" s="3" t="s">
        <v>553</v>
      </c>
      <c r="J49" s="3" t="s">
        <v>301</v>
      </c>
      <c r="K49" s="4">
        <v>256169.55</v>
      </c>
      <c r="L49" s="4">
        <v>814.42</v>
      </c>
      <c r="M49" s="4">
        <v>0</v>
      </c>
      <c r="N49" s="4">
        <v>256983.97</v>
      </c>
      <c r="O49" s="4">
        <f>Tab_11.Nov[[#This Row],[DÉBITO]]-Tab_11.Nov[[#This Row],[CRÉDITO]]</f>
        <v>814.42</v>
      </c>
    </row>
    <row r="50" spans="2:15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A</v>
      </c>
      <c r="E50" s="2">
        <f>IF($I50="","",COUNTIFS(Tab_00.Trial[CONTA],$I50))</f>
        <v>1</v>
      </c>
      <c r="F50" s="4">
        <f>SUMIFS(Tab_10.Out[SALDO
ATUAL],Tab_10.Out[CONTA],$I50)</f>
        <v>256169.55</v>
      </c>
      <c r="G50" s="4">
        <f t="shared" si="2"/>
        <v>0</v>
      </c>
      <c r="H50" s="1">
        <v>11140</v>
      </c>
      <c r="I50" s="3" t="s">
        <v>300</v>
      </c>
      <c r="J50" s="3" t="s">
        <v>301</v>
      </c>
      <c r="K50" s="4">
        <v>256169.55</v>
      </c>
      <c r="L50" s="4">
        <v>814.42</v>
      </c>
      <c r="M50" s="4">
        <v>0</v>
      </c>
      <c r="N50" s="4">
        <v>256983.97</v>
      </c>
      <c r="O50" s="4">
        <f>Tab_11.Nov[[#This Row],[DÉBITO]]-Tab_11.Nov[[#This Row],[CRÉDITO]]</f>
        <v>814.42</v>
      </c>
    </row>
    <row r="51" spans="2:15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S</v>
      </c>
      <c r="E51" s="2">
        <f>IF($I51="","",COUNTIFS(Tab_00.Trial[CONTA],$I51))</f>
        <v>1</v>
      </c>
      <c r="F51" s="4">
        <f>SUMIFS(Tab_10.Out[SALDO
ATUAL],Tab_10.Out[CONTA],$I51)</f>
        <v>71427398.069999993</v>
      </c>
      <c r="G51" s="4">
        <f t="shared" si="2"/>
        <v>0</v>
      </c>
      <c r="H51" s="1">
        <v>11170</v>
      </c>
      <c r="I51" s="3" t="s">
        <v>554</v>
      </c>
      <c r="J51" s="3" t="s">
        <v>648</v>
      </c>
      <c r="K51" s="4">
        <v>71427398.069999993</v>
      </c>
      <c r="L51" s="4">
        <v>246633</v>
      </c>
      <c r="M51" s="4">
        <v>2396</v>
      </c>
      <c r="N51" s="4">
        <v>71671635.069999993</v>
      </c>
      <c r="O51" s="4">
        <f>Tab_11.Nov[[#This Row],[DÉBITO]]-Tab_11.Nov[[#This Row],[CRÉDITO]]</f>
        <v>244237</v>
      </c>
    </row>
    <row r="52" spans="2:15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S</v>
      </c>
      <c r="E52" s="2">
        <f>IF($I52="","",COUNTIFS(Tab_00.Trial[CONTA],$I52))</f>
        <v>1</v>
      </c>
      <c r="F52" s="4">
        <f>SUMIFS(Tab_10.Out[SALDO
ATUAL],Tab_10.Out[CONTA],$I52)</f>
        <v>45344232.229999997</v>
      </c>
      <c r="G52" s="4">
        <f t="shared" si="2"/>
        <v>0</v>
      </c>
      <c r="H52" s="1">
        <v>11185</v>
      </c>
      <c r="I52" s="3" t="s">
        <v>555</v>
      </c>
      <c r="J52" s="3" t="s">
        <v>649</v>
      </c>
      <c r="K52" s="4">
        <v>45344232.229999997</v>
      </c>
      <c r="L52" s="4">
        <v>0</v>
      </c>
      <c r="M52" s="4">
        <v>0</v>
      </c>
      <c r="N52" s="4">
        <v>45344232.229999997</v>
      </c>
      <c r="O52" s="4">
        <f>Tab_11.Nov[[#This Row],[DÉBITO]]-Tab_11.Nov[[#This Row],[CRÉDITO]]</f>
        <v>0</v>
      </c>
    </row>
    <row r="53" spans="2:15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A</v>
      </c>
      <c r="E53" s="2">
        <f>IF($I53="","",COUNTIFS(Tab_00.Trial[CONTA],$I53))</f>
        <v>1</v>
      </c>
      <c r="F53" s="4">
        <f>SUMIFS(Tab_10.Out[SALDO
ATUAL],Tab_10.Out[CONTA],$I53)</f>
        <v>42477392.43</v>
      </c>
      <c r="G53" s="4">
        <f t="shared" si="2"/>
        <v>0</v>
      </c>
      <c r="H53" s="1">
        <v>11205</v>
      </c>
      <c r="I53" s="3" t="s">
        <v>302</v>
      </c>
      <c r="J53" s="3" t="s">
        <v>303</v>
      </c>
      <c r="K53" s="4">
        <v>42477392.43</v>
      </c>
      <c r="L53" s="4">
        <v>0</v>
      </c>
      <c r="M53" s="4">
        <v>0</v>
      </c>
      <c r="N53" s="4">
        <v>42477392.43</v>
      </c>
      <c r="O53" s="4">
        <f>Tab_11.Nov[[#This Row],[DÉBITO]]-Tab_11.Nov[[#This Row],[CRÉDITO]]</f>
        <v>0</v>
      </c>
    </row>
    <row r="54" spans="2:15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A</v>
      </c>
      <c r="E54" s="2">
        <f>IF($I54="","",COUNTIFS(Tab_00.Trial[CONTA],$I54))</f>
        <v>1</v>
      </c>
      <c r="F54" s="4">
        <f>SUMIFS(Tab_10.Out[SALDO
ATUAL],Tab_10.Out[CONTA],$I54)</f>
        <v>2866839.8</v>
      </c>
      <c r="G54" s="4">
        <f t="shared" si="2"/>
        <v>0</v>
      </c>
      <c r="H54" s="1">
        <v>11210</v>
      </c>
      <c r="I54" s="3" t="s">
        <v>304</v>
      </c>
      <c r="J54" s="3" t="s">
        <v>305</v>
      </c>
      <c r="K54" s="4">
        <v>2866839.8</v>
      </c>
      <c r="L54" s="4">
        <v>0</v>
      </c>
      <c r="M54" s="4">
        <v>0</v>
      </c>
      <c r="N54" s="4">
        <v>2866839.8</v>
      </c>
      <c r="O54" s="4">
        <f>Tab_11.Nov[[#This Row],[DÉBITO]]-Tab_11.Nov[[#This Row],[CRÉDITO]]</f>
        <v>0</v>
      </c>
    </row>
    <row r="55" spans="2:15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S</v>
      </c>
      <c r="E55" s="2">
        <f>IF($I55="","",COUNTIFS(Tab_00.Trial[CONTA],$I55))</f>
        <v>1</v>
      </c>
      <c r="F55" s="4">
        <f>SUMIFS(Tab_10.Out[SALDO
ATUAL],Tab_10.Out[CONTA],$I55)</f>
        <v>4760.84</v>
      </c>
      <c r="G55" s="4">
        <f t="shared" si="2"/>
        <v>0</v>
      </c>
      <c r="H55" s="1">
        <v>11215</v>
      </c>
      <c r="I55" s="3" t="s">
        <v>556</v>
      </c>
      <c r="J55" s="3" t="s">
        <v>650</v>
      </c>
      <c r="K55" s="4">
        <v>4760.84</v>
      </c>
      <c r="L55" s="4">
        <v>0</v>
      </c>
      <c r="M55" s="4">
        <v>0</v>
      </c>
      <c r="N55" s="4">
        <v>4760.84</v>
      </c>
      <c r="O55" s="4">
        <f>Tab_11.Nov[[#This Row],[DÉBITO]]-Tab_11.Nov[[#This Row],[CRÉDITO]]</f>
        <v>0</v>
      </c>
    </row>
    <row r="56" spans="2:15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A</v>
      </c>
      <c r="E56" s="2">
        <f>IF($I56="","",COUNTIFS(Tab_00.Trial[CONTA],$I56))</f>
        <v>1</v>
      </c>
      <c r="F56" s="4">
        <f>SUMIFS(Tab_10.Out[SALDO
ATUAL],Tab_10.Out[CONTA],$I56)</f>
        <v>4760.84</v>
      </c>
      <c r="G56" s="4">
        <f t="shared" si="2"/>
        <v>0</v>
      </c>
      <c r="H56" s="1">
        <v>11230</v>
      </c>
      <c r="I56" s="3" t="s">
        <v>306</v>
      </c>
      <c r="J56" s="3" t="s">
        <v>307</v>
      </c>
      <c r="K56" s="4">
        <v>4760.84</v>
      </c>
      <c r="L56" s="4">
        <v>0</v>
      </c>
      <c r="M56" s="4">
        <v>0</v>
      </c>
      <c r="N56" s="4">
        <v>4760.84</v>
      </c>
      <c r="O56" s="4">
        <f>Tab_11.Nov[[#This Row],[DÉBITO]]-Tab_11.Nov[[#This Row],[CRÉDITO]]</f>
        <v>0</v>
      </c>
    </row>
    <row r="57" spans="2:15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S</v>
      </c>
      <c r="E57" s="2">
        <f>IF($I57="","",COUNTIFS(Tab_00.Trial[CONTA],$I57))</f>
        <v>1</v>
      </c>
      <c r="F57" s="4">
        <f>SUMIFS(Tab_10.Out[SALDO
ATUAL],Tab_10.Out[CONTA],$I57)</f>
        <v>26078405</v>
      </c>
      <c r="G57" s="4">
        <f t="shared" si="2"/>
        <v>0</v>
      </c>
      <c r="H57" s="1">
        <v>11235</v>
      </c>
      <c r="I57" s="3" t="s">
        <v>557</v>
      </c>
      <c r="J57" s="3" t="s">
        <v>309</v>
      </c>
      <c r="K57" s="4">
        <v>26078405</v>
      </c>
      <c r="L57" s="4">
        <v>246633</v>
      </c>
      <c r="M57" s="4">
        <v>2396</v>
      </c>
      <c r="N57" s="4">
        <v>26322642</v>
      </c>
      <c r="O57" s="4">
        <f>Tab_11.Nov[[#This Row],[DÉBITO]]-Tab_11.Nov[[#This Row],[CRÉDITO]]</f>
        <v>244237</v>
      </c>
    </row>
    <row r="58" spans="2:15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A</v>
      </c>
      <c r="E58" s="2">
        <f>IF($I58="","",COUNTIFS(Tab_00.Trial[CONTA],$I58))</f>
        <v>1</v>
      </c>
      <c r="F58" s="4">
        <f>SUMIFS(Tab_10.Out[SALDO
ATUAL],Tab_10.Out[CONTA],$I58)</f>
        <v>26078405</v>
      </c>
      <c r="G58" s="4">
        <f t="shared" si="2"/>
        <v>0</v>
      </c>
      <c r="H58" s="1">
        <v>11240</v>
      </c>
      <c r="I58" s="3" t="s">
        <v>308</v>
      </c>
      <c r="J58" s="3" t="s">
        <v>309</v>
      </c>
      <c r="K58" s="4">
        <v>26078405</v>
      </c>
      <c r="L58" s="4">
        <v>246633</v>
      </c>
      <c r="M58" s="4">
        <v>2396</v>
      </c>
      <c r="N58" s="4">
        <v>26322642</v>
      </c>
      <c r="O58" s="4">
        <f>Tab_11.Nov[[#This Row],[DÉBITO]]-Tab_11.Nov[[#This Row],[CRÉDITO]]</f>
        <v>244237</v>
      </c>
    </row>
    <row r="59" spans="2:15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S</v>
      </c>
      <c r="E59" s="2">
        <f>IF($I59="","",COUNTIFS(Tab_00.Trial[CONTA],$I59))</f>
        <v>1</v>
      </c>
      <c r="F59" s="4">
        <f>SUMIFS(Tab_10.Out[SALDO
ATUAL],Tab_10.Out[CONTA],$I59)</f>
        <v>2356876.56</v>
      </c>
      <c r="G59" s="4">
        <f t="shared" si="2"/>
        <v>0</v>
      </c>
      <c r="H59" s="1">
        <v>11245</v>
      </c>
      <c r="I59" s="3" t="s">
        <v>213</v>
      </c>
      <c r="J59" s="3" t="s">
        <v>35</v>
      </c>
      <c r="K59" s="4">
        <v>2356876.56</v>
      </c>
      <c r="L59" s="4">
        <v>1340</v>
      </c>
      <c r="M59" s="4">
        <v>3666.75</v>
      </c>
      <c r="N59" s="4">
        <v>2354549.81</v>
      </c>
      <c r="O59" s="4">
        <f>Tab_11.Nov[[#This Row],[DÉBITO]]-Tab_11.Nov[[#This Row],[CRÉDITO]]</f>
        <v>-2326.75</v>
      </c>
    </row>
    <row r="60" spans="2:15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S</v>
      </c>
      <c r="E60" s="2">
        <f>IF($I60="","",COUNTIFS(Tab_00.Trial[CONTA],$I60))</f>
        <v>1</v>
      </c>
      <c r="F60" s="4">
        <f>SUMIFS(Tab_10.Out[SALDO
ATUAL],Tab_10.Out[CONTA],$I60)</f>
        <v>3548599.31</v>
      </c>
      <c r="G60" s="4">
        <f t="shared" si="2"/>
        <v>0</v>
      </c>
      <c r="H60" s="1">
        <v>11260</v>
      </c>
      <c r="I60" s="3" t="s">
        <v>214</v>
      </c>
      <c r="J60" s="3" t="s">
        <v>651</v>
      </c>
      <c r="K60" s="4">
        <v>3548599.31</v>
      </c>
      <c r="L60" s="4">
        <v>1340</v>
      </c>
      <c r="M60" s="4">
        <v>0</v>
      </c>
      <c r="N60" s="4">
        <v>3549939.31</v>
      </c>
      <c r="O60" s="4">
        <f>Tab_11.Nov[[#This Row],[DÉBITO]]-Tab_11.Nov[[#This Row],[CRÉDITO]]</f>
        <v>1340</v>
      </c>
    </row>
    <row r="61" spans="2:15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SUMIFS(Tab_10.Out[SALDO
ATUAL],Tab_10.Out[CONTA],$I61)</f>
        <v>1379260.84</v>
      </c>
      <c r="G61" s="4">
        <f t="shared" si="2"/>
        <v>0</v>
      </c>
      <c r="H61" s="1">
        <v>11275</v>
      </c>
      <c r="I61" s="3" t="s">
        <v>310</v>
      </c>
      <c r="J61" s="3" t="s">
        <v>311</v>
      </c>
      <c r="K61" s="4">
        <v>1379260.84</v>
      </c>
      <c r="L61" s="4">
        <v>0</v>
      </c>
      <c r="M61" s="4">
        <v>0</v>
      </c>
      <c r="N61" s="4">
        <v>1379260.84</v>
      </c>
      <c r="O61" s="4">
        <f>Tab_11.Nov[[#This Row],[DÉBITO]]-Tab_11.Nov[[#This Row],[CRÉDITO]]</f>
        <v>0</v>
      </c>
    </row>
    <row r="62" spans="2:15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SUMIFS(Tab_10.Out[SALDO
ATUAL],Tab_10.Out[CONTA],$I62)</f>
        <v>1293371.25</v>
      </c>
      <c r="G62" s="4">
        <f t="shared" si="2"/>
        <v>0</v>
      </c>
      <c r="H62" s="1">
        <v>11290</v>
      </c>
      <c r="I62" s="3" t="s">
        <v>312</v>
      </c>
      <c r="J62" s="3" t="s">
        <v>313</v>
      </c>
      <c r="K62" s="4">
        <v>1293371.25</v>
      </c>
      <c r="L62" s="4">
        <v>0</v>
      </c>
      <c r="M62" s="4">
        <v>0</v>
      </c>
      <c r="N62" s="4">
        <v>1293371.25</v>
      </c>
      <c r="O62" s="4">
        <f>Tab_11.Nov[[#This Row],[DÉBITO]]-Tab_11.Nov[[#This Row],[CRÉDITO]]</f>
        <v>0</v>
      </c>
    </row>
    <row r="63" spans="2:15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A</v>
      </c>
      <c r="E63" s="2">
        <f>IF($I63="","",COUNTIFS(Tab_00.Trial[CONTA],$I63))</f>
        <v>1</v>
      </c>
      <c r="F63" s="4">
        <f>SUMIFS(Tab_10.Out[SALDO
ATUAL],Tab_10.Out[CONTA],$I63)</f>
        <v>23000</v>
      </c>
      <c r="G63" s="4">
        <f t="shared" si="2"/>
        <v>0</v>
      </c>
      <c r="H63" s="1">
        <v>11320</v>
      </c>
      <c r="I63" s="3" t="s">
        <v>181</v>
      </c>
      <c r="J63" s="3" t="s">
        <v>314</v>
      </c>
      <c r="K63" s="4">
        <v>23000</v>
      </c>
      <c r="L63" s="4">
        <v>0</v>
      </c>
      <c r="M63" s="4">
        <v>0</v>
      </c>
      <c r="N63" s="4">
        <v>23000</v>
      </c>
      <c r="O63" s="4">
        <f>Tab_11.Nov[[#This Row],[DÉBITO]]-Tab_11.Nov[[#This Row],[CRÉDITO]]</f>
        <v>0</v>
      </c>
    </row>
    <row r="64" spans="2:15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A</v>
      </c>
      <c r="E64" s="2">
        <f>IF($I64="","",COUNTIFS(Tab_00.Trial[CONTA],$I64))</f>
        <v>1</v>
      </c>
      <c r="F64" s="4">
        <f>SUMIFS(Tab_10.Out[SALDO
ATUAL],Tab_10.Out[CONTA],$I64)</f>
        <v>12594</v>
      </c>
      <c r="G64" s="4">
        <f t="shared" si="2"/>
        <v>0</v>
      </c>
      <c r="H64" s="1">
        <v>11335</v>
      </c>
      <c r="I64" s="3" t="s">
        <v>182</v>
      </c>
      <c r="J64" s="3" t="s">
        <v>315</v>
      </c>
      <c r="K64" s="4">
        <v>12594</v>
      </c>
      <c r="L64" s="4">
        <v>0</v>
      </c>
      <c r="M64" s="4">
        <v>0</v>
      </c>
      <c r="N64" s="4">
        <v>12594</v>
      </c>
      <c r="O64" s="4">
        <f>Tab_11.Nov[[#This Row],[DÉBITO]]-Tab_11.Nov[[#This Row],[CRÉDITO]]</f>
        <v>0</v>
      </c>
    </row>
    <row r="65" spans="2:15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SUMIFS(Tab_10.Out[SALDO
ATUAL],Tab_10.Out[CONTA],$I65)</f>
        <v>224642.85</v>
      </c>
      <c r="G65" s="4">
        <f t="shared" si="2"/>
        <v>0</v>
      </c>
      <c r="H65" s="1">
        <v>11350</v>
      </c>
      <c r="I65" s="3" t="s">
        <v>183</v>
      </c>
      <c r="J65" s="3" t="s">
        <v>316</v>
      </c>
      <c r="K65" s="4">
        <v>224642.85</v>
      </c>
      <c r="L65" s="4">
        <v>0</v>
      </c>
      <c r="M65" s="4">
        <v>0</v>
      </c>
      <c r="N65" s="4">
        <v>224642.85</v>
      </c>
      <c r="O65" s="4">
        <f>Tab_11.Nov[[#This Row],[DÉBITO]]-Tab_11.Nov[[#This Row],[CRÉDITO]]</f>
        <v>0</v>
      </c>
    </row>
    <row r="66" spans="2:15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A</v>
      </c>
      <c r="E66" s="2">
        <f>IF($I66="","",COUNTIFS(Tab_00.Trial[CONTA],$I66))</f>
        <v>1</v>
      </c>
      <c r="F66" s="4">
        <f>SUMIFS(Tab_10.Out[SALDO
ATUAL],Tab_10.Out[CONTA],$I66)</f>
        <v>7349.9</v>
      </c>
      <c r="G66" s="4">
        <f t="shared" si="2"/>
        <v>0</v>
      </c>
      <c r="H66" s="1">
        <v>11365</v>
      </c>
      <c r="I66" s="3" t="s">
        <v>317</v>
      </c>
      <c r="J66" s="3" t="s">
        <v>318</v>
      </c>
      <c r="K66" s="4">
        <v>7349.9</v>
      </c>
      <c r="L66" s="4">
        <v>1340</v>
      </c>
      <c r="M66" s="4">
        <v>0</v>
      </c>
      <c r="N66" s="4">
        <v>8689.9</v>
      </c>
      <c r="O66" s="4">
        <f>Tab_11.Nov[[#This Row],[DÉBITO]]-Tab_11.Nov[[#This Row],[CRÉDITO]]</f>
        <v>1340</v>
      </c>
    </row>
    <row r="67" spans="2:15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SUMIFS(Tab_10.Out[SALDO
ATUAL],Tab_10.Out[CONTA],$I67)</f>
        <v>128697.03</v>
      </c>
      <c r="G67" s="4">
        <f t="shared" si="2"/>
        <v>0</v>
      </c>
      <c r="H67" s="1">
        <v>11380</v>
      </c>
      <c r="I67" s="3" t="s">
        <v>184</v>
      </c>
      <c r="J67" s="3" t="s">
        <v>319</v>
      </c>
      <c r="K67" s="4">
        <v>128697.03</v>
      </c>
      <c r="L67" s="4">
        <v>0</v>
      </c>
      <c r="M67" s="4">
        <v>0</v>
      </c>
      <c r="N67" s="4">
        <v>128697.03</v>
      </c>
      <c r="O67" s="4">
        <f>Tab_11.Nov[[#This Row],[DÉBITO]]-Tab_11.Nov[[#This Row],[CRÉDITO]]</f>
        <v>0</v>
      </c>
    </row>
    <row r="68" spans="2:15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A</v>
      </c>
      <c r="E68" s="2">
        <f>IF($I68="","",COUNTIFS(Tab_00.Trial[CONTA],$I68))</f>
        <v>1</v>
      </c>
      <c r="F68" s="4">
        <f>SUMIFS(Tab_10.Out[SALDO
ATUAL],Tab_10.Out[CONTA],$I68)</f>
        <v>15029.74</v>
      </c>
      <c r="G68" s="4">
        <f t="shared" si="2"/>
        <v>0</v>
      </c>
      <c r="H68" s="1">
        <v>11410</v>
      </c>
      <c r="I68" s="3" t="s">
        <v>185</v>
      </c>
      <c r="J68" s="3" t="s">
        <v>320</v>
      </c>
      <c r="K68" s="4">
        <v>15029.74</v>
      </c>
      <c r="L68" s="4">
        <v>0</v>
      </c>
      <c r="M68" s="4">
        <v>0</v>
      </c>
      <c r="N68" s="4">
        <v>15029.74</v>
      </c>
      <c r="O68" s="4">
        <f>Tab_11.Nov[[#This Row],[DÉBITO]]-Tab_11.Nov[[#This Row],[CRÉDITO]]</f>
        <v>0</v>
      </c>
    </row>
    <row r="69" spans="2:15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SUMIFS(Tab_10.Out[SALDO
ATUAL],Tab_10.Out[CONTA],$I69)</f>
        <v>464653.7</v>
      </c>
      <c r="G69" s="4">
        <f t="shared" si="2"/>
        <v>0</v>
      </c>
      <c r="H69" s="1">
        <v>11415</v>
      </c>
      <c r="I69" s="3" t="s">
        <v>321</v>
      </c>
      <c r="J69" s="3" t="s">
        <v>322</v>
      </c>
      <c r="K69" s="4">
        <v>464653.7</v>
      </c>
      <c r="L69" s="4">
        <v>0</v>
      </c>
      <c r="M69" s="4">
        <v>0</v>
      </c>
      <c r="N69" s="4">
        <v>464653.7</v>
      </c>
      <c r="O69" s="4">
        <f>Tab_11.Nov[[#This Row],[DÉBITO]]-Tab_11.Nov[[#This Row],[CRÉDITO]]</f>
        <v>0</v>
      </c>
    </row>
    <row r="70" spans="2:15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S</v>
      </c>
      <c r="E70" s="2">
        <f>IF($I70="","",COUNTIFS(Tab_00.Trial[CONTA],$I70))</f>
        <v>1</v>
      </c>
      <c r="F70" s="4">
        <f>SUMIFS(Tab_10.Out[SALDO
ATUAL],Tab_10.Out[CONTA],$I70)</f>
        <v>-1191722.75</v>
      </c>
      <c r="G70" s="4">
        <f t="shared" si="2"/>
        <v>0</v>
      </c>
      <c r="H70" s="1">
        <v>11425</v>
      </c>
      <c r="I70" s="3" t="s">
        <v>215</v>
      </c>
      <c r="J70" s="3" t="s">
        <v>652</v>
      </c>
      <c r="K70" s="4">
        <v>-1191722.75</v>
      </c>
      <c r="L70" s="4">
        <v>0</v>
      </c>
      <c r="M70" s="4">
        <v>3666.75</v>
      </c>
      <c r="N70" s="4">
        <v>-1195389.5</v>
      </c>
      <c r="O70" s="4">
        <f>Tab_11.Nov[[#This Row],[DÉBITO]]-Tab_11.Nov[[#This Row],[CRÉDITO]]</f>
        <v>-3666.75</v>
      </c>
    </row>
    <row r="71" spans="2:15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SUMIFS(Tab_10.Out[SALDO
ATUAL],Tab_10.Out[CONTA],$I71)</f>
        <v>-673860.41</v>
      </c>
      <c r="G71" s="4">
        <f t="shared" si="2"/>
        <v>0</v>
      </c>
      <c r="H71" s="1">
        <v>11440</v>
      </c>
      <c r="I71" s="3" t="s">
        <v>186</v>
      </c>
      <c r="J71" s="3" t="s">
        <v>313</v>
      </c>
      <c r="K71" s="4">
        <v>-673860.41</v>
      </c>
      <c r="L71" s="4">
        <v>0</v>
      </c>
      <c r="M71" s="4">
        <v>2997.93</v>
      </c>
      <c r="N71" s="4">
        <v>-676858.34</v>
      </c>
      <c r="O71" s="4">
        <f>Tab_11.Nov[[#This Row],[DÉBITO]]-Tab_11.Nov[[#This Row],[CRÉDITO]]</f>
        <v>-2997.93</v>
      </c>
    </row>
    <row r="72" spans="2:15" x14ac:dyDescent="0.3">
      <c r="B72" s="2" t="str">
        <f>_xlfn.XLOOKUP($I72,Tab_00.Trial[CONTA],Tab_00.Trial[TP],"",0,1)</f>
        <v>A</v>
      </c>
      <c r="C72" s="2">
        <f>_xlfn.XLOOKUP($I72,Tab_00.Trial[CONTA],Tab_00.Trial[NV],"",0,1)</f>
        <v>5</v>
      </c>
      <c r="D72" s="2" t="str">
        <f>_xlfn.XLOOKUP($I72,Tab_00.Trial[CONTA],Tab_00.Trial[S/A],"",0,1)</f>
        <v>A</v>
      </c>
      <c r="E72" s="2">
        <f>IF($I72="","",COUNTIFS(Tab_00.Trial[CONTA],$I72))</f>
        <v>1</v>
      </c>
      <c r="F72" s="4">
        <f>SUMIFS(Tab_10.Out[SALDO
ATUAL],Tab_10.Out[CONTA],$I72)</f>
        <v>-21781.56</v>
      </c>
      <c r="G72" s="4">
        <f t="shared" si="2"/>
        <v>0</v>
      </c>
      <c r="H72" s="1">
        <v>11470</v>
      </c>
      <c r="I72" s="3" t="s">
        <v>187</v>
      </c>
      <c r="J72" s="3" t="s">
        <v>314</v>
      </c>
      <c r="K72" s="4">
        <v>-21781.56</v>
      </c>
      <c r="L72" s="4">
        <v>0</v>
      </c>
      <c r="M72" s="4">
        <v>191.67</v>
      </c>
      <c r="N72" s="4">
        <v>-21973.23</v>
      </c>
      <c r="O72" s="4">
        <f>Tab_11.Nov[[#This Row],[DÉBITO]]-Tab_11.Nov[[#This Row],[CRÉDITO]]</f>
        <v>-191.67</v>
      </c>
    </row>
    <row r="73" spans="2:15" x14ac:dyDescent="0.3">
      <c r="B73" s="2" t="str">
        <f>_xlfn.XLOOKUP($I73,Tab_00.Trial[CONTA],Tab_00.Trial[TP],"",0,1)</f>
        <v>A</v>
      </c>
      <c r="C73" s="2">
        <f>_xlfn.XLOOKUP($I73,Tab_00.Trial[CONTA],Tab_00.Trial[NV],"",0,1)</f>
        <v>5</v>
      </c>
      <c r="D73" s="2" t="str">
        <f>_xlfn.XLOOKUP($I73,Tab_00.Trial[CONTA],Tab_00.Trial[S/A],"",0,1)</f>
        <v>A</v>
      </c>
      <c r="E73" s="2">
        <f>IF($I73="","",COUNTIFS(Tab_00.Trial[CONTA],$I73))</f>
        <v>1</v>
      </c>
      <c r="F73" s="4">
        <f>SUMIFS(Tab_10.Out[SALDO
ATUAL],Tab_10.Out[CONTA],$I73)</f>
        <v>-7103.61</v>
      </c>
      <c r="G73" s="4">
        <f t="shared" si="2"/>
        <v>0</v>
      </c>
      <c r="H73" s="1">
        <v>11485</v>
      </c>
      <c r="I73" s="3" t="s">
        <v>188</v>
      </c>
      <c r="J73" s="3" t="s">
        <v>315</v>
      </c>
      <c r="K73" s="4">
        <v>-7103.61</v>
      </c>
      <c r="L73" s="4">
        <v>0</v>
      </c>
      <c r="M73" s="4">
        <v>104.95</v>
      </c>
      <c r="N73" s="4">
        <v>-7208.56</v>
      </c>
      <c r="O73" s="4">
        <f>Tab_11.Nov[[#This Row],[DÉBITO]]-Tab_11.Nov[[#This Row],[CRÉDITO]]</f>
        <v>-104.95</v>
      </c>
    </row>
    <row r="74" spans="2:15" x14ac:dyDescent="0.3">
      <c r="B74" s="2" t="str">
        <f>_xlfn.XLOOKUP($I74,Tab_00.Trial[CONTA],Tab_00.Trial[TP],"",0,1)</f>
        <v>A</v>
      </c>
      <c r="C74" s="2">
        <f>_xlfn.XLOOKUP($I74,Tab_00.Trial[CONTA],Tab_00.Trial[NV],"",0,1)</f>
        <v>5</v>
      </c>
      <c r="D74" s="2" t="str">
        <f>_xlfn.XLOOKUP($I74,Tab_00.Trial[CONTA],Tab_00.Trial[S/A],"",0,1)</f>
        <v>A</v>
      </c>
      <c r="E74" s="2">
        <f>IF($I74="","",COUNTIFS(Tab_00.Trial[CONTA],$I74))</f>
        <v>1</v>
      </c>
      <c r="F74" s="4">
        <f>SUMIFS(Tab_10.Out[SALDO
ATUAL],Tab_10.Out[CONTA],$I74)</f>
        <v>-224642.85</v>
      </c>
      <c r="G74" s="4">
        <f t="shared" si="2"/>
        <v>0</v>
      </c>
      <c r="H74" s="1">
        <v>11500</v>
      </c>
      <c r="I74" s="3" t="s">
        <v>189</v>
      </c>
      <c r="J74" s="3" t="s">
        <v>316</v>
      </c>
      <c r="K74" s="4">
        <v>-224642.85</v>
      </c>
      <c r="L74" s="4">
        <v>0</v>
      </c>
      <c r="M74" s="4">
        <v>0</v>
      </c>
      <c r="N74" s="4">
        <v>-224642.85</v>
      </c>
      <c r="O74" s="4">
        <f>Tab_11.Nov[[#This Row],[DÉBITO]]-Tab_11.Nov[[#This Row],[CRÉDITO]]</f>
        <v>0</v>
      </c>
    </row>
    <row r="75" spans="2:15" x14ac:dyDescent="0.3">
      <c r="B75" s="2" t="str">
        <f>_xlfn.XLOOKUP($I75,Tab_00.Trial[CONTA],Tab_00.Trial[TP],"",0,1)</f>
        <v>A</v>
      </c>
      <c r="C75" s="2">
        <f>_xlfn.XLOOKUP($I75,Tab_00.Trial[CONTA],Tab_00.Trial[NV],"",0,1)</f>
        <v>5</v>
      </c>
      <c r="D75" s="2" t="str">
        <f>_xlfn.XLOOKUP($I75,Tab_00.Trial[CONTA],Tab_00.Trial[S/A],"",0,1)</f>
        <v>A</v>
      </c>
      <c r="E75" s="2">
        <f>IF($I75="","",COUNTIFS(Tab_00.Trial[CONTA],$I75))</f>
        <v>1</v>
      </c>
      <c r="F75" s="4">
        <f>SUMIFS(Tab_10.Out[SALDO
ATUAL],Tab_10.Out[CONTA],$I75)</f>
        <v>-4675.84</v>
      </c>
      <c r="G75" s="4">
        <f t="shared" si="2"/>
        <v>0</v>
      </c>
      <c r="H75" s="1">
        <v>11515</v>
      </c>
      <c r="I75" s="3" t="s">
        <v>190</v>
      </c>
      <c r="J75" s="3" t="s">
        <v>318</v>
      </c>
      <c r="K75" s="4">
        <v>-4675.84</v>
      </c>
      <c r="L75" s="4">
        <v>0</v>
      </c>
      <c r="M75" s="4">
        <v>0</v>
      </c>
      <c r="N75" s="4">
        <v>-4675.84</v>
      </c>
      <c r="O75" s="4">
        <f>Tab_11.Nov[[#This Row],[DÉBITO]]-Tab_11.Nov[[#This Row],[CRÉDITO]]</f>
        <v>0</v>
      </c>
    </row>
    <row r="76" spans="2:15" x14ac:dyDescent="0.3">
      <c r="B76" s="2" t="str">
        <f>_xlfn.XLOOKUP($I76,Tab_00.Trial[CONTA],Tab_00.Trial[TP],"",0,1)</f>
        <v>A</v>
      </c>
      <c r="C76" s="2">
        <f>_xlfn.XLOOKUP($I76,Tab_00.Trial[CONTA],Tab_00.Trial[NV],"",0,1)</f>
        <v>5</v>
      </c>
      <c r="D76" s="2" t="str">
        <f>_xlfn.XLOOKUP($I76,Tab_00.Trial[CONTA],Tab_00.Trial[S/A],"",0,1)</f>
        <v>A</v>
      </c>
      <c r="E76" s="2">
        <f>IF($I76="","",COUNTIFS(Tab_00.Trial[CONTA],$I76))</f>
        <v>1</v>
      </c>
      <c r="F76" s="4">
        <f>SUMIFS(Tab_10.Out[SALDO
ATUAL],Tab_10.Out[CONTA],$I76)</f>
        <v>-128697.03</v>
      </c>
      <c r="G76" s="4">
        <f t="shared" si="2"/>
        <v>0</v>
      </c>
      <c r="H76" s="1">
        <v>11530</v>
      </c>
      <c r="I76" s="3" t="s">
        <v>323</v>
      </c>
      <c r="J76" s="3" t="s">
        <v>319</v>
      </c>
      <c r="K76" s="4">
        <v>-128697.03</v>
      </c>
      <c r="L76" s="4">
        <v>0</v>
      </c>
      <c r="M76" s="4">
        <v>122.2</v>
      </c>
      <c r="N76" s="4">
        <v>-128819.23</v>
      </c>
      <c r="O76" s="4">
        <f>Tab_11.Nov[[#This Row],[DÉBITO]]-Tab_11.Nov[[#This Row],[CRÉDITO]]</f>
        <v>-122.2</v>
      </c>
    </row>
    <row r="77" spans="2:15" x14ac:dyDescent="0.3">
      <c r="B77" s="2" t="str">
        <f>_xlfn.XLOOKUP($I77,Tab_00.Trial[CONTA],Tab_00.Trial[TP],"",0,1)</f>
        <v>A</v>
      </c>
      <c r="C77" s="2">
        <f>_xlfn.XLOOKUP($I77,Tab_00.Trial[CONTA],Tab_00.Trial[NV],"",0,1)</f>
        <v>5</v>
      </c>
      <c r="D77" s="2" t="str">
        <f>_xlfn.XLOOKUP($I77,Tab_00.Trial[CONTA],Tab_00.Trial[S/A],"",0,1)</f>
        <v>A</v>
      </c>
      <c r="E77" s="2">
        <f>IF($I77="","",COUNTIFS(Tab_00.Trial[CONTA],$I77))</f>
        <v>1</v>
      </c>
      <c r="F77" s="4">
        <f>SUMIFS(Tab_10.Out[SALDO
ATUAL],Tab_10.Out[CONTA],$I77)</f>
        <v>-15029.74</v>
      </c>
      <c r="G77" s="4">
        <f t="shared" si="2"/>
        <v>0</v>
      </c>
      <c r="H77" s="1">
        <v>11560</v>
      </c>
      <c r="I77" s="3" t="s">
        <v>324</v>
      </c>
      <c r="J77" s="3" t="s">
        <v>320</v>
      </c>
      <c r="K77" s="4">
        <v>-15029.74</v>
      </c>
      <c r="L77" s="4">
        <v>0</v>
      </c>
      <c r="M77" s="4">
        <v>0</v>
      </c>
      <c r="N77" s="4">
        <v>-15029.74</v>
      </c>
      <c r="O77" s="4">
        <f>Tab_11.Nov[[#This Row],[DÉBITO]]-Tab_11.Nov[[#This Row],[CRÉDITO]]</f>
        <v>0</v>
      </c>
    </row>
    <row r="78" spans="2:15" x14ac:dyDescent="0.3">
      <c r="B78" s="2" t="str">
        <f>_xlfn.XLOOKUP($I78,Tab_00.Trial[CONTA],Tab_00.Trial[TP],"",0,1)</f>
        <v>A</v>
      </c>
      <c r="C78" s="2">
        <f>_xlfn.XLOOKUP($I78,Tab_00.Trial[CONTA],Tab_00.Trial[NV],"",0,1)</f>
        <v>5</v>
      </c>
      <c r="D78" s="2" t="str">
        <f>_xlfn.XLOOKUP($I78,Tab_00.Trial[CONTA],Tab_00.Trial[S/A],"",0,1)</f>
        <v>A</v>
      </c>
      <c r="E78" s="2">
        <f>IF($I78="","",COUNTIFS(Tab_00.Trial[CONTA],$I78))</f>
        <v>1</v>
      </c>
      <c r="F78" s="4">
        <f>SUMIFS(Tab_10.Out[SALDO
ATUAL],Tab_10.Out[CONTA],$I78)</f>
        <v>-115931.71</v>
      </c>
      <c r="G78" s="4">
        <f t="shared" si="2"/>
        <v>0</v>
      </c>
      <c r="H78" s="1">
        <v>11565</v>
      </c>
      <c r="I78" s="3" t="s">
        <v>325</v>
      </c>
      <c r="J78" s="3" t="s">
        <v>322</v>
      </c>
      <c r="K78" s="4">
        <v>-115931.71</v>
      </c>
      <c r="L78" s="4">
        <v>0</v>
      </c>
      <c r="M78" s="4">
        <v>250</v>
      </c>
      <c r="N78" s="4">
        <v>-116181.71</v>
      </c>
      <c r="O78" s="4">
        <f>Tab_11.Nov[[#This Row],[DÉBITO]]-Tab_11.Nov[[#This Row],[CRÉDITO]]</f>
        <v>-250</v>
      </c>
    </row>
    <row r="79" spans="2:15" x14ac:dyDescent="0.3">
      <c r="B79" s="2" t="str">
        <f>_xlfn.XLOOKUP($I79,Tab_00.Trial[CONTA],Tab_00.Trial[TP],"",0,1)</f>
        <v>P</v>
      </c>
      <c r="C79" s="2">
        <f>_xlfn.XLOOKUP($I79,Tab_00.Trial[CONTA],Tab_00.Trial[NV],"",0,1)</f>
        <v>1</v>
      </c>
      <c r="D79" s="2" t="str">
        <f>_xlfn.XLOOKUP($I79,Tab_00.Trial[CONTA],Tab_00.Trial[S/A],"",0,1)</f>
        <v>S</v>
      </c>
      <c r="E79" s="2">
        <f>IF($I79="","",COUNTIFS(Tab_00.Trial[CONTA],$I79))</f>
        <v>1</v>
      </c>
      <c r="F79" s="4">
        <f>SUMIFS(Tab_10.Out[SALDO
ATUAL],Tab_10.Out[CONTA],$I79)</f>
        <v>-83576152.079999998</v>
      </c>
      <c r="G79" s="4">
        <f t="shared" ref="G79:G142" si="3">$F79-$K79</f>
        <v>0</v>
      </c>
      <c r="H79" s="1">
        <v>20000</v>
      </c>
      <c r="I79" s="3">
        <v>2</v>
      </c>
      <c r="J79" s="3" t="s">
        <v>653</v>
      </c>
      <c r="K79" s="4">
        <v>-83576152.079999998</v>
      </c>
      <c r="L79" s="4">
        <v>517643.48</v>
      </c>
      <c r="M79" s="4">
        <v>332080.09000000003</v>
      </c>
      <c r="N79" s="4">
        <v>-83390588.689999998</v>
      </c>
      <c r="O79" s="4">
        <f>Tab_11.Nov[[#This Row],[DÉBITO]]-Tab_11.Nov[[#This Row],[CRÉDITO]]</f>
        <v>185563.39</v>
      </c>
    </row>
    <row r="80" spans="2:15" x14ac:dyDescent="0.3">
      <c r="B80" s="2" t="str">
        <f>_xlfn.XLOOKUP($I80,Tab_00.Trial[CONTA],Tab_00.Trial[TP],"",0,1)</f>
        <v>P</v>
      </c>
      <c r="C80" s="2">
        <f>_xlfn.XLOOKUP($I80,Tab_00.Trial[CONTA],Tab_00.Trial[NV],"",0,1)</f>
        <v>2</v>
      </c>
      <c r="D80" s="2" t="str">
        <f>_xlfn.XLOOKUP($I80,Tab_00.Trial[CONTA],Tab_00.Trial[S/A],"",0,1)</f>
        <v>S</v>
      </c>
      <c r="E80" s="2">
        <f>IF($I80="","",COUNTIFS(Tab_00.Trial[CONTA],$I80))</f>
        <v>1</v>
      </c>
      <c r="F80" s="4">
        <f>SUMIFS(Tab_10.Out[SALDO
ATUAL],Tab_10.Out[CONTA],$I80)</f>
        <v>-1441250.31</v>
      </c>
      <c r="G80" s="4">
        <f t="shared" si="3"/>
        <v>0</v>
      </c>
      <c r="H80" s="1">
        <v>20015</v>
      </c>
      <c r="I80" s="3" t="s">
        <v>216</v>
      </c>
      <c r="J80" s="3" t="s">
        <v>31</v>
      </c>
      <c r="K80" s="4">
        <v>-1441250.31</v>
      </c>
      <c r="L80" s="4">
        <v>517643.48</v>
      </c>
      <c r="M80" s="4">
        <v>332080.09000000003</v>
      </c>
      <c r="N80" s="4">
        <v>-1255686.92</v>
      </c>
      <c r="O80" s="4">
        <f>Tab_11.Nov[[#This Row],[DÉBITO]]-Tab_11.Nov[[#This Row],[CRÉDITO]]</f>
        <v>185563.39</v>
      </c>
    </row>
    <row r="81" spans="2:15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S</v>
      </c>
      <c r="E81" s="2">
        <f>IF($I81="","",COUNTIFS(Tab_00.Trial[CONTA],$I81))</f>
        <v>1</v>
      </c>
      <c r="F81" s="4">
        <f>SUMIFS(Tab_10.Out[SALDO
ATUAL],Tab_10.Out[CONTA],$I81)</f>
        <v>-353257.04</v>
      </c>
      <c r="G81" s="4">
        <f t="shared" si="3"/>
        <v>0</v>
      </c>
      <c r="H81" s="1">
        <v>20030</v>
      </c>
      <c r="I81" s="3" t="s">
        <v>558</v>
      </c>
      <c r="J81" s="3" t="s">
        <v>654</v>
      </c>
      <c r="K81" s="4">
        <v>-353257.04</v>
      </c>
      <c r="L81" s="4">
        <v>132193.45000000001</v>
      </c>
      <c r="M81" s="4">
        <v>150945.22</v>
      </c>
      <c r="N81" s="4">
        <v>-372008.81</v>
      </c>
      <c r="O81" s="4">
        <f>Tab_11.Nov[[#This Row],[DÉBITO]]-Tab_11.Nov[[#This Row],[CRÉDITO]]</f>
        <v>-18751.77</v>
      </c>
    </row>
    <row r="82" spans="2:15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S</v>
      </c>
      <c r="E82" s="2">
        <f>IF($I82="","",COUNTIFS(Tab_00.Trial[CONTA],$I82))</f>
        <v>1</v>
      </c>
      <c r="F82" s="4">
        <f>SUMIFS(Tab_10.Out[SALDO
ATUAL],Tab_10.Out[CONTA],$I82)</f>
        <v>0</v>
      </c>
      <c r="G82" s="4">
        <f t="shared" si="3"/>
        <v>0</v>
      </c>
      <c r="H82" s="1">
        <v>20045</v>
      </c>
      <c r="I82" s="3" t="s">
        <v>559</v>
      </c>
      <c r="J82" s="3" t="s">
        <v>655</v>
      </c>
      <c r="K82" s="4">
        <v>0</v>
      </c>
      <c r="L82" s="4">
        <v>76780.210000000006</v>
      </c>
      <c r="M82" s="4">
        <v>76780.210000000006</v>
      </c>
      <c r="N82" s="4">
        <v>0</v>
      </c>
      <c r="O82" s="4">
        <f>Tab_11.Nov[[#This Row],[DÉBITO]]-Tab_11.Nov[[#This Row],[CRÉDITO]]</f>
        <v>0</v>
      </c>
    </row>
    <row r="83" spans="2:15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A</v>
      </c>
      <c r="E83" s="2">
        <f>IF($I83="","",COUNTIFS(Tab_00.Trial[CONTA],$I83))</f>
        <v>1</v>
      </c>
      <c r="F83" s="4">
        <f>SUMIFS(Tab_10.Out[SALDO
ATUAL],Tab_10.Out[CONTA],$I83)</f>
        <v>0</v>
      </c>
      <c r="G83" s="4">
        <f t="shared" si="3"/>
        <v>0</v>
      </c>
      <c r="H83" s="1">
        <v>20060</v>
      </c>
      <c r="I83" s="3" t="s">
        <v>326</v>
      </c>
      <c r="J83" s="3" t="s">
        <v>327</v>
      </c>
      <c r="K83" s="4">
        <v>0</v>
      </c>
      <c r="L83" s="4">
        <v>76780.210000000006</v>
      </c>
      <c r="M83" s="4">
        <v>76780.210000000006</v>
      </c>
      <c r="N83" s="4">
        <v>0</v>
      </c>
      <c r="O83" s="4">
        <f>Tab_11.Nov[[#This Row],[DÉBITO]]-Tab_11.Nov[[#This Row],[CRÉDITO]]</f>
        <v>0</v>
      </c>
    </row>
    <row r="84" spans="2:15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S</v>
      </c>
      <c r="E84" s="2">
        <f>IF($I84="","",COUNTIFS(Tab_00.Trial[CONTA],$I84))</f>
        <v>1</v>
      </c>
      <c r="F84" s="4">
        <f>SUMIFS(Tab_10.Out[SALDO
ATUAL],Tab_10.Out[CONTA],$I84)</f>
        <v>-115366.05</v>
      </c>
      <c r="G84" s="4">
        <f t="shared" si="3"/>
        <v>0</v>
      </c>
      <c r="H84" s="1">
        <v>20120</v>
      </c>
      <c r="I84" s="3" t="s">
        <v>560</v>
      </c>
      <c r="J84" s="3" t="s">
        <v>656</v>
      </c>
      <c r="K84" s="4">
        <v>-115366.05</v>
      </c>
      <c r="L84" s="4">
        <v>0</v>
      </c>
      <c r="M84" s="4">
        <v>11746.96</v>
      </c>
      <c r="N84" s="4">
        <v>-127113.01</v>
      </c>
      <c r="O84" s="4">
        <f>Tab_11.Nov[[#This Row],[DÉBITO]]-Tab_11.Nov[[#This Row],[CRÉDITO]]</f>
        <v>-11746.96</v>
      </c>
    </row>
    <row r="85" spans="2:15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A</v>
      </c>
      <c r="E85" s="2">
        <f>IF($I85="","",COUNTIFS(Tab_00.Trial[CONTA],$I85))</f>
        <v>1</v>
      </c>
      <c r="F85" s="4">
        <f>SUMIFS(Tab_10.Out[SALDO
ATUAL],Tab_10.Out[CONTA],$I85)</f>
        <v>-84821.79</v>
      </c>
      <c r="G85" s="4">
        <f t="shared" si="3"/>
        <v>0</v>
      </c>
      <c r="H85" s="1">
        <v>20135</v>
      </c>
      <c r="I85" s="3" t="s">
        <v>332</v>
      </c>
      <c r="J85" s="3" t="s">
        <v>333</v>
      </c>
      <c r="K85" s="4">
        <v>-84821.79</v>
      </c>
      <c r="L85" s="4">
        <v>0</v>
      </c>
      <c r="M85" s="4">
        <v>8651.6200000000008</v>
      </c>
      <c r="N85" s="4">
        <v>-93473.41</v>
      </c>
      <c r="O85" s="4">
        <f>Tab_11.Nov[[#This Row],[DÉBITO]]-Tab_11.Nov[[#This Row],[CRÉDITO]]</f>
        <v>-8651.6200000000008</v>
      </c>
    </row>
    <row r="86" spans="2:15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A</v>
      </c>
      <c r="E86" s="2">
        <f>IF($I86="","",COUNTIFS(Tab_00.Trial[CONTA],$I86))</f>
        <v>1</v>
      </c>
      <c r="F86" s="4">
        <f>SUMIFS(Tab_10.Out[SALDO
ATUAL],Tab_10.Out[CONTA],$I86)</f>
        <v>-6785.69</v>
      </c>
      <c r="G86" s="4">
        <f t="shared" si="3"/>
        <v>0</v>
      </c>
      <c r="H86" s="1">
        <v>20150</v>
      </c>
      <c r="I86" s="3" t="s">
        <v>778</v>
      </c>
      <c r="J86" s="3" t="s">
        <v>779</v>
      </c>
      <c r="K86" s="4">
        <v>-6785.69</v>
      </c>
      <c r="L86" s="4">
        <v>0</v>
      </c>
      <c r="M86" s="4">
        <v>692.11</v>
      </c>
      <c r="N86" s="4">
        <v>-7477.8</v>
      </c>
      <c r="O86" s="4">
        <f>Tab_11.Nov[[#This Row],[DÉBITO]]-Tab_11.Nov[[#This Row],[CRÉDITO]]</f>
        <v>-692.11</v>
      </c>
    </row>
    <row r="87" spans="2:15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A</v>
      </c>
      <c r="E87" s="2">
        <f>IF($I87="","",COUNTIFS(Tab_00.Trial[CONTA],$I87))</f>
        <v>1</v>
      </c>
      <c r="F87" s="4">
        <f>SUMIFS(Tab_10.Out[SALDO
ATUAL],Tab_10.Out[CONTA],$I87)</f>
        <v>-854.63</v>
      </c>
      <c r="G87" s="4">
        <f t="shared" si="3"/>
        <v>0</v>
      </c>
      <c r="H87" s="1">
        <v>20165</v>
      </c>
      <c r="I87" s="3" t="s">
        <v>780</v>
      </c>
      <c r="J87" s="3" t="s">
        <v>781</v>
      </c>
      <c r="K87" s="4">
        <v>-854.63</v>
      </c>
      <c r="L87" s="4">
        <v>0</v>
      </c>
      <c r="M87" s="4">
        <v>86.45</v>
      </c>
      <c r="N87" s="4">
        <v>-941.08</v>
      </c>
      <c r="O87" s="4">
        <f>Tab_11.Nov[[#This Row],[DÉBITO]]-Tab_11.Nov[[#This Row],[CRÉDITO]]</f>
        <v>-86.45</v>
      </c>
    </row>
    <row r="88" spans="2:15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A</v>
      </c>
      <c r="E88" s="2">
        <f>IF($I88="","",COUNTIFS(Tab_00.Trial[CONTA],$I88))</f>
        <v>1</v>
      </c>
      <c r="F88" s="4">
        <f>SUMIFS(Tab_10.Out[SALDO
ATUAL],Tab_10.Out[CONTA],$I88)</f>
        <v>-22903.94</v>
      </c>
      <c r="G88" s="4">
        <f t="shared" si="3"/>
        <v>0</v>
      </c>
      <c r="H88" s="1">
        <v>10097</v>
      </c>
      <c r="I88" s="3" t="s">
        <v>782</v>
      </c>
      <c r="J88" s="3" t="s">
        <v>783</v>
      </c>
      <c r="K88" s="4">
        <v>-22903.94</v>
      </c>
      <c r="L88" s="4">
        <v>0</v>
      </c>
      <c r="M88" s="4">
        <v>2316.7800000000002</v>
      </c>
      <c r="N88" s="4">
        <v>-25220.720000000001</v>
      </c>
      <c r="O88" s="4">
        <f>Tab_11.Nov[[#This Row],[DÉBITO]]-Tab_11.Nov[[#This Row],[CRÉDITO]]</f>
        <v>-2316.7800000000002</v>
      </c>
    </row>
    <row r="89" spans="2:15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S</v>
      </c>
      <c r="E89" s="2">
        <f>IF($I89="","",COUNTIFS(Tab_00.Trial[CONTA],$I89))</f>
        <v>1</v>
      </c>
      <c r="F89" s="4">
        <f>SUMIFS(Tab_10.Out[SALDO
ATUAL],Tab_10.Out[CONTA],$I89)</f>
        <v>-191368.78</v>
      </c>
      <c r="G89" s="4">
        <f t="shared" si="3"/>
        <v>0</v>
      </c>
      <c r="H89" s="1">
        <v>20180</v>
      </c>
      <c r="I89" s="3" t="s">
        <v>561</v>
      </c>
      <c r="J89" s="3" t="s">
        <v>657</v>
      </c>
      <c r="K89" s="4">
        <v>-191368.78</v>
      </c>
      <c r="L89" s="4">
        <v>8782.4500000000007</v>
      </c>
      <c r="M89" s="4">
        <v>17119.78</v>
      </c>
      <c r="N89" s="4">
        <v>-199706.11</v>
      </c>
      <c r="O89" s="4">
        <f>Tab_11.Nov[[#This Row],[DÉBITO]]-Tab_11.Nov[[#This Row],[CRÉDITO]]</f>
        <v>-8337.33</v>
      </c>
    </row>
    <row r="90" spans="2:15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A</v>
      </c>
      <c r="E90" s="2">
        <f>IF($I90="","",COUNTIFS(Tab_00.Trial[CONTA],$I90))</f>
        <v>1</v>
      </c>
      <c r="F90" s="4">
        <f>SUMIFS(Tab_10.Out[SALDO
ATUAL],Tab_10.Out[CONTA],$I90)</f>
        <v>-140847.38</v>
      </c>
      <c r="G90" s="4">
        <f t="shared" si="3"/>
        <v>0</v>
      </c>
      <c r="H90" s="1">
        <v>20195</v>
      </c>
      <c r="I90" s="3" t="s">
        <v>334</v>
      </c>
      <c r="J90" s="3" t="s">
        <v>335</v>
      </c>
      <c r="K90" s="4">
        <v>-140847.38</v>
      </c>
      <c r="L90" s="4">
        <v>6472.18</v>
      </c>
      <c r="M90" s="4">
        <v>12630.74</v>
      </c>
      <c r="N90" s="4">
        <v>-147005.94</v>
      </c>
      <c r="O90" s="4">
        <f>Tab_11.Nov[[#This Row],[DÉBITO]]-Tab_11.Nov[[#This Row],[CRÉDITO]]</f>
        <v>-6158.56</v>
      </c>
    </row>
    <row r="91" spans="2:15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A</v>
      </c>
      <c r="E91" s="2">
        <f>IF($I91="","",COUNTIFS(Tab_00.Trial[CONTA],$I91))</f>
        <v>1</v>
      </c>
      <c r="F91" s="4">
        <f>SUMIFS(Tab_10.Out[SALDO
ATUAL],Tab_10.Out[CONTA],$I91)</f>
        <v>-11245.64</v>
      </c>
      <c r="G91" s="4">
        <f t="shared" si="3"/>
        <v>0</v>
      </c>
      <c r="H91" s="1">
        <v>20210</v>
      </c>
      <c r="I91" s="3" t="s">
        <v>784</v>
      </c>
      <c r="J91" s="3" t="s">
        <v>785</v>
      </c>
      <c r="K91" s="4">
        <v>-11245.64</v>
      </c>
      <c r="L91" s="4">
        <v>517.77</v>
      </c>
      <c r="M91" s="4">
        <v>1003.12</v>
      </c>
      <c r="N91" s="4">
        <v>-11730.99</v>
      </c>
      <c r="O91" s="4">
        <f>Tab_11.Nov[[#This Row],[DÉBITO]]-Tab_11.Nov[[#This Row],[CRÉDITO]]</f>
        <v>-485.35</v>
      </c>
    </row>
    <row r="92" spans="2:15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A</v>
      </c>
      <c r="E92" s="2">
        <f>IF($I92="","",COUNTIFS(Tab_00.Trial[CONTA],$I92))</f>
        <v>1</v>
      </c>
      <c r="F92" s="4">
        <f>SUMIFS(Tab_10.Out[SALDO
ATUAL],Tab_10.Out[CONTA],$I92)</f>
        <v>-1602.33</v>
      </c>
      <c r="G92" s="4">
        <f t="shared" si="3"/>
        <v>0</v>
      </c>
      <c r="H92" s="1">
        <v>20225</v>
      </c>
      <c r="I92" s="3" t="s">
        <v>786</v>
      </c>
      <c r="J92" s="3" t="s">
        <v>787</v>
      </c>
      <c r="K92" s="4">
        <v>-1602.33</v>
      </c>
      <c r="L92" s="4">
        <v>57.93</v>
      </c>
      <c r="M92" s="4">
        <v>125.41</v>
      </c>
      <c r="N92" s="4">
        <v>-1669.81</v>
      </c>
      <c r="O92" s="4">
        <f>Tab_11.Nov[[#This Row],[DÉBITO]]-Tab_11.Nov[[#This Row],[CRÉDITO]]</f>
        <v>-67.48</v>
      </c>
    </row>
    <row r="93" spans="2:15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A</v>
      </c>
      <c r="E93" s="2">
        <f>IF($I93="","",COUNTIFS(Tab_00.Trial[CONTA],$I93))</f>
        <v>1</v>
      </c>
      <c r="F93" s="4">
        <f>SUMIFS(Tab_10.Out[SALDO
ATUAL],Tab_10.Out[CONTA],$I93)</f>
        <v>-37673.43</v>
      </c>
      <c r="G93" s="4">
        <f t="shared" si="3"/>
        <v>0</v>
      </c>
      <c r="H93" s="1">
        <v>10104</v>
      </c>
      <c r="I93" s="3" t="s">
        <v>788</v>
      </c>
      <c r="J93" s="3" t="s">
        <v>789</v>
      </c>
      <c r="K93" s="4">
        <v>-37673.43</v>
      </c>
      <c r="L93" s="4">
        <v>1734.57</v>
      </c>
      <c r="M93" s="4">
        <v>3360.51</v>
      </c>
      <c r="N93" s="4">
        <v>-39299.370000000003</v>
      </c>
      <c r="O93" s="4">
        <f>Tab_11.Nov[[#This Row],[DÉBITO]]-Tab_11.Nov[[#This Row],[CRÉDITO]]</f>
        <v>-1625.94</v>
      </c>
    </row>
    <row r="94" spans="2:15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S</v>
      </c>
      <c r="E94" s="2">
        <f>IF($I94="","",COUNTIFS(Tab_00.Trial[CONTA],$I94))</f>
        <v>1</v>
      </c>
      <c r="F94" s="4">
        <f>SUMIFS(Tab_10.Out[SALDO
ATUAL],Tab_10.Out[CONTA],$I94)</f>
        <v>-36634.31</v>
      </c>
      <c r="G94" s="4">
        <f t="shared" si="3"/>
        <v>0</v>
      </c>
      <c r="H94" s="1">
        <v>20240</v>
      </c>
      <c r="I94" s="3" t="s">
        <v>562</v>
      </c>
      <c r="J94" s="3" t="s">
        <v>658</v>
      </c>
      <c r="K94" s="4">
        <v>-36634.31</v>
      </c>
      <c r="L94" s="4">
        <v>36816.080000000002</v>
      </c>
      <c r="M94" s="4">
        <v>35813.440000000002</v>
      </c>
      <c r="N94" s="4">
        <v>-35631.67</v>
      </c>
      <c r="O94" s="4">
        <f>Tab_11.Nov[[#This Row],[DÉBITO]]-Tab_11.Nov[[#This Row],[CRÉDITO]]</f>
        <v>1002.64</v>
      </c>
    </row>
    <row r="95" spans="2:15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A</v>
      </c>
      <c r="E95" s="2">
        <f>IF($I95="","",COUNTIFS(Tab_00.Trial[CONTA],$I95))</f>
        <v>1</v>
      </c>
      <c r="F95" s="4">
        <f>SUMIFS(Tab_10.Out[SALDO
ATUAL],Tab_10.Out[CONTA],$I95)</f>
        <v>-36050.230000000003</v>
      </c>
      <c r="G95" s="4">
        <f t="shared" si="3"/>
        <v>0</v>
      </c>
      <c r="H95" s="1">
        <v>20255</v>
      </c>
      <c r="I95" s="3" t="s">
        <v>336</v>
      </c>
      <c r="J95" s="3" t="s">
        <v>337</v>
      </c>
      <c r="K95" s="4">
        <v>-36050.230000000003</v>
      </c>
      <c r="L95" s="4">
        <v>36232</v>
      </c>
      <c r="M95" s="4">
        <v>35269.99</v>
      </c>
      <c r="N95" s="4">
        <v>-35088.22</v>
      </c>
      <c r="O95" s="4">
        <f>Tab_11.Nov[[#This Row],[DÉBITO]]-Tab_11.Nov[[#This Row],[CRÉDITO]]</f>
        <v>962.01</v>
      </c>
    </row>
    <row r="96" spans="2:15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A</v>
      </c>
      <c r="E96" s="2">
        <f>IF($I96="","",COUNTIFS(Tab_00.Trial[CONTA],$I96))</f>
        <v>1</v>
      </c>
      <c r="F96" s="4">
        <f>SUMIFS(Tab_10.Out[SALDO
ATUAL],Tab_10.Out[CONTA],$I96)</f>
        <v>-584.08000000000004</v>
      </c>
      <c r="G96" s="4">
        <f t="shared" si="3"/>
        <v>0</v>
      </c>
      <c r="H96" s="1">
        <v>20270</v>
      </c>
      <c r="I96" s="3" t="s">
        <v>338</v>
      </c>
      <c r="J96" s="3" t="s">
        <v>339</v>
      </c>
      <c r="K96" s="4">
        <v>-584.08000000000004</v>
      </c>
      <c r="L96" s="4">
        <v>584.08000000000004</v>
      </c>
      <c r="M96" s="4">
        <v>543.45000000000005</v>
      </c>
      <c r="N96" s="4">
        <v>-543.45000000000005</v>
      </c>
      <c r="O96" s="4">
        <f>Tab_11.Nov[[#This Row],[DÉBITO]]-Tab_11.Nov[[#This Row],[CRÉDITO]]</f>
        <v>40.630000000000003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S</v>
      </c>
      <c r="E97" s="2">
        <f>IF($I97="","",COUNTIFS(Tab_00.Trial[CONTA],$I97))</f>
        <v>1</v>
      </c>
      <c r="F97" s="4">
        <f>SUMIFS(Tab_10.Out[SALDO
ATUAL],Tab_10.Out[CONTA],$I97)</f>
        <v>-9887.9</v>
      </c>
      <c r="G97" s="4">
        <f t="shared" si="3"/>
        <v>0</v>
      </c>
      <c r="H97" s="1">
        <v>20345</v>
      </c>
      <c r="I97" s="3" t="s">
        <v>563</v>
      </c>
      <c r="J97" s="3" t="s">
        <v>659</v>
      </c>
      <c r="K97" s="4">
        <v>-9887.9</v>
      </c>
      <c r="L97" s="4">
        <v>9814.7099999999991</v>
      </c>
      <c r="M97" s="4">
        <v>9484.83</v>
      </c>
      <c r="N97" s="4">
        <v>-9558.02</v>
      </c>
      <c r="O97" s="4">
        <f>Tab_11.Nov[[#This Row],[DÉBITO]]-Tab_11.Nov[[#This Row],[CRÉDITO]]</f>
        <v>329.88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A</v>
      </c>
      <c r="E98" s="2">
        <f>IF($I98="","",COUNTIFS(Tab_00.Trial[CONTA],$I98))</f>
        <v>1</v>
      </c>
      <c r="F98" s="4">
        <f>SUMIFS(Tab_10.Out[SALDO
ATUAL],Tab_10.Out[CONTA],$I98)</f>
        <v>-8724.19</v>
      </c>
      <c r="G98" s="4">
        <f t="shared" si="3"/>
        <v>0</v>
      </c>
      <c r="H98" s="1">
        <v>20360</v>
      </c>
      <c r="I98" s="3" t="s">
        <v>340</v>
      </c>
      <c r="J98" s="3" t="s">
        <v>341</v>
      </c>
      <c r="K98" s="4">
        <v>-8724.19</v>
      </c>
      <c r="L98" s="4">
        <v>8724.19</v>
      </c>
      <c r="M98" s="4">
        <v>8430.9500000000007</v>
      </c>
      <c r="N98" s="4">
        <v>-8430.9500000000007</v>
      </c>
      <c r="O98" s="4">
        <f>Tab_11.Nov[[#This Row],[DÉBITO]]-Tab_11.Nov[[#This Row],[CRÉDITO]]</f>
        <v>293.24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A</v>
      </c>
      <c r="E99" s="2">
        <f>IF($I99="","",COUNTIFS(Tab_00.Trial[CONTA],$I99))</f>
        <v>1</v>
      </c>
      <c r="F99" s="4">
        <f>SUMIFS(Tab_10.Out[SALDO
ATUAL],Tab_10.Out[CONTA],$I99)</f>
        <v>-1163.71</v>
      </c>
      <c r="G99" s="4">
        <f t="shared" si="3"/>
        <v>0</v>
      </c>
      <c r="H99" s="1">
        <v>20375</v>
      </c>
      <c r="I99" s="3" t="s">
        <v>342</v>
      </c>
      <c r="J99" s="3" t="s">
        <v>343</v>
      </c>
      <c r="K99" s="4">
        <v>-1163.71</v>
      </c>
      <c r="L99" s="4">
        <v>1090.52</v>
      </c>
      <c r="M99" s="4">
        <v>1053.8800000000001</v>
      </c>
      <c r="N99" s="4">
        <v>-1127.07</v>
      </c>
      <c r="O99" s="4">
        <f>Tab_11.Nov[[#This Row],[DÉBITO]]-Tab_11.Nov[[#This Row],[CRÉDITO]]</f>
        <v>36.64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S</v>
      </c>
      <c r="E100" s="2">
        <f>IF($I100="","",COUNTIFS(Tab_00.Trial[CONTA],$I100))</f>
        <v>1</v>
      </c>
      <c r="F100" s="4">
        <f>SUMIFS(Tab_10.Out[SALDO
ATUAL],Tab_10.Out[CONTA],$I100)</f>
        <v>-1037217.56</v>
      </c>
      <c r="G100" s="4">
        <f t="shared" si="3"/>
        <v>0</v>
      </c>
      <c r="H100" s="1">
        <v>20390</v>
      </c>
      <c r="I100" s="3" t="s">
        <v>218</v>
      </c>
      <c r="J100" s="3" t="s">
        <v>660</v>
      </c>
      <c r="K100" s="4">
        <v>-1037217.56</v>
      </c>
      <c r="L100" s="4">
        <v>360745.18</v>
      </c>
      <c r="M100" s="4">
        <v>156933.82999999999</v>
      </c>
      <c r="N100" s="4">
        <v>-833406.21</v>
      </c>
      <c r="O100" s="4">
        <f>Tab_11.Nov[[#This Row],[DÉBITO]]-Tab_11.Nov[[#This Row],[CRÉDITO]]</f>
        <v>203811.35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S</v>
      </c>
      <c r="E101" s="2">
        <f>IF($I101="","",COUNTIFS(Tab_00.Trial[CONTA],$I101))</f>
        <v>1</v>
      </c>
      <c r="F101" s="4">
        <f>SUMIFS(Tab_10.Out[SALDO
ATUAL],Tab_10.Out[CONTA],$I101)</f>
        <v>-287868.96999999997</v>
      </c>
      <c r="G101" s="4">
        <f t="shared" si="3"/>
        <v>0</v>
      </c>
      <c r="H101" s="1">
        <v>20405</v>
      </c>
      <c r="I101" s="3" t="s">
        <v>219</v>
      </c>
      <c r="J101" s="3" t="s">
        <v>56</v>
      </c>
      <c r="K101" s="4">
        <v>-287868.96999999997</v>
      </c>
      <c r="L101" s="4">
        <v>360745.18</v>
      </c>
      <c r="M101" s="4">
        <v>156933.82999999999</v>
      </c>
      <c r="N101" s="4">
        <v>-84057.62</v>
      </c>
      <c r="O101" s="4">
        <f>Tab_11.Nov[[#This Row],[DÉBITO]]-Tab_11.Nov[[#This Row],[CRÉDITO]]</f>
        <v>203811.35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A</v>
      </c>
      <c r="E102" s="2">
        <f>IF($I102="","",COUNTIFS(Tab_00.Trial[CONTA],$I102))</f>
        <v>1</v>
      </c>
      <c r="F102" s="4">
        <f>SUMIFS(Tab_10.Out[SALDO
ATUAL],Tab_10.Out[CONTA],$I102)</f>
        <v>-287868.96999999997</v>
      </c>
      <c r="G102" s="4">
        <f t="shared" si="3"/>
        <v>0</v>
      </c>
      <c r="H102" s="1">
        <v>20420</v>
      </c>
      <c r="I102" s="3" t="s">
        <v>344</v>
      </c>
      <c r="J102" s="3" t="s">
        <v>56</v>
      </c>
      <c r="K102" s="4">
        <v>-287868.96999999997</v>
      </c>
      <c r="L102" s="4">
        <v>360745.18</v>
      </c>
      <c r="M102" s="4">
        <v>156933.82999999999</v>
      </c>
      <c r="N102" s="4">
        <v>-84057.62</v>
      </c>
      <c r="O102" s="4">
        <f>Tab_11.Nov[[#This Row],[DÉBITO]]-Tab_11.Nov[[#This Row],[CRÉDITO]]</f>
        <v>203811.35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S</v>
      </c>
      <c r="E103" s="2">
        <f>IF($I103="","",COUNTIFS(Tab_00.Trial[CONTA],$I103))</f>
        <v>1</v>
      </c>
      <c r="F103" s="4">
        <f>SUMIFS(Tab_10.Out[SALDO
ATUAL],Tab_10.Out[CONTA],$I103)</f>
        <v>-749348.59</v>
      </c>
      <c r="G103" s="4">
        <f t="shared" si="3"/>
        <v>0</v>
      </c>
      <c r="H103" s="1">
        <v>20455</v>
      </c>
      <c r="I103" s="3" t="s">
        <v>220</v>
      </c>
      <c r="J103" s="3" t="s">
        <v>346</v>
      </c>
      <c r="K103" s="4">
        <v>-749348.59</v>
      </c>
      <c r="L103" s="4">
        <v>0</v>
      </c>
      <c r="M103" s="4">
        <v>0</v>
      </c>
      <c r="N103" s="4">
        <v>-749348.59</v>
      </c>
      <c r="O103" s="4">
        <f>Tab_11.Nov[[#This Row],[DÉBITO]]-Tab_11.Nov[[#This Row],[CRÉDITO]]</f>
        <v>0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A</v>
      </c>
      <c r="E104" s="2">
        <f>IF($I104="","",COUNTIFS(Tab_00.Trial[CONTA],$I104))</f>
        <v>1</v>
      </c>
      <c r="F104" s="4">
        <f>SUMIFS(Tab_10.Out[SALDO
ATUAL],Tab_10.Out[CONTA],$I104)</f>
        <v>-749348.59</v>
      </c>
      <c r="G104" s="4">
        <f t="shared" si="3"/>
        <v>0</v>
      </c>
      <c r="H104" s="1">
        <v>20460</v>
      </c>
      <c r="I104" s="3" t="s">
        <v>345</v>
      </c>
      <c r="J104" s="3" t="s">
        <v>346</v>
      </c>
      <c r="K104" s="4">
        <v>-749348.59</v>
      </c>
      <c r="L104" s="4">
        <v>0</v>
      </c>
      <c r="M104" s="4">
        <v>0</v>
      </c>
      <c r="N104" s="4">
        <v>-749348.59</v>
      </c>
      <c r="O104" s="4">
        <f>Tab_11.Nov[[#This Row],[DÉBITO]]-Tab_11.Nov[[#This Row],[CRÉDITO]]</f>
        <v>0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S</v>
      </c>
      <c r="E105" s="2">
        <f>IF($I105="","",COUNTIFS(Tab_00.Trial[CONTA],$I105))</f>
        <v>1</v>
      </c>
      <c r="F105" s="4">
        <f>SUMIFS(Tab_10.Out[SALDO
ATUAL],Tab_10.Out[CONTA],$I105)</f>
        <v>-23868.31</v>
      </c>
      <c r="G105" s="4">
        <f t="shared" si="3"/>
        <v>0</v>
      </c>
      <c r="H105" s="1">
        <v>20465</v>
      </c>
      <c r="I105" s="3" t="s">
        <v>221</v>
      </c>
      <c r="J105" s="3" t="s">
        <v>661</v>
      </c>
      <c r="K105" s="4">
        <v>-23868.31</v>
      </c>
      <c r="L105" s="4">
        <v>24094.36</v>
      </c>
      <c r="M105" s="4">
        <v>23575.119999999999</v>
      </c>
      <c r="N105" s="4">
        <v>-23349.07</v>
      </c>
      <c r="O105" s="4">
        <f>Tab_11.Nov[[#This Row],[DÉBITO]]-Tab_11.Nov[[#This Row],[CRÉDITO]]</f>
        <v>519.24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S</v>
      </c>
      <c r="E106" s="2">
        <f>IF($I106="","",COUNTIFS(Tab_00.Trial[CONTA],$I106))</f>
        <v>1</v>
      </c>
      <c r="F106" s="4">
        <f>SUMIFS(Tab_10.Out[SALDO
ATUAL],Tab_10.Out[CONTA],$I106)</f>
        <v>-23868.31</v>
      </c>
      <c r="G106" s="4">
        <f t="shared" si="3"/>
        <v>0</v>
      </c>
      <c r="H106" s="1">
        <v>20480</v>
      </c>
      <c r="I106" s="3" t="s">
        <v>222</v>
      </c>
      <c r="J106" s="3" t="s">
        <v>662</v>
      </c>
      <c r="K106" s="4">
        <v>-23868.31</v>
      </c>
      <c r="L106" s="4">
        <v>22195.360000000001</v>
      </c>
      <c r="M106" s="4">
        <v>21676.12</v>
      </c>
      <c r="N106" s="4">
        <v>-23349.07</v>
      </c>
      <c r="O106" s="4">
        <f>Tab_11.Nov[[#This Row],[DÉBITO]]-Tab_11.Nov[[#This Row],[CRÉDITO]]</f>
        <v>519.24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A</v>
      </c>
      <c r="E107" s="2">
        <f>IF($I107="","",COUNTIFS(Tab_00.Trial[CONTA],$I107))</f>
        <v>1</v>
      </c>
      <c r="F107" s="4">
        <f>SUMIFS(Tab_10.Out[SALDO
ATUAL],Tab_10.Out[CONTA],$I107)</f>
        <v>-1890.47</v>
      </c>
      <c r="G107" s="4">
        <f t="shared" si="3"/>
        <v>0</v>
      </c>
      <c r="H107" s="1">
        <v>20495</v>
      </c>
      <c r="I107" s="3" t="s">
        <v>191</v>
      </c>
      <c r="J107" s="3" t="s">
        <v>347</v>
      </c>
      <c r="K107" s="4">
        <v>-1890.47</v>
      </c>
      <c r="L107" s="4">
        <v>1056.46</v>
      </c>
      <c r="M107" s="4">
        <v>1348.14</v>
      </c>
      <c r="N107" s="4">
        <v>-2182.15</v>
      </c>
      <c r="O107" s="4">
        <f>Tab_11.Nov[[#This Row],[DÉBITO]]-Tab_11.Nov[[#This Row],[CRÉDITO]]</f>
        <v>-291.68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A</v>
      </c>
      <c r="E108" s="2">
        <f>IF($I108="","",COUNTIFS(Tab_00.Trial[CONTA],$I108))</f>
        <v>1</v>
      </c>
      <c r="F108" s="4">
        <f>SUMIFS(Tab_10.Out[SALDO
ATUAL],Tab_10.Out[CONTA],$I108)</f>
        <v>-16402</v>
      </c>
      <c r="G108" s="4">
        <f t="shared" si="3"/>
        <v>0</v>
      </c>
      <c r="H108" s="1">
        <v>20510</v>
      </c>
      <c r="I108" s="3" t="s">
        <v>192</v>
      </c>
      <c r="J108" s="3" t="s">
        <v>348</v>
      </c>
      <c r="K108" s="4">
        <v>-16402</v>
      </c>
      <c r="L108" s="4">
        <v>17547.78</v>
      </c>
      <c r="M108" s="4">
        <v>15838.34</v>
      </c>
      <c r="N108" s="4">
        <v>-14692.56</v>
      </c>
      <c r="O108" s="4">
        <f>Tab_11.Nov[[#This Row],[DÉBITO]]-Tab_11.Nov[[#This Row],[CRÉDITO]]</f>
        <v>1709.44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A</v>
      </c>
      <c r="E109" s="2">
        <f>IF($I109="","",COUNTIFS(Tab_00.Trial[CONTA],$I109))</f>
        <v>1</v>
      </c>
      <c r="F109" s="4">
        <f>SUMIFS(Tab_10.Out[SALDO
ATUAL],Tab_10.Out[CONTA],$I109)</f>
        <v>-5564.56</v>
      </c>
      <c r="G109" s="4">
        <f t="shared" si="3"/>
        <v>0</v>
      </c>
      <c r="H109" s="1">
        <v>20525</v>
      </c>
      <c r="I109" s="3" t="s">
        <v>350</v>
      </c>
      <c r="J109" s="3" t="s">
        <v>351</v>
      </c>
      <c r="K109" s="4">
        <v>-5564.56</v>
      </c>
      <c r="L109" s="4">
        <v>3579.95</v>
      </c>
      <c r="M109" s="4">
        <v>4478.47</v>
      </c>
      <c r="N109" s="4">
        <v>-6463.08</v>
      </c>
      <c r="O109" s="4">
        <f>Tab_11.Nov[[#This Row],[DÉBITO]]-Tab_11.Nov[[#This Row],[CRÉDITO]]</f>
        <v>-898.52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A</v>
      </c>
      <c r="E110" s="2">
        <f>IF($I110="","",COUNTIFS(Tab_00.Trial[CONTA],$I110))</f>
        <v>1</v>
      </c>
      <c r="F110" s="4">
        <f>SUMIFS(Tab_10.Out[SALDO
ATUAL],Tab_10.Out[CONTA],$I110)</f>
        <v>-11.28</v>
      </c>
      <c r="G110" s="4">
        <f t="shared" si="3"/>
        <v>0</v>
      </c>
      <c r="H110" s="1">
        <v>20540</v>
      </c>
      <c r="I110" s="3" t="s">
        <v>352</v>
      </c>
      <c r="J110" s="3" t="s">
        <v>353</v>
      </c>
      <c r="K110" s="4">
        <v>-11.28</v>
      </c>
      <c r="L110" s="4">
        <v>11.17</v>
      </c>
      <c r="M110" s="4">
        <v>11.17</v>
      </c>
      <c r="N110" s="4">
        <v>-11.28</v>
      </c>
      <c r="O110" s="4">
        <f>Tab_11.Nov[[#This Row],[DÉBITO]]-Tab_11.Nov[[#This Row],[CRÉDITO]]</f>
        <v>0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S</v>
      </c>
      <c r="E111" s="2">
        <f>IF($I111="","",COUNTIFS(Tab_00.Trial[CONTA],$I111))</f>
        <v>1</v>
      </c>
      <c r="F111" s="4">
        <f>SUMIFS(Tab_10.Out[SALDO
ATUAL],Tab_10.Out[CONTA],$I111)</f>
        <v>0</v>
      </c>
      <c r="G111" s="4">
        <f t="shared" si="3"/>
        <v>0</v>
      </c>
      <c r="H111" s="1">
        <v>20565</v>
      </c>
      <c r="I111" s="3" t="s">
        <v>223</v>
      </c>
      <c r="J111" s="3" t="s">
        <v>663</v>
      </c>
      <c r="K111" s="4">
        <v>0</v>
      </c>
      <c r="L111" s="4">
        <v>1899</v>
      </c>
      <c r="M111" s="4">
        <v>1899</v>
      </c>
      <c r="N111" s="4">
        <v>0</v>
      </c>
      <c r="O111" s="4">
        <f>Tab_11.Nov[[#This Row],[DÉBITO]]-Tab_11.Nov[[#This Row],[CRÉDITO]]</f>
        <v>0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A</v>
      </c>
      <c r="E112" s="2">
        <f>IF($I112="","",COUNTIFS(Tab_00.Trial[CONTA],$I112))</f>
        <v>1</v>
      </c>
      <c r="F112" s="4">
        <f>SUMIFS(Tab_10.Out[SALDO
ATUAL],Tab_10.Out[CONTA],$I112)</f>
        <v>0</v>
      </c>
      <c r="G112" s="4">
        <f t="shared" si="3"/>
        <v>0</v>
      </c>
      <c r="H112" s="1">
        <v>20576</v>
      </c>
      <c r="I112" s="3" t="s">
        <v>354</v>
      </c>
      <c r="J112" s="3" t="s">
        <v>355</v>
      </c>
      <c r="K112" s="4">
        <v>0</v>
      </c>
      <c r="L112" s="4">
        <v>1899</v>
      </c>
      <c r="M112" s="4">
        <v>1899</v>
      </c>
      <c r="N112" s="4">
        <v>0</v>
      </c>
      <c r="O112" s="4">
        <f>Tab_11.Nov[[#This Row],[DÉBITO]]-Tab_11.Nov[[#This Row],[CRÉDITO]]</f>
        <v>0</v>
      </c>
    </row>
    <row r="113" spans="2:17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S</v>
      </c>
      <c r="E113" s="2">
        <f>IF($I113="","",COUNTIFS(Tab_00.Trial[CONTA],$I113))</f>
        <v>1</v>
      </c>
      <c r="F113" s="4">
        <f>SUMIFS(Tab_10.Out[SALDO
ATUAL],Tab_10.Out[CONTA],$I113)</f>
        <v>-23058.2</v>
      </c>
      <c r="G113" s="4">
        <f t="shared" si="3"/>
        <v>0</v>
      </c>
      <c r="H113" s="1">
        <v>20690</v>
      </c>
      <c r="I113" s="3" t="s">
        <v>224</v>
      </c>
      <c r="J113" s="3" t="s">
        <v>664</v>
      </c>
      <c r="K113" s="4">
        <v>-23058.2</v>
      </c>
      <c r="L113" s="4">
        <v>610.49</v>
      </c>
      <c r="M113" s="4">
        <v>625.91999999999996</v>
      </c>
      <c r="N113" s="4">
        <v>-23073.63</v>
      </c>
      <c r="O113" s="4">
        <f>Tab_11.Nov[[#This Row],[DÉBITO]]-Tab_11.Nov[[#This Row],[CRÉDITO]]</f>
        <v>-15.43</v>
      </c>
    </row>
    <row r="114" spans="2:17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5</v>
      </c>
      <c r="D114" s="2" t="str">
        <f>_xlfn.XLOOKUP($I114,Tab_00.Trial[CONTA],Tab_00.Trial[S/A],"",0,1)</f>
        <v>S</v>
      </c>
      <c r="E114" s="2">
        <f>IF($I114="","",COUNTIFS(Tab_00.Trial[CONTA],$I114))</f>
        <v>1</v>
      </c>
      <c r="F114" s="4">
        <f>SUMIFS(Tab_10.Out[SALDO
ATUAL],Tab_10.Out[CONTA],$I114)</f>
        <v>-23058.2</v>
      </c>
      <c r="G114" s="4">
        <f t="shared" si="3"/>
        <v>0</v>
      </c>
      <c r="H114" s="1">
        <v>20705</v>
      </c>
      <c r="I114" s="3" t="s">
        <v>225</v>
      </c>
      <c r="J114" s="3" t="s">
        <v>665</v>
      </c>
      <c r="K114" s="4">
        <v>-23058.2</v>
      </c>
      <c r="L114" s="4">
        <v>610.49</v>
      </c>
      <c r="M114" s="4">
        <v>625.91999999999996</v>
      </c>
      <c r="N114" s="4">
        <v>-23073.63</v>
      </c>
      <c r="O114" s="4">
        <f>Tab_11.Nov[[#This Row],[DÉBITO]]-Tab_11.Nov[[#This Row],[CRÉDITO]]</f>
        <v>-15.43</v>
      </c>
    </row>
    <row r="115" spans="2:17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5</v>
      </c>
      <c r="D115" s="2" t="str">
        <f>_xlfn.XLOOKUP($I115,Tab_00.Trial[CONTA],Tab_00.Trial[S/A],"",0,1)</f>
        <v>A</v>
      </c>
      <c r="E115" s="2">
        <f>IF($I115="","",COUNTIFS(Tab_00.Trial[CONTA],$I115))</f>
        <v>1</v>
      </c>
      <c r="F115" s="4">
        <f>SUMIFS(Tab_10.Out[SALDO
ATUAL],Tab_10.Out[CONTA],$I115)</f>
        <v>-23058.2</v>
      </c>
      <c r="G115" s="4">
        <f t="shared" si="3"/>
        <v>0</v>
      </c>
      <c r="H115" s="1">
        <v>20750</v>
      </c>
      <c r="I115" s="3" t="s">
        <v>356</v>
      </c>
      <c r="J115" s="3" t="s">
        <v>357</v>
      </c>
      <c r="K115" s="4">
        <v>-23058.2</v>
      </c>
      <c r="L115" s="4">
        <v>610.49</v>
      </c>
      <c r="M115" s="4">
        <v>625.91999999999996</v>
      </c>
      <c r="N115" s="4">
        <v>-23073.63</v>
      </c>
      <c r="O115" s="4">
        <f>Tab_11.Nov[[#This Row],[DÉBITO]]-Tab_11.Nov[[#This Row],[CRÉDITO]]</f>
        <v>-15.43</v>
      </c>
    </row>
    <row r="116" spans="2:17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5</v>
      </c>
      <c r="D116" s="2" t="str">
        <f>_xlfn.XLOOKUP($I116,Tab_00.Trial[CONTA],Tab_00.Trial[S/A],"",0,1)</f>
        <v>S</v>
      </c>
      <c r="E116" s="2">
        <f>IF($I116="","",COUNTIFS(Tab_00.Trial[CONTA],$I116))</f>
        <v>1</v>
      </c>
      <c r="F116" s="4">
        <f>SUMIFS(Tab_10.Out[SALDO
ATUAL],Tab_10.Out[CONTA],$I116)</f>
        <v>-3849.2</v>
      </c>
      <c r="G116" s="4">
        <f t="shared" si="3"/>
        <v>0</v>
      </c>
      <c r="H116" s="1">
        <v>20765</v>
      </c>
      <c r="I116" s="3" t="s">
        <v>564</v>
      </c>
      <c r="J116" s="3" t="s">
        <v>666</v>
      </c>
      <c r="K116" s="4">
        <v>-3849.2</v>
      </c>
      <c r="L116" s="4">
        <v>0</v>
      </c>
      <c r="M116" s="4">
        <v>0</v>
      </c>
      <c r="N116" s="4">
        <v>-3849.2</v>
      </c>
      <c r="O116" s="4">
        <f>Tab_11.Nov[[#This Row],[DÉBITO]]-Tab_11.Nov[[#This Row],[CRÉDITO]]</f>
        <v>0</v>
      </c>
    </row>
    <row r="117" spans="2:17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5</v>
      </c>
      <c r="D117" s="2" t="str">
        <f>_xlfn.XLOOKUP($I117,Tab_00.Trial[CONTA],Tab_00.Trial[S/A],"",0,1)</f>
        <v>S</v>
      </c>
      <c r="E117" s="2">
        <f>IF($I117="","",COUNTIFS(Tab_00.Trial[CONTA],$I117))</f>
        <v>1</v>
      </c>
      <c r="F117" s="4">
        <f>SUMIFS(Tab_10.Out[SALDO
ATUAL],Tab_10.Out[CONTA],$I117)</f>
        <v>-3849.2</v>
      </c>
      <c r="G117" s="4">
        <f t="shared" si="3"/>
        <v>0</v>
      </c>
      <c r="H117" s="1">
        <v>20780</v>
      </c>
      <c r="I117" s="3" t="s">
        <v>565</v>
      </c>
      <c r="J117" s="3" t="s">
        <v>667</v>
      </c>
      <c r="K117" s="4">
        <v>-3849.2</v>
      </c>
      <c r="L117" s="4">
        <v>0</v>
      </c>
      <c r="M117" s="4">
        <v>0</v>
      </c>
      <c r="N117" s="4">
        <v>-3849.2</v>
      </c>
      <c r="O117" s="4">
        <f>Tab_11.Nov[[#This Row],[DÉBITO]]-Tab_11.Nov[[#This Row],[CRÉDITO]]</f>
        <v>0</v>
      </c>
    </row>
    <row r="118" spans="2:17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5</v>
      </c>
      <c r="D118" s="2" t="str">
        <f>_xlfn.XLOOKUP($I118,Tab_00.Trial[CONTA],Tab_00.Trial[S/A],"",0,1)</f>
        <v>A</v>
      </c>
      <c r="E118" s="2">
        <f>IF($I118="","",COUNTIFS(Tab_00.Trial[CONTA],$I118))</f>
        <v>1</v>
      </c>
      <c r="F118" s="4">
        <f>SUMIFS(Tab_10.Out[SALDO
ATUAL],Tab_10.Out[CONTA],$I118)</f>
        <v>-3849.2</v>
      </c>
      <c r="G118" s="4">
        <f t="shared" si="3"/>
        <v>0</v>
      </c>
      <c r="H118" s="1">
        <v>20790</v>
      </c>
      <c r="I118" s="3" t="s">
        <v>358</v>
      </c>
      <c r="J118" s="3" t="s">
        <v>359</v>
      </c>
      <c r="K118" s="4">
        <v>-3849.2</v>
      </c>
      <c r="L118" s="4">
        <v>0</v>
      </c>
      <c r="M118" s="4">
        <v>0</v>
      </c>
      <c r="N118" s="4">
        <v>-3849.2</v>
      </c>
      <c r="O118" s="4">
        <f>Tab_11.Nov[[#This Row],[DÉBITO]]-Tab_11.Nov[[#This Row],[CRÉDITO]]</f>
        <v>0</v>
      </c>
    </row>
    <row r="119" spans="2:17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2</v>
      </c>
      <c r="D119" s="2" t="str">
        <f>_xlfn.XLOOKUP($I119,Tab_00.Trial[CONTA],Tab_00.Trial[S/A],"",0,1)</f>
        <v>S</v>
      </c>
      <c r="E119" s="2">
        <f>IF($I119="","",COUNTIFS(Tab_00.Trial[CONTA],$I119))</f>
        <v>1</v>
      </c>
      <c r="F119" s="4">
        <f>SUMIFS(Tab_10.Out[SALDO
ATUAL],Tab_10.Out[CONTA],$I119)</f>
        <v>-46934.04</v>
      </c>
      <c r="G119" s="4">
        <f t="shared" si="3"/>
        <v>0</v>
      </c>
      <c r="H119" s="1">
        <v>20885</v>
      </c>
      <c r="I119" s="3" t="s">
        <v>226</v>
      </c>
      <c r="J119" s="3" t="s">
        <v>76</v>
      </c>
      <c r="K119" s="4">
        <v>-46934.04</v>
      </c>
      <c r="L119" s="4">
        <v>0</v>
      </c>
      <c r="M119" s="4">
        <v>0</v>
      </c>
      <c r="N119" s="4">
        <v>-46934.04</v>
      </c>
      <c r="O119" s="4">
        <f>Tab_11.Nov[[#This Row],[DÉBITO]]-Tab_11.Nov[[#This Row],[CRÉDITO]]</f>
        <v>0</v>
      </c>
      <c r="Q119" s="141">
        <f>557.22+562.43+568.35+573.76+578.92+584.08</f>
        <v>3424.76</v>
      </c>
    </row>
    <row r="120" spans="2:17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5</v>
      </c>
      <c r="D120" s="2" t="str">
        <f>_xlfn.XLOOKUP($I120,Tab_00.Trial[CONTA],Tab_00.Trial[S/A],"",0,1)</f>
        <v>S</v>
      </c>
      <c r="E120" s="2">
        <f>IF($I120="","",COUNTIFS(Tab_00.Trial[CONTA],$I120))</f>
        <v>1</v>
      </c>
      <c r="F120" s="4">
        <f>SUMIFS(Tab_10.Out[SALDO
ATUAL],Tab_10.Out[CONTA],$I120)</f>
        <v>-46934.04</v>
      </c>
      <c r="G120" s="4">
        <f t="shared" si="3"/>
        <v>0</v>
      </c>
      <c r="H120" s="1">
        <v>21110</v>
      </c>
      <c r="I120" s="3" t="s">
        <v>566</v>
      </c>
      <c r="J120" s="3" t="s">
        <v>668</v>
      </c>
      <c r="K120" s="4">
        <v>-46934.04</v>
      </c>
      <c r="L120" s="4">
        <v>0</v>
      </c>
      <c r="M120" s="4">
        <v>0</v>
      </c>
      <c r="N120" s="4">
        <v>-46934.04</v>
      </c>
      <c r="O120" s="4">
        <f>Tab_11.Nov[[#This Row],[DÉBITO]]-Tab_11.Nov[[#This Row],[CRÉDITO]]</f>
        <v>0</v>
      </c>
      <c r="Q120" s="141">
        <f>1153.03+1163.81+1176.06+1187.26+1197.93+1208.61</f>
        <v>7086.7</v>
      </c>
    </row>
    <row r="121" spans="2:17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5</v>
      </c>
      <c r="D121" s="2" t="str">
        <f>_xlfn.XLOOKUP($I121,Tab_00.Trial[CONTA],Tab_00.Trial[S/A],"",0,1)</f>
        <v>S</v>
      </c>
      <c r="E121" s="2">
        <f>IF($I121="","",COUNTIFS(Tab_00.Trial[CONTA],$I121))</f>
        <v>1</v>
      </c>
      <c r="F121" s="4">
        <f>SUMIFS(Tab_10.Out[SALDO
ATUAL],Tab_10.Out[CONTA],$I121)</f>
        <v>-46934.04</v>
      </c>
      <c r="G121" s="4">
        <f t="shared" si="3"/>
        <v>0</v>
      </c>
      <c r="H121" s="1">
        <v>21125</v>
      </c>
      <c r="I121" s="3" t="s">
        <v>567</v>
      </c>
      <c r="J121" s="3" t="s">
        <v>669</v>
      </c>
      <c r="K121" s="4">
        <v>-46934.04</v>
      </c>
      <c r="L121" s="4">
        <v>0</v>
      </c>
      <c r="M121" s="4">
        <v>0</v>
      </c>
      <c r="N121" s="4">
        <v>-46934.04</v>
      </c>
      <c r="O121" s="4">
        <f>Tab_11.Nov[[#This Row],[DÉBITO]]-Tab_11.Nov[[#This Row],[CRÉDITO]]</f>
        <v>0</v>
      </c>
      <c r="Q121" s="141">
        <f>720.15+726.89+734.54+741.53+748.2+754.86</f>
        <v>4426.17</v>
      </c>
    </row>
    <row r="122" spans="2:17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5</v>
      </c>
      <c r="D122" s="2" t="str">
        <f>_xlfn.XLOOKUP($I122,Tab_00.Trial[CONTA],Tab_00.Trial[S/A],"",0,1)</f>
        <v>A</v>
      </c>
      <c r="E122" s="2">
        <f>IF($I122="","",COUNTIFS(Tab_00.Trial[CONTA],$I122))</f>
        <v>1</v>
      </c>
      <c r="F122" s="4">
        <f>SUMIFS(Tab_10.Out[SALDO
ATUAL],Tab_10.Out[CONTA],$I122)</f>
        <v>-31934.04</v>
      </c>
      <c r="G122" s="4">
        <f t="shared" si="3"/>
        <v>0</v>
      </c>
      <c r="H122" s="1">
        <v>21170</v>
      </c>
      <c r="I122" s="3" t="s">
        <v>360</v>
      </c>
      <c r="J122" s="3" t="s">
        <v>361</v>
      </c>
      <c r="K122" s="4">
        <v>-31934.04</v>
      </c>
      <c r="L122" s="4">
        <v>0</v>
      </c>
      <c r="M122" s="4">
        <v>0</v>
      </c>
      <c r="N122" s="4">
        <v>-31934.04</v>
      </c>
      <c r="O122" s="4">
        <f>Tab_11.Nov[[#This Row],[DÉBITO]]-Tab_11.Nov[[#This Row],[CRÉDITO]]</f>
        <v>0</v>
      </c>
    </row>
    <row r="123" spans="2:17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A</v>
      </c>
      <c r="E123" s="2">
        <f>IF($I123="","",COUNTIFS(Tab_00.Trial[CONTA],$I123))</f>
        <v>1</v>
      </c>
      <c r="F123" s="4">
        <f>SUMIFS(Tab_10.Out[SALDO
ATUAL],Tab_10.Out[CONTA],$I123)</f>
        <v>-15000</v>
      </c>
      <c r="G123" s="4">
        <f t="shared" si="3"/>
        <v>0</v>
      </c>
      <c r="H123" s="1">
        <v>21185</v>
      </c>
      <c r="I123" s="3" t="s">
        <v>362</v>
      </c>
      <c r="J123" s="3" t="s">
        <v>363</v>
      </c>
      <c r="K123" s="4">
        <v>-15000</v>
      </c>
      <c r="L123" s="4">
        <v>0</v>
      </c>
      <c r="M123" s="4">
        <v>0</v>
      </c>
      <c r="N123" s="4">
        <v>-15000</v>
      </c>
      <c r="O123" s="4">
        <f>Tab_11.Nov[[#This Row],[DÉBITO]]-Tab_11.Nov[[#This Row],[CRÉDITO]]</f>
        <v>0</v>
      </c>
    </row>
    <row r="124" spans="2:17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2</v>
      </c>
      <c r="D124" s="2" t="str">
        <f>_xlfn.XLOOKUP($I124,Tab_00.Trial[CONTA],Tab_00.Trial[S/A],"",0,1)</f>
        <v>S</v>
      </c>
      <c r="E124" s="2">
        <f>IF($I124="","",COUNTIFS(Tab_00.Trial[CONTA],$I124))</f>
        <v>1</v>
      </c>
      <c r="F124" s="4">
        <f>SUMIFS(Tab_10.Out[SALDO
ATUAL],Tab_10.Out[CONTA],$I124)</f>
        <v>-82087967.730000004</v>
      </c>
      <c r="G124" s="4">
        <f t="shared" si="3"/>
        <v>0</v>
      </c>
      <c r="H124" s="1">
        <v>21200</v>
      </c>
      <c r="I124" s="3" t="s">
        <v>228</v>
      </c>
      <c r="J124" s="3" t="s">
        <v>670</v>
      </c>
      <c r="K124" s="4">
        <v>-82087967.730000004</v>
      </c>
      <c r="L124" s="4">
        <v>0</v>
      </c>
      <c r="M124" s="4">
        <v>0</v>
      </c>
      <c r="N124" s="4">
        <v>-82087967.730000004</v>
      </c>
      <c r="O124" s="4">
        <f>Tab_11.Nov[[#This Row],[DÉBITO]]-Tab_11.Nov[[#This Row],[CRÉDITO]]</f>
        <v>0</v>
      </c>
    </row>
    <row r="125" spans="2:17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5</v>
      </c>
      <c r="D125" s="2" t="str">
        <f>_xlfn.XLOOKUP($I125,Tab_00.Trial[CONTA],Tab_00.Trial[S/A],"",0,1)</f>
        <v>S</v>
      </c>
      <c r="E125" s="2">
        <f>IF($I125="","",COUNTIFS(Tab_00.Trial[CONTA],$I125))</f>
        <v>1</v>
      </c>
      <c r="F125" s="4">
        <f>SUMIFS(Tab_10.Out[SALDO
ATUAL],Tab_10.Out[CONTA],$I125)</f>
        <v>-82087967.730000004</v>
      </c>
      <c r="G125" s="4">
        <f t="shared" si="3"/>
        <v>0</v>
      </c>
      <c r="H125" s="1">
        <v>21215</v>
      </c>
      <c r="I125" s="3" t="s">
        <v>229</v>
      </c>
      <c r="J125" s="3" t="s">
        <v>670</v>
      </c>
      <c r="K125" s="4">
        <v>-82087967.730000004</v>
      </c>
      <c r="L125" s="4">
        <v>0</v>
      </c>
      <c r="M125" s="4">
        <v>0</v>
      </c>
      <c r="N125" s="4">
        <v>-82087967.730000004</v>
      </c>
      <c r="O125" s="4">
        <f>Tab_11.Nov[[#This Row],[DÉBITO]]-Tab_11.Nov[[#This Row],[CRÉDITO]]</f>
        <v>0</v>
      </c>
    </row>
    <row r="126" spans="2:17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S</v>
      </c>
      <c r="E126" s="2">
        <f>IF($I126="","",COUNTIFS(Tab_00.Trial[CONTA],$I126))</f>
        <v>1</v>
      </c>
      <c r="F126" s="4">
        <f>SUMIFS(Tab_10.Out[SALDO
ATUAL],Tab_10.Out[CONTA],$I126)</f>
        <v>-104784619.59999999</v>
      </c>
      <c r="G126" s="4">
        <f t="shared" si="3"/>
        <v>0</v>
      </c>
      <c r="H126" s="1">
        <v>21230</v>
      </c>
      <c r="I126" s="3" t="s">
        <v>230</v>
      </c>
      <c r="J126" s="3" t="s">
        <v>364</v>
      </c>
      <c r="K126" s="4">
        <v>-104784619.59999999</v>
      </c>
      <c r="L126" s="4">
        <v>0</v>
      </c>
      <c r="M126" s="4">
        <v>0</v>
      </c>
      <c r="N126" s="4">
        <v>-104784619.59999999</v>
      </c>
      <c r="O126" s="4">
        <f>Tab_11.Nov[[#This Row],[DÉBITO]]-Tab_11.Nov[[#This Row],[CRÉDITO]]</f>
        <v>0</v>
      </c>
    </row>
    <row r="127" spans="2:17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A</v>
      </c>
      <c r="E127" s="2">
        <f>IF($I127="","",COUNTIFS(Tab_00.Trial[CONTA],$I127))</f>
        <v>1</v>
      </c>
      <c r="F127" s="4">
        <f>SUMIFS(Tab_10.Out[SALDO
ATUAL],Tab_10.Out[CONTA],$I127)</f>
        <v>-104784619.59999999</v>
      </c>
      <c r="G127" s="4">
        <f t="shared" si="3"/>
        <v>0</v>
      </c>
      <c r="H127" s="1">
        <v>21245</v>
      </c>
      <c r="I127" s="3" t="s">
        <v>193</v>
      </c>
      <c r="J127" s="3" t="s">
        <v>364</v>
      </c>
      <c r="K127" s="4">
        <v>-104784619.59999999</v>
      </c>
      <c r="L127" s="4">
        <v>0</v>
      </c>
      <c r="M127" s="4">
        <v>0</v>
      </c>
      <c r="N127" s="4">
        <v>-104784619.59999999</v>
      </c>
      <c r="O127" s="4">
        <f>Tab_11.Nov[[#This Row],[DÉBITO]]-Tab_11.Nov[[#This Row],[CRÉDITO]]</f>
        <v>0</v>
      </c>
    </row>
    <row r="128" spans="2:17" x14ac:dyDescent="0.3">
      <c r="B128" s="2" t="str">
        <f>_xlfn.XLOOKUP($I128,Tab_00.Trial[CONTA],Tab_00.Trial[TP],"",0,1)</f>
        <v>P</v>
      </c>
      <c r="C128" s="2">
        <f>_xlfn.XLOOKUP($I128,Tab_00.Trial[CONTA],Tab_00.Trial[NV],"",0,1)</f>
        <v>5</v>
      </c>
      <c r="D128" s="2" t="str">
        <f>_xlfn.XLOOKUP($I128,Tab_00.Trial[CONTA],Tab_00.Trial[S/A],"",0,1)</f>
        <v>S</v>
      </c>
      <c r="E128" s="2">
        <f>IF($I128="","",COUNTIFS(Tab_00.Trial[CONTA],$I128))</f>
        <v>1</v>
      </c>
      <c r="F128" s="4">
        <f>SUMIFS(Tab_10.Out[SALDO
ATUAL],Tab_10.Out[CONTA],$I128)</f>
        <v>32587250.850000001</v>
      </c>
      <c r="G128" s="4">
        <f t="shared" si="3"/>
        <v>0</v>
      </c>
      <c r="H128" s="1">
        <v>21305</v>
      </c>
      <c r="I128" s="3" t="s">
        <v>568</v>
      </c>
      <c r="J128" s="3" t="s">
        <v>671</v>
      </c>
      <c r="K128" s="4">
        <v>32587250.850000001</v>
      </c>
      <c r="L128" s="4">
        <v>0</v>
      </c>
      <c r="M128" s="4">
        <v>0</v>
      </c>
      <c r="N128" s="4">
        <v>32587250.850000001</v>
      </c>
      <c r="O128" s="4">
        <f>Tab_11.Nov[[#This Row],[DÉBITO]]-Tab_11.Nov[[#This Row],[CRÉDITO]]</f>
        <v>0</v>
      </c>
    </row>
    <row r="129" spans="2:15" x14ac:dyDescent="0.3">
      <c r="B129" s="2" t="str">
        <f>_xlfn.XLOOKUP($I129,Tab_00.Trial[CONTA],Tab_00.Trial[TP],"",0,1)</f>
        <v>P</v>
      </c>
      <c r="C129" s="2">
        <f>_xlfn.XLOOKUP($I129,Tab_00.Trial[CONTA],Tab_00.Trial[NV],"",0,1)</f>
        <v>5</v>
      </c>
      <c r="D129" s="2" t="str">
        <f>_xlfn.XLOOKUP($I129,Tab_00.Trial[CONTA],Tab_00.Trial[S/A],"",0,1)</f>
        <v>A</v>
      </c>
      <c r="E129" s="2">
        <f>IF($I129="","",COUNTIFS(Tab_00.Trial[CONTA],$I129))</f>
        <v>1</v>
      </c>
      <c r="F129" s="4">
        <f>SUMIFS(Tab_10.Out[SALDO
ATUAL],Tab_10.Out[CONTA],$I129)</f>
        <v>-827719.82</v>
      </c>
      <c r="G129" s="4">
        <f t="shared" si="3"/>
        <v>0</v>
      </c>
      <c r="H129" s="1">
        <v>21320</v>
      </c>
      <c r="I129" s="3" t="s">
        <v>743</v>
      </c>
      <c r="J129" s="3" t="s">
        <v>744</v>
      </c>
      <c r="K129" s="4">
        <v>-827719.82</v>
      </c>
      <c r="L129" s="4">
        <v>0</v>
      </c>
      <c r="M129" s="4">
        <v>0</v>
      </c>
      <c r="N129" s="4">
        <v>-827719.82</v>
      </c>
      <c r="O129" s="4">
        <f>Tab_11.Nov[[#This Row],[DÉBITO]]-Tab_11.Nov[[#This Row],[CRÉDITO]]</f>
        <v>0</v>
      </c>
    </row>
    <row r="130" spans="2:15" x14ac:dyDescent="0.3">
      <c r="B130" s="2" t="str">
        <f>_xlfn.XLOOKUP($I130,Tab_00.Trial[CONTA],Tab_00.Trial[TP],"",0,1)</f>
        <v>P</v>
      </c>
      <c r="C130" s="2">
        <f>_xlfn.XLOOKUP($I130,Tab_00.Trial[CONTA],Tab_00.Trial[NV],"",0,1)</f>
        <v>5</v>
      </c>
      <c r="D130" s="2" t="str">
        <f>_xlfn.XLOOKUP($I130,Tab_00.Trial[CONTA],Tab_00.Trial[S/A],"",0,1)</f>
        <v>A</v>
      </c>
      <c r="E130" s="2">
        <f>IF($I130="","",COUNTIFS(Tab_00.Trial[CONTA],$I130))</f>
        <v>1</v>
      </c>
      <c r="F130" s="4">
        <f>SUMIFS(Tab_10.Out[SALDO
ATUAL],Tab_10.Out[CONTA],$I130)</f>
        <v>33414970.670000002</v>
      </c>
      <c r="G130" s="4">
        <f t="shared" si="3"/>
        <v>0</v>
      </c>
      <c r="H130" s="1">
        <v>21335</v>
      </c>
      <c r="I130" s="3" t="s">
        <v>365</v>
      </c>
      <c r="J130" s="3" t="s">
        <v>366</v>
      </c>
      <c r="K130" s="4">
        <v>33414970.670000002</v>
      </c>
      <c r="L130" s="4">
        <v>0</v>
      </c>
      <c r="M130" s="4">
        <v>0</v>
      </c>
      <c r="N130" s="4">
        <v>33414970.670000002</v>
      </c>
      <c r="O130" s="4">
        <f>Tab_11.Nov[[#This Row],[DÉBITO]]-Tab_11.Nov[[#This Row],[CRÉDITO]]</f>
        <v>0</v>
      </c>
    </row>
    <row r="131" spans="2:15" x14ac:dyDescent="0.3">
      <c r="B131" s="2" t="str">
        <f>_xlfn.XLOOKUP($I131,Tab_00.Trial[CONTA],Tab_00.Trial[TP],"",0,1)</f>
        <v>P</v>
      </c>
      <c r="C131" s="2">
        <f>_xlfn.XLOOKUP($I131,Tab_00.Trial[CONTA],Tab_00.Trial[NV],"",0,1)</f>
        <v>5</v>
      </c>
      <c r="D131" s="2" t="str">
        <f>_xlfn.XLOOKUP($I131,Tab_00.Trial[CONTA],Tab_00.Trial[S/A],"",0,1)</f>
        <v>S</v>
      </c>
      <c r="E131" s="2">
        <f>IF($I131="","",COUNTIFS(Tab_00.Trial[CONTA],$I131))</f>
        <v>1</v>
      </c>
      <c r="F131" s="4">
        <f>SUMIFS(Tab_10.Out[SALDO
ATUAL],Tab_10.Out[CONTA],$I131)</f>
        <v>-9890598.9800000004</v>
      </c>
      <c r="G131" s="4">
        <f t="shared" si="3"/>
        <v>0</v>
      </c>
      <c r="H131" s="1">
        <v>21350</v>
      </c>
      <c r="I131" s="3" t="s">
        <v>745</v>
      </c>
      <c r="J131" s="3" t="s">
        <v>746</v>
      </c>
      <c r="K131" s="4">
        <v>-9890598.9800000004</v>
      </c>
      <c r="L131" s="4">
        <v>0</v>
      </c>
      <c r="M131" s="4">
        <v>0</v>
      </c>
      <c r="N131" s="4">
        <v>-9890598.9800000004</v>
      </c>
      <c r="O131" s="4">
        <f>Tab_11.Nov[[#This Row],[DÉBITO]]-Tab_11.Nov[[#This Row],[CRÉDITO]]</f>
        <v>0</v>
      </c>
    </row>
    <row r="132" spans="2:15" x14ac:dyDescent="0.3">
      <c r="B132" s="2" t="str">
        <f>_xlfn.XLOOKUP($I132,Tab_00.Trial[CONTA],Tab_00.Trial[TP],"",0,1)</f>
        <v>P</v>
      </c>
      <c r="C132" s="2">
        <f>_xlfn.XLOOKUP($I132,Tab_00.Trial[CONTA],Tab_00.Trial[NV],"",0,1)</f>
        <v>5</v>
      </c>
      <c r="D132" s="2" t="str">
        <f>_xlfn.XLOOKUP($I132,Tab_00.Trial[CONTA],Tab_00.Trial[S/A],"",0,1)</f>
        <v>A</v>
      </c>
      <c r="E132" s="2">
        <f>IF($I132="","",COUNTIFS(Tab_00.Trial[CONTA],$I132))</f>
        <v>1</v>
      </c>
      <c r="F132" s="4">
        <f>SUMIFS(Tab_10.Out[SALDO
ATUAL],Tab_10.Out[CONTA],$I132)</f>
        <v>-9890598.9800000004</v>
      </c>
      <c r="G132" s="4">
        <f t="shared" si="3"/>
        <v>0</v>
      </c>
      <c r="H132" s="1">
        <v>21365</v>
      </c>
      <c r="I132" s="3" t="s">
        <v>747</v>
      </c>
      <c r="J132" s="3" t="s">
        <v>746</v>
      </c>
      <c r="K132" s="4">
        <v>-9890598.9800000004</v>
      </c>
      <c r="L132" s="4">
        <v>0</v>
      </c>
      <c r="M132" s="4">
        <v>0</v>
      </c>
      <c r="N132" s="4">
        <v>-9890598.9800000004</v>
      </c>
      <c r="O132" s="4">
        <f>Tab_11.Nov[[#This Row],[DÉBITO]]-Tab_11.Nov[[#This Row],[CRÉDITO]]</f>
        <v>0</v>
      </c>
    </row>
    <row r="133" spans="2:15" x14ac:dyDescent="0.3">
      <c r="B133" s="2" t="str">
        <f>_xlfn.XLOOKUP($I133,Tab_00.Trial[CONTA],Tab_00.Trial[TP],"",0,1)</f>
        <v>R</v>
      </c>
      <c r="C133" s="2">
        <f>_xlfn.XLOOKUP($I133,Tab_00.Trial[CONTA],Tab_00.Trial[NV],"",0,1)</f>
        <v>1</v>
      </c>
      <c r="D133" s="2" t="str">
        <f>_xlfn.XLOOKUP($I133,Tab_00.Trial[CONTA],Tab_00.Trial[S/A],"",0,1)</f>
        <v>S</v>
      </c>
      <c r="E133" s="2">
        <f>IF($I133="","",COUNTIFS(Tab_00.Trial[CONTA],$I133))</f>
        <v>1</v>
      </c>
      <c r="F133" s="4">
        <f>SUMIFS(Tab_10.Out[SALDO
ATUAL],Tab_10.Out[CONTA],$I133)</f>
        <v>-13040652.34</v>
      </c>
      <c r="G133" s="4">
        <f t="shared" si="3"/>
        <v>0</v>
      </c>
      <c r="H133" s="1">
        <v>30000</v>
      </c>
      <c r="I133" s="3">
        <v>3</v>
      </c>
      <c r="J133" s="3" t="s">
        <v>672</v>
      </c>
      <c r="K133" s="4">
        <v>-13040652.34</v>
      </c>
      <c r="L133" s="4">
        <v>1899</v>
      </c>
      <c r="M133" s="4">
        <v>1251137.18</v>
      </c>
      <c r="N133" s="4">
        <v>-14289890.52</v>
      </c>
      <c r="O133" s="4">
        <f>Tab_11.Nov[[#This Row],[DÉBITO]]-Tab_11.Nov[[#This Row],[CRÉDITO]]</f>
        <v>-1249238.18</v>
      </c>
    </row>
    <row r="134" spans="2:15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2</v>
      </c>
      <c r="D134" s="2" t="str">
        <f>_xlfn.XLOOKUP($I134,Tab_00.Trial[CONTA],Tab_00.Trial[S/A],"",0,1)</f>
        <v>S</v>
      </c>
      <c r="E134" s="2">
        <f>IF($I134="","",COUNTIFS(Tab_00.Trial[CONTA],$I134))</f>
        <v>1</v>
      </c>
      <c r="F134" s="4">
        <f>SUMIFS(Tab_10.Out[SALDO
ATUAL],Tab_10.Out[CONTA],$I134)</f>
        <v>-6178860.7999999998</v>
      </c>
      <c r="G134" s="4">
        <f t="shared" si="3"/>
        <v>0</v>
      </c>
      <c r="H134" s="1">
        <v>30030</v>
      </c>
      <c r="I134" s="3" t="s">
        <v>231</v>
      </c>
      <c r="J134" s="3" t="s">
        <v>673</v>
      </c>
      <c r="K134" s="4">
        <v>-6178860.7999999998</v>
      </c>
      <c r="L134" s="4">
        <v>0</v>
      </c>
      <c r="M134" s="4">
        <v>470931.09</v>
      </c>
      <c r="N134" s="4">
        <v>-6649791.8899999997</v>
      </c>
      <c r="O134" s="4">
        <f>Tab_11.Nov[[#This Row],[DÉBITO]]-Tab_11.Nov[[#This Row],[CRÉDITO]]</f>
        <v>-470931.09</v>
      </c>
    </row>
    <row r="135" spans="2:15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5</v>
      </c>
      <c r="D135" s="2" t="str">
        <f>_xlfn.XLOOKUP($I135,Tab_00.Trial[CONTA],Tab_00.Trial[S/A],"",0,1)</f>
        <v>S</v>
      </c>
      <c r="E135" s="2">
        <f>IF($I135="","",COUNTIFS(Tab_00.Trial[CONTA],$I135))</f>
        <v>1</v>
      </c>
      <c r="F135" s="4">
        <f>SUMIFS(Tab_10.Out[SALDO
ATUAL],Tab_10.Out[CONTA],$I135)</f>
        <v>-3888943.28</v>
      </c>
      <c r="G135" s="4">
        <f t="shared" si="3"/>
        <v>0</v>
      </c>
      <c r="H135" s="1">
        <v>30045</v>
      </c>
      <c r="I135" s="3" t="s">
        <v>232</v>
      </c>
      <c r="J135" s="3" t="s">
        <v>674</v>
      </c>
      <c r="K135" s="4">
        <v>-3888943.28</v>
      </c>
      <c r="L135" s="4">
        <v>0</v>
      </c>
      <c r="M135" s="4">
        <v>297490.43</v>
      </c>
      <c r="N135" s="4">
        <v>-4186433.71</v>
      </c>
      <c r="O135" s="4">
        <f>Tab_11.Nov[[#This Row],[DÉBITO]]-Tab_11.Nov[[#This Row],[CRÉDITO]]</f>
        <v>-297490.43</v>
      </c>
    </row>
    <row r="136" spans="2:15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S</v>
      </c>
      <c r="E136" s="2">
        <f>IF($I136="","",COUNTIFS(Tab_00.Trial[CONTA],$I136))</f>
        <v>1</v>
      </c>
      <c r="F136" s="4">
        <f>SUMIFS(Tab_10.Out[SALDO
ATUAL],Tab_10.Out[CONTA],$I136)</f>
        <v>-1333697.1200000001</v>
      </c>
      <c r="G136" s="4">
        <f t="shared" si="3"/>
        <v>0</v>
      </c>
      <c r="H136" s="1">
        <v>30470</v>
      </c>
      <c r="I136" s="3" t="s">
        <v>233</v>
      </c>
      <c r="J136" s="3" t="s">
        <v>675</v>
      </c>
      <c r="K136" s="4">
        <v>-1333697.1200000001</v>
      </c>
      <c r="L136" s="4">
        <v>0</v>
      </c>
      <c r="M136" s="4">
        <v>109417.12</v>
      </c>
      <c r="N136" s="4">
        <v>-1443114.24</v>
      </c>
      <c r="O136" s="4">
        <f>Tab_11.Nov[[#This Row],[DÉBITO]]-Tab_11.Nov[[#This Row],[CRÉDITO]]</f>
        <v>-109417.12</v>
      </c>
    </row>
    <row r="137" spans="2:15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A</v>
      </c>
      <c r="E137" s="2">
        <f>IF($I137="","",COUNTIFS(Tab_00.Trial[CONTA],$I137))</f>
        <v>1</v>
      </c>
      <c r="F137" s="4">
        <f>SUMIFS(Tab_10.Out[SALDO
ATUAL],Tab_10.Out[CONTA],$I137)</f>
        <v>-1333697.1200000001</v>
      </c>
      <c r="G137" s="4">
        <f t="shared" si="3"/>
        <v>0</v>
      </c>
      <c r="H137" s="1">
        <v>30471</v>
      </c>
      <c r="I137" s="3" t="s">
        <v>194</v>
      </c>
      <c r="J137" s="3" t="s">
        <v>367</v>
      </c>
      <c r="K137" s="4">
        <v>-1333697.1200000001</v>
      </c>
      <c r="L137" s="4">
        <v>0</v>
      </c>
      <c r="M137" s="4">
        <v>109417.12</v>
      </c>
      <c r="N137" s="4">
        <v>-1443114.24</v>
      </c>
      <c r="O137" s="4">
        <f>Tab_11.Nov[[#This Row],[DÉBITO]]-Tab_11.Nov[[#This Row],[CRÉDITO]]</f>
        <v>-109417.12</v>
      </c>
    </row>
    <row r="138" spans="2:15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S</v>
      </c>
      <c r="E138" s="2">
        <f>IF($I138="","",COUNTIFS(Tab_00.Trial[CONTA],$I138))</f>
        <v>1</v>
      </c>
      <c r="F138" s="4">
        <f>SUMIFS(Tab_10.Out[SALDO
ATUAL],Tab_10.Out[CONTA],$I138)</f>
        <v>-2555246.16</v>
      </c>
      <c r="G138" s="4">
        <f t="shared" si="3"/>
        <v>0</v>
      </c>
      <c r="H138" s="1">
        <v>30475</v>
      </c>
      <c r="I138" s="3" t="s">
        <v>735</v>
      </c>
      <c r="J138" s="3" t="s">
        <v>736</v>
      </c>
      <c r="K138" s="4">
        <v>-2555246.16</v>
      </c>
      <c r="L138" s="4">
        <v>0</v>
      </c>
      <c r="M138" s="4">
        <v>188073.31</v>
      </c>
      <c r="N138" s="4">
        <v>-2743319.47</v>
      </c>
      <c r="O138" s="4">
        <f>Tab_11.Nov[[#This Row],[DÉBITO]]-Tab_11.Nov[[#This Row],[CRÉDITO]]</f>
        <v>-188073.31</v>
      </c>
    </row>
    <row r="139" spans="2:15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A</v>
      </c>
      <c r="E139" s="2">
        <f>IF($I139="","",COUNTIFS(Tab_00.Trial[CONTA],$I139))</f>
        <v>1</v>
      </c>
      <c r="F139" s="4">
        <f>SUMIFS(Tab_10.Out[SALDO
ATUAL],Tab_10.Out[CONTA],$I139)</f>
        <v>-2555246.16</v>
      </c>
      <c r="G139" s="4">
        <f t="shared" si="3"/>
        <v>0</v>
      </c>
      <c r="H139" s="1">
        <v>30476</v>
      </c>
      <c r="I139" s="3" t="s">
        <v>737</v>
      </c>
      <c r="J139" s="3" t="s">
        <v>814</v>
      </c>
      <c r="K139" s="4">
        <v>-2555246.16</v>
      </c>
      <c r="L139" s="4">
        <v>0</v>
      </c>
      <c r="M139" s="4">
        <v>188073.31</v>
      </c>
      <c r="N139" s="4">
        <v>-2743319.47</v>
      </c>
      <c r="O139" s="4">
        <f>Tab_11.Nov[[#This Row],[DÉBITO]]-Tab_11.Nov[[#This Row],[CRÉDITO]]</f>
        <v>-188073.31</v>
      </c>
    </row>
    <row r="140" spans="2:15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S</v>
      </c>
      <c r="E140" s="2">
        <f>IF($I140="","",COUNTIFS(Tab_00.Trial[CONTA],$I140))</f>
        <v>1</v>
      </c>
      <c r="F140" s="4">
        <f>SUMIFS(Tab_10.Out[SALDO
ATUAL],Tab_10.Out[CONTA],$I140)</f>
        <v>-2289917.52</v>
      </c>
      <c r="G140" s="4">
        <f t="shared" si="3"/>
        <v>0</v>
      </c>
      <c r="H140" s="1">
        <v>30645</v>
      </c>
      <c r="I140" s="3" t="s">
        <v>569</v>
      </c>
      <c r="J140" s="3" t="s">
        <v>676</v>
      </c>
      <c r="K140" s="4">
        <v>-2289917.52</v>
      </c>
      <c r="L140" s="4">
        <v>0</v>
      </c>
      <c r="M140" s="4">
        <v>173440.66</v>
      </c>
      <c r="N140" s="4">
        <v>-2463358.1800000002</v>
      </c>
      <c r="O140" s="4">
        <f>Tab_11.Nov[[#This Row],[DÉBITO]]-Tab_11.Nov[[#This Row],[CRÉDITO]]</f>
        <v>-173440.66</v>
      </c>
    </row>
    <row r="141" spans="2:15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5</v>
      </c>
      <c r="D141" s="2" t="str">
        <f>_xlfn.XLOOKUP($I141,Tab_00.Trial[CONTA],Tab_00.Trial[S/A],"",0,1)</f>
        <v>S</v>
      </c>
      <c r="E141" s="2">
        <f>IF($I141="","",COUNTIFS(Tab_00.Trial[CONTA],$I141))</f>
        <v>1</v>
      </c>
      <c r="F141" s="4">
        <f>SUMIFS(Tab_10.Out[SALDO
ATUAL],Tab_10.Out[CONTA],$I141)</f>
        <v>-1460256.71</v>
      </c>
      <c r="G141" s="4">
        <f t="shared" si="3"/>
        <v>0</v>
      </c>
      <c r="H141" s="1">
        <v>30660</v>
      </c>
      <c r="I141" s="3" t="s">
        <v>570</v>
      </c>
      <c r="J141" s="3" t="s">
        <v>677</v>
      </c>
      <c r="K141" s="4">
        <v>-1460256.71</v>
      </c>
      <c r="L141" s="4">
        <v>0</v>
      </c>
      <c r="M141" s="4">
        <v>90474.58</v>
      </c>
      <c r="N141" s="4">
        <v>-1550731.29</v>
      </c>
      <c r="O141" s="4">
        <f>Tab_11.Nov[[#This Row],[DÉBITO]]-Tab_11.Nov[[#This Row],[CRÉDITO]]</f>
        <v>-90474.58</v>
      </c>
    </row>
    <row r="142" spans="2:15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A</v>
      </c>
      <c r="E142" s="2">
        <f>IF($I142="","",COUNTIFS(Tab_00.Trial[CONTA],$I142))</f>
        <v>1</v>
      </c>
      <c r="F142" s="4">
        <f>SUMIFS(Tab_10.Out[SALDO
ATUAL],Tab_10.Out[CONTA],$I142)</f>
        <v>-500498.45</v>
      </c>
      <c r="G142" s="4">
        <f t="shared" si="3"/>
        <v>0</v>
      </c>
      <c r="H142" s="1">
        <v>30675</v>
      </c>
      <c r="I142" s="3" t="s">
        <v>368</v>
      </c>
      <c r="J142" s="3" t="s">
        <v>369</v>
      </c>
      <c r="K142" s="4">
        <v>-500498.45</v>
      </c>
      <c r="L142" s="4">
        <v>0</v>
      </c>
      <c r="M142" s="4">
        <v>3900</v>
      </c>
      <c r="N142" s="4">
        <v>-504398.45</v>
      </c>
      <c r="O142" s="4">
        <f>Tab_11.Nov[[#This Row],[DÉBITO]]-Tab_11.Nov[[#This Row],[CRÉDITO]]</f>
        <v>-3900</v>
      </c>
    </row>
    <row r="143" spans="2:15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A</v>
      </c>
      <c r="E143" s="2">
        <f>IF($I143="","",COUNTIFS(Tab_00.Trial[CONTA],$I143))</f>
        <v>1</v>
      </c>
      <c r="F143" s="4">
        <f>SUMIFS(Tab_10.Out[SALDO
ATUAL],Tab_10.Out[CONTA],$I143)</f>
        <v>-725893.83</v>
      </c>
      <c r="G143" s="4">
        <f t="shared" ref="G143:G206" si="4">$F143-$K143</f>
        <v>0</v>
      </c>
      <c r="H143" s="1">
        <v>30690</v>
      </c>
      <c r="I143" s="3" t="s">
        <v>370</v>
      </c>
      <c r="J143" s="3" t="s">
        <v>371</v>
      </c>
      <c r="K143" s="4">
        <v>-725893.83</v>
      </c>
      <c r="L143" s="4">
        <v>0</v>
      </c>
      <c r="M143" s="4">
        <v>72404.36</v>
      </c>
      <c r="N143" s="4">
        <v>-798298.19</v>
      </c>
      <c r="O143" s="4">
        <f>Tab_11.Nov[[#This Row],[DÉBITO]]-Tab_11.Nov[[#This Row],[CRÉDITO]]</f>
        <v>-72404.36</v>
      </c>
    </row>
    <row r="144" spans="2:15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5</v>
      </c>
      <c r="D144" s="2" t="str">
        <f>_xlfn.XLOOKUP($I144,Tab_00.Trial[CONTA],Tab_00.Trial[S/A],"",0,1)</f>
        <v>A</v>
      </c>
      <c r="E144" s="2">
        <f>IF($I144="","",COUNTIFS(Tab_00.Trial[CONTA],$I144))</f>
        <v>1</v>
      </c>
      <c r="F144" s="4">
        <f>SUMIFS(Tab_10.Out[SALDO
ATUAL],Tab_10.Out[CONTA],$I144)</f>
        <v>-6547.36</v>
      </c>
      <c r="G144" s="4">
        <f t="shared" si="4"/>
        <v>0</v>
      </c>
      <c r="H144" s="1">
        <v>30705</v>
      </c>
      <c r="I144" s="3" t="s">
        <v>372</v>
      </c>
      <c r="J144" s="3" t="s">
        <v>373</v>
      </c>
      <c r="K144" s="4">
        <v>-6547.36</v>
      </c>
      <c r="L144" s="4">
        <v>0</v>
      </c>
      <c r="M144" s="4">
        <v>0</v>
      </c>
      <c r="N144" s="4">
        <v>-6547.36</v>
      </c>
      <c r="O144" s="4">
        <f>Tab_11.Nov[[#This Row],[DÉBITO]]-Tab_11.Nov[[#This Row],[CRÉDITO]]</f>
        <v>0</v>
      </c>
    </row>
    <row r="145" spans="2:15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5</v>
      </c>
      <c r="D145" s="2" t="str">
        <f>_xlfn.XLOOKUP($I145,Tab_00.Trial[CONTA],Tab_00.Trial[S/A],"",0,1)</f>
        <v>A</v>
      </c>
      <c r="E145" s="2">
        <f>IF($I145="","",COUNTIFS(Tab_00.Trial[CONTA],$I145))</f>
        <v>1</v>
      </c>
      <c r="F145" s="4">
        <f>SUMIFS(Tab_10.Out[SALDO
ATUAL],Tab_10.Out[CONTA],$I145)</f>
        <v>-89617.06</v>
      </c>
      <c r="G145" s="4">
        <f t="shared" si="4"/>
        <v>0</v>
      </c>
      <c r="H145" s="1">
        <v>30710</v>
      </c>
      <c r="I145" s="3" t="s">
        <v>845</v>
      </c>
      <c r="J145" s="3" t="s">
        <v>846</v>
      </c>
      <c r="K145" s="4">
        <v>-89617.06</v>
      </c>
      <c r="L145" s="4">
        <v>0</v>
      </c>
      <c r="M145" s="4">
        <v>0</v>
      </c>
      <c r="N145" s="4">
        <v>-89617.06</v>
      </c>
      <c r="O145" s="4">
        <f>Tab_11.Nov[[#This Row],[DÉBITO]]-Tab_11.Nov[[#This Row],[CRÉDITO]]</f>
        <v>0</v>
      </c>
    </row>
    <row r="146" spans="2:15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5</v>
      </c>
      <c r="D146" s="2" t="str">
        <f>_xlfn.XLOOKUP($I146,Tab_00.Trial[CONTA],Tab_00.Trial[S/A],"",0,1)</f>
        <v>A</v>
      </c>
      <c r="E146" s="2">
        <f>IF($I146="","",COUNTIFS(Tab_00.Trial[CONTA],$I146))</f>
        <v>1</v>
      </c>
      <c r="F146" s="4">
        <f>SUMIFS(Tab_10.Out[SALDO
ATUAL],Tab_10.Out[CONTA],$I146)</f>
        <v>-137700.01</v>
      </c>
      <c r="G146" s="4">
        <f t="shared" si="4"/>
        <v>0</v>
      </c>
      <c r="H146" s="1">
        <v>10895</v>
      </c>
      <c r="I146" s="3" t="s">
        <v>927</v>
      </c>
      <c r="J146" s="3" t="s">
        <v>928</v>
      </c>
      <c r="K146" s="4">
        <v>-137700.01</v>
      </c>
      <c r="L146" s="4">
        <v>0</v>
      </c>
      <c r="M146" s="4">
        <v>14170.22</v>
      </c>
      <c r="N146" s="4">
        <v>-151870.23000000001</v>
      </c>
      <c r="O146" s="4">
        <f>Tab_11.Nov[[#This Row],[DÉBITO]]-Tab_11.Nov[[#This Row],[CRÉDITO]]</f>
        <v>-14170.22</v>
      </c>
    </row>
    <row r="147" spans="2:15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5</v>
      </c>
      <c r="D147" s="2" t="str">
        <f>_xlfn.XLOOKUP($I147,Tab_00.Trial[CONTA],Tab_00.Trial[S/A],"",0,1)</f>
        <v>S</v>
      </c>
      <c r="E147" s="2">
        <f>IF($I147="","",COUNTIFS(Tab_00.Trial[CONTA],$I147))</f>
        <v>1</v>
      </c>
      <c r="F147" s="4">
        <f>SUMIFS(Tab_10.Out[SALDO
ATUAL],Tab_10.Out[CONTA],$I147)</f>
        <v>-829660.81</v>
      </c>
      <c r="G147" s="4">
        <f t="shared" si="4"/>
        <v>0</v>
      </c>
      <c r="H147" s="1">
        <v>30720</v>
      </c>
      <c r="I147" s="3" t="s">
        <v>571</v>
      </c>
      <c r="J147" s="3" t="s">
        <v>377</v>
      </c>
      <c r="K147" s="4">
        <v>-829660.81</v>
      </c>
      <c r="L147" s="4">
        <v>0</v>
      </c>
      <c r="M147" s="4">
        <v>82966.080000000002</v>
      </c>
      <c r="N147" s="4">
        <v>-912626.89</v>
      </c>
      <c r="O147" s="4">
        <f>Tab_11.Nov[[#This Row],[DÉBITO]]-Tab_11.Nov[[#This Row],[CRÉDITO]]</f>
        <v>-82966.080000000002</v>
      </c>
    </row>
    <row r="148" spans="2:15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A</v>
      </c>
      <c r="E148" s="2">
        <f>IF($I148="","",COUNTIFS(Tab_00.Trial[CONTA],$I148))</f>
        <v>1</v>
      </c>
      <c r="F148" s="4">
        <f>SUMIFS(Tab_10.Out[SALDO
ATUAL],Tab_10.Out[CONTA],$I148)</f>
        <v>-829660.81</v>
      </c>
      <c r="G148" s="4">
        <f t="shared" si="4"/>
        <v>0</v>
      </c>
      <c r="H148" s="1">
        <v>30735</v>
      </c>
      <c r="I148" s="3" t="s">
        <v>376</v>
      </c>
      <c r="J148" s="3" t="s">
        <v>377</v>
      </c>
      <c r="K148" s="4">
        <v>-829660.81</v>
      </c>
      <c r="L148" s="4">
        <v>0</v>
      </c>
      <c r="M148" s="4">
        <v>82966.080000000002</v>
      </c>
      <c r="N148" s="4">
        <v>-912626.89</v>
      </c>
      <c r="O148" s="4">
        <f>Tab_11.Nov[[#This Row],[DÉBITO]]-Tab_11.Nov[[#This Row],[CRÉDITO]]</f>
        <v>-82966.080000000002</v>
      </c>
    </row>
    <row r="149" spans="2:15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2</v>
      </c>
      <c r="D149" s="2" t="str">
        <f>_xlfn.XLOOKUP($I149,Tab_00.Trial[CONTA],Tab_00.Trial[S/A],"",0,1)</f>
        <v>S</v>
      </c>
      <c r="E149" s="2">
        <f>IF($I149="","",COUNTIFS(Tab_00.Trial[CONTA],$I149))</f>
        <v>1</v>
      </c>
      <c r="F149" s="4">
        <f>SUMIFS(Tab_10.Out[SALDO
ATUAL],Tab_10.Out[CONTA],$I149)</f>
        <v>-4439413.5599999996</v>
      </c>
      <c r="G149" s="4">
        <f t="shared" si="4"/>
        <v>0</v>
      </c>
      <c r="H149" s="1">
        <v>31065</v>
      </c>
      <c r="I149" s="3" t="s">
        <v>574</v>
      </c>
      <c r="J149" s="3" t="s">
        <v>680</v>
      </c>
      <c r="K149" s="4">
        <v>-4439413.5599999996</v>
      </c>
      <c r="L149" s="4">
        <v>1899</v>
      </c>
      <c r="M149" s="4">
        <v>446842.28</v>
      </c>
      <c r="N149" s="4">
        <v>-4884356.84</v>
      </c>
      <c r="O149" s="4">
        <f>Tab_11.Nov[[#This Row],[DÉBITO]]-Tab_11.Nov[[#This Row],[CRÉDITO]]</f>
        <v>-444943.28</v>
      </c>
    </row>
    <row r="150" spans="2:15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5</v>
      </c>
      <c r="D150" s="2" t="str">
        <f>_xlfn.XLOOKUP($I150,Tab_00.Trial[CONTA],Tab_00.Trial[S/A],"",0,1)</f>
        <v>S</v>
      </c>
      <c r="E150" s="2">
        <f>IF($I150="","",COUNTIFS(Tab_00.Trial[CONTA],$I150))</f>
        <v>1</v>
      </c>
      <c r="F150" s="4">
        <f>SUMIFS(Tab_10.Out[SALDO
ATUAL],Tab_10.Out[CONTA],$I150)</f>
        <v>-7313.46</v>
      </c>
      <c r="G150" s="4">
        <f t="shared" si="4"/>
        <v>0</v>
      </c>
      <c r="H150" s="1">
        <v>31080</v>
      </c>
      <c r="I150" s="3" t="s">
        <v>575</v>
      </c>
      <c r="J150" s="3" t="s">
        <v>681</v>
      </c>
      <c r="K150" s="4">
        <v>-7313.46</v>
      </c>
      <c r="L150" s="4">
        <v>0</v>
      </c>
      <c r="M150" s="4">
        <v>6420.7</v>
      </c>
      <c r="N150" s="4">
        <v>-13734.16</v>
      </c>
      <c r="O150" s="4">
        <f>Tab_11.Nov[[#This Row],[DÉBITO]]-Tab_11.Nov[[#This Row],[CRÉDITO]]</f>
        <v>-6420.7</v>
      </c>
    </row>
    <row r="151" spans="2:15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5</v>
      </c>
      <c r="D151" s="2" t="str">
        <f>_xlfn.XLOOKUP($I151,Tab_00.Trial[CONTA],Tab_00.Trial[S/A],"",0,1)</f>
        <v>S</v>
      </c>
      <c r="E151" s="2">
        <f>IF($I151="","",COUNTIFS(Tab_00.Trial[CONTA],$I151))</f>
        <v>1</v>
      </c>
      <c r="F151" s="4">
        <f>SUMIFS(Tab_10.Out[SALDO
ATUAL],Tab_10.Out[CONTA],$I151)</f>
        <v>-7313.46</v>
      </c>
      <c r="G151" s="4">
        <f t="shared" si="4"/>
        <v>0</v>
      </c>
      <c r="H151" s="1">
        <v>31095</v>
      </c>
      <c r="I151" s="3" t="s">
        <v>576</v>
      </c>
      <c r="J151" s="3" t="s">
        <v>815</v>
      </c>
      <c r="K151" s="4">
        <v>-7313.46</v>
      </c>
      <c r="L151" s="4">
        <v>0</v>
      </c>
      <c r="M151" s="4">
        <v>6420.7</v>
      </c>
      <c r="N151" s="4">
        <v>-13734.16</v>
      </c>
      <c r="O151" s="4">
        <f>Tab_11.Nov[[#This Row],[DÉBITO]]-Tab_11.Nov[[#This Row],[CRÉDITO]]</f>
        <v>-6420.7</v>
      </c>
    </row>
    <row r="152" spans="2:15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5</v>
      </c>
      <c r="D152" s="2" t="str">
        <f>_xlfn.XLOOKUP($I152,Tab_00.Trial[CONTA],Tab_00.Trial[S/A],"",0,1)</f>
        <v>A</v>
      </c>
      <c r="E152" s="2">
        <f>IF($I152="","",COUNTIFS(Tab_00.Trial[CONTA],$I152))</f>
        <v>1</v>
      </c>
      <c r="F152" s="4">
        <f>SUMIFS(Tab_10.Out[SALDO
ATUAL],Tab_10.Out[CONTA],$I152)</f>
        <v>-7313.46</v>
      </c>
      <c r="G152" s="4">
        <f t="shared" si="4"/>
        <v>0</v>
      </c>
      <c r="H152" s="1">
        <v>31096</v>
      </c>
      <c r="I152" s="3" t="s">
        <v>382</v>
      </c>
      <c r="J152" s="3" t="s">
        <v>292</v>
      </c>
      <c r="K152" s="4">
        <v>-7313.46</v>
      </c>
      <c r="L152" s="4">
        <v>0</v>
      </c>
      <c r="M152" s="4">
        <v>6420.7</v>
      </c>
      <c r="N152" s="4">
        <v>-13734.16</v>
      </c>
      <c r="O152" s="4">
        <f>Tab_11.Nov[[#This Row],[DÉBITO]]-Tab_11.Nov[[#This Row],[CRÉDITO]]</f>
        <v>-6420.7</v>
      </c>
    </row>
    <row r="153" spans="2:15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5</v>
      </c>
      <c r="D153" s="2" t="str">
        <f>_xlfn.XLOOKUP($I153,Tab_00.Trial[CONTA],Tab_00.Trial[S/A],"",0,1)</f>
        <v>S</v>
      </c>
      <c r="E153" s="2">
        <f>IF($I153="","",COUNTIFS(Tab_00.Trial[CONTA],$I153))</f>
        <v>1</v>
      </c>
      <c r="F153" s="4">
        <f>SUMIFS(Tab_10.Out[SALDO
ATUAL],Tab_10.Out[CONTA],$I153)</f>
        <v>12139.16</v>
      </c>
      <c r="G153" s="4">
        <f t="shared" si="4"/>
        <v>0</v>
      </c>
      <c r="H153" s="1">
        <v>31140</v>
      </c>
      <c r="I153" s="3" t="s">
        <v>577</v>
      </c>
      <c r="J153" s="3" t="s">
        <v>683</v>
      </c>
      <c r="K153" s="4">
        <v>12139.16</v>
      </c>
      <c r="L153" s="4">
        <v>1899</v>
      </c>
      <c r="M153" s="4">
        <v>0</v>
      </c>
      <c r="N153" s="4">
        <v>14038.16</v>
      </c>
      <c r="O153" s="4">
        <f>Tab_11.Nov[[#This Row],[DÉBITO]]-Tab_11.Nov[[#This Row],[CRÉDITO]]</f>
        <v>1899</v>
      </c>
    </row>
    <row r="154" spans="2:15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5</v>
      </c>
      <c r="D154" s="2" t="str">
        <f>_xlfn.XLOOKUP($I154,Tab_00.Trial[CONTA],Tab_00.Trial[S/A],"",0,1)</f>
        <v>S</v>
      </c>
      <c r="E154" s="2">
        <f>IF($I154="","",COUNTIFS(Tab_00.Trial[CONTA],$I154))</f>
        <v>1</v>
      </c>
      <c r="F154" s="4">
        <f>SUMIFS(Tab_10.Out[SALDO
ATUAL],Tab_10.Out[CONTA],$I154)</f>
        <v>12139.16</v>
      </c>
      <c r="G154" s="4">
        <f t="shared" si="4"/>
        <v>0</v>
      </c>
      <c r="H154" s="1">
        <v>31215</v>
      </c>
      <c r="I154" s="3" t="s">
        <v>847</v>
      </c>
      <c r="J154" s="3" t="s">
        <v>848</v>
      </c>
      <c r="K154" s="4">
        <v>12139.16</v>
      </c>
      <c r="L154" s="4">
        <v>1899</v>
      </c>
      <c r="M154" s="4">
        <v>0</v>
      </c>
      <c r="N154" s="4">
        <v>14038.16</v>
      </c>
      <c r="O154" s="4">
        <f>Tab_11.Nov[[#This Row],[DÉBITO]]-Tab_11.Nov[[#This Row],[CRÉDITO]]</f>
        <v>1899</v>
      </c>
    </row>
    <row r="155" spans="2:15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5</v>
      </c>
      <c r="D155" s="2" t="str">
        <f>_xlfn.XLOOKUP($I155,Tab_00.Trial[CONTA],Tab_00.Trial[S/A],"",0,1)</f>
        <v>A</v>
      </c>
      <c r="E155" s="2">
        <f>IF($I155="","",COUNTIFS(Tab_00.Trial[CONTA],$I155))</f>
        <v>1</v>
      </c>
      <c r="F155" s="4">
        <f>SUMIFS(Tab_10.Out[SALDO
ATUAL],Tab_10.Out[CONTA],$I155)</f>
        <v>12139.16</v>
      </c>
      <c r="G155" s="4">
        <f t="shared" si="4"/>
        <v>0</v>
      </c>
      <c r="H155" s="1">
        <v>31246</v>
      </c>
      <c r="I155" s="3" t="s">
        <v>849</v>
      </c>
      <c r="J155" s="3" t="s">
        <v>850</v>
      </c>
      <c r="K155" s="4">
        <v>12139.16</v>
      </c>
      <c r="L155" s="4">
        <v>1899</v>
      </c>
      <c r="M155" s="4">
        <v>0</v>
      </c>
      <c r="N155" s="4">
        <v>14038.16</v>
      </c>
      <c r="O155" s="4">
        <f>Tab_11.Nov[[#This Row],[DÉBITO]]-Tab_11.Nov[[#This Row],[CRÉDITO]]</f>
        <v>1899</v>
      </c>
    </row>
    <row r="156" spans="2:15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5</v>
      </c>
      <c r="D156" s="2" t="str">
        <f>_xlfn.XLOOKUP($I156,Tab_00.Trial[CONTA],Tab_00.Trial[S/A],"",0,1)</f>
        <v>S</v>
      </c>
      <c r="E156" s="2">
        <f>IF($I156="","",COUNTIFS(Tab_00.Trial[CONTA],$I156))</f>
        <v>1</v>
      </c>
      <c r="F156" s="4">
        <f>SUMIFS(Tab_10.Out[SALDO
ATUAL],Tab_10.Out[CONTA],$I156)</f>
        <v>-4444239.26</v>
      </c>
      <c r="G156" s="4">
        <f t="shared" si="4"/>
        <v>0</v>
      </c>
      <c r="H156" s="1">
        <v>31260</v>
      </c>
      <c r="I156" s="3" t="s">
        <v>580</v>
      </c>
      <c r="J156" s="3" t="s">
        <v>816</v>
      </c>
      <c r="K156" s="4">
        <v>-4444239.26</v>
      </c>
      <c r="L156" s="4">
        <v>0</v>
      </c>
      <c r="M156" s="4">
        <v>440421.58</v>
      </c>
      <c r="N156" s="4">
        <v>-4884660.84</v>
      </c>
      <c r="O156" s="4">
        <f>Tab_11.Nov[[#This Row],[DÉBITO]]-Tab_11.Nov[[#This Row],[CRÉDITO]]</f>
        <v>-440421.58</v>
      </c>
    </row>
    <row r="157" spans="2:15" x14ac:dyDescent="0.3">
      <c r="B157" s="2" t="str">
        <f>_xlfn.XLOOKUP($I157,Tab_00.Trial[CONTA],Tab_00.Trial[TP],"",0,1)</f>
        <v>R</v>
      </c>
      <c r="C157" s="2">
        <f>_xlfn.XLOOKUP($I157,Tab_00.Trial[CONTA],Tab_00.Trial[NV],"",0,1)</f>
        <v>5</v>
      </c>
      <c r="D157" s="2" t="str">
        <f>_xlfn.XLOOKUP($I157,Tab_00.Trial[CONTA],Tab_00.Trial[S/A],"",0,1)</f>
        <v>S</v>
      </c>
      <c r="E157" s="2">
        <f>IF($I157="","",COUNTIFS(Tab_00.Trial[CONTA],$I157))</f>
        <v>1</v>
      </c>
      <c r="F157" s="4">
        <f>SUMIFS(Tab_10.Out[SALDO
ATUAL],Tab_10.Out[CONTA],$I157)</f>
        <v>-4444239.26</v>
      </c>
      <c r="G157" s="4">
        <f t="shared" si="4"/>
        <v>0</v>
      </c>
      <c r="H157" s="1">
        <v>31275</v>
      </c>
      <c r="I157" s="3" t="s">
        <v>581</v>
      </c>
      <c r="J157" s="3" t="s">
        <v>687</v>
      </c>
      <c r="K157" s="4">
        <v>-4444239.26</v>
      </c>
      <c r="L157" s="4">
        <v>0</v>
      </c>
      <c r="M157" s="4">
        <v>440421.58</v>
      </c>
      <c r="N157" s="4">
        <v>-4884660.84</v>
      </c>
      <c r="O157" s="4">
        <f>Tab_11.Nov[[#This Row],[DÉBITO]]-Tab_11.Nov[[#This Row],[CRÉDITO]]</f>
        <v>-440421.58</v>
      </c>
    </row>
    <row r="158" spans="2:15" x14ac:dyDescent="0.3">
      <c r="B158" s="2" t="str">
        <f>_xlfn.XLOOKUP($I158,Tab_00.Trial[CONTA],Tab_00.Trial[TP],"",0,1)</f>
        <v>R</v>
      </c>
      <c r="C158" s="2">
        <f>_xlfn.XLOOKUP($I158,Tab_00.Trial[CONTA],Tab_00.Trial[NV],"",0,1)</f>
        <v>5</v>
      </c>
      <c r="D158" s="2" t="str">
        <f>_xlfn.XLOOKUP($I158,Tab_00.Trial[CONTA],Tab_00.Trial[S/A],"",0,1)</f>
        <v>A</v>
      </c>
      <c r="E158" s="2">
        <f>IF($I158="","",COUNTIFS(Tab_00.Trial[CONTA],$I158))</f>
        <v>1</v>
      </c>
      <c r="F158" s="4">
        <f>SUMIFS(Tab_10.Out[SALDO
ATUAL],Tab_10.Out[CONTA],$I158)</f>
        <v>-4347364</v>
      </c>
      <c r="G158" s="4">
        <f t="shared" si="4"/>
        <v>0</v>
      </c>
      <c r="H158" s="1">
        <v>31291</v>
      </c>
      <c r="I158" s="3" t="s">
        <v>387</v>
      </c>
      <c r="J158" s="3" t="s">
        <v>388</v>
      </c>
      <c r="K158" s="4">
        <v>-4347364</v>
      </c>
      <c r="L158" s="4">
        <v>0</v>
      </c>
      <c r="M158" s="4">
        <v>440421.58</v>
      </c>
      <c r="N158" s="4">
        <v>-4787785.58</v>
      </c>
      <c r="O158" s="4">
        <f>Tab_11.Nov[[#This Row],[DÉBITO]]-Tab_11.Nov[[#This Row],[CRÉDITO]]</f>
        <v>-440421.58</v>
      </c>
    </row>
    <row r="159" spans="2:15" x14ac:dyDescent="0.3">
      <c r="B159" s="2" t="str">
        <f>_xlfn.XLOOKUP($I159,Tab_00.Trial[CONTA],Tab_00.Trial[TP],"",0,1)</f>
        <v>R</v>
      </c>
      <c r="C159" s="2">
        <f>_xlfn.XLOOKUP($I159,Tab_00.Trial[CONTA],Tab_00.Trial[NV],"",0,1)</f>
        <v>5</v>
      </c>
      <c r="D159" s="2" t="str">
        <f>_xlfn.XLOOKUP($I159,Tab_00.Trial[CONTA],Tab_00.Trial[S/A],"",0,1)</f>
        <v>A</v>
      </c>
      <c r="E159" s="2">
        <f>IF($I159="","",COUNTIFS(Tab_00.Trial[CONTA],$I159))</f>
        <v>1</v>
      </c>
      <c r="F159" s="4">
        <f>SUMIFS(Tab_10.Out[SALDO
ATUAL],Tab_10.Out[CONTA],$I159)</f>
        <v>-96875.26</v>
      </c>
      <c r="G159" s="4">
        <f t="shared" si="4"/>
        <v>0</v>
      </c>
      <c r="H159" s="1">
        <v>31292</v>
      </c>
      <c r="I159" s="3" t="s">
        <v>389</v>
      </c>
      <c r="J159" s="3" t="s">
        <v>390</v>
      </c>
      <c r="K159" s="4">
        <v>-96875.26</v>
      </c>
      <c r="L159" s="4">
        <v>0</v>
      </c>
      <c r="M159" s="4">
        <v>0</v>
      </c>
      <c r="N159" s="4">
        <v>-96875.26</v>
      </c>
      <c r="O159" s="4">
        <f>Tab_11.Nov[[#This Row],[DÉBITO]]-Tab_11.Nov[[#This Row],[CRÉDITO]]</f>
        <v>0</v>
      </c>
    </row>
    <row r="160" spans="2:15" x14ac:dyDescent="0.3">
      <c r="B160" s="2" t="str">
        <f>_xlfn.XLOOKUP($I160,Tab_00.Trial[CONTA],Tab_00.Trial[TP],"",0,1)</f>
        <v>R</v>
      </c>
      <c r="C160" s="2">
        <f>_xlfn.XLOOKUP($I160,Tab_00.Trial[CONTA],Tab_00.Trial[NV],"",0,1)</f>
        <v>2</v>
      </c>
      <c r="D160" s="2" t="str">
        <f>_xlfn.XLOOKUP($I160,Tab_00.Trial[CONTA],Tab_00.Trial[S/A],"",0,1)</f>
        <v>S</v>
      </c>
      <c r="E160" s="2">
        <f>IF($I160="","",COUNTIFS(Tab_00.Trial[CONTA],$I160))</f>
        <v>1</v>
      </c>
      <c r="F160" s="4">
        <f>SUMIFS(Tab_10.Out[SALDO
ATUAL],Tab_10.Out[CONTA],$I160)</f>
        <v>-2414927.98</v>
      </c>
      <c r="G160" s="4">
        <f t="shared" si="4"/>
        <v>0</v>
      </c>
      <c r="H160" s="1">
        <v>31470</v>
      </c>
      <c r="I160" s="3" t="s">
        <v>582</v>
      </c>
      <c r="J160" s="3" t="s">
        <v>688</v>
      </c>
      <c r="K160" s="4">
        <v>-2414927.98</v>
      </c>
      <c r="L160" s="4">
        <v>0</v>
      </c>
      <c r="M160" s="4">
        <v>333363.81</v>
      </c>
      <c r="N160" s="4">
        <v>-2748291.79</v>
      </c>
      <c r="O160" s="4">
        <f>Tab_11.Nov[[#This Row],[DÉBITO]]-Tab_11.Nov[[#This Row],[CRÉDITO]]</f>
        <v>-333363.81</v>
      </c>
    </row>
    <row r="161" spans="2:15" x14ac:dyDescent="0.3">
      <c r="B161" s="2" t="str">
        <f>_xlfn.XLOOKUP($I161,Tab_00.Trial[CONTA],Tab_00.Trial[TP],"",0,1)</f>
        <v>R</v>
      </c>
      <c r="C161" s="2">
        <f>_xlfn.XLOOKUP($I161,Tab_00.Trial[CONTA],Tab_00.Trial[NV],"",0,1)</f>
        <v>5</v>
      </c>
      <c r="D161" s="2" t="str">
        <f>_xlfn.XLOOKUP($I161,Tab_00.Trial[CONTA],Tab_00.Trial[S/A],"",0,1)</f>
        <v>S</v>
      </c>
      <c r="E161" s="2">
        <f>IF($I161="","",COUNTIFS(Tab_00.Trial[CONTA],$I161))</f>
        <v>1</v>
      </c>
      <c r="F161" s="4">
        <f>SUMIFS(Tab_10.Out[SALDO
ATUAL],Tab_10.Out[CONTA],$I161)</f>
        <v>-673.54</v>
      </c>
      <c r="G161" s="4">
        <f t="shared" si="4"/>
        <v>0</v>
      </c>
      <c r="H161" s="1">
        <v>31590</v>
      </c>
      <c r="I161" s="3" t="s">
        <v>583</v>
      </c>
      <c r="J161" s="3" t="s">
        <v>689</v>
      </c>
      <c r="K161" s="4">
        <v>-673.54</v>
      </c>
      <c r="L161" s="4">
        <v>0</v>
      </c>
      <c r="M161" s="4">
        <v>1335.22</v>
      </c>
      <c r="N161" s="4">
        <v>-2008.76</v>
      </c>
      <c r="O161" s="4">
        <f>Tab_11.Nov[[#This Row],[DÉBITO]]-Tab_11.Nov[[#This Row],[CRÉDITO]]</f>
        <v>-1335.22</v>
      </c>
    </row>
    <row r="162" spans="2:15" x14ac:dyDescent="0.3">
      <c r="B162" s="2" t="str">
        <f>_xlfn.XLOOKUP($I162,Tab_00.Trial[CONTA],Tab_00.Trial[TP],"",0,1)</f>
        <v>R</v>
      </c>
      <c r="C162" s="2">
        <f>_xlfn.XLOOKUP($I162,Tab_00.Trial[CONTA],Tab_00.Trial[NV],"",0,1)</f>
        <v>5</v>
      </c>
      <c r="D162" s="2" t="str">
        <f>_xlfn.XLOOKUP($I162,Tab_00.Trial[CONTA],Tab_00.Trial[S/A],"",0,1)</f>
        <v>S</v>
      </c>
      <c r="E162" s="2">
        <f>IF($I162="","",COUNTIFS(Tab_00.Trial[CONTA],$I162))</f>
        <v>1</v>
      </c>
      <c r="F162" s="4">
        <f>SUMIFS(Tab_10.Out[SALDO
ATUAL],Tab_10.Out[CONTA],$I162)</f>
        <v>-673.54</v>
      </c>
      <c r="G162" s="4">
        <f t="shared" si="4"/>
        <v>0</v>
      </c>
      <c r="H162" s="1">
        <v>31605</v>
      </c>
      <c r="I162" s="3" t="s">
        <v>584</v>
      </c>
      <c r="J162" s="3" t="s">
        <v>689</v>
      </c>
      <c r="K162" s="4">
        <v>-673.54</v>
      </c>
      <c r="L162" s="4">
        <v>0</v>
      </c>
      <c r="M162" s="4">
        <v>1335.22</v>
      </c>
      <c r="N162" s="4">
        <v>-2008.76</v>
      </c>
      <c r="O162" s="4">
        <f>Tab_11.Nov[[#This Row],[DÉBITO]]-Tab_11.Nov[[#This Row],[CRÉDITO]]</f>
        <v>-1335.22</v>
      </c>
    </row>
    <row r="163" spans="2:15" x14ac:dyDescent="0.3">
      <c r="B163" s="2" t="str">
        <f>_xlfn.XLOOKUP($I163,Tab_00.Trial[CONTA],Tab_00.Trial[TP],"",0,1)</f>
        <v>R</v>
      </c>
      <c r="C163" s="2">
        <f>_xlfn.XLOOKUP($I163,Tab_00.Trial[CONTA],Tab_00.Trial[NV],"",0,1)</f>
        <v>5</v>
      </c>
      <c r="D163" s="2" t="str">
        <f>_xlfn.XLOOKUP($I163,Tab_00.Trial[CONTA],Tab_00.Trial[S/A],"",0,1)</f>
        <v>A</v>
      </c>
      <c r="E163" s="2">
        <f>IF($I163="","",COUNTIFS(Tab_00.Trial[CONTA],$I163))</f>
        <v>1</v>
      </c>
      <c r="F163" s="4">
        <f>SUMIFS(Tab_10.Out[SALDO
ATUAL],Tab_10.Out[CONTA],$I163)</f>
        <v>-673.54</v>
      </c>
      <c r="G163" s="4">
        <f t="shared" si="4"/>
        <v>0</v>
      </c>
      <c r="H163" s="1">
        <v>31645</v>
      </c>
      <c r="I163" s="3" t="s">
        <v>391</v>
      </c>
      <c r="J163" s="3" t="s">
        <v>392</v>
      </c>
      <c r="K163" s="4">
        <v>-673.54</v>
      </c>
      <c r="L163" s="4">
        <v>0</v>
      </c>
      <c r="M163" s="4">
        <v>1335.22</v>
      </c>
      <c r="N163" s="4">
        <v>-2008.76</v>
      </c>
      <c r="O163" s="4">
        <f>Tab_11.Nov[[#This Row],[DÉBITO]]-Tab_11.Nov[[#This Row],[CRÉDITO]]</f>
        <v>-1335.22</v>
      </c>
    </row>
    <row r="164" spans="2:15" x14ac:dyDescent="0.3">
      <c r="B164" s="2" t="str">
        <f>_xlfn.XLOOKUP($I164,Tab_00.Trial[CONTA],Tab_00.Trial[TP],"",0,1)</f>
        <v>R</v>
      </c>
      <c r="C164" s="2">
        <f>_xlfn.XLOOKUP($I164,Tab_00.Trial[CONTA],Tab_00.Trial[NV],"",0,1)</f>
        <v>5</v>
      </c>
      <c r="D164" s="2" t="str">
        <f>_xlfn.XLOOKUP($I164,Tab_00.Trial[CONTA],Tab_00.Trial[S/A],"",0,1)</f>
        <v>S</v>
      </c>
      <c r="E164" s="2">
        <f>IF($I164="","",COUNTIFS(Tab_00.Trial[CONTA],$I164))</f>
        <v>1</v>
      </c>
      <c r="F164" s="4">
        <f>SUMIFS(Tab_10.Out[SALDO
ATUAL],Tab_10.Out[CONTA],$I164)</f>
        <v>-2414254.44</v>
      </c>
      <c r="G164" s="4">
        <f t="shared" si="4"/>
        <v>0</v>
      </c>
      <c r="H164" s="1">
        <v>31650</v>
      </c>
      <c r="I164" s="3" t="s">
        <v>585</v>
      </c>
      <c r="J164" s="3" t="s">
        <v>690</v>
      </c>
      <c r="K164" s="4">
        <v>-2414254.44</v>
      </c>
      <c r="L164" s="4">
        <v>0</v>
      </c>
      <c r="M164" s="4">
        <v>332028.59000000003</v>
      </c>
      <c r="N164" s="4">
        <v>-2746283.03</v>
      </c>
      <c r="O164" s="4">
        <f>Tab_11.Nov[[#This Row],[DÉBITO]]-Tab_11.Nov[[#This Row],[CRÉDITO]]</f>
        <v>-332028.59000000003</v>
      </c>
    </row>
    <row r="165" spans="2:15" x14ac:dyDescent="0.3">
      <c r="B165" s="2" t="str">
        <f>_xlfn.XLOOKUP($I165,Tab_00.Trial[CONTA],Tab_00.Trial[TP],"",0,1)</f>
        <v>R</v>
      </c>
      <c r="C165" s="2">
        <f>_xlfn.XLOOKUP($I165,Tab_00.Trial[CONTA],Tab_00.Trial[NV],"",0,1)</f>
        <v>5</v>
      </c>
      <c r="D165" s="2" t="str">
        <f>_xlfn.XLOOKUP($I165,Tab_00.Trial[CONTA],Tab_00.Trial[S/A],"",0,1)</f>
        <v>S</v>
      </c>
      <c r="E165" s="2">
        <f>IF($I165="","",COUNTIFS(Tab_00.Trial[CONTA],$I165))</f>
        <v>1</v>
      </c>
      <c r="F165" s="4">
        <f>SUMIFS(Tab_10.Out[SALDO
ATUAL],Tab_10.Out[CONTA],$I165)</f>
        <v>-2414254.44</v>
      </c>
      <c r="G165" s="4">
        <f t="shared" si="4"/>
        <v>0</v>
      </c>
      <c r="H165" s="1">
        <v>31665</v>
      </c>
      <c r="I165" s="3" t="s">
        <v>586</v>
      </c>
      <c r="J165" s="3" t="s">
        <v>394</v>
      </c>
      <c r="K165" s="4">
        <v>-2414254.44</v>
      </c>
      <c r="L165" s="4">
        <v>0</v>
      </c>
      <c r="M165" s="4">
        <v>332028.59000000003</v>
      </c>
      <c r="N165" s="4">
        <v>-2746283.03</v>
      </c>
      <c r="O165" s="4">
        <f>Tab_11.Nov[[#This Row],[DÉBITO]]-Tab_11.Nov[[#This Row],[CRÉDITO]]</f>
        <v>-332028.59000000003</v>
      </c>
    </row>
    <row r="166" spans="2:15" x14ac:dyDescent="0.3">
      <c r="B166" s="2" t="str">
        <f>_xlfn.XLOOKUP($I166,Tab_00.Trial[CONTA],Tab_00.Trial[TP],"",0,1)</f>
        <v>R</v>
      </c>
      <c r="C166" s="2">
        <f>_xlfn.XLOOKUP($I166,Tab_00.Trial[CONTA],Tab_00.Trial[NV],"",0,1)</f>
        <v>5</v>
      </c>
      <c r="D166" s="2" t="str">
        <f>_xlfn.XLOOKUP($I166,Tab_00.Trial[CONTA],Tab_00.Trial[S/A],"",0,1)</f>
        <v>A</v>
      </c>
      <c r="E166" s="2">
        <f>IF($I166="","",COUNTIFS(Tab_00.Trial[CONTA],$I166))</f>
        <v>1</v>
      </c>
      <c r="F166" s="4">
        <f>SUMIFS(Tab_10.Out[SALDO
ATUAL],Tab_10.Out[CONTA],$I166)</f>
        <v>-2414254.44</v>
      </c>
      <c r="G166" s="4">
        <f t="shared" si="4"/>
        <v>0</v>
      </c>
      <c r="H166" s="1">
        <v>31680</v>
      </c>
      <c r="I166" s="3" t="s">
        <v>393</v>
      </c>
      <c r="J166" s="3" t="s">
        <v>394</v>
      </c>
      <c r="K166" s="4">
        <v>-2414254.44</v>
      </c>
      <c r="L166" s="4">
        <v>0</v>
      </c>
      <c r="M166" s="4">
        <v>332028.59000000003</v>
      </c>
      <c r="N166" s="4">
        <v>-2746283.03</v>
      </c>
      <c r="O166" s="4">
        <f>Tab_11.Nov[[#This Row],[DÉBITO]]-Tab_11.Nov[[#This Row],[CRÉDITO]]</f>
        <v>-332028.59000000003</v>
      </c>
    </row>
    <row r="167" spans="2:15" x14ac:dyDescent="0.3">
      <c r="B167" s="2" t="str">
        <f>_xlfn.XLOOKUP($I167,Tab_00.Trial[CONTA],Tab_00.Trial[TP],"",0,1)</f>
        <v>R</v>
      </c>
      <c r="C167" s="2">
        <f>_xlfn.XLOOKUP($I167,Tab_00.Trial[CONTA],Tab_00.Trial[NV],"",0,1)</f>
        <v>2</v>
      </c>
      <c r="D167" s="2" t="str">
        <f>_xlfn.XLOOKUP($I167,Tab_00.Trial[CONTA],Tab_00.Trial[S/A],"",0,1)</f>
        <v>S</v>
      </c>
      <c r="E167" s="2">
        <f>IF($I167="","",COUNTIFS(Tab_00.Trial[CONTA],$I167))</f>
        <v>1</v>
      </c>
      <c r="F167" s="4">
        <f>SUMIFS(Tab_10.Out[SALDO
ATUAL],Tab_10.Out[CONTA],$I167)</f>
        <v>-7450</v>
      </c>
      <c r="G167" s="4">
        <f t="shared" si="4"/>
        <v>0</v>
      </c>
      <c r="H167" s="1">
        <v>31725</v>
      </c>
      <c r="I167" s="3" t="s">
        <v>587</v>
      </c>
      <c r="J167" s="3" t="s">
        <v>691</v>
      </c>
      <c r="K167" s="4">
        <v>-7450</v>
      </c>
      <c r="L167" s="4">
        <v>0</v>
      </c>
      <c r="M167" s="4">
        <v>0</v>
      </c>
      <c r="N167" s="4">
        <v>-7450</v>
      </c>
      <c r="O167" s="4">
        <f>Tab_11.Nov[[#This Row],[DÉBITO]]-Tab_11.Nov[[#This Row],[CRÉDITO]]</f>
        <v>0</v>
      </c>
    </row>
    <row r="168" spans="2:15" x14ac:dyDescent="0.3">
      <c r="B168" s="2" t="str">
        <f>_xlfn.XLOOKUP($I168,Tab_00.Trial[CONTA],Tab_00.Trial[TP],"",0,1)</f>
        <v>R</v>
      </c>
      <c r="C168" s="2">
        <f>_xlfn.XLOOKUP($I168,Tab_00.Trial[CONTA],Tab_00.Trial[NV],"",0,1)</f>
        <v>5</v>
      </c>
      <c r="D168" s="2" t="str">
        <f>_xlfn.XLOOKUP($I168,Tab_00.Trial[CONTA],Tab_00.Trial[S/A],"",0,1)</f>
        <v>S</v>
      </c>
      <c r="E168" s="2">
        <f>IF($I168="","",COUNTIFS(Tab_00.Trial[CONTA],$I168))</f>
        <v>1</v>
      </c>
      <c r="F168" s="4">
        <f>SUMIFS(Tab_10.Out[SALDO
ATUAL],Tab_10.Out[CONTA],$I168)</f>
        <v>-7450</v>
      </c>
      <c r="G168" s="4">
        <f t="shared" si="4"/>
        <v>0</v>
      </c>
      <c r="H168" s="1">
        <v>30722</v>
      </c>
      <c r="I168" s="3" t="s">
        <v>588</v>
      </c>
      <c r="J168" s="3" t="s">
        <v>692</v>
      </c>
      <c r="K168" s="4">
        <v>-7450</v>
      </c>
      <c r="L168" s="4">
        <v>0</v>
      </c>
      <c r="M168" s="4">
        <v>0</v>
      </c>
      <c r="N168" s="4">
        <v>-7450</v>
      </c>
      <c r="O168" s="4">
        <f>Tab_11.Nov[[#This Row],[DÉBITO]]-Tab_11.Nov[[#This Row],[CRÉDITO]]</f>
        <v>0</v>
      </c>
    </row>
    <row r="169" spans="2:15" x14ac:dyDescent="0.3">
      <c r="B169" s="2" t="str">
        <f>_xlfn.XLOOKUP($I169,Tab_00.Trial[CONTA],Tab_00.Trial[TP],"",0,1)</f>
        <v>R</v>
      </c>
      <c r="C169" s="2">
        <f>_xlfn.XLOOKUP($I169,Tab_00.Trial[CONTA],Tab_00.Trial[NV],"",0,1)</f>
        <v>5</v>
      </c>
      <c r="D169" s="2" t="str">
        <f>_xlfn.XLOOKUP($I169,Tab_00.Trial[CONTA],Tab_00.Trial[S/A],"",0,1)</f>
        <v>S</v>
      </c>
      <c r="E169" s="2">
        <f>IF($I169="","",COUNTIFS(Tab_00.Trial[CONTA],$I169))</f>
        <v>1</v>
      </c>
      <c r="F169" s="4">
        <f>SUMIFS(Tab_10.Out[SALDO
ATUAL],Tab_10.Out[CONTA],$I169)</f>
        <v>-7450</v>
      </c>
      <c r="G169" s="4">
        <f t="shared" si="4"/>
        <v>0</v>
      </c>
      <c r="H169" s="1">
        <v>30729</v>
      </c>
      <c r="I169" s="3" t="s">
        <v>589</v>
      </c>
      <c r="J169" s="3" t="s">
        <v>692</v>
      </c>
      <c r="K169" s="4">
        <v>-7450</v>
      </c>
      <c r="L169" s="4">
        <v>0</v>
      </c>
      <c r="M169" s="4">
        <v>0</v>
      </c>
      <c r="N169" s="4">
        <v>-7450</v>
      </c>
      <c r="O169" s="4">
        <f>Tab_11.Nov[[#This Row],[DÉBITO]]-Tab_11.Nov[[#This Row],[CRÉDITO]]</f>
        <v>0</v>
      </c>
    </row>
    <row r="170" spans="2:15" x14ac:dyDescent="0.3">
      <c r="B170" s="2" t="str">
        <f>_xlfn.XLOOKUP($I170,Tab_00.Trial[CONTA],Tab_00.Trial[TP],"",0,1)</f>
        <v>R</v>
      </c>
      <c r="C170" s="2">
        <f>_xlfn.XLOOKUP($I170,Tab_00.Trial[CONTA],Tab_00.Trial[NV],"",0,1)</f>
        <v>5</v>
      </c>
      <c r="D170" s="2" t="str">
        <f>_xlfn.XLOOKUP($I170,Tab_00.Trial[CONTA],Tab_00.Trial[S/A],"",0,1)</f>
        <v>A</v>
      </c>
      <c r="E170" s="2">
        <f>IF($I170="","",COUNTIFS(Tab_00.Trial[CONTA],$I170))</f>
        <v>1</v>
      </c>
      <c r="F170" s="4">
        <f>SUMIFS(Tab_10.Out[SALDO
ATUAL],Tab_10.Out[CONTA],$I170)</f>
        <v>-7450</v>
      </c>
      <c r="G170" s="4">
        <f t="shared" si="4"/>
        <v>0</v>
      </c>
      <c r="H170" s="1">
        <v>30736</v>
      </c>
      <c r="I170" s="3" t="s">
        <v>395</v>
      </c>
      <c r="J170" s="3" t="s">
        <v>396</v>
      </c>
      <c r="K170" s="4">
        <v>-7450</v>
      </c>
      <c r="L170" s="4">
        <v>0</v>
      </c>
      <c r="M170" s="4">
        <v>0</v>
      </c>
      <c r="N170" s="4">
        <v>-7450</v>
      </c>
      <c r="O170" s="4">
        <f>Tab_11.Nov[[#This Row],[DÉBITO]]-Tab_11.Nov[[#This Row],[CRÉDITO]]</f>
        <v>0</v>
      </c>
    </row>
    <row r="171" spans="2:15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1</v>
      </c>
      <c r="D171" s="2" t="str">
        <f>_xlfn.XLOOKUP($I171,Tab_00.Trial[CONTA],Tab_00.Trial[S/A],"",0,1)</f>
        <v>S</v>
      </c>
      <c r="E171" s="2">
        <f>IF($I171="","",COUNTIFS(Tab_00.Trial[CONTA],$I171))</f>
        <v>1</v>
      </c>
      <c r="F171" s="4">
        <f>SUMIFS(Tab_10.Out[SALDO
ATUAL],Tab_10.Out[CONTA],$I171)</f>
        <v>8379406</v>
      </c>
      <c r="G171" s="4">
        <f t="shared" si="4"/>
        <v>0</v>
      </c>
      <c r="H171" s="1">
        <v>40000</v>
      </c>
      <c r="I171" s="3">
        <v>4</v>
      </c>
      <c r="J171" s="3" t="s">
        <v>693</v>
      </c>
      <c r="K171" s="4">
        <v>8379406</v>
      </c>
      <c r="L171" s="4">
        <v>489504.98</v>
      </c>
      <c r="M171" s="4">
        <v>13994.19</v>
      </c>
      <c r="N171" s="4">
        <v>8854916.7899999991</v>
      </c>
      <c r="O171" s="4">
        <f>Tab_11.Nov[[#This Row],[DÉBITO]]-Tab_11.Nov[[#This Row],[CRÉDITO]]</f>
        <v>475510.79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2</v>
      </c>
      <c r="D172" s="2" t="str">
        <f>_xlfn.XLOOKUP($I172,Tab_00.Trial[CONTA],Tab_00.Trial[S/A],"",0,1)</f>
        <v>S</v>
      </c>
      <c r="E172" s="2">
        <f>IF($I172="","",COUNTIFS(Tab_00.Trial[CONTA],$I172))</f>
        <v>1</v>
      </c>
      <c r="F172" s="4">
        <f>SUMIFS(Tab_10.Out[SALDO
ATUAL],Tab_10.Out[CONTA],$I172)</f>
        <v>8378565.1600000001</v>
      </c>
      <c r="G172" s="4">
        <f t="shared" si="4"/>
        <v>0</v>
      </c>
      <c r="H172" s="1">
        <v>40015</v>
      </c>
      <c r="I172" s="3" t="s">
        <v>234</v>
      </c>
      <c r="J172" s="3" t="s">
        <v>817</v>
      </c>
      <c r="K172" s="4">
        <v>8378565.1600000001</v>
      </c>
      <c r="L172" s="4">
        <v>489074.82</v>
      </c>
      <c r="M172" s="4">
        <v>13994.19</v>
      </c>
      <c r="N172" s="4">
        <v>8853645.7899999991</v>
      </c>
      <c r="O172" s="4">
        <f>Tab_11.Nov[[#This Row],[DÉBITO]]-Tab_11.Nov[[#This Row],[CRÉDITO]]</f>
        <v>475080.63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S</v>
      </c>
      <c r="E173" s="2">
        <f>IF($I173="","",COUNTIFS(Tab_00.Trial[CONTA],$I173))</f>
        <v>1</v>
      </c>
      <c r="F173" s="4">
        <f>SUMIFS(Tab_10.Out[SALDO
ATUAL],Tab_10.Out[CONTA],$I173)</f>
        <v>1661824.43</v>
      </c>
      <c r="G173" s="4">
        <f t="shared" si="4"/>
        <v>0</v>
      </c>
      <c r="H173" s="1">
        <v>40030</v>
      </c>
      <c r="I173" s="3" t="s">
        <v>235</v>
      </c>
      <c r="J173" s="3" t="s">
        <v>818</v>
      </c>
      <c r="K173" s="4">
        <v>1661824.43</v>
      </c>
      <c r="L173" s="4">
        <v>191584.39</v>
      </c>
      <c r="M173" s="4">
        <v>13994.19</v>
      </c>
      <c r="N173" s="4">
        <v>1839414.63</v>
      </c>
      <c r="O173" s="4">
        <f>Tab_11.Nov[[#This Row],[DÉBITO]]-Tab_11.Nov[[#This Row],[CRÉDITO]]</f>
        <v>177590.2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S</v>
      </c>
      <c r="E174" s="2">
        <f>IF($I174="","",COUNTIFS(Tab_00.Trial[CONTA],$I174))</f>
        <v>1</v>
      </c>
      <c r="F174" s="4">
        <f>SUMIFS(Tab_10.Out[SALDO
ATUAL],Tab_10.Out[CONTA],$I174)</f>
        <v>685295.09</v>
      </c>
      <c r="G174" s="4">
        <f t="shared" si="4"/>
        <v>0</v>
      </c>
      <c r="H174" s="1">
        <v>40045</v>
      </c>
      <c r="I174" s="3" t="s">
        <v>236</v>
      </c>
      <c r="J174" s="3" t="s">
        <v>696</v>
      </c>
      <c r="K174" s="4">
        <v>685295.09</v>
      </c>
      <c r="L174" s="4">
        <v>84773.57</v>
      </c>
      <c r="M174" s="4">
        <v>9546.09</v>
      </c>
      <c r="N174" s="4">
        <v>760522.57</v>
      </c>
      <c r="O174" s="4">
        <f>Tab_11.Nov[[#This Row],[DÉBITO]]-Tab_11.Nov[[#This Row],[CRÉDITO]]</f>
        <v>75227.48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A</v>
      </c>
      <c r="E175" s="2">
        <f>IF($I175="","",COUNTIFS(Tab_00.Trial[CONTA],$I175))</f>
        <v>1</v>
      </c>
      <c r="F175" s="4">
        <f>SUMIFS(Tab_10.Out[SALDO
ATUAL],Tab_10.Out[CONTA],$I175)</f>
        <v>491573.88</v>
      </c>
      <c r="G175" s="4">
        <f t="shared" si="4"/>
        <v>0</v>
      </c>
      <c r="H175" s="1">
        <v>40060</v>
      </c>
      <c r="I175" s="3" t="s">
        <v>195</v>
      </c>
      <c r="J175" s="3" t="s">
        <v>427</v>
      </c>
      <c r="K175" s="4">
        <v>491573.88</v>
      </c>
      <c r="L175" s="4">
        <v>67653.789999999994</v>
      </c>
      <c r="M175" s="4">
        <v>9309.68</v>
      </c>
      <c r="N175" s="4">
        <v>549917.99</v>
      </c>
      <c r="O175" s="4">
        <f>Tab_11.Nov[[#This Row],[DÉBITO]]-Tab_11.Nov[[#This Row],[CRÉDITO]]</f>
        <v>58344.11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A</v>
      </c>
      <c r="E176" s="2">
        <f>IF($I176="","",COUNTIFS(Tab_00.Trial[CONTA],$I176))</f>
        <v>1</v>
      </c>
      <c r="F176" s="4">
        <f>SUMIFS(Tab_10.Out[SALDO
ATUAL],Tab_10.Out[CONTA],$I176)</f>
        <v>81136.55</v>
      </c>
      <c r="G176" s="4">
        <f t="shared" si="4"/>
        <v>0</v>
      </c>
      <c r="H176" s="1">
        <v>40075</v>
      </c>
      <c r="I176" s="3" t="s">
        <v>430</v>
      </c>
      <c r="J176" s="3" t="s">
        <v>431</v>
      </c>
      <c r="K176" s="4">
        <v>81136.55</v>
      </c>
      <c r="L176" s="4">
        <v>12630.74</v>
      </c>
      <c r="M176" s="4">
        <v>135.86000000000001</v>
      </c>
      <c r="N176" s="4">
        <v>93631.43</v>
      </c>
      <c r="O176" s="4">
        <f>Tab_11.Nov[[#This Row],[DÉBITO]]-Tab_11.Nov[[#This Row],[CRÉDITO]]</f>
        <v>12494.88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A</v>
      </c>
      <c r="E177" s="2">
        <f>IF($I177="","",COUNTIFS(Tab_00.Trial[CONTA],$I177))</f>
        <v>1</v>
      </c>
      <c r="F177" s="4">
        <f>SUMIFS(Tab_10.Out[SALDO
ATUAL],Tab_10.Out[CONTA],$I177)</f>
        <v>48912.75</v>
      </c>
      <c r="G177" s="4">
        <f t="shared" si="4"/>
        <v>0</v>
      </c>
      <c r="H177" s="1">
        <v>40085</v>
      </c>
      <c r="I177" s="3" t="s">
        <v>432</v>
      </c>
      <c r="J177" s="3" t="s">
        <v>433</v>
      </c>
      <c r="K177" s="4">
        <v>48912.75</v>
      </c>
      <c r="L177" s="4">
        <v>0</v>
      </c>
      <c r="M177" s="4">
        <v>0</v>
      </c>
      <c r="N177" s="4">
        <v>48912.75</v>
      </c>
      <c r="O177" s="4">
        <f>Tab_11.Nov[[#This Row],[DÉBITO]]-Tab_11.Nov[[#This Row],[CRÉDITO]]</f>
        <v>0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A</v>
      </c>
      <c r="E178" s="2">
        <f>IF($I178="","",COUNTIFS(Tab_00.Trial[CONTA],$I178))</f>
        <v>1</v>
      </c>
      <c r="F178" s="4">
        <f>SUMIFS(Tab_10.Out[SALDO
ATUAL],Tab_10.Out[CONTA],$I178)</f>
        <v>43155.22</v>
      </c>
      <c r="G178" s="4">
        <f t="shared" si="4"/>
        <v>0</v>
      </c>
      <c r="H178" s="1">
        <v>10111</v>
      </c>
      <c r="I178" s="3" t="s">
        <v>790</v>
      </c>
      <c r="J178" s="3" t="s">
        <v>791</v>
      </c>
      <c r="K178" s="4">
        <v>43155.22</v>
      </c>
      <c r="L178" s="4">
        <v>3360.51</v>
      </c>
      <c r="M178" s="4">
        <v>46.21</v>
      </c>
      <c r="N178" s="4">
        <v>46469.52</v>
      </c>
      <c r="O178" s="4">
        <f>Tab_11.Nov[[#This Row],[DÉBITO]]-Tab_11.Nov[[#This Row],[CRÉDITO]]</f>
        <v>3314.3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A</v>
      </c>
      <c r="E179" s="2">
        <f>IF($I179="","",COUNTIFS(Tab_00.Trial[CONTA],$I179))</f>
        <v>1</v>
      </c>
      <c r="F179" s="4">
        <f>SUMIFS(Tab_10.Out[SALDO
ATUAL],Tab_10.Out[CONTA],$I179)</f>
        <v>2904.43</v>
      </c>
      <c r="G179" s="4">
        <f t="shared" si="4"/>
        <v>0</v>
      </c>
      <c r="H179" s="1">
        <v>10118</v>
      </c>
      <c r="I179" s="3" t="s">
        <v>792</v>
      </c>
      <c r="J179" s="3" t="s">
        <v>793</v>
      </c>
      <c r="K179" s="4">
        <v>2904.43</v>
      </c>
      <c r="L179" s="4">
        <v>1003.12</v>
      </c>
      <c r="M179" s="4">
        <v>54.34</v>
      </c>
      <c r="N179" s="4">
        <v>3853.21</v>
      </c>
      <c r="O179" s="4">
        <f>Tab_11.Nov[[#This Row],[DÉBITO]]-Tab_11.Nov[[#This Row],[CRÉDITO]]</f>
        <v>948.78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A</v>
      </c>
      <c r="E180" s="2">
        <f>IF($I180="","",COUNTIFS(Tab_00.Trial[CONTA],$I180))</f>
        <v>1</v>
      </c>
      <c r="F180" s="4">
        <f>SUMIFS(Tab_10.Out[SALDO
ATUAL],Tab_10.Out[CONTA],$I180)</f>
        <v>365.56</v>
      </c>
      <c r="G180" s="4">
        <f t="shared" si="4"/>
        <v>0</v>
      </c>
      <c r="H180" s="1">
        <v>10139</v>
      </c>
      <c r="I180" s="3" t="s">
        <v>794</v>
      </c>
      <c r="J180" s="3" t="s">
        <v>795</v>
      </c>
      <c r="K180" s="4">
        <v>365.56</v>
      </c>
      <c r="L180" s="4">
        <v>0</v>
      </c>
      <c r="M180" s="4">
        <v>0</v>
      </c>
      <c r="N180" s="4">
        <v>365.56</v>
      </c>
      <c r="O180" s="4">
        <f>Tab_11.Nov[[#This Row],[DÉBITO]]-Tab_11.Nov[[#This Row],[CRÉDITO]]</f>
        <v>0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A</v>
      </c>
      <c r="E181" s="2">
        <f>IF($I181="","",COUNTIFS(Tab_00.Trial[CONTA],$I181))</f>
        <v>1</v>
      </c>
      <c r="F181" s="4">
        <f>SUMIFS(Tab_10.Out[SALDO
ATUAL],Tab_10.Out[CONTA],$I181)</f>
        <v>12943.65</v>
      </c>
      <c r="G181" s="4">
        <f t="shared" si="4"/>
        <v>0</v>
      </c>
      <c r="H181" s="1">
        <v>10146</v>
      </c>
      <c r="I181" s="3" t="s">
        <v>796</v>
      </c>
      <c r="J181" s="3" t="s">
        <v>797</v>
      </c>
      <c r="K181" s="4">
        <v>12943.65</v>
      </c>
      <c r="L181" s="4">
        <v>0</v>
      </c>
      <c r="M181" s="4">
        <v>0</v>
      </c>
      <c r="N181" s="4">
        <v>12943.65</v>
      </c>
      <c r="O181" s="4">
        <f>Tab_11.Nov[[#This Row],[DÉBITO]]-Tab_11.Nov[[#This Row],[CRÉDITO]]</f>
        <v>0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A</v>
      </c>
      <c r="E182" s="2">
        <f>IF($I182="","",COUNTIFS(Tab_00.Trial[CONTA],$I182))</f>
        <v>1</v>
      </c>
      <c r="F182" s="4">
        <f>SUMIFS(Tab_10.Out[SALDO
ATUAL],Tab_10.Out[CONTA],$I182)</f>
        <v>3913</v>
      </c>
      <c r="G182" s="4">
        <f t="shared" si="4"/>
        <v>0</v>
      </c>
      <c r="H182" s="1">
        <v>10153</v>
      </c>
      <c r="I182" s="3" t="s">
        <v>798</v>
      </c>
      <c r="J182" s="3" t="s">
        <v>799</v>
      </c>
      <c r="K182" s="4">
        <v>3913</v>
      </c>
      <c r="L182" s="4">
        <v>0</v>
      </c>
      <c r="M182" s="4">
        <v>0</v>
      </c>
      <c r="N182" s="4">
        <v>3913</v>
      </c>
      <c r="O182" s="4">
        <f>Tab_11.Nov[[#This Row],[DÉBITO]]-Tab_11.Nov[[#This Row],[CRÉDITO]]</f>
        <v>0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A</v>
      </c>
      <c r="E183" s="2">
        <f>IF($I183="","",COUNTIFS(Tab_00.Trial[CONTA],$I183))</f>
        <v>1</v>
      </c>
      <c r="F183" s="4">
        <f>SUMIFS(Tab_10.Out[SALDO
ATUAL],Tab_10.Out[CONTA],$I183)</f>
        <v>390.05</v>
      </c>
      <c r="G183" s="4">
        <f t="shared" si="4"/>
        <v>0</v>
      </c>
      <c r="H183" s="1">
        <v>10160</v>
      </c>
      <c r="I183" s="3" t="s">
        <v>800</v>
      </c>
      <c r="J183" s="3" t="s">
        <v>801</v>
      </c>
      <c r="K183" s="4">
        <v>390.05</v>
      </c>
      <c r="L183" s="4">
        <v>125.41</v>
      </c>
      <c r="M183" s="4">
        <v>0</v>
      </c>
      <c r="N183" s="4">
        <v>515.46</v>
      </c>
      <c r="O183" s="4">
        <f>Tab_11.Nov[[#This Row],[DÉBITO]]-Tab_11.Nov[[#This Row],[CRÉDITO]]</f>
        <v>125.41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S</v>
      </c>
      <c r="E184" s="2">
        <f>IF($I184="","",COUNTIFS(Tab_00.Trial[CONTA],$I184))</f>
        <v>1</v>
      </c>
      <c r="F184" s="4">
        <f>SUMIFS(Tab_10.Out[SALDO
ATUAL],Tab_10.Out[CONTA],$I184)</f>
        <v>252424.1</v>
      </c>
      <c r="G184" s="4">
        <f t="shared" si="4"/>
        <v>0</v>
      </c>
      <c r="H184" s="1">
        <v>40150</v>
      </c>
      <c r="I184" s="3" t="s">
        <v>590</v>
      </c>
      <c r="J184" s="3" t="s">
        <v>697</v>
      </c>
      <c r="K184" s="4">
        <v>252424.1</v>
      </c>
      <c r="L184" s="4">
        <v>26071.57</v>
      </c>
      <c r="M184" s="4">
        <v>4448.1000000000004</v>
      </c>
      <c r="N184" s="4">
        <v>274047.57</v>
      </c>
      <c r="O184" s="4">
        <f>Tab_11.Nov[[#This Row],[DÉBITO]]-Tab_11.Nov[[#This Row],[CRÉDITO]]</f>
        <v>21623.47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A</v>
      </c>
      <c r="E185" s="2">
        <f>IF($I185="","",COUNTIFS(Tab_00.Trial[CONTA],$I185))</f>
        <v>1</v>
      </c>
      <c r="F185" s="4">
        <f>SUMIFS(Tab_10.Out[SALDO
ATUAL],Tab_10.Out[CONTA],$I185)</f>
        <v>245658.69</v>
      </c>
      <c r="G185" s="4">
        <f t="shared" si="4"/>
        <v>0</v>
      </c>
      <c r="H185" s="1">
        <v>40165</v>
      </c>
      <c r="I185" s="3" t="s">
        <v>434</v>
      </c>
      <c r="J185" s="3" t="s">
        <v>435</v>
      </c>
      <c r="K185" s="4">
        <v>245658.69</v>
      </c>
      <c r="L185" s="4">
        <v>25971.57</v>
      </c>
      <c r="M185" s="4">
        <v>3163.54</v>
      </c>
      <c r="N185" s="4">
        <v>268466.71999999997</v>
      </c>
      <c r="O185" s="4">
        <f>Tab_11.Nov[[#This Row],[DÉBITO]]-Tab_11.Nov[[#This Row],[CRÉDITO]]</f>
        <v>22808.03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A</v>
      </c>
      <c r="E186" s="2">
        <f>IF($I186="","",COUNTIFS(Tab_00.Trial[CONTA],$I186))</f>
        <v>1</v>
      </c>
      <c r="F186" s="4">
        <f>SUMIFS(Tab_10.Out[SALDO
ATUAL],Tab_10.Out[CONTA],$I186)</f>
        <v>6765.41</v>
      </c>
      <c r="G186" s="4">
        <f t="shared" si="4"/>
        <v>0</v>
      </c>
      <c r="H186" s="1">
        <v>40195</v>
      </c>
      <c r="I186" s="3" t="s">
        <v>750</v>
      </c>
      <c r="J186" s="3" t="s">
        <v>751</v>
      </c>
      <c r="K186" s="4">
        <v>6765.41</v>
      </c>
      <c r="L186" s="4">
        <v>100</v>
      </c>
      <c r="M186" s="4">
        <v>1284.56</v>
      </c>
      <c r="N186" s="4">
        <v>5580.85</v>
      </c>
      <c r="O186" s="4">
        <f>Tab_11.Nov[[#This Row],[DÉBITO]]-Tab_11.Nov[[#This Row],[CRÉDITO]]</f>
        <v>-1184.56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S</v>
      </c>
      <c r="E187" s="2">
        <f>IF($I187="","",COUNTIFS(Tab_00.Trial[CONTA],$I187))</f>
        <v>1</v>
      </c>
      <c r="F187" s="4">
        <f>SUMIFS(Tab_10.Out[SALDO
ATUAL],Tab_10.Out[CONTA],$I187)</f>
        <v>205545.72</v>
      </c>
      <c r="G187" s="4">
        <f t="shared" si="4"/>
        <v>0</v>
      </c>
      <c r="H187" s="1">
        <v>40210</v>
      </c>
      <c r="I187" s="3" t="s">
        <v>591</v>
      </c>
      <c r="J187" s="3" t="s">
        <v>698</v>
      </c>
      <c r="K187" s="4">
        <v>205545.72</v>
      </c>
      <c r="L187" s="4">
        <v>20357.560000000001</v>
      </c>
      <c r="M187" s="4">
        <v>0</v>
      </c>
      <c r="N187" s="4">
        <v>225903.28</v>
      </c>
      <c r="O187" s="4">
        <f>Tab_11.Nov[[#This Row],[DÉBITO]]-Tab_11.Nov[[#This Row],[CRÉDITO]]</f>
        <v>20357.560000000001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A</v>
      </c>
      <c r="E188" s="2">
        <f>IF($I188="","",COUNTIFS(Tab_00.Trial[CONTA],$I188))</f>
        <v>1</v>
      </c>
      <c r="F188" s="4">
        <f>SUMIFS(Tab_10.Out[SALDO
ATUAL],Tab_10.Out[CONTA],$I188)</f>
        <v>160642.68</v>
      </c>
      <c r="G188" s="4">
        <f t="shared" si="4"/>
        <v>0</v>
      </c>
      <c r="H188" s="1">
        <v>40225</v>
      </c>
      <c r="I188" s="3" t="s">
        <v>436</v>
      </c>
      <c r="J188" s="3" t="s">
        <v>437</v>
      </c>
      <c r="K188" s="4">
        <v>160642.68</v>
      </c>
      <c r="L188" s="4">
        <v>15239.75</v>
      </c>
      <c r="M188" s="4">
        <v>0</v>
      </c>
      <c r="N188" s="4">
        <v>175882.43</v>
      </c>
      <c r="O188" s="4">
        <f>Tab_11.Nov[[#This Row],[DÉBITO]]-Tab_11.Nov[[#This Row],[CRÉDITO]]</f>
        <v>15239.75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A</v>
      </c>
      <c r="E189" s="2">
        <f>IF($I189="","",COUNTIFS(Tab_00.Trial[CONTA],$I189))</f>
        <v>1</v>
      </c>
      <c r="F189" s="4">
        <f>SUMIFS(Tab_10.Out[SALDO
ATUAL],Tab_10.Out[CONTA],$I189)</f>
        <v>39213.47</v>
      </c>
      <c r="G189" s="4">
        <f t="shared" si="4"/>
        <v>0</v>
      </c>
      <c r="H189" s="1">
        <v>40240</v>
      </c>
      <c r="I189" s="3" t="s">
        <v>438</v>
      </c>
      <c r="J189" s="3" t="s">
        <v>196</v>
      </c>
      <c r="K189" s="4">
        <v>39213.47</v>
      </c>
      <c r="L189" s="4">
        <v>4549.16</v>
      </c>
      <c r="M189" s="4">
        <v>0</v>
      </c>
      <c r="N189" s="4">
        <v>43762.63</v>
      </c>
      <c r="O189" s="4">
        <f>Tab_11.Nov[[#This Row],[DÉBITO]]-Tab_11.Nov[[#This Row],[CRÉDITO]]</f>
        <v>4549.16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A</v>
      </c>
      <c r="E190" s="2">
        <f>IF($I190="","",COUNTIFS(Tab_00.Trial[CONTA],$I190))</f>
        <v>1</v>
      </c>
      <c r="F190" s="4">
        <f>SUMIFS(Tab_10.Out[SALDO
ATUAL],Tab_10.Out[CONTA],$I190)</f>
        <v>5689.57</v>
      </c>
      <c r="G190" s="4">
        <f t="shared" si="4"/>
        <v>0</v>
      </c>
      <c r="H190" s="1">
        <v>40255</v>
      </c>
      <c r="I190" s="3" t="s">
        <v>439</v>
      </c>
      <c r="J190" s="3" t="s">
        <v>440</v>
      </c>
      <c r="K190" s="4">
        <v>5689.57</v>
      </c>
      <c r="L190" s="4">
        <v>568.65</v>
      </c>
      <c r="M190" s="4">
        <v>0</v>
      </c>
      <c r="N190" s="4">
        <v>6258.22</v>
      </c>
      <c r="O190" s="4">
        <f>Tab_11.Nov[[#This Row],[DÉBITO]]-Tab_11.Nov[[#This Row],[CRÉDITO]]</f>
        <v>568.65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S</v>
      </c>
      <c r="E191" s="2">
        <f>IF($I191="","",COUNTIFS(Tab_00.Trial[CONTA],$I191))</f>
        <v>1</v>
      </c>
      <c r="F191" s="4">
        <f>SUMIFS(Tab_10.Out[SALDO
ATUAL],Tab_10.Out[CONTA],$I191)</f>
        <v>12548.87</v>
      </c>
      <c r="G191" s="4">
        <f t="shared" si="4"/>
        <v>0</v>
      </c>
      <c r="H191" s="1">
        <v>40285</v>
      </c>
      <c r="I191" s="3" t="s">
        <v>592</v>
      </c>
      <c r="J191" s="3" t="s">
        <v>699</v>
      </c>
      <c r="K191" s="4">
        <v>12548.87</v>
      </c>
      <c r="L191" s="4">
        <v>0</v>
      </c>
      <c r="M191" s="4">
        <v>0</v>
      </c>
      <c r="N191" s="4">
        <v>12548.87</v>
      </c>
      <c r="O191" s="4">
        <f>Tab_11.Nov[[#This Row],[DÉBITO]]-Tab_11.Nov[[#This Row],[CRÉDITO]]</f>
        <v>0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A</v>
      </c>
      <c r="E192" s="2">
        <f>IF($I192="","",COUNTIFS(Tab_00.Trial[CONTA],$I192))</f>
        <v>1</v>
      </c>
      <c r="F192" s="4">
        <f>SUMIFS(Tab_10.Out[SALDO
ATUAL],Tab_10.Out[CONTA],$I192)</f>
        <v>10917.24</v>
      </c>
      <c r="G192" s="4">
        <f t="shared" si="4"/>
        <v>0</v>
      </c>
      <c r="H192" s="1">
        <v>40300</v>
      </c>
      <c r="I192" s="3" t="s">
        <v>397</v>
      </c>
      <c r="J192" s="3" t="s">
        <v>398</v>
      </c>
      <c r="K192" s="4">
        <v>10917.24</v>
      </c>
      <c r="L192" s="4">
        <v>0</v>
      </c>
      <c r="M192" s="4">
        <v>0</v>
      </c>
      <c r="N192" s="4">
        <v>10917.24</v>
      </c>
      <c r="O192" s="4">
        <f>Tab_11.Nov[[#This Row],[DÉBITO]]-Tab_11.Nov[[#This Row],[CRÉDITO]]</f>
        <v>0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5</v>
      </c>
      <c r="D193" s="2" t="str">
        <f>_xlfn.XLOOKUP($I193,Tab_00.Trial[CONTA],Tab_00.Trial[S/A],"",0,1)</f>
        <v>A</v>
      </c>
      <c r="E193" s="2">
        <f>IF($I193="","",COUNTIFS(Tab_00.Trial[CONTA],$I193))</f>
        <v>1</v>
      </c>
      <c r="F193" s="4">
        <f>SUMIFS(Tab_10.Out[SALDO
ATUAL],Tab_10.Out[CONTA],$I193)</f>
        <v>1631.63</v>
      </c>
      <c r="G193" s="4">
        <f t="shared" si="4"/>
        <v>0</v>
      </c>
      <c r="H193" s="1">
        <v>40315</v>
      </c>
      <c r="I193" s="3" t="s">
        <v>399</v>
      </c>
      <c r="J193" s="3" t="s">
        <v>400</v>
      </c>
      <c r="K193" s="4">
        <v>1631.63</v>
      </c>
      <c r="L193" s="4">
        <v>0</v>
      </c>
      <c r="M193" s="4">
        <v>0</v>
      </c>
      <c r="N193" s="4">
        <v>1631.63</v>
      </c>
      <c r="O193" s="4">
        <f>Tab_11.Nov[[#This Row],[DÉBITO]]-Tab_11.Nov[[#This Row],[CRÉDITO]]</f>
        <v>0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5</v>
      </c>
      <c r="D194" s="2" t="str">
        <f>_xlfn.XLOOKUP($I194,Tab_00.Trial[CONTA],Tab_00.Trial[S/A],"",0,1)</f>
        <v>S</v>
      </c>
      <c r="E194" s="2">
        <f>IF($I194="","",COUNTIFS(Tab_00.Trial[CONTA],$I194))</f>
        <v>1</v>
      </c>
      <c r="F194" s="4">
        <f>SUMIFS(Tab_10.Out[SALDO
ATUAL],Tab_10.Out[CONTA],$I194)</f>
        <v>353386.65</v>
      </c>
      <c r="G194" s="4">
        <f t="shared" si="4"/>
        <v>0</v>
      </c>
      <c r="H194" s="1">
        <v>40295</v>
      </c>
      <c r="I194" s="3" t="s">
        <v>593</v>
      </c>
      <c r="J194" s="3" t="s">
        <v>711</v>
      </c>
      <c r="K194" s="4">
        <v>353386.65</v>
      </c>
      <c r="L194" s="4">
        <v>44875.55</v>
      </c>
      <c r="M194" s="4">
        <v>0</v>
      </c>
      <c r="N194" s="4">
        <v>398262.2</v>
      </c>
      <c r="O194" s="4">
        <f>Tab_11.Nov[[#This Row],[DÉBITO]]-Tab_11.Nov[[#This Row],[CRÉDITO]]</f>
        <v>44875.55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A</v>
      </c>
      <c r="E195" s="2">
        <f>IF($I195="","",COUNTIFS(Tab_00.Trial[CONTA],$I195))</f>
        <v>1</v>
      </c>
      <c r="F195" s="4">
        <f>SUMIFS(Tab_10.Out[SALDO
ATUAL],Tab_10.Out[CONTA],$I195)</f>
        <v>43709.4</v>
      </c>
      <c r="G195" s="4">
        <f t="shared" si="4"/>
        <v>0</v>
      </c>
      <c r="H195" s="1">
        <v>40339</v>
      </c>
      <c r="I195" s="3" t="s">
        <v>403</v>
      </c>
      <c r="J195" s="3" t="s">
        <v>404</v>
      </c>
      <c r="K195" s="4">
        <v>43709.4</v>
      </c>
      <c r="L195" s="4">
        <v>4665.55</v>
      </c>
      <c r="M195" s="4">
        <v>0</v>
      </c>
      <c r="N195" s="4">
        <v>48374.95</v>
      </c>
      <c r="O195" s="4">
        <f>Tab_11.Nov[[#This Row],[DÉBITO]]-Tab_11.Nov[[#This Row],[CRÉDITO]]</f>
        <v>4665.55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A</v>
      </c>
      <c r="E196" s="2">
        <f>IF($I196="","",COUNTIFS(Tab_00.Trial[CONTA],$I196))</f>
        <v>1</v>
      </c>
      <c r="F196" s="4">
        <f>SUMIFS(Tab_10.Out[SALDO
ATUAL],Tab_10.Out[CONTA],$I196)</f>
        <v>289312</v>
      </c>
      <c r="G196" s="4">
        <f t="shared" si="4"/>
        <v>0</v>
      </c>
      <c r="H196" s="1">
        <v>40341</v>
      </c>
      <c r="I196" s="3" t="s">
        <v>405</v>
      </c>
      <c r="J196" s="3" t="s">
        <v>406</v>
      </c>
      <c r="K196" s="4">
        <v>289312</v>
      </c>
      <c r="L196" s="4">
        <v>40210</v>
      </c>
      <c r="M196" s="4">
        <v>0</v>
      </c>
      <c r="N196" s="4">
        <v>329522</v>
      </c>
      <c r="O196" s="4">
        <f>Tab_11.Nov[[#This Row],[DÉBITO]]-Tab_11.Nov[[#This Row],[CRÉDITO]]</f>
        <v>40210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5</v>
      </c>
      <c r="D197" s="2" t="str">
        <f>_xlfn.XLOOKUP($I197,Tab_00.Trial[CONTA],Tab_00.Trial[S/A],"",0,1)</f>
        <v>A</v>
      </c>
      <c r="E197" s="2">
        <f>IF($I197="","",COUNTIFS(Tab_00.Trial[CONTA],$I197))</f>
        <v>1</v>
      </c>
      <c r="F197" s="4">
        <f>SUMIFS(Tab_10.Out[SALDO
ATUAL],Tab_10.Out[CONTA],$I197)</f>
        <v>20365.25</v>
      </c>
      <c r="G197" s="4">
        <f t="shared" si="4"/>
        <v>0</v>
      </c>
      <c r="H197" s="1">
        <v>40350</v>
      </c>
      <c r="I197" s="3" t="s">
        <v>407</v>
      </c>
      <c r="J197" s="3" t="s">
        <v>408</v>
      </c>
      <c r="K197" s="4">
        <v>20365.25</v>
      </c>
      <c r="L197" s="4">
        <v>0</v>
      </c>
      <c r="M197" s="4">
        <v>0</v>
      </c>
      <c r="N197" s="4">
        <v>20365.25</v>
      </c>
      <c r="O197" s="4">
        <f>Tab_11.Nov[[#This Row],[DÉBITO]]-Tab_11.Nov[[#This Row],[CRÉDITO]]</f>
        <v>0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5</v>
      </c>
      <c r="D198" s="2" t="str">
        <f>_xlfn.XLOOKUP($I198,Tab_00.Trial[CONTA],Tab_00.Trial[S/A],"",0,1)</f>
        <v>S</v>
      </c>
      <c r="E198" s="2">
        <f>IF($I198="","",COUNTIFS(Tab_00.Trial[CONTA],$I198))</f>
        <v>1</v>
      </c>
      <c r="F198" s="4">
        <f>SUMIFS(Tab_10.Out[SALDO
ATUAL],Tab_10.Out[CONTA],$I198)</f>
        <v>145956.13</v>
      </c>
      <c r="G198" s="4">
        <f t="shared" si="4"/>
        <v>0</v>
      </c>
      <c r="H198" s="1">
        <v>40353</v>
      </c>
      <c r="I198" s="3" t="s">
        <v>594</v>
      </c>
      <c r="J198" s="3" t="s">
        <v>819</v>
      </c>
      <c r="K198" s="4">
        <v>145956.13</v>
      </c>
      <c r="L198" s="4">
        <v>15078.88</v>
      </c>
      <c r="M198" s="4">
        <v>0</v>
      </c>
      <c r="N198" s="4">
        <v>161035.01</v>
      </c>
      <c r="O198" s="4">
        <f>Tab_11.Nov[[#This Row],[DÉBITO]]-Tab_11.Nov[[#This Row],[CRÉDITO]]</f>
        <v>15078.88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5</v>
      </c>
      <c r="D199" s="2" t="str">
        <f>_xlfn.XLOOKUP($I199,Tab_00.Trial[CONTA],Tab_00.Trial[S/A],"",0,1)</f>
        <v>A</v>
      </c>
      <c r="E199" s="2">
        <f>IF($I199="","",COUNTIFS(Tab_00.Trial[CONTA],$I199))</f>
        <v>1</v>
      </c>
      <c r="F199" s="4">
        <f>SUMIFS(Tab_10.Out[SALDO
ATUAL],Tab_10.Out[CONTA],$I199)</f>
        <v>300</v>
      </c>
      <c r="G199" s="4">
        <f t="shared" si="4"/>
        <v>0</v>
      </c>
      <c r="H199" s="1">
        <v>40354</v>
      </c>
      <c r="I199" s="3" t="s">
        <v>411</v>
      </c>
      <c r="J199" s="3" t="s">
        <v>412</v>
      </c>
      <c r="K199" s="4">
        <v>300</v>
      </c>
      <c r="L199" s="4">
        <v>0</v>
      </c>
      <c r="M199" s="4">
        <v>0</v>
      </c>
      <c r="N199" s="4">
        <v>300</v>
      </c>
      <c r="O199" s="4">
        <f>Tab_11.Nov[[#This Row],[DÉBITO]]-Tab_11.Nov[[#This Row],[CRÉDITO]]</f>
        <v>0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5</v>
      </c>
      <c r="D200" s="2" t="str">
        <f>_xlfn.XLOOKUP($I200,Tab_00.Trial[CONTA],Tab_00.Trial[S/A],"",0,1)</f>
        <v>A</v>
      </c>
      <c r="E200" s="2">
        <f>IF($I200="","",COUNTIFS(Tab_00.Trial[CONTA],$I200))</f>
        <v>1</v>
      </c>
      <c r="F200" s="4">
        <f>SUMIFS(Tab_10.Out[SALDO
ATUAL],Tab_10.Out[CONTA],$I200)</f>
        <v>145603.67000000001</v>
      </c>
      <c r="G200" s="4">
        <f t="shared" si="4"/>
        <v>0</v>
      </c>
      <c r="H200" s="1">
        <v>40355</v>
      </c>
      <c r="I200" s="3" t="s">
        <v>413</v>
      </c>
      <c r="J200" s="3" t="s">
        <v>414</v>
      </c>
      <c r="K200" s="4">
        <v>145603.67000000001</v>
      </c>
      <c r="L200" s="4">
        <v>15078.88</v>
      </c>
      <c r="M200" s="4">
        <v>0</v>
      </c>
      <c r="N200" s="4">
        <v>160682.54999999999</v>
      </c>
      <c r="O200" s="4">
        <f>Tab_11.Nov[[#This Row],[DÉBITO]]-Tab_11.Nov[[#This Row],[CRÉDITO]]</f>
        <v>15078.88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5</v>
      </c>
      <c r="D201" s="2" t="str">
        <f>_xlfn.XLOOKUP($I201,Tab_00.Trial[CONTA],Tab_00.Trial[S/A],"",0,1)</f>
        <v>A</v>
      </c>
      <c r="E201" s="2">
        <f>IF($I201="","",COUNTIFS(Tab_00.Trial[CONTA],$I201))</f>
        <v>1</v>
      </c>
      <c r="F201" s="4">
        <f>SUMIFS(Tab_10.Out[SALDO
ATUAL],Tab_10.Out[CONTA],$I201)</f>
        <v>52.46</v>
      </c>
      <c r="G201" s="4">
        <f t="shared" si="4"/>
        <v>0</v>
      </c>
      <c r="H201" s="1">
        <v>40358</v>
      </c>
      <c r="I201" s="3" t="s">
        <v>417</v>
      </c>
      <c r="J201" s="3" t="s">
        <v>418</v>
      </c>
      <c r="K201" s="4">
        <v>52.46</v>
      </c>
      <c r="L201" s="4">
        <v>0</v>
      </c>
      <c r="M201" s="4">
        <v>0</v>
      </c>
      <c r="N201" s="4">
        <v>52.46</v>
      </c>
      <c r="O201" s="4">
        <f>Tab_11.Nov[[#This Row],[DÉBITO]]-Tab_11.Nov[[#This Row],[CRÉDITO]]</f>
        <v>0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5</v>
      </c>
      <c r="D202" s="2" t="str">
        <f>_xlfn.XLOOKUP($I202,Tab_00.Trial[CONTA],Tab_00.Trial[S/A],"",0,1)</f>
        <v>S</v>
      </c>
      <c r="E202" s="2">
        <f>IF($I202="","",COUNTIFS(Tab_00.Trial[CONTA],$I202))</f>
        <v>1</v>
      </c>
      <c r="F202" s="4">
        <f>SUMIFS(Tab_10.Out[SALDO
ATUAL],Tab_10.Out[CONTA],$I202)</f>
        <v>6667.87</v>
      </c>
      <c r="G202" s="4">
        <f t="shared" si="4"/>
        <v>0</v>
      </c>
      <c r="H202" s="1">
        <v>40365</v>
      </c>
      <c r="I202" s="3" t="s">
        <v>595</v>
      </c>
      <c r="J202" s="3" t="s">
        <v>420</v>
      </c>
      <c r="K202" s="4">
        <v>6667.87</v>
      </c>
      <c r="L202" s="4">
        <v>427.26</v>
      </c>
      <c r="M202" s="4">
        <v>0</v>
      </c>
      <c r="N202" s="4">
        <v>7095.13</v>
      </c>
      <c r="O202" s="4">
        <f>Tab_11.Nov[[#This Row],[DÉBITO]]-Tab_11.Nov[[#This Row],[CRÉDITO]]</f>
        <v>427.26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5</v>
      </c>
      <c r="D203" s="2" t="str">
        <f>_xlfn.XLOOKUP($I203,Tab_00.Trial[CONTA],Tab_00.Trial[S/A],"",0,1)</f>
        <v>A</v>
      </c>
      <c r="E203" s="2">
        <f>IF($I203="","",COUNTIFS(Tab_00.Trial[CONTA],$I203))</f>
        <v>1</v>
      </c>
      <c r="F203" s="4">
        <f>SUMIFS(Tab_10.Out[SALDO
ATUAL],Tab_10.Out[CONTA],$I203)</f>
        <v>6667.87</v>
      </c>
      <c r="G203" s="4">
        <f t="shared" si="4"/>
        <v>0</v>
      </c>
      <c r="H203" s="1">
        <v>40366</v>
      </c>
      <c r="I203" s="3" t="s">
        <v>419</v>
      </c>
      <c r="J203" s="3" t="s">
        <v>420</v>
      </c>
      <c r="K203" s="4">
        <v>6667.87</v>
      </c>
      <c r="L203" s="4">
        <v>427.26</v>
      </c>
      <c r="M203" s="4">
        <v>0</v>
      </c>
      <c r="N203" s="4">
        <v>7095.13</v>
      </c>
      <c r="O203" s="4">
        <f>Tab_11.Nov[[#This Row],[DÉBITO]]-Tab_11.Nov[[#This Row],[CRÉDITO]]</f>
        <v>427.26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5</v>
      </c>
      <c r="D204" s="2" t="str">
        <f>_xlfn.XLOOKUP($I204,Tab_00.Trial[CONTA],Tab_00.Trial[S/A],"",0,1)</f>
        <v>S</v>
      </c>
      <c r="E204" s="2">
        <f>IF($I204="","",COUNTIFS(Tab_00.Trial[CONTA],$I204))</f>
        <v>1</v>
      </c>
      <c r="F204" s="4">
        <f>SUMIFS(Tab_10.Out[SALDO
ATUAL],Tab_10.Out[CONTA],$I204)</f>
        <v>6716740.7300000004</v>
      </c>
      <c r="G204" s="4">
        <f t="shared" si="4"/>
        <v>0</v>
      </c>
      <c r="H204" s="1">
        <v>40345</v>
      </c>
      <c r="I204" s="3" t="s">
        <v>237</v>
      </c>
      <c r="J204" s="3" t="s">
        <v>702</v>
      </c>
      <c r="K204" s="4">
        <v>6716740.7300000004</v>
      </c>
      <c r="L204" s="4">
        <v>297490.43</v>
      </c>
      <c r="M204" s="4">
        <v>0</v>
      </c>
      <c r="N204" s="4">
        <v>7014231.1600000001</v>
      </c>
      <c r="O204" s="4">
        <f>Tab_11.Nov[[#This Row],[DÉBITO]]-Tab_11.Nov[[#This Row],[CRÉDITO]]</f>
        <v>297490.43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5</v>
      </c>
      <c r="D205" s="2" t="str">
        <f>_xlfn.XLOOKUP($I205,Tab_00.Trial[CONTA],Tab_00.Trial[S/A],"",0,1)</f>
        <v>S</v>
      </c>
      <c r="E205" s="2">
        <f>IF($I205="","",COUNTIFS(Tab_00.Trial[CONTA],$I205))</f>
        <v>1</v>
      </c>
      <c r="F205" s="4">
        <f>SUMIFS(Tab_10.Out[SALDO
ATUAL],Tab_10.Out[CONTA],$I205)</f>
        <v>6716740.7300000004</v>
      </c>
      <c r="G205" s="4">
        <f t="shared" si="4"/>
        <v>0</v>
      </c>
      <c r="H205" s="1">
        <v>40360</v>
      </c>
      <c r="I205" s="3" t="s">
        <v>238</v>
      </c>
      <c r="J205" s="3" t="s">
        <v>820</v>
      </c>
      <c r="K205" s="4">
        <v>6716740.7300000004</v>
      </c>
      <c r="L205" s="4">
        <v>297490.43</v>
      </c>
      <c r="M205" s="4">
        <v>0</v>
      </c>
      <c r="N205" s="4">
        <v>7014231.1600000001</v>
      </c>
      <c r="O205" s="4">
        <f>Tab_11.Nov[[#This Row],[DÉBITO]]-Tab_11.Nov[[#This Row],[CRÉDITO]]</f>
        <v>297490.43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5</v>
      </c>
      <c r="D206" s="2" t="str">
        <f>_xlfn.XLOOKUP($I206,Tab_00.Trial[CONTA],Tab_00.Trial[S/A],"",0,1)</f>
        <v>A</v>
      </c>
      <c r="E206" s="2">
        <f>IF($I206="","",COUNTIFS(Tab_00.Trial[CONTA],$I206))</f>
        <v>1</v>
      </c>
      <c r="F206" s="4">
        <f>SUMIFS(Tab_10.Out[SALDO
ATUAL],Tab_10.Out[CONTA],$I206)</f>
        <v>2555246.16</v>
      </c>
      <c r="G206" s="4">
        <f t="shared" si="4"/>
        <v>0</v>
      </c>
      <c r="H206" s="1">
        <v>40425</v>
      </c>
      <c r="I206" s="3" t="s">
        <v>421</v>
      </c>
      <c r="J206" s="3" t="s">
        <v>422</v>
      </c>
      <c r="K206" s="4">
        <v>2555246.16</v>
      </c>
      <c r="L206" s="4">
        <v>188073.31</v>
      </c>
      <c r="M206" s="4">
        <v>0</v>
      </c>
      <c r="N206" s="4">
        <v>2743319.47</v>
      </c>
      <c r="O206" s="4">
        <f>Tab_11.Nov[[#This Row],[DÉBITO]]-Tab_11.Nov[[#This Row],[CRÉDITO]]</f>
        <v>188073.31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5</v>
      </c>
      <c r="D207" s="2" t="str">
        <f>_xlfn.XLOOKUP($I207,Tab_00.Trial[CONTA],Tab_00.Trial[S/A],"",0,1)</f>
        <v>A</v>
      </c>
      <c r="E207" s="2">
        <f>IF($I207="","",COUNTIFS(Tab_00.Trial[CONTA],$I207))</f>
        <v>1</v>
      </c>
      <c r="F207" s="4">
        <f>SUMIFS(Tab_10.Out[SALDO
ATUAL],Tab_10.Out[CONTA],$I207)</f>
        <v>1333697.1200000001</v>
      </c>
      <c r="G207" s="4">
        <f t="shared" ref="G207:G270" si="5">$F207-$K207</f>
        <v>0</v>
      </c>
      <c r="H207" s="1">
        <v>40468</v>
      </c>
      <c r="I207" s="3" t="s">
        <v>738</v>
      </c>
      <c r="J207" s="3" t="s">
        <v>367</v>
      </c>
      <c r="K207" s="4">
        <v>1333697.1200000001</v>
      </c>
      <c r="L207" s="4">
        <v>109417.12</v>
      </c>
      <c r="M207" s="4">
        <v>0</v>
      </c>
      <c r="N207" s="4">
        <v>1443114.24</v>
      </c>
      <c r="O207" s="4">
        <f>Tab_11.Nov[[#This Row],[DÉBITO]]-Tab_11.Nov[[#This Row],[CRÉDITO]]</f>
        <v>109417.12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5</v>
      </c>
      <c r="D208" s="2" t="str">
        <f>_xlfn.XLOOKUP($I208,Tab_00.Trial[CONTA],Tab_00.Trial[S/A],"",0,1)</f>
        <v>A</v>
      </c>
      <c r="E208" s="2">
        <f>IF($I208="","",COUNTIFS(Tab_00.Trial[CONTA],$I208))</f>
        <v>1</v>
      </c>
      <c r="F208" s="4">
        <f>SUMIFS(Tab_10.Out[SALDO
ATUAL],Tab_10.Out[CONTA],$I208)</f>
        <v>2827797.45</v>
      </c>
      <c r="G208" s="4">
        <f t="shared" si="5"/>
        <v>0</v>
      </c>
      <c r="H208" s="1">
        <v>40469</v>
      </c>
      <c r="I208" s="3" t="s">
        <v>423</v>
      </c>
      <c r="J208" s="3" t="s">
        <v>424</v>
      </c>
      <c r="K208" s="4">
        <v>2827797.45</v>
      </c>
      <c r="L208" s="4">
        <v>0</v>
      </c>
      <c r="M208" s="4">
        <v>0</v>
      </c>
      <c r="N208" s="4">
        <v>2827797.45</v>
      </c>
      <c r="O208" s="4">
        <f>Tab_11.Nov[[#This Row],[DÉBITO]]-Tab_11.Nov[[#This Row],[CRÉDITO]]</f>
        <v>0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2</v>
      </c>
      <c r="D209" s="2" t="str">
        <f>_xlfn.XLOOKUP($I209,Tab_00.Trial[CONTA],Tab_00.Trial[S/A],"",0,1)</f>
        <v>S</v>
      </c>
      <c r="E209" s="2">
        <f>IF($I209="","",COUNTIFS(Tab_00.Trial[CONTA],$I209))</f>
        <v>1</v>
      </c>
      <c r="F209" s="4">
        <f>SUMIFS(Tab_10.Out[SALDO
ATUAL],Tab_10.Out[CONTA],$I209)</f>
        <v>840.84</v>
      </c>
      <c r="G209" s="4">
        <f t="shared" si="5"/>
        <v>0</v>
      </c>
      <c r="H209" s="1">
        <v>40590</v>
      </c>
      <c r="I209" s="3" t="s">
        <v>596</v>
      </c>
      <c r="J209" s="3" t="s">
        <v>680</v>
      </c>
      <c r="K209" s="4">
        <v>840.84</v>
      </c>
      <c r="L209" s="4">
        <v>430.16</v>
      </c>
      <c r="M209" s="4">
        <v>0</v>
      </c>
      <c r="N209" s="4">
        <v>1271</v>
      </c>
      <c r="O209" s="4">
        <f>Tab_11.Nov[[#This Row],[DÉBITO]]-Tab_11.Nov[[#This Row],[CRÉDITO]]</f>
        <v>430.16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5</v>
      </c>
      <c r="D210" s="2" t="str">
        <f>_xlfn.XLOOKUP($I210,Tab_00.Trial[CONTA],Tab_00.Trial[S/A],"",0,1)</f>
        <v>S</v>
      </c>
      <c r="E210" s="2">
        <f>IF($I210="","",COUNTIFS(Tab_00.Trial[CONTA],$I210))</f>
        <v>1</v>
      </c>
      <c r="F210" s="4">
        <f>SUMIFS(Tab_10.Out[SALDO
ATUAL],Tab_10.Out[CONTA],$I210)</f>
        <v>840.84</v>
      </c>
      <c r="G210" s="4">
        <f t="shared" si="5"/>
        <v>0</v>
      </c>
      <c r="H210" s="1">
        <v>40600</v>
      </c>
      <c r="I210" s="3" t="s">
        <v>597</v>
      </c>
      <c r="J210" s="3" t="s">
        <v>703</v>
      </c>
      <c r="K210" s="4">
        <v>840.84</v>
      </c>
      <c r="L210" s="4">
        <v>430.16</v>
      </c>
      <c r="M210" s="4">
        <v>0</v>
      </c>
      <c r="N210" s="4">
        <v>1271</v>
      </c>
      <c r="O210" s="4">
        <f>Tab_11.Nov[[#This Row],[DÉBITO]]-Tab_11.Nov[[#This Row],[CRÉDITO]]</f>
        <v>430.16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5</v>
      </c>
      <c r="D211" s="2" t="str">
        <f>_xlfn.XLOOKUP($I211,Tab_00.Trial[CONTA],Tab_00.Trial[S/A],"",0,1)</f>
        <v>S</v>
      </c>
      <c r="E211" s="2">
        <f>IF($I211="","",COUNTIFS(Tab_00.Trial[CONTA],$I211))</f>
        <v>1</v>
      </c>
      <c r="F211" s="4">
        <f>SUMIFS(Tab_10.Out[SALDO
ATUAL],Tab_10.Out[CONTA],$I211)</f>
        <v>840.84</v>
      </c>
      <c r="G211" s="4">
        <f t="shared" si="5"/>
        <v>0</v>
      </c>
      <c r="H211" s="1">
        <v>40615</v>
      </c>
      <c r="I211" s="3" t="s">
        <v>598</v>
      </c>
      <c r="J211" s="3" t="s">
        <v>704</v>
      </c>
      <c r="K211" s="4">
        <v>840.84</v>
      </c>
      <c r="L211" s="4">
        <v>430.16</v>
      </c>
      <c r="M211" s="4">
        <v>0</v>
      </c>
      <c r="N211" s="4">
        <v>1271</v>
      </c>
      <c r="O211" s="4">
        <f>Tab_11.Nov[[#This Row],[DÉBITO]]-Tab_11.Nov[[#This Row],[CRÉDITO]]</f>
        <v>430.16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A</v>
      </c>
      <c r="E212" s="2">
        <f>IF($I212="","",COUNTIFS(Tab_00.Trial[CONTA],$I212))</f>
        <v>1</v>
      </c>
      <c r="F212" s="4">
        <f>SUMIFS(Tab_10.Out[SALDO
ATUAL],Tab_10.Out[CONTA],$I212)</f>
        <v>840.84</v>
      </c>
      <c r="G212" s="4">
        <f t="shared" si="5"/>
        <v>0</v>
      </c>
      <c r="H212" s="1">
        <v>40620</v>
      </c>
      <c r="I212" s="3" t="s">
        <v>425</v>
      </c>
      <c r="J212" s="3" t="s">
        <v>426</v>
      </c>
      <c r="K212" s="4">
        <v>840.84</v>
      </c>
      <c r="L212" s="4">
        <v>430.16</v>
      </c>
      <c r="M212" s="4">
        <v>0</v>
      </c>
      <c r="N212" s="4">
        <v>1271</v>
      </c>
      <c r="O212" s="4">
        <f>Tab_11.Nov[[#This Row],[DÉBITO]]-Tab_11.Nov[[#This Row],[CRÉDITO]]</f>
        <v>430.16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1</v>
      </c>
      <c r="D213" s="2" t="str">
        <f>_xlfn.XLOOKUP($I213,Tab_00.Trial[CONTA],Tab_00.Trial[S/A],"",0,1)</f>
        <v>S</v>
      </c>
      <c r="E213" s="2">
        <f>IF($I213="","",COUNTIFS(Tab_00.Trial[CONTA],$I213))</f>
        <v>1</v>
      </c>
      <c r="F213" s="4">
        <f>SUMIFS(Tab_10.Out[SALDO
ATUAL],Tab_10.Out[CONTA],$I213)</f>
        <v>2882221.89</v>
      </c>
      <c r="G213" s="4">
        <f t="shared" si="5"/>
        <v>0</v>
      </c>
      <c r="H213" s="1">
        <v>50000</v>
      </c>
      <c r="I213" s="3">
        <v>5</v>
      </c>
      <c r="J213" s="3" t="s">
        <v>705</v>
      </c>
      <c r="K213" s="4">
        <v>2882221.89</v>
      </c>
      <c r="L213" s="4">
        <v>283805.82</v>
      </c>
      <c r="M213" s="4">
        <v>11437.36</v>
      </c>
      <c r="N213" s="4">
        <v>3154590.35</v>
      </c>
      <c r="O213" s="4">
        <f>Tab_11.Nov[[#This Row],[DÉBITO]]-Tab_11.Nov[[#This Row],[CRÉDITO]]</f>
        <v>272368.46000000002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2</v>
      </c>
      <c r="D214" s="2" t="str">
        <f>_xlfn.XLOOKUP($I214,Tab_00.Trial[CONTA],Tab_00.Trial[S/A],"",0,1)</f>
        <v>S</v>
      </c>
      <c r="E214" s="2">
        <f>IF($I214="","",COUNTIFS(Tab_00.Trial[CONTA],$I214))</f>
        <v>1</v>
      </c>
      <c r="F214" s="4">
        <f>SUMIFS(Tab_10.Out[SALDO
ATUAL],Tab_10.Out[CONTA],$I214)</f>
        <v>2882005.89</v>
      </c>
      <c r="G214" s="4">
        <f t="shared" si="5"/>
        <v>0</v>
      </c>
      <c r="H214" s="1">
        <v>50015</v>
      </c>
      <c r="I214" s="3" t="s">
        <v>599</v>
      </c>
      <c r="J214" s="3" t="s">
        <v>821</v>
      </c>
      <c r="K214" s="4">
        <v>2882005.89</v>
      </c>
      <c r="L214" s="4">
        <v>283805.82</v>
      </c>
      <c r="M214" s="4">
        <v>11437.36</v>
      </c>
      <c r="N214" s="4">
        <v>3154374.35</v>
      </c>
      <c r="O214" s="4">
        <f>Tab_11.Nov[[#This Row],[DÉBITO]]-Tab_11.Nov[[#This Row],[CRÉDITO]]</f>
        <v>272368.46000000002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S</v>
      </c>
      <c r="E215" s="2">
        <f>IF($I215="","",COUNTIFS(Tab_00.Trial[CONTA],$I215))</f>
        <v>1</v>
      </c>
      <c r="F215" s="4">
        <f>SUMIFS(Tab_10.Out[SALDO
ATUAL],Tab_10.Out[CONTA],$I215)</f>
        <v>1015110.9</v>
      </c>
      <c r="G215" s="4">
        <f t="shared" si="5"/>
        <v>0</v>
      </c>
      <c r="H215" s="1">
        <v>50030</v>
      </c>
      <c r="I215" s="3" t="s">
        <v>600</v>
      </c>
      <c r="J215" s="3" t="s">
        <v>706</v>
      </c>
      <c r="K215" s="4">
        <v>1015110.9</v>
      </c>
      <c r="L215" s="4">
        <v>82855.12</v>
      </c>
      <c r="M215" s="4">
        <v>11432.48</v>
      </c>
      <c r="N215" s="4">
        <v>1086533.54</v>
      </c>
      <c r="O215" s="4">
        <f>Tab_11.Nov[[#This Row],[DÉBITO]]-Tab_11.Nov[[#This Row],[CRÉDITO]]</f>
        <v>71422.64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S</v>
      </c>
      <c r="E216" s="2">
        <f>IF($I216="","",COUNTIFS(Tab_00.Trial[CONTA],$I216))</f>
        <v>1</v>
      </c>
      <c r="F216" s="4">
        <f>SUMIFS(Tab_10.Out[SALDO
ATUAL],Tab_10.Out[CONTA],$I216)</f>
        <v>672412.16000000003</v>
      </c>
      <c r="G216" s="4">
        <f t="shared" si="5"/>
        <v>0</v>
      </c>
      <c r="H216" s="1">
        <v>50045</v>
      </c>
      <c r="I216" s="3" t="s">
        <v>601</v>
      </c>
      <c r="J216" s="3" t="s">
        <v>707</v>
      </c>
      <c r="K216" s="4">
        <v>672412.16000000003</v>
      </c>
      <c r="L216" s="4">
        <v>67367.94</v>
      </c>
      <c r="M216" s="4">
        <v>11432.48</v>
      </c>
      <c r="N216" s="4">
        <v>728347.62</v>
      </c>
      <c r="O216" s="4">
        <f>Tab_11.Nov[[#This Row],[DÉBITO]]-Tab_11.Nov[[#This Row],[CRÉDITO]]</f>
        <v>55935.46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A</v>
      </c>
      <c r="E217" s="2">
        <f>IF($I217="","",COUNTIFS(Tab_00.Trial[CONTA],$I217))</f>
        <v>1</v>
      </c>
      <c r="F217" s="4">
        <f>SUMIFS(Tab_10.Out[SALDO
ATUAL],Tab_10.Out[CONTA],$I217)</f>
        <v>443857.25</v>
      </c>
      <c r="G217" s="4">
        <f t="shared" si="5"/>
        <v>0</v>
      </c>
      <c r="H217" s="1">
        <v>50060</v>
      </c>
      <c r="I217" s="3" t="s">
        <v>441</v>
      </c>
      <c r="J217" s="3" t="s">
        <v>427</v>
      </c>
      <c r="K217" s="4">
        <v>443857.25</v>
      </c>
      <c r="L217" s="4">
        <v>55620.98</v>
      </c>
      <c r="M217" s="4">
        <v>11432.48</v>
      </c>
      <c r="N217" s="4">
        <v>488045.75</v>
      </c>
      <c r="O217" s="4">
        <f>Tab_11.Nov[[#This Row],[DÉBITO]]-Tab_11.Nov[[#This Row],[CRÉDITO]]</f>
        <v>44188.5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A</v>
      </c>
      <c r="E218" s="2">
        <f>IF($I218="","",COUNTIFS(Tab_00.Trial[CONTA],$I218))</f>
        <v>1</v>
      </c>
      <c r="F218" s="4">
        <f>SUMIFS(Tab_10.Out[SALDO
ATUAL],Tab_10.Out[CONTA],$I218)</f>
        <v>55069.19</v>
      </c>
      <c r="G218" s="4">
        <f t="shared" si="5"/>
        <v>0</v>
      </c>
      <c r="H218" s="1">
        <v>50090</v>
      </c>
      <c r="I218" s="3" t="s">
        <v>443</v>
      </c>
      <c r="J218" s="3" t="s">
        <v>431</v>
      </c>
      <c r="K218" s="4">
        <v>55069.19</v>
      </c>
      <c r="L218" s="4">
        <v>0</v>
      </c>
      <c r="M218" s="4">
        <v>0</v>
      </c>
      <c r="N218" s="4">
        <v>55069.19</v>
      </c>
      <c r="O218" s="4">
        <f>Tab_11.Nov[[#This Row],[DÉBITO]]-Tab_11.Nov[[#This Row],[CRÉDITO]]</f>
        <v>0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A</v>
      </c>
      <c r="E219" s="2">
        <f>IF($I219="","",COUNTIFS(Tab_00.Trial[CONTA],$I219))</f>
        <v>1</v>
      </c>
      <c r="F219" s="4">
        <f>SUMIFS(Tab_10.Out[SALDO
ATUAL],Tab_10.Out[CONTA],$I219)</f>
        <v>49850.7</v>
      </c>
      <c r="G219" s="4">
        <f t="shared" si="5"/>
        <v>0</v>
      </c>
      <c r="H219" s="1">
        <v>50105</v>
      </c>
      <c r="I219" s="3" t="s">
        <v>444</v>
      </c>
      <c r="J219" s="3" t="s">
        <v>433</v>
      </c>
      <c r="K219" s="4">
        <v>49850.7</v>
      </c>
      <c r="L219" s="4">
        <v>8651.6200000000008</v>
      </c>
      <c r="M219" s="4">
        <v>0</v>
      </c>
      <c r="N219" s="4">
        <v>58502.32</v>
      </c>
      <c r="O219" s="4">
        <f>Tab_11.Nov[[#This Row],[DÉBITO]]-Tab_11.Nov[[#This Row],[CRÉDITO]]</f>
        <v>8651.6200000000008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A</v>
      </c>
      <c r="E220" s="2">
        <f>IF($I220="","",COUNTIFS(Tab_00.Trial[CONTA],$I220))</f>
        <v>1</v>
      </c>
      <c r="F220" s="4">
        <f>SUMIFS(Tab_10.Out[SALDO
ATUAL],Tab_10.Out[CONTA],$I220)</f>
        <v>85959.77</v>
      </c>
      <c r="G220" s="4">
        <f t="shared" si="5"/>
        <v>0</v>
      </c>
      <c r="H220" s="1">
        <v>50120</v>
      </c>
      <c r="I220" s="3" t="s">
        <v>775</v>
      </c>
      <c r="J220" s="3" t="s">
        <v>749</v>
      </c>
      <c r="K220" s="4">
        <v>85959.77</v>
      </c>
      <c r="L220" s="4">
        <v>0</v>
      </c>
      <c r="M220" s="4">
        <v>0</v>
      </c>
      <c r="N220" s="4">
        <v>85959.77</v>
      </c>
      <c r="O220" s="4">
        <f>Tab_11.Nov[[#This Row],[DÉBITO]]-Tab_11.Nov[[#This Row],[CRÉDITO]]</f>
        <v>0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A</v>
      </c>
      <c r="E221" s="2">
        <f>IF($I221="","",COUNTIFS(Tab_00.Trial[CONTA],$I221))</f>
        <v>1</v>
      </c>
      <c r="F221" s="4">
        <f>SUMIFS(Tab_10.Out[SALDO
ATUAL],Tab_10.Out[CONTA],$I221)</f>
        <v>1576.67</v>
      </c>
      <c r="G221" s="4">
        <f t="shared" si="5"/>
        <v>0</v>
      </c>
      <c r="H221" s="1">
        <v>50205</v>
      </c>
      <c r="I221" s="3" t="s">
        <v>447</v>
      </c>
      <c r="J221" s="3" t="s">
        <v>448</v>
      </c>
      <c r="K221" s="4">
        <v>1576.67</v>
      </c>
      <c r="L221" s="4">
        <v>0</v>
      </c>
      <c r="M221" s="4">
        <v>0</v>
      </c>
      <c r="N221" s="4">
        <v>1576.67</v>
      </c>
      <c r="O221" s="4">
        <f>Tab_11.Nov[[#This Row],[DÉBITO]]-Tab_11.Nov[[#This Row],[CRÉDITO]]</f>
        <v>0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A</v>
      </c>
      <c r="E222" s="2">
        <f>IF($I222="","",COUNTIFS(Tab_00.Trial[CONTA],$I222))</f>
        <v>1</v>
      </c>
      <c r="F222" s="4">
        <f>SUMIFS(Tab_10.Out[SALDO
ATUAL],Tab_10.Out[CONTA],$I222)</f>
        <v>8227.25</v>
      </c>
      <c r="G222" s="4">
        <f t="shared" si="5"/>
        <v>0</v>
      </c>
      <c r="H222" s="1">
        <v>10167</v>
      </c>
      <c r="I222" s="3" t="s">
        <v>802</v>
      </c>
      <c r="J222" s="3" t="s">
        <v>791</v>
      </c>
      <c r="K222" s="4">
        <v>8227.25</v>
      </c>
      <c r="L222" s="4">
        <v>0</v>
      </c>
      <c r="M222" s="4">
        <v>0</v>
      </c>
      <c r="N222" s="4">
        <v>8227.25</v>
      </c>
      <c r="O222" s="4">
        <f>Tab_11.Nov[[#This Row],[DÉBITO]]-Tab_11.Nov[[#This Row],[CRÉDITO]]</f>
        <v>0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A</v>
      </c>
      <c r="E223" s="2">
        <f>IF($I223="","",COUNTIFS(Tab_00.Trial[CONTA],$I223))</f>
        <v>1</v>
      </c>
      <c r="F223" s="4">
        <f>SUMIFS(Tab_10.Out[SALDO
ATUAL],Tab_10.Out[CONTA],$I223)</f>
        <v>11878.87</v>
      </c>
      <c r="G223" s="4">
        <f t="shared" si="5"/>
        <v>0</v>
      </c>
      <c r="H223" s="1">
        <v>10174</v>
      </c>
      <c r="I223" s="3" t="s">
        <v>803</v>
      </c>
      <c r="J223" s="3" t="s">
        <v>793</v>
      </c>
      <c r="K223" s="4">
        <v>11878.87</v>
      </c>
      <c r="L223" s="4">
        <v>0</v>
      </c>
      <c r="M223" s="4">
        <v>0</v>
      </c>
      <c r="N223" s="4">
        <v>11878.87</v>
      </c>
      <c r="O223" s="4">
        <f>Tab_11.Nov[[#This Row],[DÉBITO]]-Tab_11.Nov[[#This Row],[CRÉDITO]]</f>
        <v>0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A</v>
      </c>
      <c r="E224" s="2">
        <f>IF($I224="","",COUNTIFS(Tab_00.Trial[CONTA],$I224))</f>
        <v>1</v>
      </c>
      <c r="F224" s="4">
        <f>SUMIFS(Tab_10.Out[SALDO
ATUAL],Tab_10.Out[CONTA],$I224)</f>
        <v>272.25</v>
      </c>
      <c r="G224" s="4">
        <f t="shared" si="5"/>
        <v>0</v>
      </c>
      <c r="H224" s="1">
        <v>10181</v>
      </c>
      <c r="I224" s="3" t="s">
        <v>804</v>
      </c>
      <c r="J224" s="3" t="s">
        <v>795</v>
      </c>
      <c r="K224" s="4">
        <v>272.25</v>
      </c>
      <c r="L224" s="4">
        <v>0</v>
      </c>
      <c r="M224" s="4">
        <v>0</v>
      </c>
      <c r="N224" s="4">
        <v>272.25</v>
      </c>
      <c r="O224" s="4">
        <f>Tab_11.Nov[[#This Row],[DÉBITO]]-Tab_11.Nov[[#This Row],[CRÉDITO]]</f>
        <v>0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A</v>
      </c>
      <c r="E225" s="2">
        <f>IF($I225="","",COUNTIFS(Tab_00.Trial[CONTA],$I225))</f>
        <v>1</v>
      </c>
      <c r="F225" s="4">
        <f>SUMIFS(Tab_10.Out[SALDO
ATUAL],Tab_10.Out[CONTA],$I225)</f>
        <v>11758.15</v>
      </c>
      <c r="G225" s="4">
        <f t="shared" si="5"/>
        <v>0</v>
      </c>
      <c r="H225">
        <v>10188</v>
      </c>
      <c r="I225" s="3" t="s">
        <v>805</v>
      </c>
      <c r="J225" s="3" t="s">
        <v>797</v>
      </c>
      <c r="K225" s="4">
        <v>11758.15</v>
      </c>
      <c r="L225" s="4">
        <v>2316.7800000000002</v>
      </c>
      <c r="M225" s="4">
        <v>0</v>
      </c>
      <c r="N225" s="4">
        <v>14074.93</v>
      </c>
      <c r="O225" s="4">
        <f>Tab_11.Nov[[#This Row],[DÉBITO]]-Tab_11.Nov[[#This Row],[CRÉDITO]]</f>
        <v>2316.7800000000002</v>
      </c>
    </row>
    <row r="226" spans="2:15" x14ac:dyDescent="0.3">
      <c r="B226" s="2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A</v>
      </c>
      <c r="E226" s="2">
        <f>IF($I226="","",COUNTIFS(Tab_00.Trial[CONTA],$I226))</f>
        <v>1</v>
      </c>
      <c r="F226" s="4">
        <f>SUMIFS(Tab_10.Out[SALDO
ATUAL],Tab_10.Out[CONTA],$I226)</f>
        <v>3510.46</v>
      </c>
      <c r="G226" s="4">
        <f t="shared" si="5"/>
        <v>0</v>
      </c>
      <c r="H226">
        <v>10202</v>
      </c>
      <c r="I226" s="3" t="s">
        <v>806</v>
      </c>
      <c r="J226" s="3" t="s">
        <v>799</v>
      </c>
      <c r="K226" s="4">
        <v>3510.46</v>
      </c>
      <c r="L226" s="4">
        <v>692.11</v>
      </c>
      <c r="M226" s="4">
        <v>0</v>
      </c>
      <c r="N226" s="4">
        <v>4202.57</v>
      </c>
      <c r="O226" s="4">
        <f>Tab_11.Nov[[#This Row],[DÉBITO]]-Tab_11.Nov[[#This Row],[CRÉDITO]]</f>
        <v>692.11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A</v>
      </c>
      <c r="E227" s="2">
        <f>IF($I227="","",COUNTIFS(Tab_00.Trial[CONTA],$I227))</f>
        <v>1</v>
      </c>
      <c r="F227" s="4">
        <f>SUMIFS(Tab_10.Out[SALDO
ATUAL],Tab_10.Out[CONTA],$I227)</f>
        <v>451.6</v>
      </c>
      <c r="G227" s="4">
        <f t="shared" si="5"/>
        <v>0</v>
      </c>
      <c r="H227">
        <v>10209</v>
      </c>
      <c r="I227" s="3" t="s">
        <v>807</v>
      </c>
      <c r="J227" s="3" t="s">
        <v>801</v>
      </c>
      <c r="K227" s="4">
        <v>451.6</v>
      </c>
      <c r="L227" s="4">
        <v>86.45</v>
      </c>
      <c r="M227" s="4">
        <v>0</v>
      </c>
      <c r="N227" s="4">
        <v>538.04999999999995</v>
      </c>
      <c r="O227" s="4">
        <f>Tab_11.Nov[[#This Row],[DÉBITO]]-Tab_11.Nov[[#This Row],[CRÉDITO]]</f>
        <v>86.45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S</v>
      </c>
      <c r="E228" s="2">
        <f>IF($I228="","",COUNTIFS(Tab_00.Trial[CONTA],$I228))</f>
        <v>1</v>
      </c>
      <c r="F228" s="4">
        <f>SUMIFS(Tab_10.Out[SALDO
ATUAL],Tab_10.Out[CONTA],$I228)</f>
        <v>1014</v>
      </c>
      <c r="G228" s="4">
        <f t="shared" si="5"/>
        <v>0</v>
      </c>
      <c r="H228">
        <v>50150</v>
      </c>
      <c r="I228" s="3" t="s">
        <v>602</v>
      </c>
      <c r="J228" s="3" t="s">
        <v>708</v>
      </c>
      <c r="K228" s="4">
        <v>1014</v>
      </c>
      <c r="L228" s="4">
        <v>0</v>
      </c>
      <c r="M228" s="4">
        <v>0</v>
      </c>
      <c r="N228" s="4">
        <v>1014</v>
      </c>
      <c r="O228" s="4">
        <f>Tab_11.Nov[[#This Row],[DÉBITO]]-Tab_11.Nov[[#This Row],[CRÉDITO]]</f>
        <v>0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A</v>
      </c>
      <c r="E229" s="2">
        <f>IF($I229="","",COUNTIFS(Tab_00.Trial[CONTA],$I229))</f>
        <v>1</v>
      </c>
      <c r="F229" s="4">
        <f>SUMIFS(Tab_10.Out[SALDO
ATUAL],Tab_10.Out[CONTA],$I229)</f>
        <v>1014</v>
      </c>
      <c r="G229" s="4">
        <f t="shared" si="5"/>
        <v>0</v>
      </c>
      <c r="H229">
        <v>50211</v>
      </c>
      <c r="I229" s="3" t="s">
        <v>455</v>
      </c>
      <c r="J229" s="3" t="s">
        <v>456</v>
      </c>
      <c r="K229" s="4">
        <v>1014</v>
      </c>
      <c r="L229" s="4">
        <v>0</v>
      </c>
      <c r="M229" s="4">
        <v>0</v>
      </c>
      <c r="N229" s="4">
        <v>1014</v>
      </c>
      <c r="O229" s="4">
        <f>Tab_11.Nov[[#This Row],[DÉBITO]]-Tab_11.Nov[[#This Row],[CRÉDITO]]</f>
        <v>0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S</v>
      </c>
      <c r="E230" s="2">
        <f>IF($I230="","",COUNTIFS(Tab_00.Trial[CONTA],$I230))</f>
        <v>1</v>
      </c>
      <c r="F230" s="4">
        <f>SUMIFS(Tab_10.Out[SALDO
ATUAL],Tab_10.Out[CONTA],$I230)</f>
        <v>338479.74</v>
      </c>
      <c r="G230" s="4">
        <f t="shared" si="5"/>
        <v>0</v>
      </c>
      <c r="H230">
        <v>50215</v>
      </c>
      <c r="I230" s="3" t="s">
        <v>603</v>
      </c>
      <c r="J230" s="3" t="s">
        <v>709</v>
      </c>
      <c r="K230" s="4">
        <v>338479.74</v>
      </c>
      <c r="L230" s="4">
        <v>15297.18</v>
      </c>
      <c r="M230" s="4">
        <v>0</v>
      </c>
      <c r="N230" s="4">
        <v>353776.92</v>
      </c>
      <c r="O230" s="4">
        <f>Tab_11.Nov[[#This Row],[DÉBITO]]-Tab_11.Nov[[#This Row],[CRÉDITO]]</f>
        <v>15297.18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A</v>
      </c>
      <c r="E231" s="2">
        <f>IF($I231="","",COUNTIFS(Tab_00.Trial[CONTA],$I231))</f>
        <v>1</v>
      </c>
      <c r="F231" s="4">
        <f>SUMIFS(Tab_10.Out[SALDO
ATUAL],Tab_10.Out[CONTA],$I231)</f>
        <v>115530.86</v>
      </c>
      <c r="G231" s="4">
        <f t="shared" si="5"/>
        <v>0</v>
      </c>
      <c r="H231">
        <v>50225</v>
      </c>
      <c r="I231" s="3" t="s">
        <v>451</v>
      </c>
      <c r="J231" s="3" t="s">
        <v>437</v>
      </c>
      <c r="K231" s="4">
        <v>115530.86</v>
      </c>
      <c r="L231" s="4">
        <v>11451.52</v>
      </c>
      <c r="M231" s="4">
        <v>0</v>
      </c>
      <c r="N231" s="4">
        <v>126982.38</v>
      </c>
      <c r="O231" s="4">
        <f>Tab_11.Nov[[#This Row],[DÉBITO]]-Tab_11.Nov[[#This Row],[CRÉDITO]]</f>
        <v>11451.52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A</v>
      </c>
      <c r="E232" s="2">
        <f>IF($I232="","",COUNTIFS(Tab_00.Trial[CONTA],$I232))</f>
        <v>1</v>
      </c>
      <c r="F232" s="4">
        <f>SUMIFS(Tab_10.Out[SALDO
ATUAL],Tab_10.Out[CONTA],$I232)</f>
        <v>218637.43</v>
      </c>
      <c r="G232" s="4">
        <f t="shared" si="5"/>
        <v>0</v>
      </c>
      <c r="H232">
        <v>50240</v>
      </c>
      <c r="I232" s="3" t="s">
        <v>452</v>
      </c>
      <c r="J232" s="3" t="s">
        <v>196</v>
      </c>
      <c r="K232" s="4">
        <v>218637.43</v>
      </c>
      <c r="L232" s="4">
        <v>3418.36</v>
      </c>
      <c r="M232" s="4">
        <v>0</v>
      </c>
      <c r="N232" s="4">
        <v>222055.79</v>
      </c>
      <c r="O232" s="4">
        <f>Tab_11.Nov[[#This Row],[DÉBITO]]-Tab_11.Nov[[#This Row],[CRÉDITO]]</f>
        <v>3418.36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A</v>
      </c>
      <c r="E233" s="2">
        <f>IF($I233="","",COUNTIFS(Tab_00.Trial[CONTA],$I233))</f>
        <v>1</v>
      </c>
      <c r="F233" s="4">
        <f>SUMIFS(Tab_10.Out[SALDO
ATUAL],Tab_10.Out[CONTA],$I233)</f>
        <v>4311.45</v>
      </c>
      <c r="G233" s="4">
        <f t="shared" si="5"/>
        <v>0</v>
      </c>
      <c r="H233">
        <v>50255</v>
      </c>
      <c r="I233" s="3" t="s">
        <v>453</v>
      </c>
      <c r="J233" s="3" t="s">
        <v>454</v>
      </c>
      <c r="K233" s="4">
        <v>4311.45</v>
      </c>
      <c r="L233" s="4">
        <v>427.3</v>
      </c>
      <c r="M233" s="4">
        <v>0</v>
      </c>
      <c r="N233" s="4">
        <v>4738.75</v>
      </c>
      <c r="O233" s="4">
        <f>Tab_11.Nov[[#This Row],[DÉBITO]]-Tab_11.Nov[[#This Row],[CRÉDITO]]</f>
        <v>427.3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S</v>
      </c>
      <c r="E234" s="2">
        <f>IF($I234="","",COUNTIFS(Tab_00.Trial[CONTA],$I234))</f>
        <v>1</v>
      </c>
      <c r="F234" s="4">
        <f>SUMIFS(Tab_10.Out[SALDO
ATUAL],Tab_10.Out[CONTA],$I234)</f>
        <v>3205</v>
      </c>
      <c r="G234" s="4">
        <f t="shared" si="5"/>
        <v>0</v>
      </c>
      <c r="H234">
        <v>50290</v>
      </c>
      <c r="I234" s="3" t="s">
        <v>604</v>
      </c>
      <c r="J234" s="3" t="s">
        <v>710</v>
      </c>
      <c r="K234" s="4">
        <v>3205</v>
      </c>
      <c r="L234" s="4">
        <v>190</v>
      </c>
      <c r="M234" s="4">
        <v>0</v>
      </c>
      <c r="N234" s="4">
        <v>3395</v>
      </c>
      <c r="O234" s="4">
        <f>Tab_11.Nov[[#This Row],[DÉBITO]]-Tab_11.Nov[[#This Row],[CRÉDITO]]</f>
        <v>190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A</v>
      </c>
      <c r="E235" s="2">
        <f>IF($I235="","",COUNTIFS(Tab_00.Trial[CONTA],$I235))</f>
        <v>1</v>
      </c>
      <c r="F235" s="4">
        <f>SUMIFS(Tab_10.Out[SALDO
ATUAL],Tab_10.Out[CONTA],$I235)</f>
        <v>3205</v>
      </c>
      <c r="G235" s="4">
        <f t="shared" si="5"/>
        <v>0</v>
      </c>
      <c r="H235">
        <v>50295</v>
      </c>
      <c r="I235" s="3" t="s">
        <v>457</v>
      </c>
      <c r="J235" s="3" t="s">
        <v>458</v>
      </c>
      <c r="K235" s="4">
        <v>3205</v>
      </c>
      <c r="L235" s="4">
        <v>190</v>
      </c>
      <c r="M235" s="4">
        <v>0</v>
      </c>
      <c r="N235" s="4">
        <v>3395</v>
      </c>
      <c r="O235" s="4">
        <f>Tab_11.Nov[[#This Row],[DÉBITO]]-Tab_11.Nov[[#This Row],[CRÉDITO]]</f>
        <v>190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S</v>
      </c>
      <c r="E236" s="2">
        <f>IF($I236="","",COUNTIFS(Tab_00.Trial[CONTA],$I236))</f>
        <v>1</v>
      </c>
      <c r="F236" s="4">
        <f>SUMIFS(Tab_10.Out[SALDO
ATUAL],Tab_10.Out[CONTA],$I236)</f>
        <v>1520420.77</v>
      </c>
      <c r="G236" s="4">
        <f t="shared" si="5"/>
        <v>0</v>
      </c>
      <c r="H236">
        <v>50285</v>
      </c>
      <c r="I236" s="3" t="s">
        <v>605</v>
      </c>
      <c r="J236" s="3" t="s">
        <v>711</v>
      </c>
      <c r="K236" s="4">
        <v>1520420.77</v>
      </c>
      <c r="L236" s="4">
        <v>170953.71</v>
      </c>
      <c r="M236" s="4">
        <v>0</v>
      </c>
      <c r="N236" s="4">
        <v>1691374.48</v>
      </c>
      <c r="O236" s="4">
        <f>Tab_11.Nov[[#This Row],[DÉBITO]]-Tab_11.Nov[[#This Row],[CRÉDITO]]</f>
        <v>170953.71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S</v>
      </c>
      <c r="E237" s="2">
        <f>IF($I237="","",COUNTIFS(Tab_00.Trial[CONTA],$I237))</f>
        <v>1</v>
      </c>
      <c r="F237" s="4">
        <f>SUMIFS(Tab_10.Out[SALDO
ATUAL],Tab_10.Out[CONTA],$I237)</f>
        <v>690759.96</v>
      </c>
      <c r="G237" s="4">
        <f t="shared" si="5"/>
        <v>0</v>
      </c>
      <c r="H237">
        <v>50300</v>
      </c>
      <c r="I237" s="3" t="s">
        <v>606</v>
      </c>
      <c r="J237" s="3" t="s">
        <v>712</v>
      </c>
      <c r="K237" s="4">
        <v>690759.96</v>
      </c>
      <c r="L237" s="4">
        <v>87987.63</v>
      </c>
      <c r="M237" s="4">
        <v>0</v>
      </c>
      <c r="N237" s="4">
        <v>778747.59</v>
      </c>
      <c r="O237" s="4">
        <f>Tab_11.Nov[[#This Row],[DÉBITO]]-Tab_11.Nov[[#This Row],[CRÉDITO]]</f>
        <v>87987.63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A</v>
      </c>
      <c r="E238" s="2">
        <f>IF($I238="","",COUNTIFS(Tab_00.Trial[CONTA],$I238))</f>
        <v>1</v>
      </c>
      <c r="F238" s="4">
        <f>SUMIFS(Tab_10.Out[SALDO
ATUAL],Tab_10.Out[CONTA],$I238)</f>
        <v>79759.12</v>
      </c>
      <c r="G238" s="4">
        <f t="shared" si="5"/>
        <v>0</v>
      </c>
      <c r="H238">
        <v>50315</v>
      </c>
      <c r="I238" s="3" t="s">
        <v>459</v>
      </c>
      <c r="J238" s="3" t="s">
        <v>460</v>
      </c>
      <c r="K238" s="4">
        <v>79759.12</v>
      </c>
      <c r="L238" s="4">
        <v>17115.12</v>
      </c>
      <c r="M238" s="4">
        <v>0</v>
      </c>
      <c r="N238" s="4">
        <v>96874.240000000005</v>
      </c>
      <c r="O238" s="4">
        <f>Tab_11.Nov[[#This Row],[DÉBITO]]-Tab_11.Nov[[#This Row],[CRÉDITO]]</f>
        <v>17115.12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A</v>
      </c>
      <c r="E239" s="2">
        <f>IF($I239="","",COUNTIFS(Tab_00.Trial[CONTA],$I239))</f>
        <v>1</v>
      </c>
      <c r="F239" s="4">
        <f>SUMIFS(Tab_10.Out[SALDO
ATUAL],Tab_10.Out[CONTA],$I239)</f>
        <v>143972.1</v>
      </c>
      <c r="G239" s="4">
        <f t="shared" si="5"/>
        <v>0</v>
      </c>
      <c r="H239">
        <v>50330</v>
      </c>
      <c r="I239" s="3" t="s">
        <v>461</v>
      </c>
      <c r="J239" s="3" t="s">
        <v>462</v>
      </c>
      <c r="K239" s="4">
        <v>143972.1</v>
      </c>
      <c r="L239" s="4">
        <v>12200</v>
      </c>
      <c r="M239" s="4">
        <v>0</v>
      </c>
      <c r="N239" s="4">
        <v>156172.1</v>
      </c>
      <c r="O239" s="4">
        <f>Tab_11.Nov[[#This Row],[DÉBITO]]-Tab_11.Nov[[#This Row],[CRÉDITO]]</f>
        <v>12200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A</v>
      </c>
      <c r="E240" s="2">
        <f>IF($I240="","",COUNTIFS(Tab_00.Trial[CONTA],$I240))</f>
        <v>1</v>
      </c>
      <c r="F240" s="4">
        <f>SUMIFS(Tab_10.Out[SALDO
ATUAL],Tab_10.Out[CONTA],$I240)</f>
        <v>21500.01</v>
      </c>
      <c r="G240" s="4">
        <f t="shared" si="5"/>
        <v>0</v>
      </c>
      <c r="H240">
        <v>50345</v>
      </c>
      <c r="I240" s="3" t="s">
        <v>463</v>
      </c>
      <c r="J240" s="3" t="s">
        <v>464</v>
      </c>
      <c r="K240" s="4">
        <v>21500.01</v>
      </c>
      <c r="L240" s="4">
        <v>0</v>
      </c>
      <c r="M240" s="4">
        <v>0</v>
      </c>
      <c r="N240" s="4">
        <v>21500.01</v>
      </c>
      <c r="O240" s="4">
        <f>Tab_11.Nov[[#This Row],[DÉBITO]]-Tab_11.Nov[[#This Row],[CRÉDITO]]</f>
        <v>0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A</v>
      </c>
      <c r="E241" s="2">
        <f>IF($I241="","",COUNTIFS(Tab_00.Trial[CONTA],$I241))</f>
        <v>1</v>
      </c>
      <c r="F241" s="4">
        <f>SUMIFS(Tab_10.Out[SALDO
ATUAL],Tab_10.Out[CONTA],$I241)</f>
        <v>288394.3</v>
      </c>
      <c r="G241" s="4">
        <f t="shared" si="5"/>
        <v>0</v>
      </c>
      <c r="H241">
        <v>50360</v>
      </c>
      <c r="I241" s="3" t="s">
        <v>465</v>
      </c>
      <c r="J241" s="3" t="s">
        <v>466</v>
      </c>
      <c r="K241" s="4">
        <v>288394.3</v>
      </c>
      <c r="L241" s="4">
        <v>44058.54</v>
      </c>
      <c r="M241" s="4">
        <v>0</v>
      </c>
      <c r="N241" s="4">
        <v>332452.84000000003</v>
      </c>
      <c r="O241" s="4">
        <f>Tab_11.Nov[[#This Row],[DÉBITO]]-Tab_11.Nov[[#This Row],[CRÉDITO]]</f>
        <v>44058.54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A</v>
      </c>
      <c r="E242" s="2">
        <f>IF($I242="","",COUNTIFS(Tab_00.Trial[CONTA],$I242))</f>
        <v>1</v>
      </c>
      <c r="F242" s="4">
        <f>SUMIFS(Tab_10.Out[SALDO
ATUAL],Tab_10.Out[CONTA],$I242)</f>
        <v>45000</v>
      </c>
      <c r="G242" s="4">
        <f t="shared" si="5"/>
        <v>0</v>
      </c>
      <c r="H242">
        <v>50375</v>
      </c>
      <c r="I242" s="3" t="s">
        <v>473</v>
      </c>
      <c r="J242" s="3" t="s">
        <v>474</v>
      </c>
      <c r="K242" s="4">
        <v>45000</v>
      </c>
      <c r="L242" s="4">
        <v>4500</v>
      </c>
      <c r="M242" s="4">
        <v>0</v>
      </c>
      <c r="N242" s="4">
        <v>49500</v>
      </c>
      <c r="O242" s="4">
        <f>Tab_11.Nov[[#This Row],[DÉBITO]]-Tab_11.Nov[[#This Row],[CRÉDITO]]</f>
        <v>4500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A</v>
      </c>
      <c r="E243" s="2">
        <f>IF($I243="","",COUNTIFS(Tab_00.Trial[CONTA],$I243))</f>
        <v>1</v>
      </c>
      <c r="F243" s="4">
        <f>SUMIFS(Tab_10.Out[SALDO
ATUAL],Tab_10.Out[CONTA],$I243)</f>
        <v>2235.6</v>
      </c>
      <c r="G243" s="4">
        <f t="shared" si="5"/>
        <v>0</v>
      </c>
      <c r="H243">
        <v>50405</v>
      </c>
      <c r="I243" s="3" t="s">
        <v>467</v>
      </c>
      <c r="J243" s="3" t="s">
        <v>468</v>
      </c>
      <c r="K243" s="4">
        <v>2235.6</v>
      </c>
      <c r="L243" s="4">
        <v>223.56</v>
      </c>
      <c r="M243" s="4">
        <v>0</v>
      </c>
      <c r="N243" s="4">
        <v>2459.16</v>
      </c>
      <c r="O243" s="4">
        <f>Tab_11.Nov[[#This Row],[DÉBITO]]-Tab_11.Nov[[#This Row],[CRÉDITO]]</f>
        <v>223.56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A</v>
      </c>
      <c r="E244" s="2">
        <f>IF($I244="","",COUNTIFS(Tab_00.Trial[CONTA],$I244))</f>
        <v>1</v>
      </c>
      <c r="F244" s="4">
        <f>SUMIFS(Tab_10.Out[SALDO
ATUAL],Tab_10.Out[CONTA],$I244)</f>
        <v>61048.74</v>
      </c>
      <c r="G244" s="4">
        <f t="shared" si="5"/>
        <v>0</v>
      </c>
      <c r="H244">
        <v>50430</v>
      </c>
      <c r="I244" s="3" t="s">
        <v>469</v>
      </c>
      <c r="J244" s="3" t="s">
        <v>470</v>
      </c>
      <c r="K244" s="4">
        <v>61048.74</v>
      </c>
      <c r="L244" s="4">
        <v>4950</v>
      </c>
      <c r="M244" s="4">
        <v>0</v>
      </c>
      <c r="N244" s="4">
        <v>65998.740000000005</v>
      </c>
      <c r="O244" s="4">
        <f>Tab_11.Nov[[#This Row],[DÉBITO]]-Tab_11.Nov[[#This Row],[CRÉDITO]]</f>
        <v>4950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A</v>
      </c>
      <c r="E245" s="2">
        <f>IF($I245="","",COUNTIFS(Tab_00.Trial[CONTA],$I245))</f>
        <v>1</v>
      </c>
      <c r="F245" s="4">
        <f>SUMIFS(Tab_10.Out[SALDO
ATUAL],Tab_10.Out[CONTA],$I245)</f>
        <v>48850.09</v>
      </c>
      <c r="G245" s="4">
        <f t="shared" si="5"/>
        <v>0</v>
      </c>
      <c r="H245">
        <v>50432</v>
      </c>
      <c r="I245" s="3" t="s">
        <v>471</v>
      </c>
      <c r="J245" s="3" t="s">
        <v>472</v>
      </c>
      <c r="K245" s="4">
        <v>48850.09</v>
      </c>
      <c r="L245" s="4">
        <v>4940.41</v>
      </c>
      <c r="M245" s="4">
        <v>0</v>
      </c>
      <c r="N245" s="4">
        <v>53790.5</v>
      </c>
      <c r="O245" s="4">
        <f>Tab_11.Nov[[#This Row],[DÉBITO]]-Tab_11.Nov[[#This Row],[CRÉDITO]]</f>
        <v>4940.41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S</v>
      </c>
      <c r="E246" s="2">
        <f>IF($I246="","",COUNTIFS(Tab_00.Trial[CONTA],$I246))</f>
        <v>1</v>
      </c>
      <c r="F246" s="4">
        <f>SUMIFS(Tab_10.Out[SALDO
ATUAL],Tab_10.Out[CONTA],$I246)</f>
        <v>829660.81</v>
      </c>
      <c r="G246" s="4">
        <f t="shared" si="5"/>
        <v>0</v>
      </c>
      <c r="H246">
        <v>50465</v>
      </c>
      <c r="I246" s="3" t="s">
        <v>608</v>
      </c>
      <c r="J246" s="3" t="s">
        <v>713</v>
      </c>
      <c r="K246" s="4">
        <v>829660.81</v>
      </c>
      <c r="L246" s="4">
        <v>82966.080000000002</v>
      </c>
      <c r="M246" s="4">
        <v>0</v>
      </c>
      <c r="N246" s="4">
        <v>912626.89</v>
      </c>
      <c r="O246" s="4">
        <f>Tab_11.Nov[[#This Row],[DÉBITO]]-Tab_11.Nov[[#This Row],[CRÉDITO]]</f>
        <v>82966.080000000002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A</v>
      </c>
      <c r="E247" s="2">
        <f>IF($I247="","",COUNTIFS(Tab_00.Trial[CONTA],$I247))</f>
        <v>1</v>
      </c>
      <c r="F247" s="4">
        <f>SUMIFS(Tab_10.Out[SALDO
ATUAL],Tab_10.Out[CONTA],$I247)</f>
        <v>179800.81</v>
      </c>
      <c r="G247" s="4">
        <f t="shared" si="5"/>
        <v>0</v>
      </c>
      <c r="H247">
        <v>50480</v>
      </c>
      <c r="I247" s="3" t="s">
        <v>741</v>
      </c>
      <c r="J247" s="3" t="s">
        <v>742</v>
      </c>
      <c r="K247" s="4">
        <v>179800.81</v>
      </c>
      <c r="L247" s="4">
        <v>17980.080000000002</v>
      </c>
      <c r="M247" s="4">
        <v>0</v>
      </c>
      <c r="N247" s="4">
        <v>197780.89</v>
      </c>
      <c r="O247" s="4">
        <f>Tab_11.Nov[[#This Row],[DÉBITO]]-Tab_11.Nov[[#This Row],[CRÉDITO]]</f>
        <v>17980.080000000002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A</v>
      </c>
      <c r="E248" s="2">
        <f>IF($I248="","",COUNTIFS(Tab_00.Trial[CONTA],$I248))</f>
        <v>1</v>
      </c>
      <c r="F248" s="4">
        <f>SUMIFS(Tab_10.Out[SALDO
ATUAL],Tab_10.Out[CONTA],$I248)</f>
        <v>75000</v>
      </c>
      <c r="G248" s="4">
        <f t="shared" si="5"/>
        <v>0</v>
      </c>
      <c r="H248">
        <v>50495</v>
      </c>
      <c r="I248" s="3" t="s">
        <v>833</v>
      </c>
      <c r="J248" s="3" t="s">
        <v>834</v>
      </c>
      <c r="K248" s="4">
        <v>75000</v>
      </c>
      <c r="L248" s="4">
        <v>7500</v>
      </c>
      <c r="M248" s="4">
        <v>0</v>
      </c>
      <c r="N248" s="4">
        <v>82500</v>
      </c>
      <c r="O248" s="4">
        <f>Tab_11.Nov[[#This Row],[DÉBITO]]-Tab_11.Nov[[#This Row],[CRÉDITO]]</f>
        <v>7500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A</v>
      </c>
      <c r="E249" s="2">
        <f>IF($I249="","",COUNTIFS(Tab_00.Trial[CONTA],$I249))</f>
        <v>1</v>
      </c>
      <c r="F249" s="4">
        <f>SUMIFS(Tab_10.Out[SALDO
ATUAL],Tab_10.Out[CONTA],$I249)</f>
        <v>574860</v>
      </c>
      <c r="G249" s="4">
        <f t="shared" si="5"/>
        <v>0</v>
      </c>
      <c r="H249">
        <v>50500</v>
      </c>
      <c r="I249" s="3" t="s">
        <v>480</v>
      </c>
      <c r="J249" s="3" t="s">
        <v>481</v>
      </c>
      <c r="K249" s="4">
        <v>574860</v>
      </c>
      <c r="L249" s="4">
        <v>57486</v>
      </c>
      <c r="M249" s="4">
        <v>0</v>
      </c>
      <c r="N249" s="4">
        <v>632346</v>
      </c>
      <c r="O249" s="4">
        <f>Tab_11.Nov[[#This Row],[DÉBITO]]-Tab_11.Nov[[#This Row],[CRÉDITO]]</f>
        <v>57486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S</v>
      </c>
      <c r="E250" s="2">
        <f>IF($I250="","",COUNTIFS(Tab_00.Trial[CONTA],$I250))</f>
        <v>1</v>
      </c>
      <c r="F250" s="4">
        <f>SUMIFS(Tab_10.Out[SALDO
ATUAL],Tab_10.Out[CONTA],$I250)</f>
        <v>19097.22</v>
      </c>
      <c r="G250" s="4">
        <f t="shared" si="5"/>
        <v>0</v>
      </c>
      <c r="H250">
        <v>50510</v>
      </c>
      <c r="I250" s="3" t="s">
        <v>609</v>
      </c>
      <c r="J250" s="3" t="s">
        <v>714</v>
      </c>
      <c r="K250" s="4">
        <v>19097.22</v>
      </c>
      <c r="L250" s="4">
        <v>2926.36</v>
      </c>
      <c r="M250" s="4">
        <v>0</v>
      </c>
      <c r="N250" s="4">
        <v>22023.58</v>
      </c>
      <c r="O250" s="4">
        <f>Tab_11.Nov[[#This Row],[DÉBITO]]-Tab_11.Nov[[#This Row],[CRÉDITO]]</f>
        <v>2926.36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S</v>
      </c>
      <c r="E251" s="2">
        <f>IF($I251="","",COUNTIFS(Tab_00.Trial[CONTA],$I251))</f>
        <v>1</v>
      </c>
      <c r="F251" s="4">
        <f>SUMIFS(Tab_10.Out[SALDO
ATUAL],Tab_10.Out[CONTA],$I251)</f>
        <v>18869.22</v>
      </c>
      <c r="G251" s="4">
        <f t="shared" si="5"/>
        <v>0</v>
      </c>
      <c r="H251">
        <v>50525</v>
      </c>
      <c r="I251" s="3" t="s">
        <v>610</v>
      </c>
      <c r="J251" s="3" t="s">
        <v>714</v>
      </c>
      <c r="K251" s="4">
        <v>18869.22</v>
      </c>
      <c r="L251" s="4">
        <v>2926.36</v>
      </c>
      <c r="M251" s="4">
        <v>0</v>
      </c>
      <c r="N251" s="4">
        <v>21795.58</v>
      </c>
      <c r="O251" s="4">
        <f>Tab_11.Nov[[#This Row],[DÉBITO]]-Tab_11.Nov[[#This Row],[CRÉDITO]]</f>
        <v>2926.36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A</v>
      </c>
      <c r="E252" s="2">
        <f>IF($I252="","",COUNTIFS(Tab_00.Trial[CONTA],$I252))</f>
        <v>1</v>
      </c>
      <c r="F252" s="4">
        <f>SUMIFS(Tab_10.Out[SALDO
ATUAL],Tab_10.Out[CONTA],$I252)</f>
        <v>5892.61</v>
      </c>
      <c r="G252" s="4">
        <f t="shared" si="5"/>
        <v>0</v>
      </c>
      <c r="H252">
        <v>50540</v>
      </c>
      <c r="I252" s="3" t="s">
        <v>482</v>
      </c>
      <c r="J252" s="3" t="s">
        <v>483</v>
      </c>
      <c r="K252" s="4">
        <v>5892.61</v>
      </c>
      <c r="L252" s="4">
        <v>1743.62</v>
      </c>
      <c r="M252" s="4">
        <v>0</v>
      </c>
      <c r="N252" s="4">
        <v>7636.23</v>
      </c>
      <c r="O252" s="4">
        <f>Tab_11.Nov[[#This Row],[DÉBITO]]-Tab_11.Nov[[#This Row],[CRÉDITO]]</f>
        <v>1743.62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A</v>
      </c>
      <c r="E253" s="2">
        <f>IF($I253="","",COUNTIFS(Tab_00.Trial[CONTA],$I253))</f>
        <v>1</v>
      </c>
      <c r="F253" s="4">
        <f>SUMIFS(Tab_10.Out[SALDO
ATUAL],Tab_10.Out[CONTA],$I253)</f>
        <v>5000</v>
      </c>
      <c r="G253" s="4">
        <f t="shared" si="5"/>
        <v>0</v>
      </c>
      <c r="H253">
        <v>50555</v>
      </c>
      <c r="I253" s="3" t="s">
        <v>752</v>
      </c>
      <c r="J253" s="3" t="s">
        <v>753</v>
      </c>
      <c r="K253" s="4">
        <v>5000</v>
      </c>
      <c r="L253" s="4">
        <v>0</v>
      </c>
      <c r="M253" s="4">
        <v>0</v>
      </c>
      <c r="N253" s="4">
        <v>5000</v>
      </c>
      <c r="O253" s="4">
        <f>Tab_11.Nov[[#This Row],[DÉBITO]]-Tab_11.Nov[[#This Row],[CRÉDITO]]</f>
        <v>0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A</v>
      </c>
      <c r="E254" s="2">
        <f>IF($I254="","",COUNTIFS(Tab_00.Trial[CONTA],$I254))</f>
        <v>1</v>
      </c>
      <c r="F254" s="4">
        <f>SUMIFS(Tab_10.Out[SALDO
ATUAL],Tab_10.Out[CONTA],$I254)</f>
        <v>7976.61</v>
      </c>
      <c r="G254" s="4">
        <f t="shared" si="5"/>
        <v>0</v>
      </c>
      <c r="H254">
        <v>50570</v>
      </c>
      <c r="I254" s="3" t="s">
        <v>484</v>
      </c>
      <c r="J254" s="3" t="s">
        <v>485</v>
      </c>
      <c r="K254" s="4">
        <v>7976.61</v>
      </c>
      <c r="L254" s="4">
        <v>1182.74</v>
      </c>
      <c r="M254" s="4">
        <v>0</v>
      </c>
      <c r="N254" s="4">
        <v>9159.35</v>
      </c>
      <c r="O254" s="4">
        <f>Tab_11.Nov[[#This Row],[DÉBITO]]-Tab_11.Nov[[#This Row],[CRÉDITO]]</f>
        <v>1182.74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S</v>
      </c>
      <c r="E255" s="2">
        <f>IF($I255="","",COUNTIFS(Tab_00.Trial[CONTA],$I255))</f>
        <v>1</v>
      </c>
      <c r="F255" s="4">
        <f>SUMIFS(Tab_10.Out[SALDO
ATUAL],Tab_10.Out[CONTA],$I255)</f>
        <v>228</v>
      </c>
      <c r="G255" s="4">
        <f t="shared" si="5"/>
        <v>0</v>
      </c>
      <c r="H255">
        <v>50630</v>
      </c>
      <c r="I255" s="3" t="s">
        <v>611</v>
      </c>
      <c r="J255" s="3" t="s">
        <v>715</v>
      </c>
      <c r="K255" s="4">
        <v>228</v>
      </c>
      <c r="L255" s="4">
        <v>0</v>
      </c>
      <c r="M255" s="4">
        <v>0</v>
      </c>
      <c r="N255" s="4">
        <v>228</v>
      </c>
      <c r="O255" s="4">
        <f>Tab_11.Nov[[#This Row],[DÉBITO]]-Tab_11.Nov[[#This Row],[CRÉDITO]]</f>
        <v>0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A</v>
      </c>
      <c r="E256" s="2">
        <f>IF($I256="","",COUNTIFS(Tab_00.Trial[CONTA],$I256))</f>
        <v>1</v>
      </c>
      <c r="F256" s="4">
        <f>SUMIFS(Tab_10.Out[SALDO
ATUAL],Tab_10.Out[CONTA],$I256)</f>
        <v>228</v>
      </c>
      <c r="G256" s="4">
        <f t="shared" si="5"/>
        <v>0</v>
      </c>
      <c r="H256">
        <v>50645</v>
      </c>
      <c r="I256" s="3" t="s">
        <v>489</v>
      </c>
      <c r="J256" s="3" t="s">
        <v>490</v>
      </c>
      <c r="K256" s="4">
        <v>228</v>
      </c>
      <c r="L256" s="4">
        <v>0</v>
      </c>
      <c r="M256" s="4">
        <v>0</v>
      </c>
      <c r="N256" s="4">
        <v>228</v>
      </c>
      <c r="O256" s="4">
        <f>Tab_11.Nov[[#This Row],[DÉBITO]]-Tab_11.Nov[[#This Row],[CRÉDITO]]</f>
        <v>0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S</v>
      </c>
      <c r="E257" s="2">
        <f>IF($I257="","",COUNTIFS(Tab_00.Trial[CONTA],$I257))</f>
        <v>1</v>
      </c>
      <c r="F257" s="4">
        <f>SUMIFS(Tab_10.Out[SALDO
ATUAL],Tab_10.Out[CONTA],$I257)</f>
        <v>102490.08</v>
      </c>
      <c r="G257" s="4">
        <f t="shared" si="5"/>
        <v>0</v>
      </c>
      <c r="H257">
        <v>50660</v>
      </c>
      <c r="I257" s="3" t="s">
        <v>612</v>
      </c>
      <c r="J257" s="3" t="s">
        <v>716</v>
      </c>
      <c r="K257" s="4">
        <v>102490.08</v>
      </c>
      <c r="L257" s="4">
        <v>12581.21</v>
      </c>
      <c r="M257" s="4">
        <v>4.88</v>
      </c>
      <c r="N257" s="4">
        <v>115066.41</v>
      </c>
      <c r="O257" s="4">
        <f>Tab_11.Nov[[#This Row],[DÉBITO]]-Tab_11.Nov[[#This Row],[CRÉDITO]]</f>
        <v>12576.33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S</v>
      </c>
      <c r="E258" s="2">
        <f>IF($I258="","",COUNTIFS(Tab_00.Trial[CONTA],$I258))</f>
        <v>1</v>
      </c>
      <c r="F258" s="4">
        <f>SUMIFS(Tab_10.Out[SALDO
ATUAL],Tab_10.Out[CONTA],$I258)</f>
        <v>53522.2</v>
      </c>
      <c r="G258" s="4">
        <f t="shared" si="5"/>
        <v>0</v>
      </c>
      <c r="H258">
        <v>50675</v>
      </c>
      <c r="I258" s="3" t="s">
        <v>613</v>
      </c>
      <c r="J258" s="3" t="s">
        <v>717</v>
      </c>
      <c r="K258" s="4">
        <v>53522.2</v>
      </c>
      <c r="L258" s="4">
        <v>8192.7000000000007</v>
      </c>
      <c r="M258" s="4">
        <v>0</v>
      </c>
      <c r="N258" s="4">
        <v>61714.9</v>
      </c>
      <c r="O258" s="4">
        <f>Tab_11.Nov[[#This Row],[DÉBITO]]-Tab_11.Nov[[#This Row],[CRÉDITO]]</f>
        <v>8192.7000000000007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A</v>
      </c>
      <c r="E259" s="2">
        <f>IF($I259="","",COUNTIFS(Tab_00.Trial[CONTA],$I259))</f>
        <v>1</v>
      </c>
      <c r="F259" s="4">
        <f>SUMIFS(Tab_10.Out[SALDO
ATUAL],Tab_10.Out[CONTA],$I259)</f>
        <v>24346.33</v>
      </c>
      <c r="G259" s="4">
        <f t="shared" si="5"/>
        <v>0</v>
      </c>
      <c r="H259">
        <v>50690</v>
      </c>
      <c r="I259" s="3" t="s">
        <v>491</v>
      </c>
      <c r="J259" s="3" t="s">
        <v>492</v>
      </c>
      <c r="K259" s="4">
        <v>24346.33</v>
      </c>
      <c r="L259" s="4">
        <v>5054.1499999999996</v>
      </c>
      <c r="M259" s="4">
        <v>0</v>
      </c>
      <c r="N259" s="4">
        <v>29400.48</v>
      </c>
      <c r="O259" s="4">
        <f>Tab_11.Nov[[#This Row],[DÉBITO]]-Tab_11.Nov[[#This Row],[CRÉDITO]]</f>
        <v>5054.1499999999996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A</v>
      </c>
      <c r="E260" s="2">
        <f>IF($I260="","",COUNTIFS(Tab_00.Trial[CONTA],$I260))</f>
        <v>1</v>
      </c>
      <c r="F260" s="4">
        <f>SUMIFS(Tab_10.Out[SALDO
ATUAL],Tab_10.Out[CONTA],$I260)</f>
        <v>14859.44</v>
      </c>
      <c r="G260" s="4">
        <f t="shared" si="5"/>
        <v>0</v>
      </c>
      <c r="H260">
        <v>50705</v>
      </c>
      <c r="I260" s="3" t="s">
        <v>493</v>
      </c>
      <c r="J260" s="3" t="s">
        <v>494</v>
      </c>
      <c r="K260" s="4">
        <v>14859.44</v>
      </c>
      <c r="L260" s="4">
        <v>1678.69</v>
      </c>
      <c r="M260" s="4">
        <v>0</v>
      </c>
      <c r="N260" s="4">
        <v>16538.13</v>
      </c>
      <c r="O260" s="4">
        <f>Tab_11.Nov[[#This Row],[DÉBITO]]-Tab_11.Nov[[#This Row],[CRÉDITO]]</f>
        <v>1678.69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A</v>
      </c>
      <c r="E261" s="2">
        <f>IF($I261="","",COUNTIFS(Tab_00.Trial[CONTA],$I261))</f>
        <v>1</v>
      </c>
      <c r="F261" s="4">
        <f>SUMIFS(Tab_10.Out[SALDO
ATUAL],Tab_10.Out[CONTA],$I261)</f>
        <v>14316.43</v>
      </c>
      <c r="G261" s="4">
        <f t="shared" si="5"/>
        <v>0</v>
      </c>
      <c r="H261">
        <v>50720</v>
      </c>
      <c r="I261" s="3" t="s">
        <v>495</v>
      </c>
      <c r="J261" s="3" t="s">
        <v>496</v>
      </c>
      <c r="K261" s="4">
        <v>14316.43</v>
      </c>
      <c r="L261" s="4">
        <v>1459.86</v>
      </c>
      <c r="M261" s="4">
        <v>0</v>
      </c>
      <c r="N261" s="4">
        <v>15776.29</v>
      </c>
      <c r="O261" s="4">
        <f>Tab_11.Nov[[#This Row],[DÉBITO]]-Tab_11.Nov[[#This Row],[CRÉDITO]]</f>
        <v>1459.86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S</v>
      </c>
      <c r="E262" s="2">
        <f>IF($I262="","",COUNTIFS(Tab_00.Trial[CONTA],$I262))</f>
        <v>1</v>
      </c>
      <c r="F262" s="4">
        <f>SUMIFS(Tab_10.Out[SALDO
ATUAL],Tab_10.Out[CONTA],$I262)</f>
        <v>48967.88</v>
      </c>
      <c r="G262" s="4">
        <f t="shared" si="5"/>
        <v>0</v>
      </c>
      <c r="H262">
        <v>50750</v>
      </c>
      <c r="I262" s="3" t="s">
        <v>614</v>
      </c>
      <c r="J262" s="3" t="s">
        <v>718</v>
      </c>
      <c r="K262" s="4">
        <v>48967.88</v>
      </c>
      <c r="L262" s="4">
        <v>4388.51</v>
      </c>
      <c r="M262" s="4">
        <v>4.88</v>
      </c>
      <c r="N262" s="4">
        <v>53351.51</v>
      </c>
      <c r="O262" s="4">
        <f>Tab_11.Nov[[#This Row],[DÉBITO]]-Tab_11.Nov[[#This Row],[CRÉDITO]]</f>
        <v>4383.63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A</v>
      </c>
      <c r="E263" s="2">
        <f>IF($I263="","",COUNTIFS(Tab_00.Trial[CONTA],$I263))</f>
        <v>1</v>
      </c>
      <c r="F263" s="4">
        <f>SUMIFS(Tab_10.Out[SALDO
ATUAL],Tab_10.Out[CONTA],$I263)</f>
        <v>95</v>
      </c>
      <c r="G263" s="4">
        <f t="shared" si="5"/>
        <v>0</v>
      </c>
      <c r="H263">
        <v>50765</v>
      </c>
      <c r="I263" s="3" t="s">
        <v>497</v>
      </c>
      <c r="J263" s="3" t="s">
        <v>498</v>
      </c>
      <c r="K263" s="4">
        <v>95</v>
      </c>
      <c r="L263" s="4">
        <v>0</v>
      </c>
      <c r="M263" s="4">
        <v>0</v>
      </c>
      <c r="N263" s="4">
        <v>95</v>
      </c>
      <c r="O263" s="4">
        <f>Tab_11.Nov[[#This Row],[DÉBITO]]-Tab_11.Nov[[#This Row],[CRÉDITO]]</f>
        <v>0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A</v>
      </c>
      <c r="E264" s="2">
        <f>IF($I264="","",COUNTIFS(Tab_00.Trial[CONTA],$I264))</f>
        <v>1</v>
      </c>
      <c r="F264" s="4">
        <f>SUMIFS(Tab_10.Out[SALDO
ATUAL],Tab_10.Out[CONTA],$I264)</f>
        <v>21744.240000000002</v>
      </c>
      <c r="G264" s="4">
        <f t="shared" si="5"/>
        <v>0</v>
      </c>
      <c r="H264">
        <v>50780</v>
      </c>
      <c r="I264" s="3" t="s">
        <v>499</v>
      </c>
      <c r="J264" s="3" t="s">
        <v>500</v>
      </c>
      <c r="K264" s="4">
        <v>21744.240000000002</v>
      </c>
      <c r="L264" s="4">
        <v>1028</v>
      </c>
      <c r="M264" s="4">
        <v>0</v>
      </c>
      <c r="N264" s="4">
        <v>22772.240000000002</v>
      </c>
      <c r="O264" s="4">
        <f>Tab_11.Nov[[#This Row],[DÉBITO]]-Tab_11.Nov[[#This Row],[CRÉDITO]]</f>
        <v>1028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A</v>
      </c>
      <c r="E265" s="2">
        <f>IF($I265="","",COUNTIFS(Tab_00.Trial[CONTA],$I265))</f>
        <v>1</v>
      </c>
      <c r="F265" s="4">
        <f>SUMIFS(Tab_10.Out[SALDO
ATUAL],Tab_10.Out[CONTA],$I265)</f>
        <v>14562.02</v>
      </c>
      <c r="G265" s="4">
        <f t="shared" si="5"/>
        <v>0</v>
      </c>
      <c r="H265">
        <v>50795</v>
      </c>
      <c r="I265" s="3" t="s">
        <v>501</v>
      </c>
      <c r="J265" s="3" t="s">
        <v>502</v>
      </c>
      <c r="K265" s="4">
        <v>14562.02</v>
      </c>
      <c r="L265" s="4">
        <v>449.18</v>
      </c>
      <c r="M265" s="4">
        <v>0</v>
      </c>
      <c r="N265" s="4">
        <v>15011.2</v>
      </c>
      <c r="O265" s="4">
        <f>Tab_11.Nov[[#This Row],[DÉBITO]]-Tab_11.Nov[[#This Row],[CRÉDITO]]</f>
        <v>449.18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A</v>
      </c>
      <c r="E266" s="2">
        <f>IF($I266="","",COUNTIFS(Tab_00.Trial[CONTA],$I266))</f>
        <v>1</v>
      </c>
      <c r="F266" s="4">
        <f>SUMIFS(Tab_10.Out[SALDO
ATUAL],Tab_10.Out[CONTA],$I266)</f>
        <v>12546.46</v>
      </c>
      <c r="G266" s="4">
        <f t="shared" si="5"/>
        <v>0</v>
      </c>
      <c r="H266">
        <v>50810</v>
      </c>
      <c r="I266" s="3" t="s">
        <v>503</v>
      </c>
      <c r="J266" s="3" t="s">
        <v>504</v>
      </c>
      <c r="K266" s="4">
        <v>12546.46</v>
      </c>
      <c r="L266" s="4">
        <v>2771.79</v>
      </c>
      <c r="M266" s="4">
        <v>4.88</v>
      </c>
      <c r="N266" s="4">
        <v>15313.37</v>
      </c>
      <c r="O266" s="4">
        <f>Tab_11.Nov[[#This Row],[DÉBITO]]-Tab_11.Nov[[#This Row],[CRÉDITO]]</f>
        <v>2766.91</v>
      </c>
    </row>
    <row r="267" spans="2:15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5</v>
      </c>
      <c r="D267" s="2" t="str">
        <f>_xlfn.XLOOKUP($I267,Tab_00.Trial[CONTA],Tab_00.Trial[S/A],"",0,1)</f>
        <v>A</v>
      </c>
      <c r="E267" s="2">
        <f>IF($I267="","",COUNTIFS(Tab_00.Trial[CONTA],$I267))</f>
        <v>1</v>
      </c>
      <c r="F267" s="4">
        <f>SUMIFS(Tab_10.Out[SALDO
ATUAL],Tab_10.Out[CONTA],$I267)</f>
        <v>20.16</v>
      </c>
      <c r="G267" s="4">
        <f t="shared" si="5"/>
        <v>0</v>
      </c>
      <c r="H267">
        <v>50815</v>
      </c>
      <c r="I267" s="3" t="s">
        <v>505</v>
      </c>
      <c r="J267" s="3" t="s">
        <v>506</v>
      </c>
      <c r="K267" s="4">
        <v>20.16</v>
      </c>
      <c r="L267" s="4">
        <v>139.54</v>
      </c>
      <c r="M267" s="4">
        <v>0</v>
      </c>
      <c r="N267" s="4">
        <v>159.69999999999999</v>
      </c>
      <c r="O267" s="4">
        <f>Tab_11.Nov[[#This Row],[DÉBITO]]-Tab_11.Nov[[#This Row],[CRÉDITO]]</f>
        <v>139.54</v>
      </c>
    </row>
    <row r="268" spans="2:15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5</v>
      </c>
      <c r="D268" s="2" t="str">
        <f>_xlfn.XLOOKUP($I268,Tab_00.Trial[CONTA],Tab_00.Trial[S/A],"",0,1)</f>
        <v>S</v>
      </c>
      <c r="E268" s="2">
        <f>IF($I268="","",COUNTIFS(Tab_00.Trial[CONTA],$I268))</f>
        <v>1</v>
      </c>
      <c r="F268" s="4">
        <f>SUMIFS(Tab_10.Out[SALDO
ATUAL],Tab_10.Out[CONTA],$I268)</f>
        <v>58929.15</v>
      </c>
      <c r="G268" s="4">
        <f t="shared" si="5"/>
        <v>0</v>
      </c>
      <c r="H268">
        <v>50870</v>
      </c>
      <c r="I268" s="3" t="s">
        <v>615</v>
      </c>
      <c r="J268" s="3" t="s">
        <v>719</v>
      </c>
      <c r="K268" s="4">
        <v>58929.15</v>
      </c>
      <c r="L268" s="4">
        <v>4451.76</v>
      </c>
      <c r="M268" s="4">
        <v>0</v>
      </c>
      <c r="N268" s="4">
        <v>63380.91</v>
      </c>
      <c r="O268" s="4">
        <f>Tab_11.Nov[[#This Row],[DÉBITO]]-Tab_11.Nov[[#This Row],[CRÉDITO]]</f>
        <v>4451.76</v>
      </c>
    </row>
    <row r="269" spans="2:15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5</v>
      </c>
      <c r="D269" s="2" t="str">
        <f>_xlfn.XLOOKUP($I269,Tab_00.Trial[CONTA],Tab_00.Trial[S/A],"",0,1)</f>
        <v>S</v>
      </c>
      <c r="E269" s="2">
        <f>IF($I269="","",COUNTIFS(Tab_00.Trial[CONTA],$I269))</f>
        <v>1</v>
      </c>
      <c r="F269" s="4">
        <f>SUMIFS(Tab_10.Out[SALDO
ATUAL],Tab_10.Out[CONTA],$I269)</f>
        <v>2868.83</v>
      </c>
      <c r="G269" s="4">
        <f t="shared" si="5"/>
        <v>0</v>
      </c>
      <c r="H269">
        <v>50915</v>
      </c>
      <c r="I269" s="3" t="s">
        <v>617</v>
      </c>
      <c r="J269" s="3" t="s">
        <v>721</v>
      </c>
      <c r="K269" s="4">
        <v>2868.83</v>
      </c>
      <c r="L269" s="4">
        <v>291.76</v>
      </c>
      <c r="M269" s="4">
        <v>0</v>
      </c>
      <c r="N269" s="4">
        <v>3160.59</v>
      </c>
      <c r="O269" s="4">
        <f>Tab_11.Nov[[#This Row],[DÉBITO]]-Tab_11.Nov[[#This Row],[CRÉDITO]]</f>
        <v>291.76</v>
      </c>
    </row>
    <row r="270" spans="2:15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A</v>
      </c>
      <c r="E270" s="2">
        <f>IF($I270="","",COUNTIFS(Tab_00.Trial[CONTA],$I270))</f>
        <v>1</v>
      </c>
      <c r="F270" s="4">
        <f>SUMIFS(Tab_10.Out[SALDO
ATUAL],Tab_10.Out[CONTA],$I270)</f>
        <v>2868.83</v>
      </c>
      <c r="G270" s="4">
        <f t="shared" si="5"/>
        <v>0</v>
      </c>
      <c r="H270">
        <v>50945</v>
      </c>
      <c r="I270" s="3" t="s">
        <v>739</v>
      </c>
      <c r="J270" s="3" t="s">
        <v>740</v>
      </c>
      <c r="K270" s="4">
        <v>2868.83</v>
      </c>
      <c r="L270" s="4">
        <v>291.76</v>
      </c>
      <c r="M270" s="4">
        <v>0</v>
      </c>
      <c r="N270" s="4">
        <v>3160.59</v>
      </c>
      <c r="O270" s="4">
        <f>Tab_11.Nov[[#This Row],[DÉBITO]]-Tab_11.Nov[[#This Row],[CRÉDITO]]</f>
        <v>291.76</v>
      </c>
    </row>
    <row r="271" spans="2:15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5</v>
      </c>
      <c r="D271" s="2" t="str">
        <f>_xlfn.XLOOKUP($I271,Tab_00.Trial[CONTA],Tab_00.Trial[S/A],"",0,1)</f>
        <v>S</v>
      </c>
      <c r="E271" s="2">
        <f>IF($I271="","",COUNTIFS(Tab_00.Trial[CONTA],$I271))</f>
        <v>1</v>
      </c>
      <c r="F271" s="4">
        <f>SUMIFS(Tab_10.Out[SALDO
ATUAL],Tab_10.Out[CONTA],$I271)</f>
        <v>26950.21</v>
      </c>
      <c r="G271" s="4">
        <f t="shared" ref="G271:G298" si="6">$F271-$K271</f>
        <v>0</v>
      </c>
      <c r="H271">
        <v>50960</v>
      </c>
      <c r="I271" s="3" t="s">
        <v>618</v>
      </c>
      <c r="J271" s="3" t="s">
        <v>722</v>
      </c>
      <c r="K271" s="4">
        <v>26950.21</v>
      </c>
      <c r="L271" s="4">
        <v>2261.4699999999998</v>
      </c>
      <c r="M271" s="4">
        <v>0</v>
      </c>
      <c r="N271" s="4">
        <v>29211.68</v>
      </c>
      <c r="O271" s="4">
        <f>Tab_11.Nov[[#This Row],[DÉBITO]]-Tab_11.Nov[[#This Row],[CRÉDITO]]</f>
        <v>2261.4699999999998</v>
      </c>
    </row>
    <row r="272" spans="2:15" x14ac:dyDescent="0.3">
      <c r="B272" s="2" t="str">
        <f>_xlfn.XLOOKUP($I272,Tab_00.Trial[CONTA],Tab_00.Trial[TP],"",0,1)</f>
        <v>C</v>
      </c>
      <c r="C272" s="2">
        <f>_xlfn.XLOOKUP($I272,Tab_00.Trial[CONTA],Tab_00.Trial[NV],"",0,1)</f>
        <v>5</v>
      </c>
      <c r="D272" s="2" t="str">
        <f>_xlfn.XLOOKUP($I272,Tab_00.Trial[CONTA],Tab_00.Trial[S/A],"",0,1)</f>
        <v>A</v>
      </c>
      <c r="E272" s="2">
        <f>IF($I272="","",COUNTIFS(Tab_00.Trial[CONTA],$I272))</f>
        <v>1</v>
      </c>
      <c r="F272" s="4">
        <f>SUMIFS(Tab_10.Out[SALDO
ATUAL],Tab_10.Out[CONTA],$I272)</f>
        <v>26950.21</v>
      </c>
      <c r="G272" s="4">
        <f t="shared" si="6"/>
        <v>0</v>
      </c>
      <c r="H272">
        <v>50965</v>
      </c>
      <c r="I272" s="3" t="s">
        <v>511</v>
      </c>
      <c r="J272" s="3" t="s">
        <v>512</v>
      </c>
      <c r="K272" s="4">
        <v>26950.21</v>
      </c>
      <c r="L272" s="4">
        <v>2261.4699999999998</v>
      </c>
      <c r="M272" s="4">
        <v>0</v>
      </c>
      <c r="N272" s="4">
        <v>29211.68</v>
      </c>
      <c r="O272" s="4">
        <f>Tab_11.Nov[[#This Row],[DÉBITO]]-Tab_11.Nov[[#This Row],[CRÉDITO]]</f>
        <v>2261.4699999999998</v>
      </c>
    </row>
    <row r="273" spans="2:15" x14ac:dyDescent="0.3">
      <c r="B273" s="2" t="str">
        <f>_xlfn.XLOOKUP($I273,Tab_00.Trial[CONTA],Tab_00.Trial[TP],"",0,1)</f>
        <v>C</v>
      </c>
      <c r="C273" s="2">
        <f>_xlfn.XLOOKUP($I273,Tab_00.Trial[CONTA],Tab_00.Trial[NV],"",0,1)</f>
        <v>5</v>
      </c>
      <c r="D273" s="2" t="str">
        <f>_xlfn.XLOOKUP($I273,Tab_00.Trial[CONTA],Tab_00.Trial[S/A],"",0,1)</f>
        <v>S</v>
      </c>
      <c r="E273" s="2">
        <f>IF($I273="","",COUNTIFS(Tab_00.Trial[CONTA],$I273))</f>
        <v>1</v>
      </c>
      <c r="F273" s="4">
        <f>SUMIFS(Tab_10.Out[SALDO
ATUAL],Tab_10.Out[CONTA],$I273)</f>
        <v>29110.11</v>
      </c>
      <c r="G273" s="4">
        <f t="shared" si="6"/>
        <v>0</v>
      </c>
      <c r="H273">
        <v>50970</v>
      </c>
      <c r="I273" s="3" t="s">
        <v>619</v>
      </c>
      <c r="J273" s="3" t="s">
        <v>420</v>
      </c>
      <c r="K273" s="4">
        <v>29110.11</v>
      </c>
      <c r="L273" s="4">
        <v>1898.53</v>
      </c>
      <c r="M273" s="4">
        <v>0</v>
      </c>
      <c r="N273" s="4">
        <v>31008.639999999999</v>
      </c>
      <c r="O273" s="4">
        <f>Tab_11.Nov[[#This Row],[DÉBITO]]-Tab_11.Nov[[#This Row],[CRÉDITO]]</f>
        <v>1898.53</v>
      </c>
    </row>
    <row r="274" spans="2:15" x14ac:dyDescent="0.3">
      <c r="B274" s="2" t="str">
        <f>_xlfn.XLOOKUP($I274,Tab_00.Trial[CONTA],Tab_00.Trial[TP],"",0,1)</f>
        <v>C</v>
      </c>
      <c r="C274" s="2">
        <f>_xlfn.XLOOKUP($I274,Tab_00.Trial[CONTA],Tab_00.Trial[NV],"",0,1)</f>
        <v>5</v>
      </c>
      <c r="D274" s="2" t="str">
        <f>_xlfn.XLOOKUP($I274,Tab_00.Trial[CONTA],Tab_00.Trial[S/A],"",0,1)</f>
        <v>A</v>
      </c>
      <c r="E274" s="2">
        <f>IF($I274="","",COUNTIFS(Tab_00.Trial[CONTA],$I274))</f>
        <v>1</v>
      </c>
      <c r="F274" s="4">
        <f>SUMIFS(Tab_10.Out[SALDO
ATUAL],Tab_10.Out[CONTA],$I274)</f>
        <v>29110.11</v>
      </c>
      <c r="G274" s="4">
        <f t="shared" si="6"/>
        <v>0</v>
      </c>
      <c r="H274">
        <v>50975</v>
      </c>
      <c r="I274" s="3" t="s">
        <v>515</v>
      </c>
      <c r="J274" s="3" t="s">
        <v>420</v>
      </c>
      <c r="K274" s="4">
        <v>29110.11</v>
      </c>
      <c r="L274" s="4">
        <v>1898.53</v>
      </c>
      <c r="M274" s="4">
        <v>0</v>
      </c>
      <c r="N274" s="4">
        <v>31008.639999999999</v>
      </c>
      <c r="O274" s="4">
        <f>Tab_11.Nov[[#This Row],[DÉBITO]]-Tab_11.Nov[[#This Row],[CRÉDITO]]</f>
        <v>1898.53</v>
      </c>
    </row>
    <row r="275" spans="2:15" x14ac:dyDescent="0.3">
      <c r="B275" s="2" t="str">
        <f>_xlfn.XLOOKUP($I275,Tab_00.Trial[CONTA],Tab_00.Trial[TP],"",0,1)</f>
        <v>C</v>
      </c>
      <c r="C275" s="2">
        <f>_xlfn.XLOOKUP($I275,Tab_00.Trial[CONTA],Tab_00.Trial[NV],"",0,1)</f>
        <v>5</v>
      </c>
      <c r="D275" s="2" t="str">
        <f>_xlfn.XLOOKUP($I275,Tab_00.Trial[CONTA],Tab_00.Trial[S/A],"",0,1)</f>
        <v>S</v>
      </c>
      <c r="E275" s="2">
        <f>IF($I275="","",COUNTIFS(Tab_00.Trial[CONTA],$I275))</f>
        <v>1</v>
      </c>
      <c r="F275" s="4">
        <f>SUMIFS(Tab_10.Out[SALDO
ATUAL],Tab_10.Out[CONTA],$I275)</f>
        <v>26456.14</v>
      </c>
      <c r="G275" s="4">
        <f t="shared" si="6"/>
        <v>0</v>
      </c>
      <c r="H275">
        <v>50990</v>
      </c>
      <c r="I275" s="3" t="s">
        <v>621</v>
      </c>
      <c r="J275" s="3" t="s">
        <v>723</v>
      </c>
      <c r="K275" s="4">
        <v>26456.14</v>
      </c>
      <c r="L275" s="4">
        <v>1164.04</v>
      </c>
      <c r="M275" s="4">
        <v>0</v>
      </c>
      <c r="N275" s="4">
        <v>27620.18</v>
      </c>
      <c r="O275" s="4">
        <f>Tab_11.Nov[[#This Row],[DÉBITO]]-Tab_11.Nov[[#This Row],[CRÉDITO]]</f>
        <v>1164.04</v>
      </c>
    </row>
    <row r="276" spans="2:15" x14ac:dyDescent="0.3">
      <c r="B276" s="2" t="str">
        <f>_xlfn.XLOOKUP($I276,Tab_00.Trial[CONTA],Tab_00.Trial[TP],"",0,1)</f>
        <v>C</v>
      </c>
      <c r="C276" s="2">
        <f>_xlfn.XLOOKUP($I276,Tab_00.Trial[CONTA],Tab_00.Trial[NV],"",0,1)</f>
        <v>5</v>
      </c>
      <c r="D276" s="2" t="str">
        <f>_xlfn.XLOOKUP($I276,Tab_00.Trial[CONTA],Tab_00.Trial[S/A],"",0,1)</f>
        <v>S</v>
      </c>
      <c r="E276" s="2">
        <f>IF($I276="","",COUNTIFS(Tab_00.Trial[CONTA],$I276))</f>
        <v>1</v>
      </c>
      <c r="F276" s="4">
        <f>SUMIFS(Tab_10.Out[SALDO
ATUAL],Tab_10.Out[CONTA],$I276)</f>
        <v>26456.14</v>
      </c>
      <c r="G276" s="4">
        <f t="shared" si="6"/>
        <v>0</v>
      </c>
      <c r="H276">
        <v>51005</v>
      </c>
      <c r="I276" s="3" t="s">
        <v>622</v>
      </c>
      <c r="J276" s="3" t="s">
        <v>723</v>
      </c>
      <c r="K276" s="4">
        <v>26456.14</v>
      </c>
      <c r="L276" s="4">
        <v>1164.04</v>
      </c>
      <c r="M276" s="4">
        <v>0</v>
      </c>
      <c r="N276" s="4">
        <v>27620.18</v>
      </c>
      <c r="O276" s="4">
        <f>Tab_11.Nov[[#This Row],[DÉBITO]]-Tab_11.Nov[[#This Row],[CRÉDITO]]</f>
        <v>1164.04</v>
      </c>
    </row>
    <row r="277" spans="2:15" x14ac:dyDescent="0.3">
      <c r="B277" s="2" t="str">
        <f>_xlfn.XLOOKUP($I277,Tab_00.Trial[CONTA],Tab_00.Trial[TP],"",0,1)</f>
        <v>C</v>
      </c>
      <c r="C277" s="2">
        <f>_xlfn.XLOOKUP($I277,Tab_00.Trial[CONTA],Tab_00.Trial[NV],"",0,1)</f>
        <v>5</v>
      </c>
      <c r="D277" s="2" t="str">
        <f>_xlfn.XLOOKUP($I277,Tab_00.Trial[CONTA],Tab_00.Trial[S/A],"",0,1)</f>
        <v>A</v>
      </c>
      <c r="E277" s="2">
        <f>IF($I277="","",COUNTIFS(Tab_00.Trial[CONTA],$I277))</f>
        <v>1</v>
      </c>
      <c r="F277" s="4">
        <f>SUMIFS(Tab_10.Out[SALDO
ATUAL],Tab_10.Out[CONTA],$I277)</f>
        <v>26456.14</v>
      </c>
      <c r="G277" s="4">
        <f t="shared" si="6"/>
        <v>0</v>
      </c>
      <c r="H277">
        <v>51019</v>
      </c>
      <c r="I277" s="3" t="s">
        <v>518</v>
      </c>
      <c r="J277" s="3" t="s">
        <v>519</v>
      </c>
      <c r="K277" s="4">
        <v>26456.14</v>
      </c>
      <c r="L277" s="4">
        <v>1164.04</v>
      </c>
      <c r="M277" s="4">
        <v>0</v>
      </c>
      <c r="N277" s="4">
        <v>27620.18</v>
      </c>
      <c r="O277" s="4">
        <f>Tab_11.Nov[[#This Row],[DÉBITO]]-Tab_11.Nov[[#This Row],[CRÉDITO]]</f>
        <v>1164.04</v>
      </c>
    </row>
    <row r="278" spans="2:15" x14ac:dyDescent="0.3">
      <c r="B278" s="2" t="str">
        <f>_xlfn.XLOOKUP($I278,Tab_00.Trial[CONTA],Tab_00.Trial[TP],"",0,1)</f>
        <v>C</v>
      </c>
      <c r="C278" s="2">
        <f>_xlfn.XLOOKUP($I278,Tab_00.Trial[CONTA],Tab_00.Trial[NV],"",0,1)</f>
        <v>5</v>
      </c>
      <c r="D278" s="2" t="str">
        <f>_xlfn.XLOOKUP($I278,Tab_00.Trial[CONTA],Tab_00.Trial[S/A],"",0,1)</f>
        <v>S</v>
      </c>
      <c r="E278" s="2">
        <f>IF($I278="","",COUNTIFS(Tab_00.Trial[CONTA],$I278))</f>
        <v>1</v>
      </c>
      <c r="F278" s="4">
        <f>SUMIFS(Tab_10.Out[SALDO
ATUAL],Tab_10.Out[CONTA],$I278)</f>
        <v>39948.74</v>
      </c>
      <c r="G278" s="4">
        <f t="shared" si="6"/>
        <v>0</v>
      </c>
      <c r="H278">
        <v>51050</v>
      </c>
      <c r="I278" s="3" t="s">
        <v>623</v>
      </c>
      <c r="J278" s="3" t="s">
        <v>724</v>
      </c>
      <c r="K278" s="4">
        <v>39948.74</v>
      </c>
      <c r="L278" s="4">
        <v>3666.75</v>
      </c>
      <c r="M278" s="4">
        <v>0</v>
      </c>
      <c r="N278" s="4">
        <v>43615.49</v>
      </c>
      <c r="O278" s="4">
        <f>Tab_11.Nov[[#This Row],[DÉBITO]]-Tab_11.Nov[[#This Row],[CRÉDITO]]</f>
        <v>3666.75</v>
      </c>
    </row>
    <row r="279" spans="2:15" x14ac:dyDescent="0.3">
      <c r="B279" s="2" t="str">
        <f>_xlfn.XLOOKUP($I279,Tab_00.Trial[CONTA],Tab_00.Trial[TP],"",0,1)</f>
        <v>C</v>
      </c>
      <c r="C279" s="2">
        <f>_xlfn.XLOOKUP($I279,Tab_00.Trial[CONTA],Tab_00.Trial[NV],"",0,1)</f>
        <v>5</v>
      </c>
      <c r="D279" s="2" t="str">
        <f>_xlfn.XLOOKUP($I279,Tab_00.Trial[CONTA],Tab_00.Trial[S/A],"",0,1)</f>
        <v>S</v>
      </c>
      <c r="E279" s="2">
        <f>IF($I279="","",COUNTIFS(Tab_00.Trial[CONTA],$I279))</f>
        <v>1</v>
      </c>
      <c r="F279" s="4">
        <f>SUMIFS(Tab_10.Out[SALDO
ATUAL],Tab_10.Out[CONTA],$I279)</f>
        <v>39948.74</v>
      </c>
      <c r="G279" s="4">
        <f t="shared" si="6"/>
        <v>0</v>
      </c>
      <c r="H279">
        <v>51065</v>
      </c>
      <c r="I279" s="3" t="s">
        <v>624</v>
      </c>
      <c r="J279" s="3" t="s">
        <v>724</v>
      </c>
      <c r="K279" s="4">
        <v>39948.74</v>
      </c>
      <c r="L279" s="4">
        <v>3666.75</v>
      </c>
      <c r="M279" s="4">
        <v>0</v>
      </c>
      <c r="N279" s="4">
        <v>43615.49</v>
      </c>
      <c r="O279" s="4">
        <f>Tab_11.Nov[[#This Row],[DÉBITO]]-Tab_11.Nov[[#This Row],[CRÉDITO]]</f>
        <v>3666.75</v>
      </c>
    </row>
    <row r="280" spans="2:15" x14ac:dyDescent="0.3">
      <c r="B280" s="2" t="str">
        <f>_xlfn.XLOOKUP($I280,Tab_00.Trial[CONTA],Tab_00.Trial[TP],"",0,1)</f>
        <v>C</v>
      </c>
      <c r="C280" s="2">
        <f>_xlfn.XLOOKUP($I280,Tab_00.Trial[CONTA],Tab_00.Trial[NV],"",0,1)</f>
        <v>5</v>
      </c>
      <c r="D280" s="2" t="str">
        <f>_xlfn.XLOOKUP($I280,Tab_00.Trial[CONTA],Tab_00.Trial[S/A],"",0,1)</f>
        <v>A</v>
      </c>
      <c r="E280" s="2">
        <f>IF($I280="","",COUNTIFS(Tab_00.Trial[CONTA],$I280))</f>
        <v>1</v>
      </c>
      <c r="F280" s="4">
        <f>SUMIFS(Tab_10.Out[SALDO
ATUAL],Tab_10.Out[CONTA],$I280)</f>
        <v>39948.74</v>
      </c>
      <c r="G280" s="4">
        <f t="shared" si="6"/>
        <v>0</v>
      </c>
      <c r="H280">
        <v>51080</v>
      </c>
      <c r="I280" s="3" t="s">
        <v>520</v>
      </c>
      <c r="J280" s="3" t="s">
        <v>521</v>
      </c>
      <c r="K280" s="4">
        <v>39948.74</v>
      </c>
      <c r="L280" s="4">
        <v>3666.75</v>
      </c>
      <c r="M280" s="4">
        <v>0</v>
      </c>
      <c r="N280" s="4">
        <v>43615.49</v>
      </c>
      <c r="O280" s="4">
        <f>Tab_11.Nov[[#This Row],[DÉBITO]]-Tab_11.Nov[[#This Row],[CRÉDITO]]</f>
        <v>3666.75</v>
      </c>
    </row>
    <row r="281" spans="2:15" x14ac:dyDescent="0.3">
      <c r="B281" s="2" t="str">
        <f>_xlfn.XLOOKUP($I281,Tab_00.Trial[CONTA],Tab_00.Trial[TP],"",0,1)</f>
        <v>C</v>
      </c>
      <c r="C281" s="2">
        <f>_xlfn.XLOOKUP($I281,Tab_00.Trial[CONTA],Tab_00.Trial[NV],"",0,1)</f>
        <v>5</v>
      </c>
      <c r="D281" s="2" t="str">
        <f>_xlfn.XLOOKUP($I281,Tab_00.Trial[CONTA],Tab_00.Trial[S/A],"",0,1)</f>
        <v>S</v>
      </c>
      <c r="E281" s="2">
        <f>IF($I281="","",COUNTIFS(Tab_00.Trial[CONTA],$I281))</f>
        <v>1</v>
      </c>
      <c r="F281" s="4">
        <f>SUMIFS(Tab_10.Out[SALDO
ATUAL],Tab_10.Out[CONTA],$I281)</f>
        <v>49651.39</v>
      </c>
      <c r="G281" s="4">
        <f t="shared" si="6"/>
        <v>0</v>
      </c>
      <c r="H281">
        <v>51110</v>
      </c>
      <c r="I281" s="3" t="s">
        <v>625</v>
      </c>
      <c r="J281" s="3" t="s">
        <v>542</v>
      </c>
      <c r="K281" s="4">
        <v>49651.39</v>
      </c>
      <c r="L281" s="4">
        <v>5206.87</v>
      </c>
      <c r="M281" s="4">
        <v>0</v>
      </c>
      <c r="N281" s="4">
        <v>54858.26</v>
      </c>
      <c r="O281" s="4">
        <f>Tab_11.Nov[[#This Row],[DÉBITO]]-Tab_11.Nov[[#This Row],[CRÉDITO]]</f>
        <v>5206.87</v>
      </c>
    </row>
    <row r="282" spans="2:15" x14ac:dyDescent="0.3">
      <c r="B282" s="2" t="str">
        <f>_xlfn.XLOOKUP($I282,Tab_00.Trial[CONTA],Tab_00.Trial[TP],"",0,1)</f>
        <v>C</v>
      </c>
      <c r="C282" s="2">
        <f>_xlfn.XLOOKUP($I282,Tab_00.Trial[CONTA],Tab_00.Trial[NV],"",0,1)</f>
        <v>5</v>
      </c>
      <c r="D282" s="2" t="str">
        <f>_xlfn.XLOOKUP($I282,Tab_00.Trial[CONTA],Tab_00.Trial[S/A],"",0,1)</f>
        <v>S</v>
      </c>
      <c r="E282" s="2">
        <f>IF($I282="","",COUNTIFS(Tab_00.Trial[CONTA],$I282))</f>
        <v>1</v>
      </c>
      <c r="F282" s="4">
        <f>SUMIFS(Tab_10.Out[SALDO
ATUAL],Tab_10.Out[CONTA],$I282)</f>
        <v>16197.91</v>
      </c>
      <c r="G282" s="4">
        <f t="shared" si="6"/>
        <v>0</v>
      </c>
      <c r="H282">
        <v>51125</v>
      </c>
      <c r="I282" s="3" t="s">
        <v>626</v>
      </c>
      <c r="J282" s="3" t="s">
        <v>725</v>
      </c>
      <c r="K282" s="4">
        <v>16197.91</v>
      </c>
      <c r="L282" s="4">
        <v>1343.24</v>
      </c>
      <c r="M282" s="4">
        <v>0</v>
      </c>
      <c r="N282" s="4">
        <v>17541.150000000001</v>
      </c>
      <c r="O282" s="4">
        <f>Tab_11.Nov[[#This Row],[DÉBITO]]-Tab_11.Nov[[#This Row],[CRÉDITO]]</f>
        <v>1343.24</v>
      </c>
    </row>
    <row r="283" spans="2:15" x14ac:dyDescent="0.3">
      <c r="B283" s="2" t="str">
        <f>_xlfn.XLOOKUP($I283,Tab_00.Trial[CONTA],Tab_00.Trial[TP],"",0,1)</f>
        <v>C</v>
      </c>
      <c r="C283" s="2">
        <f>_xlfn.XLOOKUP($I283,Tab_00.Trial[CONTA],Tab_00.Trial[NV],"",0,1)</f>
        <v>5</v>
      </c>
      <c r="D283" s="2" t="str">
        <f>_xlfn.XLOOKUP($I283,Tab_00.Trial[CONTA],Tab_00.Trial[S/A],"",0,1)</f>
        <v>A</v>
      </c>
      <c r="E283" s="2">
        <f>IF($I283="","",COUNTIFS(Tab_00.Trial[CONTA],$I283))</f>
        <v>1</v>
      </c>
      <c r="F283" s="4">
        <f>SUMIFS(Tab_10.Out[SALDO
ATUAL],Tab_10.Out[CONTA],$I283)</f>
        <v>15527.74</v>
      </c>
      <c r="G283" s="4">
        <f t="shared" si="6"/>
        <v>0</v>
      </c>
      <c r="H283">
        <v>51200</v>
      </c>
      <c r="I283" s="3" t="s">
        <v>522</v>
      </c>
      <c r="J283" s="3" t="s">
        <v>523</v>
      </c>
      <c r="K283" s="4">
        <v>15527.74</v>
      </c>
      <c r="L283" s="4">
        <v>1326.6</v>
      </c>
      <c r="M283" s="4">
        <v>0</v>
      </c>
      <c r="N283" s="4">
        <v>16854.34</v>
      </c>
      <c r="O283" s="4">
        <f>Tab_11.Nov[[#This Row],[DÉBITO]]-Tab_11.Nov[[#This Row],[CRÉDITO]]</f>
        <v>1326.6</v>
      </c>
    </row>
    <row r="284" spans="2:15" x14ac:dyDescent="0.3">
      <c r="B284" s="2" t="str">
        <f>_xlfn.XLOOKUP($I284,Tab_00.Trial[CONTA],Tab_00.Trial[TP],"",0,1)</f>
        <v>C</v>
      </c>
      <c r="C284" s="2">
        <f>_xlfn.XLOOKUP($I284,Tab_00.Trial[CONTA],Tab_00.Trial[NV],"",0,1)</f>
        <v>5</v>
      </c>
      <c r="D284" s="2" t="str">
        <f>_xlfn.XLOOKUP($I284,Tab_00.Trial[CONTA],Tab_00.Trial[S/A],"",0,1)</f>
        <v>A</v>
      </c>
      <c r="E284" s="2">
        <f>IF($I284="","",COUNTIFS(Tab_00.Trial[CONTA],$I284))</f>
        <v>1</v>
      </c>
      <c r="F284" s="4">
        <f>SUMIFS(Tab_10.Out[SALDO
ATUAL],Tab_10.Out[CONTA],$I284)</f>
        <v>670.17</v>
      </c>
      <c r="G284" s="4">
        <f t="shared" si="6"/>
        <v>0</v>
      </c>
      <c r="H284">
        <v>51220</v>
      </c>
      <c r="I284" s="3" t="s">
        <v>524</v>
      </c>
      <c r="J284" s="3" t="s">
        <v>525</v>
      </c>
      <c r="K284" s="4">
        <v>670.17</v>
      </c>
      <c r="L284" s="4">
        <v>16.64</v>
      </c>
      <c r="M284" s="4">
        <v>0</v>
      </c>
      <c r="N284" s="4">
        <v>686.81</v>
      </c>
      <c r="O284" s="4">
        <f>Tab_11.Nov[[#This Row],[DÉBITO]]-Tab_11.Nov[[#This Row],[CRÉDITO]]</f>
        <v>16.64</v>
      </c>
    </row>
    <row r="285" spans="2:15" x14ac:dyDescent="0.3">
      <c r="B285" s="2" t="str">
        <f>_xlfn.XLOOKUP($I285,Tab_00.Trial[CONTA],Tab_00.Trial[TP],"",0,1)</f>
        <v>C</v>
      </c>
      <c r="C285" s="2">
        <f>_xlfn.XLOOKUP($I285,Tab_00.Trial[CONTA],Tab_00.Trial[NV],"",0,1)</f>
        <v>5</v>
      </c>
      <c r="D285" s="2" t="str">
        <f>_xlfn.XLOOKUP($I285,Tab_00.Trial[CONTA],Tab_00.Trial[S/A],"",0,1)</f>
        <v>S</v>
      </c>
      <c r="E285" s="2">
        <f>IF($I285="","",COUNTIFS(Tab_00.Trial[CONTA],$I285))</f>
        <v>1</v>
      </c>
      <c r="F285" s="4">
        <f>SUMIFS(Tab_10.Out[SALDO
ATUAL],Tab_10.Out[CONTA],$I285)</f>
        <v>33453.480000000003</v>
      </c>
      <c r="G285" s="4">
        <f t="shared" si="6"/>
        <v>0</v>
      </c>
      <c r="H285">
        <v>51230</v>
      </c>
      <c r="I285" s="3" t="s">
        <v>627</v>
      </c>
      <c r="J285" s="3" t="s">
        <v>542</v>
      </c>
      <c r="K285" s="4">
        <v>33453.480000000003</v>
      </c>
      <c r="L285" s="4">
        <v>3863.63</v>
      </c>
      <c r="M285" s="4">
        <v>0</v>
      </c>
      <c r="N285" s="4">
        <v>37317.11</v>
      </c>
      <c r="O285" s="4">
        <f>Tab_11.Nov[[#This Row],[DÉBITO]]-Tab_11.Nov[[#This Row],[CRÉDITO]]</f>
        <v>3863.63</v>
      </c>
    </row>
    <row r="286" spans="2:15" x14ac:dyDescent="0.3">
      <c r="B286" s="2" t="str">
        <f>_xlfn.XLOOKUP($I286,Tab_00.Trial[CONTA],Tab_00.Trial[TP],"",0,1)</f>
        <v>C</v>
      </c>
      <c r="C286" s="2">
        <f>_xlfn.XLOOKUP($I286,Tab_00.Trial[CONTA],Tab_00.Trial[NV],"",0,1)</f>
        <v>5</v>
      </c>
      <c r="D286" s="2" t="str">
        <f>_xlfn.XLOOKUP($I286,Tab_00.Trial[CONTA],Tab_00.Trial[S/A],"",0,1)</f>
        <v>A</v>
      </c>
      <c r="E286" s="2">
        <f>IF($I286="","",COUNTIFS(Tab_00.Trial[CONTA],$I286))</f>
        <v>1</v>
      </c>
      <c r="F286" s="4">
        <f>SUMIFS(Tab_10.Out[SALDO
ATUAL],Tab_10.Out[CONTA],$I286)</f>
        <v>2464.7399999999998</v>
      </c>
      <c r="G286" s="4">
        <f t="shared" si="6"/>
        <v>0</v>
      </c>
      <c r="H286">
        <v>51245</v>
      </c>
      <c r="I286" s="3" t="s">
        <v>528</v>
      </c>
      <c r="J286" s="3" t="s">
        <v>416</v>
      </c>
      <c r="K286" s="4">
        <v>2464.7399999999998</v>
      </c>
      <c r="L286" s="4">
        <v>0</v>
      </c>
      <c r="M286" s="4">
        <v>0</v>
      </c>
      <c r="N286" s="4">
        <v>2464.7399999999998</v>
      </c>
      <c r="O286" s="4">
        <f>Tab_11.Nov[[#This Row],[DÉBITO]]-Tab_11.Nov[[#This Row],[CRÉDITO]]</f>
        <v>0</v>
      </c>
    </row>
    <row r="287" spans="2:15" x14ac:dyDescent="0.3">
      <c r="B287" s="2" t="str">
        <f>_xlfn.XLOOKUP($I287,Tab_00.Trial[CONTA],Tab_00.Trial[TP],"",0,1)</f>
        <v>C</v>
      </c>
      <c r="C287" s="2">
        <f>_xlfn.XLOOKUP($I287,Tab_00.Trial[CONTA],Tab_00.Trial[NV],"",0,1)</f>
        <v>5</v>
      </c>
      <c r="D287" s="2" t="str">
        <f>_xlfn.XLOOKUP($I287,Tab_00.Trial[CONTA],Tab_00.Trial[S/A],"",0,1)</f>
        <v>A</v>
      </c>
      <c r="E287" s="2">
        <f>IF($I287="","",COUNTIFS(Tab_00.Trial[CONTA],$I287))</f>
        <v>1</v>
      </c>
      <c r="F287" s="4">
        <f>SUMIFS(Tab_10.Out[SALDO
ATUAL],Tab_10.Out[CONTA],$I287)</f>
        <v>849.32</v>
      </c>
      <c r="G287" s="4">
        <f t="shared" si="6"/>
        <v>0</v>
      </c>
      <c r="H287">
        <v>51275</v>
      </c>
      <c r="I287" s="3" t="s">
        <v>529</v>
      </c>
      <c r="J287" s="3" t="s">
        <v>530</v>
      </c>
      <c r="K287" s="4">
        <v>849.32</v>
      </c>
      <c r="L287" s="4">
        <v>0</v>
      </c>
      <c r="M287" s="4">
        <v>0</v>
      </c>
      <c r="N287" s="4">
        <v>849.32</v>
      </c>
      <c r="O287" s="4">
        <f>Tab_11.Nov[[#This Row],[DÉBITO]]-Tab_11.Nov[[#This Row],[CRÉDITO]]</f>
        <v>0</v>
      </c>
    </row>
    <row r="288" spans="2:15" x14ac:dyDescent="0.3">
      <c r="B288" s="2" t="str">
        <f>_xlfn.XLOOKUP($I288,Tab_00.Trial[CONTA],Tab_00.Trial[TP],"",0,1)</f>
        <v>C</v>
      </c>
      <c r="C288" s="2">
        <f>_xlfn.XLOOKUP($I288,Tab_00.Trial[CONTA],Tab_00.Trial[NV],"",0,1)</f>
        <v>5</v>
      </c>
      <c r="D288" s="2" t="str">
        <f>_xlfn.XLOOKUP($I288,Tab_00.Trial[CONTA],Tab_00.Trial[S/A],"",0,1)</f>
        <v>A</v>
      </c>
      <c r="E288" s="2">
        <f>IF($I288="","",COUNTIFS(Tab_00.Trial[CONTA],$I288))</f>
        <v>1</v>
      </c>
      <c r="F288" s="4">
        <f>SUMIFS(Tab_10.Out[SALDO
ATUAL],Tab_10.Out[CONTA],$I288)</f>
        <v>1607.42</v>
      </c>
      <c r="G288" s="4">
        <f t="shared" si="6"/>
        <v>0</v>
      </c>
      <c r="H288">
        <v>51290</v>
      </c>
      <c r="I288" s="3" t="s">
        <v>531</v>
      </c>
      <c r="J288" s="3" t="s">
        <v>532</v>
      </c>
      <c r="K288" s="4">
        <v>1607.42</v>
      </c>
      <c r="L288" s="4">
        <v>56.68</v>
      </c>
      <c r="M288" s="4">
        <v>0</v>
      </c>
      <c r="N288" s="4">
        <v>1664.1</v>
      </c>
      <c r="O288" s="4">
        <f>Tab_11.Nov[[#This Row],[DÉBITO]]-Tab_11.Nov[[#This Row],[CRÉDITO]]</f>
        <v>56.68</v>
      </c>
    </row>
    <row r="289" spans="2:15" x14ac:dyDescent="0.3">
      <c r="B289" s="2" t="str">
        <f>_xlfn.XLOOKUP($I289,Tab_00.Trial[CONTA],Tab_00.Trial[TP],"",0,1)</f>
        <v>C</v>
      </c>
      <c r="C289" s="2">
        <f>_xlfn.XLOOKUP($I289,Tab_00.Trial[CONTA],Tab_00.Trial[NV],"",0,1)</f>
        <v>5</v>
      </c>
      <c r="D289" s="2" t="str">
        <f>_xlfn.XLOOKUP($I289,Tab_00.Trial[CONTA],Tab_00.Trial[S/A],"",0,1)</f>
        <v>A</v>
      </c>
      <c r="E289" s="2">
        <f>IF($I289="","",COUNTIFS(Tab_00.Trial[CONTA],$I289))</f>
        <v>1</v>
      </c>
      <c r="F289" s="4">
        <f>SUMIFS(Tab_10.Out[SALDO
ATUAL],Tab_10.Out[CONTA],$I289)</f>
        <v>4988.91</v>
      </c>
      <c r="G289" s="4">
        <f t="shared" si="6"/>
        <v>0</v>
      </c>
      <c r="H289">
        <v>51305</v>
      </c>
      <c r="I289" s="3" t="s">
        <v>533</v>
      </c>
      <c r="J289" s="3" t="s">
        <v>534</v>
      </c>
      <c r="K289" s="4">
        <v>4988.91</v>
      </c>
      <c r="L289" s="4">
        <v>2071.2800000000002</v>
      </c>
      <c r="M289" s="4">
        <v>0</v>
      </c>
      <c r="N289" s="4">
        <v>7060.19</v>
      </c>
      <c r="O289" s="4">
        <f>Tab_11.Nov[[#This Row],[DÉBITO]]-Tab_11.Nov[[#This Row],[CRÉDITO]]</f>
        <v>2071.2800000000002</v>
      </c>
    </row>
    <row r="290" spans="2:15" x14ac:dyDescent="0.3">
      <c r="B290" s="2" t="str">
        <f>_xlfn.XLOOKUP($I290,Tab_00.Trial[CONTA],Tab_00.Trial[TP],"",0,1)</f>
        <v>C</v>
      </c>
      <c r="C290" s="2">
        <f>_xlfn.XLOOKUP($I290,Tab_00.Trial[CONTA],Tab_00.Trial[NV],"",0,1)</f>
        <v>5</v>
      </c>
      <c r="D290" s="2" t="str">
        <f>_xlfn.XLOOKUP($I290,Tab_00.Trial[CONTA],Tab_00.Trial[S/A],"",0,1)</f>
        <v>A</v>
      </c>
      <c r="E290" s="2">
        <f>IF($I290="","",COUNTIFS(Tab_00.Trial[CONTA],$I290))</f>
        <v>1</v>
      </c>
      <c r="F290" s="4">
        <f>SUMIFS(Tab_10.Out[SALDO
ATUAL],Tab_10.Out[CONTA],$I290)</f>
        <v>4749.8900000000003</v>
      </c>
      <c r="G290" s="4">
        <f t="shared" si="6"/>
        <v>0</v>
      </c>
      <c r="H290">
        <v>51335</v>
      </c>
      <c r="I290" s="3" t="s">
        <v>537</v>
      </c>
      <c r="J290" s="3" t="s">
        <v>538</v>
      </c>
      <c r="K290" s="4">
        <v>4749.8900000000003</v>
      </c>
      <c r="L290" s="4">
        <v>0</v>
      </c>
      <c r="M290" s="4">
        <v>0</v>
      </c>
      <c r="N290" s="4">
        <v>4749.8900000000003</v>
      </c>
      <c r="O290" s="4">
        <f>Tab_11.Nov[[#This Row],[DÉBITO]]-Tab_11.Nov[[#This Row],[CRÉDITO]]</f>
        <v>0</v>
      </c>
    </row>
    <row r="291" spans="2:15" x14ac:dyDescent="0.3">
      <c r="B291" s="2" t="str">
        <f>_xlfn.XLOOKUP($I291,Tab_00.Trial[CONTA],Tab_00.Trial[TP],"",0,1)</f>
        <v>C</v>
      </c>
      <c r="C291" s="2">
        <f>_xlfn.XLOOKUP($I291,Tab_00.Trial[CONTA],Tab_00.Trial[NV],"",0,1)</f>
        <v>5</v>
      </c>
      <c r="D291" s="2" t="str">
        <f>_xlfn.XLOOKUP($I291,Tab_00.Trial[CONTA],Tab_00.Trial[S/A],"",0,1)</f>
        <v>A</v>
      </c>
      <c r="E291" s="2">
        <f>IF($I291="","",COUNTIFS(Tab_00.Trial[CONTA],$I291))</f>
        <v>1</v>
      </c>
      <c r="F291" s="4">
        <f>SUMIFS(Tab_10.Out[SALDO
ATUAL],Tab_10.Out[CONTA],$I291)</f>
        <v>14901.6</v>
      </c>
      <c r="G291" s="4">
        <f t="shared" si="6"/>
        <v>0</v>
      </c>
      <c r="H291">
        <v>51338</v>
      </c>
      <c r="I291" s="3" t="s">
        <v>539</v>
      </c>
      <c r="J291" s="3" t="s">
        <v>540</v>
      </c>
      <c r="K291" s="4">
        <v>14901.6</v>
      </c>
      <c r="L291" s="4">
        <v>1401.17</v>
      </c>
      <c r="M291" s="4">
        <v>0</v>
      </c>
      <c r="N291" s="4">
        <v>16302.77</v>
      </c>
      <c r="O291" s="4">
        <f>Tab_11.Nov[[#This Row],[DÉBITO]]-Tab_11.Nov[[#This Row],[CRÉDITO]]</f>
        <v>1401.17</v>
      </c>
    </row>
    <row r="292" spans="2:15" x14ac:dyDescent="0.3">
      <c r="B292" s="2" t="str">
        <f>_xlfn.XLOOKUP($I292,Tab_00.Trial[CONTA],Tab_00.Trial[TP],"",0,1)</f>
        <v>C</v>
      </c>
      <c r="C292" s="2">
        <f>_xlfn.XLOOKUP($I292,Tab_00.Trial[CONTA],Tab_00.Trial[NV],"",0,1)</f>
        <v>5</v>
      </c>
      <c r="D292" s="2" t="str">
        <f>_xlfn.XLOOKUP($I292,Tab_00.Trial[CONTA],Tab_00.Trial[S/A],"",0,1)</f>
        <v>A</v>
      </c>
      <c r="E292" s="2">
        <f>IF($I292="","",COUNTIFS(Tab_00.Trial[CONTA],$I292))</f>
        <v>1</v>
      </c>
      <c r="F292" s="4">
        <f>SUMIFS(Tab_10.Out[SALDO
ATUAL],Tab_10.Out[CONTA],$I292)</f>
        <v>3891.6</v>
      </c>
      <c r="G292" s="4">
        <f t="shared" si="6"/>
        <v>0</v>
      </c>
      <c r="H292">
        <v>51337</v>
      </c>
      <c r="I292" s="3" t="s">
        <v>541</v>
      </c>
      <c r="J292" s="3" t="s">
        <v>542</v>
      </c>
      <c r="K292" s="4">
        <v>3891.6</v>
      </c>
      <c r="L292" s="4">
        <v>334.5</v>
      </c>
      <c r="M292" s="4">
        <v>0</v>
      </c>
      <c r="N292" s="4">
        <v>4226.1000000000004</v>
      </c>
      <c r="O292" s="4">
        <f>Tab_11.Nov[[#This Row],[DÉBITO]]-Tab_11.Nov[[#This Row],[CRÉDITO]]</f>
        <v>334.5</v>
      </c>
    </row>
    <row r="293" spans="2:15" x14ac:dyDescent="0.3">
      <c r="B293" s="2" t="str">
        <f>_xlfn.XLOOKUP($I293,Tab_00.Trial[CONTA],Tab_00.Trial[TP],"",0,1)</f>
        <v>C</v>
      </c>
      <c r="C293" s="2">
        <f>_xlfn.XLOOKUP($I293,Tab_00.Trial[CONTA],Tab_00.Trial[NV],"",0,1)</f>
        <v>5</v>
      </c>
      <c r="D293" s="2" t="str">
        <f>_xlfn.XLOOKUP($I293,Tab_00.Trial[CONTA],Tab_00.Trial[S/A],"",0,1)</f>
        <v>S</v>
      </c>
      <c r="E293" s="2">
        <f>IF($I293="","",COUNTIFS(Tab_00.Trial[CONTA],$I293))</f>
        <v>1</v>
      </c>
      <c r="F293" s="4">
        <f>SUMIFS(Tab_10.Out[SALDO
ATUAL],Tab_10.Out[CONTA],$I293)</f>
        <v>49901.5</v>
      </c>
      <c r="G293" s="4">
        <f t="shared" si="6"/>
        <v>0</v>
      </c>
      <c r="H293">
        <v>51340</v>
      </c>
      <c r="I293" s="3" t="s">
        <v>628</v>
      </c>
      <c r="J293" s="3" t="s">
        <v>726</v>
      </c>
      <c r="K293" s="4">
        <v>49901.5</v>
      </c>
      <c r="L293" s="4">
        <v>0</v>
      </c>
      <c r="M293" s="4">
        <v>0</v>
      </c>
      <c r="N293" s="4">
        <v>49901.5</v>
      </c>
      <c r="O293" s="4">
        <f>Tab_11.Nov[[#This Row],[DÉBITO]]-Tab_11.Nov[[#This Row],[CRÉDITO]]</f>
        <v>0</v>
      </c>
    </row>
    <row r="294" spans="2:15" x14ac:dyDescent="0.3">
      <c r="B294" s="2" t="str">
        <f>_xlfn.XLOOKUP($I294,Tab_00.Trial[CONTA],Tab_00.Trial[TP],"",0,1)</f>
        <v>C</v>
      </c>
      <c r="C294" s="2">
        <f>_xlfn.XLOOKUP($I294,Tab_00.Trial[CONTA],Tab_00.Trial[NV],"",0,1)</f>
        <v>5</v>
      </c>
      <c r="D294" s="2" t="str">
        <f>_xlfn.XLOOKUP($I294,Tab_00.Trial[CONTA],Tab_00.Trial[S/A],"",0,1)</f>
        <v>S</v>
      </c>
      <c r="E294" s="2">
        <f>IF($I294="","",COUNTIFS(Tab_00.Trial[CONTA],$I294))</f>
        <v>1</v>
      </c>
      <c r="F294" s="4">
        <f>SUMIFS(Tab_10.Out[SALDO
ATUAL],Tab_10.Out[CONTA],$I294)</f>
        <v>49901.5</v>
      </c>
      <c r="G294" s="4">
        <f t="shared" si="6"/>
        <v>0</v>
      </c>
      <c r="H294">
        <v>51370</v>
      </c>
      <c r="I294" s="3" t="s">
        <v>1004</v>
      </c>
      <c r="J294" s="3" t="s">
        <v>1005</v>
      </c>
      <c r="K294" s="4">
        <v>49901.5</v>
      </c>
      <c r="L294" s="4">
        <v>0</v>
      </c>
      <c r="M294" s="4">
        <v>0</v>
      </c>
      <c r="N294" s="4">
        <v>49901.5</v>
      </c>
      <c r="O294" s="4">
        <f>Tab_11.Nov[[#This Row],[DÉBITO]]-Tab_11.Nov[[#This Row],[CRÉDITO]]</f>
        <v>0</v>
      </c>
    </row>
    <row r="295" spans="2:15" x14ac:dyDescent="0.3">
      <c r="B295" s="2" t="str">
        <f>_xlfn.XLOOKUP($I295,Tab_00.Trial[CONTA],Tab_00.Trial[TP],"",0,1)</f>
        <v>C</v>
      </c>
      <c r="C295" s="2">
        <f>_xlfn.XLOOKUP($I295,Tab_00.Trial[CONTA],Tab_00.Trial[NV],"",0,1)</f>
        <v>5</v>
      </c>
      <c r="D295" s="2" t="str">
        <f>_xlfn.XLOOKUP($I295,Tab_00.Trial[CONTA],Tab_00.Trial[S/A],"",0,1)</f>
        <v>A</v>
      </c>
      <c r="E295" s="2">
        <f>IF($I295="","",COUNTIFS(Tab_00.Trial[CONTA],$I295))</f>
        <v>1</v>
      </c>
      <c r="F295" s="4">
        <f>SUMIFS(Tab_10.Out[SALDO
ATUAL],Tab_10.Out[CONTA],$I295)</f>
        <v>49901.5</v>
      </c>
      <c r="G295" s="4">
        <f t="shared" si="6"/>
        <v>0</v>
      </c>
      <c r="H295">
        <v>51374</v>
      </c>
      <c r="I295" s="3" t="s">
        <v>1006</v>
      </c>
      <c r="J295" s="3" t="s">
        <v>1007</v>
      </c>
      <c r="K295" s="4">
        <v>49901.5</v>
      </c>
      <c r="L295" s="4">
        <v>0</v>
      </c>
      <c r="M295" s="4">
        <v>0</v>
      </c>
      <c r="N295" s="4">
        <v>49901.5</v>
      </c>
      <c r="O295" s="4">
        <f>Tab_11.Nov[[#This Row],[DÉBITO]]-Tab_11.Nov[[#This Row],[CRÉDITO]]</f>
        <v>0</v>
      </c>
    </row>
    <row r="296" spans="2:15" x14ac:dyDescent="0.3">
      <c r="B296" s="2" t="str">
        <f>_xlfn.XLOOKUP($I296,Tab_00.Trial[CONTA],Tab_00.Trial[TP],"",0,1)</f>
        <v>C</v>
      </c>
      <c r="C296" s="2">
        <f>_xlfn.XLOOKUP($I296,Tab_00.Trial[CONTA],Tab_00.Trial[NV],"",0,1)</f>
        <v>2</v>
      </c>
      <c r="D296" s="2" t="str">
        <f>_xlfn.XLOOKUP($I296,Tab_00.Trial[CONTA],Tab_00.Trial[S/A],"",0,1)</f>
        <v>S</v>
      </c>
      <c r="E296" s="2">
        <f>IF($I296="","",COUNTIFS(Tab_00.Trial[CONTA],$I296))</f>
        <v>1</v>
      </c>
      <c r="F296" s="4">
        <f>SUMIFS(Tab_10.Out[SALDO
ATUAL],Tab_10.Out[CONTA],$I296)</f>
        <v>405</v>
      </c>
      <c r="G296" s="4">
        <f t="shared" si="6"/>
        <v>0</v>
      </c>
      <c r="H296">
        <v>51500</v>
      </c>
      <c r="I296" s="3" t="s">
        <v>630</v>
      </c>
      <c r="J296" s="3" t="s">
        <v>728</v>
      </c>
      <c r="K296" s="4">
        <v>405</v>
      </c>
      <c r="L296" s="4">
        <v>0</v>
      </c>
      <c r="M296" s="4">
        <v>0</v>
      </c>
      <c r="N296" s="4">
        <v>405</v>
      </c>
      <c r="O296" s="4">
        <f>Tab_11.Nov[[#This Row],[DÉBITO]]-Tab_11.Nov[[#This Row],[CRÉDITO]]</f>
        <v>0</v>
      </c>
    </row>
    <row r="297" spans="2:15" x14ac:dyDescent="0.3">
      <c r="B297" s="2" t="str">
        <f>_xlfn.XLOOKUP($I297,Tab_00.Trial[CONTA],Tab_00.Trial[TP],"",0,1)</f>
        <v>C</v>
      </c>
      <c r="C297" s="2">
        <f>_xlfn.XLOOKUP($I297,Tab_00.Trial[CONTA],Tab_00.Trial[NV],"",0,1)</f>
        <v>5</v>
      </c>
      <c r="D297" s="2" t="str">
        <f>_xlfn.XLOOKUP($I297,Tab_00.Trial[CONTA],Tab_00.Trial[S/A],"",0,1)</f>
        <v>S</v>
      </c>
      <c r="E297" s="2">
        <f>IF($I297="","",COUNTIFS(Tab_00.Trial[CONTA],$I297))</f>
        <v>1</v>
      </c>
      <c r="F297" s="4">
        <f>SUMIFS(Tab_10.Out[SALDO
ATUAL],Tab_10.Out[CONTA],$I297)</f>
        <v>405</v>
      </c>
      <c r="G297" s="4">
        <f t="shared" si="6"/>
        <v>0</v>
      </c>
      <c r="H297">
        <v>51505</v>
      </c>
      <c r="I297" s="3" t="s">
        <v>631</v>
      </c>
      <c r="J297" s="3" t="s">
        <v>728</v>
      </c>
      <c r="K297" s="4">
        <v>405</v>
      </c>
      <c r="L297" s="4">
        <v>0</v>
      </c>
      <c r="M297" s="4">
        <v>0</v>
      </c>
      <c r="N297" s="4">
        <v>405</v>
      </c>
      <c r="O297" s="4">
        <f>Tab_11.Nov[[#This Row],[DÉBITO]]-Tab_11.Nov[[#This Row],[CRÉDITO]]</f>
        <v>0</v>
      </c>
    </row>
    <row r="298" spans="2:15" x14ac:dyDescent="0.3">
      <c r="B298" s="2" t="str">
        <f>_xlfn.XLOOKUP($I298,Tab_00.Trial[CONTA],Tab_00.Trial[TP],"",0,1)</f>
        <v>C</v>
      </c>
      <c r="C298" s="2">
        <f>_xlfn.XLOOKUP($I298,Tab_00.Trial[CONTA],Tab_00.Trial[NV],"",0,1)</f>
        <v>5</v>
      </c>
      <c r="D298" s="2" t="str">
        <f>_xlfn.XLOOKUP($I298,Tab_00.Trial[CONTA],Tab_00.Trial[S/A],"",0,1)</f>
        <v>S</v>
      </c>
      <c r="E298" s="2">
        <f>IF($I298="","",COUNTIFS(Tab_00.Trial[CONTA],$I298))</f>
        <v>1</v>
      </c>
      <c r="F298" s="4">
        <f>SUMIFS(Tab_10.Out[SALDO
ATUAL],Tab_10.Out[CONTA],$I298)</f>
        <v>405</v>
      </c>
      <c r="G298" s="4">
        <f t="shared" si="6"/>
        <v>0</v>
      </c>
      <c r="H298">
        <v>51565</v>
      </c>
      <c r="I298" s="3" t="s">
        <v>633</v>
      </c>
      <c r="J298" s="3" t="s">
        <v>548</v>
      </c>
      <c r="K298" s="4">
        <v>405</v>
      </c>
      <c r="L298" s="4">
        <v>0</v>
      </c>
      <c r="M298" s="4">
        <v>0</v>
      </c>
      <c r="N298" s="4">
        <v>405</v>
      </c>
      <c r="O298" s="4">
        <f>Tab_11.Nov[[#This Row],[DÉBITO]]-Tab_11.Nov[[#This Row],[CRÉDITO]]</f>
        <v>0</v>
      </c>
    </row>
    <row r="299" spans="2:15" x14ac:dyDescent="0.3">
      <c r="B299" s="2" t="str">
        <f>_xlfn.XLOOKUP($I299,Tab_00.Trial[CONTA],Tab_00.Trial[TP],"",0,1)</f>
        <v>C</v>
      </c>
      <c r="C299" s="2">
        <f>_xlfn.XLOOKUP($I299,Tab_00.Trial[CONTA],Tab_00.Trial[NV],"",0,1)</f>
        <v>5</v>
      </c>
      <c r="D299" s="2" t="str">
        <f>_xlfn.XLOOKUP($I299,Tab_00.Trial[CONTA],Tab_00.Trial[S/A],"",0,1)</f>
        <v>A</v>
      </c>
      <c r="E299" s="2">
        <f>IF($I299="","",COUNTIFS(Tab_00.Trial[CONTA],$I299))</f>
        <v>1</v>
      </c>
      <c r="F299" s="4">
        <f>SUMIFS(Tab_10.Out[SALDO
ATUAL],Tab_10.Out[CONTA],$I299)</f>
        <v>405</v>
      </c>
      <c r="G299" s="4">
        <f t="shared" ref="G299:G302" si="7">$F299-$K299</f>
        <v>0</v>
      </c>
      <c r="H299">
        <v>51570</v>
      </c>
      <c r="I299" s="3" t="s">
        <v>547</v>
      </c>
      <c r="J299" s="3" t="s">
        <v>548</v>
      </c>
      <c r="K299" s="4">
        <v>405</v>
      </c>
      <c r="L299" s="4">
        <v>0</v>
      </c>
      <c r="M299" s="4">
        <v>0</v>
      </c>
      <c r="N299" s="4">
        <v>405</v>
      </c>
      <c r="O299" s="4">
        <f>Tab_11.Nov[[#This Row],[DÉBITO]]-Tab_11.Nov[[#This Row],[CRÉDITO]]</f>
        <v>0</v>
      </c>
    </row>
    <row r="300" spans="2:15" x14ac:dyDescent="0.3">
      <c r="B300" s="2" t="str">
        <f>_xlfn.XLOOKUP($I300,Tab_00.Trial[CONTA],Tab_00.Trial[TP],"",0,1)</f>
        <v>C</v>
      </c>
      <c r="C300" s="2">
        <f>_xlfn.XLOOKUP($I300,Tab_00.Trial[CONTA],Tab_00.Trial[NV],"",0,1)</f>
        <v>2</v>
      </c>
      <c r="D300" s="2" t="str">
        <f>_xlfn.XLOOKUP($I300,Tab_00.Trial[CONTA],Tab_00.Trial[S/A],"",0,1)</f>
        <v>S</v>
      </c>
      <c r="E300" s="2">
        <f>IF($I300="","",COUNTIFS(Tab_00.Trial[CONTA],$I300))</f>
        <v>1</v>
      </c>
      <c r="F300" s="4">
        <f>SUMIFS(Tab_10.Out[SALDO
ATUAL],Tab_10.Out[CONTA],$I300)</f>
        <v>-189</v>
      </c>
      <c r="G300" s="4">
        <f t="shared" si="7"/>
        <v>0</v>
      </c>
      <c r="H300">
        <v>51590</v>
      </c>
      <c r="I300" s="3" t="s">
        <v>634</v>
      </c>
      <c r="J300" s="3" t="s">
        <v>730</v>
      </c>
      <c r="K300" s="4">
        <v>-189</v>
      </c>
      <c r="L300" s="4">
        <v>0</v>
      </c>
      <c r="M300" s="4">
        <v>0</v>
      </c>
      <c r="N300" s="4">
        <v>-189</v>
      </c>
      <c r="O300" s="4">
        <f>Tab_11.Nov[[#This Row],[DÉBITO]]-Tab_11.Nov[[#This Row],[CRÉDITO]]</f>
        <v>0</v>
      </c>
    </row>
    <row r="301" spans="2:15" x14ac:dyDescent="0.3">
      <c r="B301" s="2" t="str">
        <f>_xlfn.XLOOKUP($I301,Tab_00.Trial[CONTA],Tab_00.Trial[TP],"",0,1)</f>
        <v>C</v>
      </c>
      <c r="C301" s="2">
        <f>_xlfn.XLOOKUP($I301,Tab_00.Trial[CONTA],Tab_00.Trial[NV],"",0,1)</f>
        <v>5</v>
      </c>
      <c r="D301" s="2" t="str">
        <f>_xlfn.XLOOKUP($I301,Tab_00.Trial[CONTA],Tab_00.Trial[S/A],"",0,1)</f>
        <v>S</v>
      </c>
      <c r="E301" s="2">
        <f>IF($I301="","",COUNTIFS(Tab_00.Trial[CONTA],$I301))</f>
        <v>1</v>
      </c>
      <c r="F301" s="4">
        <f>SUMIFS(Tab_10.Out[SALDO
ATUAL],Tab_10.Out[CONTA],$I301)</f>
        <v>-189</v>
      </c>
      <c r="G301" s="4">
        <f t="shared" si="7"/>
        <v>0</v>
      </c>
      <c r="H301">
        <v>10216</v>
      </c>
      <c r="I301" s="3" t="s">
        <v>825</v>
      </c>
      <c r="J301" s="3" t="s">
        <v>826</v>
      </c>
      <c r="K301" s="4">
        <v>-189</v>
      </c>
      <c r="L301" s="4">
        <v>0</v>
      </c>
      <c r="M301" s="4">
        <v>0</v>
      </c>
      <c r="N301" s="4">
        <v>-189</v>
      </c>
      <c r="O301" s="4">
        <f>Tab_11.Nov[[#This Row],[DÉBITO]]-Tab_11.Nov[[#This Row],[CRÉDITO]]</f>
        <v>0</v>
      </c>
    </row>
    <row r="302" spans="2:15" x14ac:dyDescent="0.3">
      <c r="B302" s="2" t="str">
        <f>_xlfn.XLOOKUP($I302,Tab_00.Trial[CONTA],Tab_00.Trial[TP],"",0,1)</f>
        <v>C</v>
      </c>
      <c r="C302" s="2">
        <f>_xlfn.XLOOKUP($I302,Tab_00.Trial[CONTA],Tab_00.Trial[NV],"",0,1)</f>
        <v>5</v>
      </c>
      <c r="D302" s="2" t="str">
        <f>_xlfn.XLOOKUP($I302,Tab_00.Trial[CONTA],Tab_00.Trial[S/A],"",0,1)</f>
        <v>S</v>
      </c>
      <c r="E302" s="2">
        <f>IF($I302="","",COUNTIFS(Tab_00.Trial[CONTA],$I302))</f>
        <v>1</v>
      </c>
      <c r="F302" s="4">
        <f>SUMIFS(Tab_10.Out[SALDO
ATUAL],Tab_10.Out[CONTA],$I302)</f>
        <v>-189</v>
      </c>
      <c r="G302" s="4">
        <f t="shared" si="7"/>
        <v>0</v>
      </c>
      <c r="H302">
        <v>10230</v>
      </c>
      <c r="I302" s="3" t="s">
        <v>827</v>
      </c>
      <c r="J302" s="3" t="s">
        <v>826</v>
      </c>
      <c r="K302" s="4">
        <v>-189</v>
      </c>
      <c r="L302" s="4">
        <v>0</v>
      </c>
      <c r="M302" s="4">
        <v>0</v>
      </c>
      <c r="N302" s="4">
        <v>-189</v>
      </c>
      <c r="O302" s="4">
        <f>Tab_11.Nov[[#This Row],[DÉBITO]]-Tab_11.Nov[[#This Row],[CRÉDITO]]</f>
        <v>0</v>
      </c>
    </row>
    <row r="303" spans="2:15" x14ac:dyDescent="0.3">
      <c r="B303" s="2" t="str">
        <f>_xlfn.XLOOKUP($I303,Tab_00.Trial[CONTA],Tab_00.Trial[TP],"",0,1)</f>
        <v>C</v>
      </c>
      <c r="C303" s="2">
        <f>_xlfn.XLOOKUP($I303,Tab_00.Trial[CONTA],Tab_00.Trial[NV],"",0,1)</f>
        <v>5</v>
      </c>
      <c r="D303" s="2" t="str">
        <f>_xlfn.XLOOKUP($I303,Tab_00.Trial[CONTA],Tab_00.Trial[S/A],"",0,1)</f>
        <v>A</v>
      </c>
      <c r="E303" s="2">
        <f>IF($I303="","",COUNTIFS(Tab_00.Trial[CONTA],$I303))</f>
        <v>1</v>
      </c>
      <c r="F303" s="4">
        <f>SUMIFS(Tab_10.Out[SALDO
ATUAL],Tab_10.Out[CONTA],$I303)</f>
        <v>-189</v>
      </c>
      <c r="G303" s="4">
        <f>$F303-$K303</f>
        <v>0</v>
      </c>
      <c r="H303">
        <v>10237</v>
      </c>
      <c r="I303" s="3" t="s">
        <v>828</v>
      </c>
      <c r="J303" s="3" t="s">
        <v>829</v>
      </c>
      <c r="K303" s="4">
        <v>-189</v>
      </c>
      <c r="L303" s="4">
        <v>0</v>
      </c>
      <c r="M303" s="4">
        <v>0</v>
      </c>
      <c r="N303" s="4">
        <v>-189</v>
      </c>
      <c r="O303" s="4">
        <f>Tab_11.Nov[[#This Row],[DÉBITO]]-Tab_11.Nov[[#This Row],[CRÉDITO]]</f>
        <v>0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C0439-ED44-4C4F-B523-1EE1B82AF17F}">
  <sheetPr codeName="Planilha22"/>
  <dimension ref="B1:S304"/>
  <sheetViews>
    <sheetView showGridLines="0" zoomScale="85" zoomScaleNormal="85" workbookViewId="0">
      <pane xSplit="7" ySplit="14" topLeftCell="K15" activePane="bottomRight" state="frozen"/>
      <selection activeCell="H15" sqref="H15"/>
      <selection pane="topRight" activeCell="H15" sqref="H15"/>
      <selection pane="bottomLeft" activeCell="H15" sqref="H15"/>
      <selection pane="bottomRight" activeCell="C15" sqref="C15"/>
    </sheetView>
  </sheetViews>
  <sheetFormatPr defaultColWidth="8.88671875" defaultRowHeight="13.8" outlineLevelRow="1" x14ac:dyDescent="0.3"/>
  <cols>
    <col min="1" max="1" width="2.6640625" style="1" customWidth="1"/>
    <col min="2" max="2" width="4.6640625" customWidth="1"/>
    <col min="3" max="5" width="4.6640625" style="2" customWidth="1"/>
    <col min="6" max="7" width="20.6640625" style="4" customWidth="1"/>
    <col min="8" max="8" width="15.6640625" customWidth="1"/>
    <col min="9" max="9" width="17.6640625" customWidth="1"/>
    <col min="10" max="10" width="48.109375" customWidth="1"/>
    <col min="11" max="11" width="20.6640625" style="2" customWidth="1"/>
    <col min="12" max="13" width="20.6640625" style="3" customWidth="1"/>
    <col min="14" max="15" width="20.6640625" style="4" customWidth="1"/>
    <col min="16" max="16" width="51.77734375" style="1" customWidth="1"/>
    <col min="17" max="17" width="8.88671875" style="1"/>
    <col min="18" max="18" width="11.33203125" style="1" bestFit="1" customWidth="1"/>
    <col min="19" max="19" width="8.88671875" style="1"/>
    <col min="20" max="20" width="10" style="1" bestFit="1" customWidth="1"/>
    <col min="21" max="16384" width="8.88671875" style="1"/>
  </cols>
  <sheetData>
    <row r="1" spans="2:15" x14ac:dyDescent="0.3">
      <c r="B1" s="2"/>
      <c r="H1" s="3"/>
      <c r="I1" s="3"/>
      <c r="J1" s="3"/>
      <c r="K1" s="4"/>
      <c r="L1" s="4"/>
      <c r="M1" s="4"/>
    </row>
    <row r="2" spans="2:15" outlineLevel="1" x14ac:dyDescent="0.3">
      <c r="B2" s="2" t="s">
        <v>16</v>
      </c>
      <c r="F2" s="7">
        <f ca="1">SUMIFS(INDIRECT("Tab_12.Dez["&amp;F$14&amp;"]"),Tab_12.Dez[TP],$B2,Tab_12.Dez[NV],"A")</f>
        <v>0</v>
      </c>
      <c r="G2" s="7">
        <f ca="1">SUMIFS(INDIRECT("Tab_12.Dez["&amp;G$14&amp;"]"),Tab_12.Dez[TP],$B2,Tab_12.Dez[NV],"A")</f>
        <v>0</v>
      </c>
      <c r="H2" s="3"/>
      <c r="I2" s="3"/>
      <c r="J2" s="88" t="s">
        <v>15</v>
      </c>
      <c r="K2" s="7">
        <f ca="1">SUMIFS(INDIRECT("Tab_12.Dez["&amp;K$14&amp;"]"),Tab_12.Dez[TP],$B2,Tab_12.Dez[S/A],"A")</f>
        <v>85670972.069999993</v>
      </c>
      <c r="L2" s="7">
        <f ca="1">SUMIFS(INDIRECT("Tab_12.Dez["&amp;L$14&amp;"]"),Tab_12.Dez[TP],$B2,Tab_12.Dez[S/A],"A")</f>
        <v>2341979.13</v>
      </c>
      <c r="M2" s="7">
        <f ca="1">SUMIFS(INDIRECT("Tab_12.Dez["&amp;M$14&amp;"]"),Tab_12.Dez[TP],$B2,Tab_12.Dez[S/A],"A")</f>
        <v>2447867.38</v>
      </c>
      <c r="N2" s="7">
        <f ca="1">SUMIFS(INDIRECT("Tab_12.Dez["&amp;N$14&amp;"]"),Tab_12.Dez[TP],$B2,Tab_12.Dez[S/A],"A")</f>
        <v>85565083.819999993</v>
      </c>
      <c r="O2" s="7">
        <f ca="1">SUMIFS(INDIRECT("Tab_12.Dez["&amp;O$14&amp;"]"),Tab_12.Dez[TP],$B2,Tab_12.Dez[S/A],"A")</f>
        <v>-105888.25</v>
      </c>
    </row>
    <row r="3" spans="2:15" outlineLevel="1" x14ac:dyDescent="0.3">
      <c r="B3" s="2" t="s">
        <v>116</v>
      </c>
      <c r="F3" s="7">
        <f ca="1">SUMIFS(INDIRECT("Tab_12.Dez["&amp;F$14&amp;"]"),Tab_12.Dez[TP],$B3,Tab_12.Dez[NV],"A")</f>
        <v>0</v>
      </c>
      <c r="G3" s="7">
        <f ca="1">SUMIFS(INDIRECT("Tab_12.Dez["&amp;G$14&amp;"]"),Tab_12.Dez[TP],$B3,Tab_12.Dez[NV],"A")</f>
        <v>0</v>
      </c>
      <c r="H3" s="3"/>
      <c r="I3" s="3"/>
      <c r="J3" s="88" t="s">
        <v>110</v>
      </c>
      <c r="K3" s="7">
        <f ca="1">SUMIFS(INDIRECT("Tab_12.Dez["&amp;K$14&amp;"]"),Tab_12.Dez[TP],$B3,Tab_12.Dez[S/A],"A")</f>
        <v>-83390588.689999998</v>
      </c>
      <c r="L3" s="7">
        <f ca="1">SUMIFS(INDIRECT("Tab_12.Dez["&amp;L$14&amp;"]"),Tab_12.Dez[TP],$B3,Tab_12.Dez[S/A],"A")</f>
        <v>2783373.55</v>
      </c>
      <c r="M3" s="7">
        <f ca="1">SUMIFS(INDIRECT("Tab_12.Dez["&amp;M$14&amp;"]"),Tab_12.Dez[TP],$B3,Tab_12.Dez[S/A],"A")</f>
        <v>3168527.1</v>
      </c>
      <c r="N3" s="7">
        <f ca="1">SUMIFS(INDIRECT("Tab_12.Dez["&amp;N$14&amp;"]"),Tab_12.Dez[TP],$B3,Tab_12.Dez[S/A],"A")</f>
        <v>-83775742.239999995</v>
      </c>
      <c r="O3" s="7">
        <f ca="1">SUMIFS(INDIRECT("Tab_12.Dez["&amp;O$14&amp;"]"),Tab_12.Dez[TP],$B3,Tab_12.Dez[S/A],"A")</f>
        <v>-385153.55</v>
      </c>
    </row>
    <row r="4" spans="2:15" outlineLevel="1" x14ac:dyDescent="0.3">
      <c r="B4" s="2"/>
      <c r="F4" s="8">
        <f ca="1">SUM(F$2:F$3)</f>
        <v>0</v>
      </c>
      <c r="G4" s="8">
        <f ca="1">SUM(G$2:G$3)</f>
        <v>0</v>
      </c>
      <c r="H4" s="3"/>
      <c r="I4" s="3"/>
      <c r="J4" s="88"/>
      <c r="K4" s="8">
        <f t="shared" ref="K4:O4" ca="1" si="0">SUM(K$2:K$3)</f>
        <v>2280383.38</v>
      </c>
      <c r="L4" s="8">
        <f t="shared" ca="1" si="0"/>
        <v>5125352.68</v>
      </c>
      <c r="M4" s="8">
        <f t="shared" ca="1" si="0"/>
        <v>5616394.4800000004</v>
      </c>
      <c r="N4" s="8">
        <f ca="1">SUM(N$2:N$3)</f>
        <v>1789341.58</v>
      </c>
      <c r="O4" s="8">
        <f t="shared" ca="1" si="0"/>
        <v>-491041.8</v>
      </c>
    </row>
    <row r="5" spans="2:15" ht="5.0999999999999996" customHeight="1" outlineLevel="1" x14ac:dyDescent="0.3">
      <c r="B5" s="2"/>
      <c r="H5" s="3"/>
      <c r="I5" s="3"/>
      <c r="J5" s="89"/>
      <c r="K5" s="4"/>
      <c r="L5" s="4"/>
      <c r="M5" s="4"/>
    </row>
    <row r="6" spans="2:15" outlineLevel="1" x14ac:dyDescent="0.3">
      <c r="B6" s="2" t="s">
        <v>19</v>
      </c>
      <c r="F6" s="7">
        <f ca="1">SUMIFS(INDIRECT("Tab_12.Dez["&amp;F$14&amp;"]"),Tab_12.Dez[TP],$B6,Tab_12.Dez[NV],"A")</f>
        <v>0</v>
      </c>
      <c r="G6" s="7">
        <f ca="1">SUMIFS(INDIRECT("Tab_12.Dez["&amp;G$14&amp;"]"),Tab_12.Dez[TP],$B6,Tab_12.Dez[NV],"A")</f>
        <v>0</v>
      </c>
      <c r="H6" s="3"/>
      <c r="I6" s="3"/>
      <c r="J6" s="88" t="s">
        <v>18</v>
      </c>
      <c r="K6" s="7">
        <f ca="1">SUMIFS(INDIRECT("Tab_12.Dez["&amp;K$14&amp;"]"),Tab_12.Dez[TP],$B6,Tab_12.Dez[S/A],"A")</f>
        <v>-14289890.52</v>
      </c>
      <c r="L6" s="7">
        <f ca="1">SUMIFS(INDIRECT("Tab_12.Dez["&amp;L$14&amp;"]"),Tab_12.Dez[TP],$B6,Tab_12.Dez[S/A],"A")</f>
        <v>139724.62</v>
      </c>
      <c r="M6" s="7">
        <f ca="1">SUMIFS(INDIRECT("Tab_12.Dez["&amp;M$14&amp;"]"),Tab_12.Dez[TP],$B6,Tab_12.Dez[S/A],"A")</f>
        <v>1530042.18</v>
      </c>
      <c r="N6" s="7">
        <f ca="1">SUMIFS(INDIRECT("Tab_12.Dez["&amp;N$14&amp;"]"),Tab_12.Dez[TP],$B6,Tab_12.Dez[S/A],"A")</f>
        <v>-15680208.08</v>
      </c>
      <c r="O6" s="7">
        <f ca="1">SUMIFS(INDIRECT("Tab_12.Dez["&amp;O$14&amp;"]"),Tab_12.Dez[TP],$B6,Tab_12.Dez[S/A],"A")</f>
        <v>-1390317.56</v>
      </c>
    </row>
    <row r="7" spans="2:15" outlineLevel="1" x14ac:dyDescent="0.3">
      <c r="B7" s="2" t="s">
        <v>20</v>
      </c>
      <c r="F7" s="7">
        <f ca="1">SUMIFS(INDIRECT("Tab_12.Dez["&amp;F$14&amp;"]"),Tab_12.Dez[TP],$B7,Tab_12.Dez[NV],"A")</f>
        <v>0</v>
      </c>
      <c r="G7" s="7">
        <f ca="1">SUMIFS(INDIRECT("Tab_12.Dez["&amp;G$14&amp;"]"),Tab_12.Dez[TP],$B7,Tab_12.Dez[NV],"A")</f>
        <v>0</v>
      </c>
      <c r="H7" s="3"/>
      <c r="I7" s="3"/>
      <c r="J7" s="88" t="s">
        <v>111</v>
      </c>
      <c r="K7" s="7">
        <f ca="1">SUMIFS(INDIRECT("Tab_12.Dez["&amp;K$14&amp;"]"),Tab_12.Dez[TP],$B7,Tab_12.Dez[S/A],"A")</f>
        <v>12009507.140000001</v>
      </c>
      <c r="L7" s="7">
        <f ca="1">SUMIFS(INDIRECT("Tab_12.Dez["&amp;L$14&amp;"]"),Tab_12.Dez[TP],$B7,Tab_12.Dez[S/A],"A")</f>
        <v>1929154.29</v>
      </c>
      <c r="M7" s="7">
        <f ca="1">SUMIFS(INDIRECT("Tab_12.Dez["&amp;M$14&amp;"]"),Tab_12.Dez[TP],$B7,Tab_12.Dez[S/A],"A")</f>
        <v>47794.93</v>
      </c>
      <c r="N7" s="7">
        <f ca="1">SUMIFS(INDIRECT("Tab_12.Dez["&amp;N$14&amp;"]"),Tab_12.Dez[TP],$B7,Tab_12.Dez[S/A],"A")</f>
        <v>13890866.5</v>
      </c>
      <c r="O7" s="7">
        <f ca="1">SUMIFS(INDIRECT("Tab_12.Dez["&amp;O$14&amp;"]"),Tab_12.Dez[TP],$B7,Tab_12.Dez[S/A],"A")</f>
        <v>1881359.3600000001</v>
      </c>
    </row>
    <row r="8" spans="2:15" outlineLevel="1" x14ac:dyDescent="0.3">
      <c r="B8" s="2"/>
      <c r="F8" s="8">
        <f ca="1">SUM(F$6:F$7)</f>
        <v>0</v>
      </c>
      <c r="G8" s="8">
        <f ca="1">SUM(G$6:G$7)</f>
        <v>0</v>
      </c>
      <c r="H8" s="3"/>
      <c r="I8" s="3"/>
      <c r="J8" s="88"/>
      <c r="K8" s="8">
        <f ca="1">SUM(K$6:K$7)</f>
        <v>-2280383.38</v>
      </c>
      <c r="L8" s="8">
        <f ca="1">SUM(L$6:L$7)</f>
        <v>2068878.91</v>
      </c>
      <c r="M8" s="8">
        <f ca="1">SUM(M$6:M$7)</f>
        <v>1577837.11</v>
      </c>
      <c r="N8" s="8">
        <f ca="1">SUM(N$6:N$7)</f>
        <v>-1789341.58</v>
      </c>
      <c r="O8" s="8">
        <f ca="1">SUM(O$6:O$7)</f>
        <v>491041.8</v>
      </c>
    </row>
    <row r="9" spans="2:15" ht="5.0999999999999996" customHeight="1" outlineLevel="1" x14ac:dyDescent="0.3">
      <c r="B9" s="2"/>
      <c r="H9" s="3"/>
      <c r="I9" s="3"/>
      <c r="J9" s="89"/>
      <c r="K9" s="4"/>
      <c r="L9" s="4"/>
      <c r="M9" s="4"/>
    </row>
    <row r="10" spans="2:15" x14ac:dyDescent="0.3">
      <c r="B10" s="2"/>
      <c r="F10" s="11">
        <f ca="1">SUM(F$4,F$8)</f>
        <v>0</v>
      </c>
      <c r="G10" s="11">
        <f ca="1">SUM(G$4,G$8)</f>
        <v>0</v>
      </c>
      <c r="H10" s="3"/>
      <c r="I10" s="3"/>
      <c r="J10" s="88" t="s">
        <v>22</v>
      </c>
      <c r="K10" s="11">
        <f t="shared" ref="K10:O10" ca="1" si="1">SUM(K$4,K$8)</f>
        <v>0</v>
      </c>
      <c r="L10" s="11">
        <f t="shared" ca="1" si="1"/>
        <v>7194231.5899999999</v>
      </c>
      <c r="M10" s="11">
        <f t="shared" ca="1" si="1"/>
        <v>7194231.5899999999</v>
      </c>
      <c r="N10" s="11">
        <f ca="1">SUM(N$4,N$8)</f>
        <v>0</v>
      </c>
      <c r="O10" s="11">
        <f t="shared" ca="1" si="1"/>
        <v>0</v>
      </c>
    </row>
    <row r="11" spans="2:15" ht="5.0999999999999996" customHeight="1" x14ac:dyDescent="0.3">
      <c r="B11" s="2"/>
      <c r="H11" s="3"/>
      <c r="I11" s="3"/>
      <c r="J11" s="3"/>
      <c r="K11" s="4"/>
      <c r="L11" s="4"/>
      <c r="M11" s="4"/>
    </row>
    <row r="12" spans="2:15" x14ac:dyDescent="0.3">
      <c r="B12" s="2"/>
      <c r="F12" s="7">
        <f>SUBTOTAL(9,Tab_12.Dez[SALDO FINAL
ANTERIOR])</f>
        <v>0</v>
      </c>
      <c r="G12" s="7">
        <f>SUBTOTAL(9,Tab_12.Dez[DIFERENÇA])</f>
        <v>0</v>
      </c>
      <c r="H12" s="3"/>
      <c r="I12" s="3"/>
      <c r="J12" s="3"/>
      <c r="K12" s="7">
        <f>SUBTOTAL(9,Tab_12.Dez[SALDO
ANTERIOR])</f>
        <v>0</v>
      </c>
      <c r="L12" s="7">
        <f>SUBTOTAL(9,Tab_12.Dez[DÉBITO])</f>
        <v>35971157.950000003</v>
      </c>
      <c r="M12" s="7">
        <f>SUBTOTAL(9,Tab_12.Dez[CRÉDITO])</f>
        <v>35971157.950000003</v>
      </c>
      <c r="N12" s="7">
        <f>SUBTOTAL(9,Tab_12.Dez[SALDO
ATUAL])</f>
        <v>0</v>
      </c>
      <c r="O12" s="7">
        <f>SUBTOTAL(9,Tab_12.Dez[MOVIMENTO])</f>
        <v>0</v>
      </c>
    </row>
    <row r="13" spans="2:15" ht="5.0999999999999996" customHeight="1" x14ac:dyDescent="0.3">
      <c r="B13" s="2"/>
      <c r="H13" s="3"/>
      <c r="I13" s="3"/>
      <c r="J13" s="3"/>
      <c r="K13" s="4"/>
      <c r="L13" s="4"/>
      <c r="M13" s="4"/>
    </row>
    <row r="14" spans="2:15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5" ht="13.2" customHeight="1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SUMIFS(Tab_11.Nov[SALDO
ATUAL],Tab_11.Nov[CONTA],$I15)</f>
        <v>85670972.069999993</v>
      </c>
      <c r="G15" s="4">
        <f t="shared" ref="G15:G78" si="2">$F15-$K15</f>
        <v>0</v>
      </c>
      <c r="H15" s="190">
        <v>10000</v>
      </c>
      <c r="I15" s="3">
        <v>1</v>
      </c>
      <c r="J15" s="3" t="s">
        <v>637</v>
      </c>
      <c r="K15" s="4">
        <v>85670972.069999993</v>
      </c>
      <c r="L15" s="4">
        <v>2341979.13</v>
      </c>
      <c r="M15" s="4">
        <v>2447867.38</v>
      </c>
      <c r="N15" s="4">
        <v>85565083.819999993</v>
      </c>
      <c r="O15" s="4">
        <f>Tab_12.Dez[[#This Row],[DÉBITO]]-Tab_12.Dez[[#This Row],[CRÉDITO]]</f>
        <v>-105888.25</v>
      </c>
    </row>
    <row r="16" spans="2:15" ht="13.2" customHeight="1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SUMIFS(Tab_11.Nov[SALDO
ATUAL],Tab_11.Nov[CONTA],$I16)</f>
        <v>11387803.220000001</v>
      </c>
      <c r="G16" s="4">
        <f t="shared" si="2"/>
        <v>0</v>
      </c>
      <c r="H16" s="190">
        <v>10015</v>
      </c>
      <c r="I16" s="3" t="s">
        <v>197</v>
      </c>
      <c r="J16" s="3" t="s">
        <v>247</v>
      </c>
      <c r="K16" s="4">
        <v>11387803.220000001</v>
      </c>
      <c r="L16" s="4">
        <v>2336064.85</v>
      </c>
      <c r="M16" s="4">
        <v>2303843.63</v>
      </c>
      <c r="N16" s="4">
        <v>11420024.439999999</v>
      </c>
      <c r="O16" s="4">
        <f>Tab_12.Dez[[#This Row],[DÉBITO]]-Tab_12.Dez[[#This Row],[CRÉDITO]]</f>
        <v>32221.22</v>
      </c>
    </row>
    <row r="17" spans="2:15" ht="13.2" customHeight="1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SUMIFS(Tab_11.Nov[SALDO
ATUAL],Tab_11.Nov[CONTA],$I17)</f>
        <v>10939967.380000001</v>
      </c>
      <c r="G17" s="4">
        <f t="shared" si="2"/>
        <v>0</v>
      </c>
      <c r="H17" s="190">
        <v>10030</v>
      </c>
      <c r="I17" s="3" t="s">
        <v>199</v>
      </c>
      <c r="J17" s="3" t="s">
        <v>638</v>
      </c>
      <c r="K17" s="4">
        <v>10939967.380000001</v>
      </c>
      <c r="L17" s="4">
        <v>2284490.98</v>
      </c>
      <c r="M17" s="4">
        <v>2074823.12</v>
      </c>
      <c r="N17" s="4">
        <v>11149635.24</v>
      </c>
      <c r="O17" s="4">
        <f>Tab_12.Dez[[#This Row],[DÉBITO]]-Tab_12.Dez[[#This Row],[CRÉDITO]]</f>
        <v>209667.86</v>
      </c>
    </row>
    <row r="18" spans="2:15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SUMIFS(Tab_11.Nov[SALDO
ATUAL],Tab_11.Nov[CONTA],$I18)</f>
        <v>474.45</v>
      </c>
      <c r="G18" s="4">
        <f t="shared" si="2"/>
        <v>0</v>
      </c>
      <c r="H18" s="190">
        <v>10045</v>
      </c>
      <c r="I18" s="3" t="s">
        <v>201</v>
      </c>
      <c r="J18" s="3" t="s">
        <v>639</v>
      </c>
      <c r="K18" s="4">
        <v>474.45</v>
      </c>
      <c r="L18" s="4">
        <v>2000</v>
      </c>
      <c r="M18" s="4">
        <v>1045.83</v>
      </c>
      <c r="N18" s="4">
        <v>1428.62</v>
      </c>
      <c r="O18" s="4">
        <f>Tab_12.Dez[[#This Row],[DÉBITO]]-Tab_12.Dez[[#This Row],[CRÉDITO]]</f>
        <v>954.17</v>
      </c>
    </row>
    <row r="19" spans="2:15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SUMIFS(Tab_11.Nov[SALDO
ATUAL],Tab_11.Nov[CONTA],$I19)</f>
        <v>474.45</v>
      </c>
      <c r="G19" s="4">
        <f t="shared" si="2"/>
        <v>0</v>
      </c>
      <c r="H19" s="190">
        <v>10075</v>
      </c>
      <c r="I19" s="3" t="s">
        <v>176</v>
      </c>
      <c r="J19" s="3" t="s">
        <v>274</v>
      </c>
      <c r="K19" s="4">
        <v>474.45</v>
      </c>
      <c r="L19" s="4">
        <v>2000</v>
      </c>
      <c r="M19" s="4">
        <v>1045.83</v>
      </c>
      <c r="N19" s="4">
        <v>1428.62</v>
      </c>
      <c r="O19" s="4">
        <f>Tab_12.Dez[[#This Row],[DÉBITO]]-Tab_12.Dez[[#This Row],[CRÉDITO]]</f>
        <v>954.17</v>
      </c>
    </row>
    <row r="20" spans="2:15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SUMIFS(Tab_11.Nov[SALDO
ATUAL],Tab_11.Nov[CONTA],$I20)</f>
        <v>54236.22</v>
      </c>
      <c r="G20" s="4">
        <f t="shared" si="2"/>
        <v>0</v>
      </c>
      <c r="H20" s="190">
        <v>10090</v>
      </c>
      <c r="I20" s="3" t="s">
        <v>202</v>
      </c>
      <c r="J20" s="3" t="s">
        <v>640</v>
      </c>
      <c r="K20" s="4">
        <v>54236.22</v>
      </c>
      <c r="L20" s="4">
        <v>1677343.03</v>
      </c>
      <c r="M20" s="4">
        <v>1553193.07</v>
      </c>
      <c r="N20" s="4">
        <v>178386.18</v>
      </c>
      <c r="O20" s="4">
        <f>Tab_12.Dez[[#This Row],[DÉBITO]]-Tab_12.Dez[[#This Row],[CRÉDITO]]</f>
        <v>124149.96</v>
      </c>
    </row>
    <row r="21" spans="2:15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SUMIFS(Tab_11.Nov[SALDO
ATUAL],Tab_11.Nov[CONTA],$I21)</f>
        <v>1.02</v>
      </c>
      <c r="G21" s="4">
        <f t="shared" si="2"/>
        <v>0</v>
      </c>
      <c r="H21" s="190">
        <v>10110</v>
      </c>
      <c r="I21" s="3" t="s">
        <v>277</v>
      </c>
      <c r="J21" s="3" t="s">
        <v>278</v>
      </c>
      <c r="K21" s="4">
        <v>1.02</v>
      </c>
      <c r="L21" s="4">
        <v>1020481.29</v>
      </c>
      <c r="M21" s="4">
        <v>856763.43</v>
      </c>
      <c r="N21" s="4">
        <v>163718.88</v>
      </c>
      <c r="O21" s="4">
        <f>Tab_12.Dez[[#This Row],[DÉBITO]]-Tab_12.Dez[[#This Row],[CRÉDITO]]</f>
        <v>163717.85999999999</v>
      </c>
    </row>
    <row r="22" spans="2:15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SUMIFS(Tab_11.Nov[SALDO
ATUAL],Tab_11.Nov[CONTA],$I22)</f>
        <v>41613.589999999997</v>
      </c>
      <c r="G22" s="4">
        <f t="shared" si="2"/>
        <v>0</v>
      </c>
      <c r="H22" s="190">
        <v>10131</v>
      </c>
      <c r="I22" s="3" t="s">
        <v>177</v>
      </c>
      <c r="J22" s="3" t="s">
        <v>279</v>
      </c>
      <c r="K22" s="4">
        <v>41613.589999999997</v>
      </c>
      <c r="L22" s="4">
        <v>655540.29</v>
      </c>
      <c r="M22" s="4">
        <v>694407.04</v>
      </c>
      <c r="N22" s="4">
        <v>2746.84</v>
      </c>
      <c r="O22" s="4">
        <f>Tab_12.Dez[[#This Row],[DÉBITO]]-Tab_12.Dez[[#This Row],[CRÉDITO]]</f>
        <v>-38866.75</v>
      </c>
    </row>
    <row r="23" spans="2:15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SUMIFS(Tab_11.Nov[SALDO
ATUAL],Tab_11.Nov[CONTA],$I23)</f>
        <v>12621.61</v>
      </c>
      <c r="G23" s="4">
        <f t="shared" si="2"/>
        <v>0</v>
      </c>
      <c r="H23" s="190">
        <v>10132</v>
      </c>
      <c r="I23" s="3" t="s">
        <v>280</v>
      </c>
      <c r="J23" s="3" t="s">
        <v>281</v>
      </c>
      <c r="K23" s="4">
        <v>12621.61</v>
      </c>
      <c r="L23" s="4">
        <v>1321.45</v>
      </c>
      <c r="M23" s="4">
        <v>2022.6</v>
      </c>
      <c r="N23" s="4">
        <v>11920.46</v>
      </c>
      <c r="O23" s="4">
        <f>Tab_12.Dez[[#This Row],[DÉBITO]]-Tab_12.Dez[[#This Row],[CRÉDITO]]</f>
        <v>-701.15</v>
      </c>
    </row>
    <row r="24" spans="2:15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S</v>
      </c>
      <c r="E24" s="2">
        <f>IF($I24="","",COUNTIFS(Tab_00.Trial[CONTA],$I24))</f>
        <v>1</v>
      </c>
      <c r="F24" s="4">
        <f>SUMIFS(Tab_11.Nov[SALDO
ATUAL],Tab_11.Nov[CONTA],$I24)</f>
        <v>10885256.710000001</v>
      </c>
      <c r="G24" s="4">
        <f t="shared" si="2"/>
        <v>0</v>
      </c>
      <c r="H24" s="190">
        <v>10180</v>
      </c>
      <c r="I24" s="3" t="s">
        <v>203</v>
      </c>
      <c r="J24" s="3" t="s">
        <v>641</v>
      </c>
      <c r="K24" s="4">
        <v>10885256.710000001</v>
      </c>
      <c r="L24" s="4">
        <v>605147.94999999995</v>
      </c>
      <c r="M24" s="4">
        <v>520584.22</v>
      </c>
      <c r="N24" s="4">
        <v>10969820.439999999</v>
      </c>
      <c r="O24" s="4">
        <f>Tab_12.Dez[[#This Row],[DÉBITO]]-Tab_12.Dez[[#This Row],[CRÉDITO]]</f>
        <v>84563.73</v>
      </c>
    </row>
    <row r="25" spans="2:15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A</v>
      </c>
      <c r="E25" s="2">
        <f>IF($I25="","",COUNTIFS(Tab_00.Trial[CONTA],$I25))</f>
        <v>1</v>
      </c>
      <c r="F25" s="4">
        <f>SUMIFS(Tab_11.Nov[SALDO
ATUAL],Tab_11.Nov[CONTA],$I25)</f>
        <v>5001987.17</v>
      </c>
      <c r="G25" s="4">
        <f t="shared" si="2"/>
        <v>0</v>
      </c>
      <c r="H25" s="190">
        <v>10200</v>
      </c>
      <c r="I25" s="3" t="s">
        <v>178</v>
      </c>
      <c r="J25" s="3" t="s">
        <v>284</v>
      </c>
      <c r="K25" s="4">
        <v>5001987.17</v>
      </c>
      <c r="L25" s="4">
        <v>40977.06</v>
      </c>
      <c r="M25" s="4">
        <v>0</v>
      </c>
      <c r="N25" s="4">
        <v>5042964.2300000004</v>
      </c>
      <c r="O25" s="4">
        <f>Tab_12.Dez[[#This Row],[DÉBITO]]-Tab_12.Dez[[#This Row],[CRÉDITO]]</f>
        <v>40977.06</v>
      </c>
    </row>
    <row r="26" spans="2:15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SUMIFS(Tab_11.Nov[SALDO
ATUAL],Tab_11.Nov[CONTA],$I26)</f>
        <v>5883269.54</v>
      </c>
      <c r="G26" s="4">
        <f t="shared" si="2"/>
        <v>0</v>
      </c>
      <c r="H26" s="190">
        <v>10223</v>
      </c>
      <c r="I26" s="3" t="s">
        <v>287</v>
      </c>
      <c r="J26" s="3" t="s">
        <v>288</v>
      </c>
      <c r="K26" s="4">
        <v>5883269.54</v>
      </c>
      <c r="L26" s="4">
        <v>174584.22</v>
      </c>
      <c r="M26" s="4">
        <v>469000</v>
      </c>
      <c r="N26" s="4">
        <v>5588853.7599999998</v>
      </c>
      <c r="O26" s="4">
        <f>Tab_12.Dez[[#This Row],[DÉBITO]]-Tab_12.Dez[[#This Row],[CRÉDITO]]</f>
        <v>-294415.78000000003</v>
      </c>
    </row>
    <row r="27" spans="2:15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A</v>
      </c>
      <c r="E27" s="2">
        <f>IF($I27="","",COUNTIFS(Tab_00.Trial[CONTA],$I27))</f>
        <v>1</v>
      </c>
      <c r="F27" s="4">
        <f>SUMIFS(Tab_11.Nov[SALDO
ATUAL],Tab_11.Nov[CONTA],$I27)</f>
        <v>0</v>
      </c>
      <c r="G27" s="4">
        <f t="shared" si="2"/>
        <v>0</v>
      </c>
      <c r="H27" s="190">
        <v>10860</v>
      </c>
      <c r="I27" s="3" t="s">
        <v>808</v>
      </c>
      <c r="J27" s="3" t="s">
        <v>809</v>
      </c>
      <c r="K27" s="4">
        <v>0</v>
      </c>
      <c r="L27" s="4">
        <v>389586.67</v>
      </c>
      <c r="M27" s="4">
        <v>51584.22</v>
      </c>
      <c r="N27" s="4">
        <v>338002.45</v>
      </c>
      <c r="O27" s="4">
        <f>Tab_12.Dez[[#This Row],[DÉBITO]]-Tab_12.Dez[[#This Row],[CRÉDITO]]</f>
        <v>338002.45</v>
      </c>
    </row>
    <row r="28" spans="2:15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SUMIFS(Tab_11.Nov[SALDO
ATUAL],Tab_11.Nov[CONTA],$I28)</f>
        <v>104030.92</v>
      </c>
      <c r="G28" s="4">
        <f t="shared" si="2"/>
        <v>0</v>
      </c>
      <c r="H28" s="190">
        <v>10270</v>
      </c>
      <c r="I28" s="3" t="s">
        <v>204</v>
      </c>
      <c r="J28" s="3" t="s">
        <v>642</v>
      </c>
      <c r="K28" s="4">
        <v>104030.92</v>
      </c>
      <c r="L28" s="4">
        <v>39801.589999999997</v>
      </c>
      <c r="M28" s="4">
        <v>139126.56</v>
      </c>
      <c r="N28" s="4">
        <v>4705.95</v>
      </c>
      <c r="O28" s="4">
        <f>Tab_12.Dez[[#This Row],[DÉBITO]]-Tab_12.Dez[[#This Row],[CRÉDITO]]</f>
        <v>-99324.97</v>
      </c>
    </row>
    <row r="29" spans="2:15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S</v>
      </c>
      <c r="E29" s="2">
        <f>IF($I29="","",COUNTIFS(Tab_00.Trial[CONTA],$I29))</f>
        <v>1</v>
      </c>
      <c r="F29" s="4">
        <f>SUMIFS(Tab_11.Nov[SALDO
ATUAL],Tab_11.Nov[CONTA],$I29)</f>
        <v>99324.97</v>
      </c>
      <c r="G29" s="4">
        <f t="shared" si="2"/>
        <v>0</v>
      </c>
      <c r="H29" s="190">
        <v>10345</v>
      </c>
      <c r="I29" s="3" t="s">
        <v>205</v>
      </c>
      <c r="J29" s="3" t="s">
        <v>643</v>
      </c>
      <c r="K29" s="4">
        <v>99324.97</v>
      </c>
      <c r="L29" s="4">
        <v>39801.589999999997</v>
      </c>
      <c r="M29" s="4">
        <v>139126.56</v>
      </c>
      <c r="N29" s="4">
        <v>0</v>
      </c>
      <c r="O29" s="4">
        <f>Tab_12.Dez[[#This Row],[DÉBITO]]-Tab_12.Dez[[#This Row],[CRÉDITO]]</f>
        <v>-99324.97</v>
      </c>
    </row>
    <row r="30" spans="2:15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A</v>
      </c>
      <c r="E30" s="2">
        <f>IF($I30="","",COUNTIFS(Tab_00.Trial[CONTA],$I30))</f>
        <v>1</v>
      </c>
      <c r="F30" s="4">
        <f>SUMIFS(Tab_11.Nov[SALDO
ATUAL],Tab_11.Nov[CONTA],$I30)</f>
        <v>99324.97</v>
      </c>
      <c r="G30" s="4">
        <f t="shared" si="2"/>
        <v>0</v>
      </c>
      <c r="H30" s="190">
        <v>10377</v>
      </c>
      <c r="I30" s="3" t="s">
        <v>291</v>
      </c>
      <c r="J30" s="3" t="s">
        <v>292</v>
      </c>
      <c r="K30" s="4">
        <v>99324.97</v>
      </c>
      <c r="L30" s="4">
        <v>39801.589999999997</v>
      </c>
      <c r="M30" s="4">
        <v>139126.56</v>
      </c>
      <c r="N30" s="4">
        <v>0</v>
      </c>
      <c r="O30" s="4">
        <f>Tab_12.Dez[[#This Row],[DÉBITO]]-Tab_12.Dez[[#This Row],[CRÉDITO]]</f>
        <v>-99324.97</v>
      </c>
    </row>
    <row r="31" spans="2:15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S</v>
      </c>
      <c r="E31" s="2">
        <f>IF($I31="","",COUNTIFS(Tab_00.Trial[CONTA],$I31))</f>
        <v>1</v>
      </c>
      <c r="F31" s="4">
        <f>SUMIFS(Tab_11.Nov[SALDO
ATUAL],Tab_11.Nov[CONTA],$I31)</f>
        <v>4705.95</v>
      </c>
      <c r="G31" s="4">
        <f t="shared" si="2"/>
        <v>0</v>
      </c>
      <c r="H31" s="190">
        <v>10390</v>
      </c>
      <c r="I31" s="3" t="s">
        <v>835</v>
      </c>
      <c r="J31" s="3" t="s">
        <v>836</v>
      </c>
      <c r="K31" s="4">
        <v>4705.95</v>
      </c>
      <c r="L31" s="4">
        <v>0</v>
      </c>
      <c r="M31" s="4">
        <v>0</v>
      </c>
      <c r="N31" s="4">
        <v>4705.95</v>
      </c>
      <c r="O31" s="4">
        <f>Tab_12.Dez[[#This Row],[DÉBITO]]-Tab_12.Dez[[#This Row],[CRÉDITO]]</f>
        <v>0</v>
      </c>
    </row>
    <row r="32" spans="2:15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A</v>
      </c>
      <c r="E32" s="2">
        <f>IF($I32="","",COUNTIFS(Tab_00.Trial[CONTA],$I32))</f>
        <v>1</v>
      </c>
      <c r="F32" s="4">
        <f>SUMIFS(Tab_11.Nov[SALDO
ATUAL],Tab_11.Nov[CONTA],$I32)</f>
        <v>4705.95</v>
      </c>
      <c r="G32" s="4">
        <f t="shared" si="2"/>
        <v>0</v>
      </c>
      <c r="H32" s="190">
        <v>10405</v>
      </c>
      <c r="I32" s="3" t="s">
        <v>837</v>
      </c>
      <c r="J32" s="3" t="s">
        <v>836</v>
      </c>
      <c r="K32" s="4">
        <v>4705.95</v>
      </c>
      <c r="L32" s="4">
        <v>0</v>
      </c>
      <c r="M32" s="4">
        <v>0</v>
      </c>
      <c r="N32" s="4">
        <v>4705.95</v>
      </c>
      <c r="O32" s="4">
        <f>Tab_12.Dez[[#This Row],[DÉBITO]]-Tab_12.Dez[[#This Row],[CRÉDITO]]</f>
        <v>0</v>
      </c>
    </row>
    <row r="33" spans="2:16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S</v>
      </c>
      <c r="E33" s="2">
        <f>IF($I33="","",COUNTIFS(Tab_00.Trial[CONTA],$I33))</f>
        <v>1</v>
      </c>
      <c r="F33" s="4">
        <f>SUMIFS(Tab_11.Nov[SALDO
ATUAL],Tab_11.Nov[CONTA],$I33)</f>
        <v>85757.18</v>
      </c>
      <c r="G33" s="4">
        <f t="shared" si="2"/>
        <v>0</v>
      </c>
      <c r="H33" s="190">
        <v>10630</v>
      </c>
      <c r="I33" s="3" t="s">
        <v>206</v>
      </c>
      <c r="J33" s="3" t="s">
        <v>644</v>
      </c>
      <c r="K33" s="4">
        <v>85757.18</v>
      </c>
      <c r="L33" s="4">
        <v>1899</v>
      </c>
      <c r="M33" s="4">
        <v>79728.91</v>
      </c>
      <c r="N33" s="4">
        <v>7927.27</v>
      </c>
      <c r="O33" s="4">
        <f>Tab_12.Dez[[#This Row],[DÉBITO]]-Tab_12.Dez[[#This Row],[CRÉDITO]]</f>
        <v>-77829.91</v>
      </c>
    </row>
    <row r="34" spans="2:16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S</v>
      </c>
      <c r="E34" s="2">
        <f>IF($I34="","",COUNTIFS(Tab_00.Trial[CONTA],$I34))</f>
        <v>1</v>
      </c>
      <c r="F34" s="4">
        <f>SUMIFS(Tab_11.Nov[SALDO
ATUAL],Tab_11.Nov[CONTA],$I34)</f>
        <v>79463.289999999994</v>
      </c>
      <c r="G34" s="4">
        <f t="shared" si="2"/>
        <v>0</v>
      </c>
      <c r="H34" s="190">
        <v>10645</v>
      </c>
      <c r="I34" s="3" t="s">
        <v>208</v>
      </c>
      <c r="J34" s="3" t="s">
        <v>139</v>
      </c>
      <c r="K34" s="4">
        <v>79463.289999999994</v>
      </c>
      <c r="L34" s="4">
        <v>0</v>
      </c>
      <c r="M34" s="4">
        <v>79463.289999999994</v>
      </c>
      <c r="N34" s="4">
        <v>0</v>
      </c>
      <c r="O34" s="4">
        <f>Tab_12.Dez[[#This Row],[DÉBITO]]-Tab_12.Dez[[#This Row],[CRÉDITO]]</f>
        <v>-79463.289999999994</v>
      </c>
    </row>
    <row r="35" spans="2:16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A</v>
      </c>
      <c r="E35" s="2">
        <f>IF($I35="","",COUNTIFS(Tab_00.Trial[CONTA],$I35))</f>
        <v>1</v>
      </c>
      <c r="F35" s="4">
        <f>SUMIFS(Tab_11.Nov[SALDO
ATUAL],Tab_11.Nov[CONTA],$I35)</f>
        <v>78477.31</v>
      </c>
      <c r="G35" s="4">
        <f t="shared" si="2"/>
        <v>0</v>
      </c>
      <c r="H35" s="190">
        <v>10720</v>
      </c>
      <c r="I35" s="3" t="s">
        <v>812</v>
      </c>
      <c r="J35" s="3" t="s">
        <v>813</v>
      </c>
      <c r="K35" s="4">
        <v>78477.31</v>
      </c>
      <c r="L35" s="4">
        <v>0</v>
      </c>
      <c r="M35" s="4">
        <v>78477.31</v>
      </c>
      <c r="N35" s="4">
        <v>0</v>
      </c>
      <c r="O35" s="4">
        <f>Tab_12.Dez[[#This Row],[DÉBITO]]-Tab_12.Dez[[#This Row],[CRÉDITO]]</f>
        <v>-78477.31</v>
      </c>
    </row>
    <row r="36" spans="2:16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A</v>
      </c>
      <c r="E36" s="2">
        <f>IF($I36="","",COUNTIFS(Tab_00.Trial[CONTA],$I36))</f>
        <v>1</v>
      </c>
      <c r="F36" s="4">
        <f>SUMIFS(Tab_11.Nov[SALDO
ATUAL],Tab_11.Nov[CONTA],$I36)</f>
        <v>985.98</v>
      </c>
      <c r="G36" s="4">
        <f t="shared" si="2"/>
        <v>0</v>
      </c>
      <c r="H36" s="190">
        <v>10735</v>
      </c>
      <c r="I36" s="3" t="s">
        <v>294</v>
      </c>
      <c r="J36" s="3" t="s">
        <v>295</v>
      </c>
      <c r="K36" s="4">
        <v>985.98</v>
      </c>
      <c r="L36" s="4">
        <v>0</v>
      </c>
      <c r="M36" s="4">
        <v>985.98</v>
      </c>
      <c r="N36" s="4">
        <v>0</v>
      </c>
      <c r="O36" s="4">
        <f>Tab_12.Dez[[#This Row],[DÉBITO]]-Tab_12.Dez[[#This Row],[CRÉDITO]]</f>
        <v>-985.98</v>
      </c>
    </row>
    <row r="37" spans="2:16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S</v>
      </c>
      <c r="E37" s="2">
        <f>IF($I37="","",COUNTIFS(Tab_00.Trial[CONTA],$I37))</f>
        <v>1</v>
      </c>
      <c r="F37" s="4">
        <f>SUMIFS(Tab_11.Nov[SALDO
ATUAL],Tab_11.Nov[CONTA],$I37)</f>
        <v>6293.89</v>
      </c>
      <c r="G37" s="4">
        <f t="shared" si="2"/>
        <v>0</v>
      </c>
      <c r="H37" s="190">
        <v>10765</v>
      </c>
      <c r="I37" s="3" t="s">
        <v>551</v>
      </c>
      <c r="J37" s="3" t="s">
        <v>645</v>
      </c>
      <c r="K37" s="4">
        <v>6293.89</v>
      </c>
      <c r="L37" s="4">
        <v>1899</v>
      </c>
      <c r="M37" s="4">
        <v>265.62</v>
      </c>
      <c r="N37" s="4">
        <v>7927.27</v>
      </c>
      <c r="O37" s="4">
        <f>Tab_12.Dez[[#This Row],[DÉBITO]]-Tab_12.Dez[[#This Row],[CRÉDITO]]</f>
        <v>1633.38</v>
      </c>
    </row>
    <row r="38" spans="2:16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A</v>
      </c>
      <c r="E38" s="2">
        <f>IF($I38="","",COUNTIFS(Tab_00.Trial[CONTA],$I38))</f>
        <v>1</v>
      </c>
      <c r="F38" s="4">
        <f>SUMIFS(Tab_11.Nov[SALDO
ATUAL],Tab_11.Nov[CONTA],$I38)</f>
        <v>98.63</v>
      </c>
      <c r="G38" s="4">
        <f t="shared" si="2"/>
        <v>0</v>
      </c>
      <c r="H38" s="190">
        <v>10825</v>
      </c>
      <c r="I38" s="3" t="s">
        <v>838</v>
      </c>
      <c r="J38" s="3" t="s">
        <v>839</v>
      </c>
      <c r="K38" s="4">
        <v>98.63</v>
      </c>
      <c r="L38" s="4">
        <v>1899</v>
      </c>
      <c r="M38" s="4">
        <v>0</v>
      </c>
      <c r="N38" s="4">
        <v>1997.63</v>
      </c>
      <c r="O38" s="4">
        <f>Tab_12.Dez[[#This Row],[DÉBITO]]-Tab_12.Dez[[#This Row],[CRÉDITO]]</f>
        <v>1899</v>
      </c>
    </row>
    <row r="39" spans="2:16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A</v>
      </c>
      <c r="E39" s="2">
        <f>IF($I39="","",COUNTIFS(Tab_00.Trial[CONTA],$I39))</f>
        <v>1</v>
      </c>
      <c r="F39" s="4">
        <f>SUMIFS(Tab_11.Nov[SALDO
ATUAL],Tab_11.Nov[CONTA],$I39)</f>
        <v>6195.26</v>
      </c>
      <c r="G39" s="4">
        <f t="shared" si="2"/>
        <v>0</v>
      </c>
      <c r="H39" s="190">
        <v>10867</v>
      </c>
      <c r="I39" s="3" t="s">
        <v>831</v>
      </c>
      <c r="J39" s="3" t="s">
        <v>832</v>
      </c>
      <c r="K39" s="4">
        <v>6195.26</v>
      </c>
      <c r="L39" s="4">
        <v>0</v>
      </c>
      <c r="M39" s="4">
        <v>265.62</v>
      </c>
      <c r="N39" s="4">
        <v>5929.64</v>
      </c>
      <c r="O39" s="4">
        <f>Tab_12.Dez[[#This Row],[DÉBITO]]-Tab_12.Dez[[#This Row],[CRÉDITO]]</f>
        <v>-265.62</v>
      </c>
    </row>
    <row r="40" spans="2:16" x14ac:dyDescent="0.3">
      <c r="B40" s="2" t="str">
        <f>_xlfn.XLOOKUP($I40,Tab_00.Trial[CONTA],Tab_00.Trial[TP],"",0,1)</f>
        <v>A</v>
      </c>
      <c r="C40" s="2">
        <f>_xlfn.XLOOKUP($I40,Tab_00.Trial[CONTA],Tab_00.Trial[NV],"",0,1)</f>
        <v>5</v>
      </c>
      <c r="D40" s="2" t="str">
        <f>_xlfn.XLOOKUP($I40,Tab_00.Trial[CONTA],Tab_00.Trial[S/A],"",0,1)</f>
        <v>S</v>
      </c>
      <c r="E40" s="2">
        <f>IF($I40="","",COUNTIFS(Tab_00.Trial[CONTA],$I40))</f>
        <v>1</v>
      </c>
      <c r="F40" s="4">
        <f>SUMIFS(Tab_11.Nov[SALDO
ATUAL],Tab_11.Nov[CONTA],$I40)</f>
        <v>255130.12</v>
      </c>
      <c r="G40" s="4">
        <f t="shared" si="2"/>
        <v>0</v>
      </c>
      <c r="H40" s="190">
        <v>10840</v>
      </c>
      <c r="I40" s="3" t="s">
        <v>840</v>
      </c>
      <c r="J40" s="3" t="s">
        <v>841</v>
      </c>
      <c r="K40" s="4">
        <v>255130.12</v>
      </c>
      <c r="L40" s="4">
        <v>9873.2800000000007</v>
      </c>
      <c r="M40" s="4">
        <v>9873.2800000000007</v>
      </c>
      <c r="N40" s="4">
        <v>255130.12</v>
      </c>
      <c r="O40" s="4">
        <f>Tab_12.Dez[[#This Row],[DÉBITO]]-Tab_12.Dez[[#This Row],[CRÉDITO]]</f>
        <v>0</v>
      </c>
    </row>
    <row r="41" spans="2:16" x14ac:dyDescent="0.3">
      <c r="B41" s="2" t="str">
        <f>_xlfn.XLOOKUP($I41,Tab_00.Trial[CONTA],Tab_00.Trial[TP],"",0,1)</f>
        <v>A</v>
      </c>
      <c r="C41" s="2">
        <f>_xlfn.XLOOKUP($I41,Tab_00.Trial[CONTA],Tab_00.Trial[NV],"",0,1)</f>
        <v>5</v>
      </c>
      <c r="D41" s="2" t="str">
        <f>_xlfn.XLOOKUP($I41,Tab_00.Trial[CONTA],Tab_00.Trial[S/A],"",0,1)</f>
        <v>S</v>
      </c>
      <c r="E41" s="2">
        <f>IF($I41="","",COUNTIFS(Tab_00.Trial[CONTA],$I41))</f>
        <v>1</v>
      </c>
      <c r="F41" s="4">
        <f>SUMIFS(Tab_11.Nov[SALDO
ATUAL],Tab_11.Nov[CONTA],$I41)</f>
        <v>255130.12</v>
      </c>
      <c r="G41" s="4">
        <f t="shared" si="2"/>
        <v>0</v>
      </c>
      <c r="H41" s="190">
        <v>10965</v>
      </c>
      <c r="I41" s="3" t="s">
        <v>842</v>
      </c>
      <c r="J41" s="3" t="s">
        <v>843</v>
      </c>
      <c r="K41" s="4">
        <v>255130.12</v>
      </c>
      <c r="L41" s="4">
        <v>0</v>
      </c>
      <c r="M41" s="4">
        <v>0</v>
      </c>
      <c r="N41" s="4">
        <v>255130.12</v>
      </c>
      <c r="O41" s="4">
        <f>Tab_12.Dez[[#This Row],[DÉBITO]]-Tab_12.Dez[[#This Row],[CRÉDITO]]</f>
        <v>0</v>
      </c>
    </row>
    <row r="42" spans="2:16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A</v>
      </c>
      <c r="E42" s="2">
        <f>IF($I42="","",COUNTIFS(Tab_00.Trial[CONTA],$I42))</f>
        <v>1</v>
      </c>
      <c r="F42" s="4">
        <f>SUMIFS(Tab_11.Nov[SALDO
ATUAL],Tab_11.Nov[CONTA],$I42)</f>
        <v>255130.12</v>
      </c>
      <c r="G42" s="4">
        <f t="shared" si="2"/>
        <v>0</v>
      </c>
      <c r="H42" s="190">
        <v>10874</v>
      </c>
      <c r="I42" s="3" t="s">
        <v>844</v>
      </c>
      <c r="J42" s="3" t="s">
        <v>843</v>
      </c>
      <c r="K42" s="4">
        <v>255130.12</v>
      </c>
      <c r="L42" s="4">
        <v>0</v>
      </c>
      <c r="M42" s="4">
        <v>0</v>
      </c>
      <c r="N42" s="4">
        <v>255130.12</v>
      </c>
      <c r="O42" s="4">
        <f>Tab_12.Dez[[#This Row],[DÉBITO]]-Tab_12.Dez[[#This Row],[CRÉDITO]]</f>
        <v>0</v>
      </c>
    </row>
    <row r="43" spans="2:16" x14ac:dyDescent="0.3">
      <c r="B43" s="2" t="str">
        <f>_xlfn.XLOOKUP($I43,Tab_00.Trial[CONTA],Tab_00.Trial[TP],"",0,1)</f>
        <v>A</v>
      </c>
      <c r="C43" s="2">
        <f>_xlfn.XLOOKUP($I43,Tab_00.Trial[CONTA],Tab_00.Trial[NV],"",0,1)</f>
        <v>5</v>
      </c>
      <c r="D43" s="2" t="str">
        <f>_xlfn.XLOOKUP($I43,Tab_00.Trial[CONTA],Tab_00.Trial[S/A],"",0,1)</f>
        <v>S</v>
      </c>
      <c r="E43" s="2">
        <f>IF($I43="","",COUNTIFS(Tab_00.Trial[CONTA],$I43))</f>
        <v>1</v>
      </c>
      <c r="F43" s="4">
        <f>SUMIFS(Tab_11.Nov[SALDO
ATUAL],Tab_11.Nov[CONTA],$I43)</f>
        <v>0</v>
      </c>
      <c r="G43" s="4">
        <f t="shared" si="2"/>
        <v>0</v>
      </c>
      <c r="H43" s="190">
        <v>10881</v>
      </c>
      <c r="I43" s="3" t="s">
        <v>864</v>
      </c>
      <c r="J43" s="3" t="s">
        <v>865</v>
      </c>
      <c r="K43" s="4">
        <v>0</v>
      </c>
      <c r="L43" s="4">
        <v>9873.2800000000007</v>
      </c>
      <c r="M43" s="4">
        <v>9873.2800000000007</v>
      </c>
      <c r="N43" s="4">
        <v>0</v>
      </c>
      <c r="O43" s="4">
        <f>Tab_12.Dez[[#This Row],[DÉBITO]]-Tab_12.Dez[[#This Row],[CRÉDITO]]</f>
        <v>0</v>
      </c>
    </row>
    <row r="44" spans="2:16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A</v>
      </c>
      <c r="E44" s="2">
        <f>IF($I44="","",COUNTIFS(Tab_00.Trial[CONTA],$I44))</f>
        <v>1</v>
      </c>
      <c r="F44" s="4">
        <f>SUMIFS(Tab_11.Nov[SALDO
ATUAL],Tab_11.Nov[CONTA],$I44)</f>
        <v>0</v>
      </c>
      <c r="G44" s="4">
        <f t="shared" si="2"/>
        <v>0</v>
      </c>
      <c r="H44" s="190">
        <v>10888</v>
      </c>
      <c r="I44" s="3" t="s">
        <v>867</v>
      </c>
      <c r="J44" s="3" t="s">
        <v>868</v>
      </c>
      <c r="K44" s="4">
        <v>0</v>
      </c>
      <c r="L44" s="4">
        <v>9873.2800000000007</v>
      </c>
      <c r="M44" s="4">
        <v>9873.2800000000007</v>
      </c>
      <c r="N44" s="4">
        <v>0</v>
      </c>
      <c r="O44" s="4">
        <f>Tab_12.Dez[[#This Row],[DÉBITO]]-Tab_12.Dez[[#This Row],[CRÉDITO]]</f>
        <v>0</v>
      </c>
    </row>
    <row r="45" spans="2:16" x14ac:dyDescent="0.3">
      <c r="B45" s="2" t="str">
        <f>_xlfn.XLOOKUP($I45,Tab_00.Trial[CONTA],Tab_00.Trial[TP],"",0,1)</f>
        <v>A</v>
      </c>
      <c r="C45" s="2">
        <f>_xlfn.XLOOKUP($I45,Tab_00.Trial[CONTA],Tab_00.Trial[NV],"",0,1)</f>
        <v>5</v>
      </c>
      <c r="D45" s="2" t="str">
        <f>_xlfn.XLOOKUP($I45,Tab_00.Trial[CONTA],Tab_00.Trial[S/A],"",0,1)</f>
        <v>S</v>
      </c>
      <c r="E45" s="2">
        <f>IF($I45="","",COUNTIFS(Tab_00.Trial[CONTA],$I45))</f>
        <v>1</v>
      </c>
      <c r="F45" s="4">
        <f>SUMIFS(Tab_11.Nov[SALDO
ATUAL],Tab_11.Nov[CONTA],$I45)</f>
        <v>2917.62</v>
      </c>
      <c r="G45" s="4">
        <f t="shared" si="2"/>
        <v>0</v>
      </c>
      <c r="H45" s="190">
        <v>10975</v>
      </c>
      <c r="I45" s="3" t="s">
        <v>209</v>
      </c>
      <c r="J45" s="3" t="s">
        <v>646</v>
      </c>
      <c r="K45" s="4">
        <v>2917.62</v>
      </c>
      <c r="L45" s="4">
        <v>0</v>
      </c>
      <c r="M45" s="4">
        <v>291.76</v>
      </c>
      <c r="N45" s="4">
        <v>2625.86</v>
      </c>
      <c r="O45" s="4">
        <f>Tab_12.Dez[[#This Row],[DÉBITO]]-Tab_12.Dez[[#This Row],[CRÉDITO]]</f>
        <v>-291.76</v>
      </c>
    </row>
    <row r="46" spans="2:16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S</v>
      </c>
      <c r="E46" s="2">
        <f>IF($I46="","",COUNTIFS(Tab_00.Trial[CONTA],$I46))</f>
        <v>1</v>
      </c>
      <c r="F46" s="4">
        <f>SUMIFS(Tab_11.Nov[SALDO
ATUAL],Tab_11.Nov[CONTA],$I46)</f>
        <v>2917.62</v>
      </c>
      <c r="G46" s="4">
        <f t="shared" si="2"/>
        <v>0</v>
      </c>
      <c r="H46" s="190">
        <v>10990</v>
      </c>
      <c r="I46" s="3" t="s">
        <v>210</v>
      </c>
      <c r="J46" s="3" t="s">
        <v>646</v>
      </c>
      <c r="K46" s="4">
        <v>2917.62</v>
      </c>
      <c r="L46" s="4">
        <v>0</v>
      </c>
      <c r="M46" s="4">
        <v>291.76</v>
      </c>
      <c r="N46" s="4">
        <v>2625.86</v>
      </c>
      <c r="O46" s="4">
        <f>Tab_12.Dez[[#This Row],[DÉBITO]]-Tab_12.Dez[[#This Row],[CRÉDITO]]</f>
        <v>-291.76</v>
      </c>
    </row>
    <row r="47" spans="2:16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A</v>
      </c>
      <c r="E47" s="2">
        <f>IF($I47="","",COUNTIFS(Tab_00.Trial[CONTA],$I47))</f>
        <v>1</v>
      </c>
      <c r="F47" s="4">
        <f>SUMIFS(Tab_11.Nov[SALDO
ATUAL],Tab_11.Nov[CONTA],$I47)</f>
        <v>2917.62</v>
      </c>
      <c r="G47" s="4">
        <f t="shared" si="2"/>
        <v>0</v>
      </c>
      <c r="H47" s="190">
        <v>11005</v>
      </c>
      <c r="I47" s="3" t="s">
        <v>298</v>
      </c>
      <c r="J47" s="3" t="s">
        <v>299</v>
      </c>
      <c r="K47" s="4">
        <v>2917.62</v>
      </c>
      <c r="L47" s="4">
        <v>0</v>
      </c>
      <c r="M47" s="4">
        <v>291.76</v>
      </c>
      <c r="N47" s="4">
        <v>2625.86</v>
      </c>
      <c r="O47" s="4">
        <f>Tab_12.Dez[[#This Row],[DÉBITO]]-Tab_12.Dez[[#This Row],[CRÉDITO]]</f>
        <v>-291.76</v>
      </c>
      <c r="P47" s="4"/>
    </row>
    <row r="48" spans="2:16" x14ac:dyDescent="0.3">
      <c r="B48" s="2" t="str">
        <f>_xlfn.XLOOKUP($I48,Tab_00.Trial[CONTA],Tab_00.Trial[TP],"",0,1)</f>
        <v>A</v>
      </c>
      <c r="C48" s="2">
        <f>_xlfn.XLOOKUP($I48,Tab_00.Trial[CONTA],Tab_00.Trial[NV],"",0,1)</f>
        <v>2</v>
      </c>
      <c r="D48" s="2" t="str">
        <f>_xlfn.XLOOKUP($I48,Tab_00.Trial[CONTA],Tab_00.Trial[S/A],"",0,1)</f>
        <v>S</v>
      </c>
      <c r="E48" s="2">
        <f>IF($I48="","",COUNTIFS(Tab_00.Trial[CONTA],$I48))</f>
        <v>1</v>
      </c>
      <c r="F48" s="4">
        <f>SUMIFS(Tab_11.Nov[SALDO
ATUAL],Tab_11.Nov[CONTA],$I48)</f>
        <v>74283168.849999994</v>
      </c>
      <c r="G48" s="4">
        <f t="shared" si="2"/>
        <v>0</v>
      </c>
      <c r="H48" s="190">
        <v>11065</v>
      </c>
      <c r="I48" s="3" t="s">
        <v>211</v>
      </c>
      <c r="J48" s="3" t="s">
        <v>76</v>
      </c>
      <c r="K48" s="4">
        <v>74283168.849999994</v>
      </c>
      <c r="L48" s="4">
        <v>5914.28</v>
      </c>
      <c r="M48" s="4">
        <v>144023.75</v>
      </c>
      <c r="N48" s="4">
        <v>74145059.379999995</v>
      </c>
      <c r="O48" s="4">
        <f>Tab_12.Dez[[#This Row],[DÉBITO]]-Tab_12.Dez[[#This Row],[CRÉDITO]]</f>
        <v>-138109.47</v>
      </c>
    </row>
    <row r="49" spans="2:15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S</v>
      </c>
      <c r="E49" s="2">
        <f>IF($I49="","",COUNTIFS(Tab_00.Trial[CONTA],$I49))</f>
        <v>1</v>
      </c>
      <c r="F49" s="4">
        <f>SUMIFS(Tab_11.Nov[SALDO
ATUAL],Tab_11.Nov[CONTA],$I49)</f>
        <v>256983.97</v>
      </c>
      <c r="G49" s="4">
        <f t="shared" si="2"/>
        <v>0</v>
      </c>
      <c r="H49" s="190">
        <v>11080</v>
      </c>
      <c r="I49" s="3" t="s">
        <v>552</v>
      </c>
      <c r="J49" s="3" t="s">
        <v>647</v>
      </c>
      <c r="K49" s="4">
        <v>256983.97</v>
      </c>
      <c r="L49" s="4">
        <v>0</v>
      </c>
      <c r="M49" s="4">
        <v>0</v>
      </c>
      <c r="N49" s="4">
        <v>256983.97</v>
      </c>
      <c r="O49" s="4">
        <f>Tab_12.Dez[[#This Row],[DÉBITO]]-Tab_12.Dez[[#This Row],[CRÉDITO]]</f>
        <v>0</v>
      </c>
    </row>
    <row r="50" spans="2:15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S</v>
      </c>
      <c r="E50" s="2">
        <f>IF($I50="","",COUNTIFS(Tab_00.Trial[CONTA],$I50))</f>
        <v>1</v>
      </c>
      <c r="F50" s="4">
        <f>SUMIFS(Tab_11.Nov[SALDO
ATUAL],Tab_11.Nov[CONTA],$I50)</f>
        <v>256983.97</v>
      </c>
      <c r="G50" s="4">
        <f t="shared" si="2"/>
        <v>0</v>
      </c>
      <c r="H50" s="190">
        <v>11125</v>
      </c>
      <c r="I50" s="3" t="s">
        <v>553</v>
      </c>
      <c r="J50" s="3" t="s">
        <v>301</v>
      </c>
      <c r="K50" s="4">
        <v>256983.97</v>
      </c>
      <c r="L50" s="4">
        <v>0</v>
      </c>
      <c r="M50" s="4">
        <v>0</v>
      </c>
      <c r="N50" s="4">
        <v>256983.97</v>
      </c>
      <c r="O50" s="4">
        <f>Tab_12.Dez[[#This Row],[DÉBITO]]-Tab_12.Dez[[#This Row],[CRÉDITO]]</f>
        <v>0</v>
      </c>
    </row>
    <row r="51" spans="2:15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A</v>
      </c>
      <c r="E51" s="2">
        <f>IF($I51="","",COUNTIFS(Tab_00.Trial[CONTA],$I51))</f>
        <v>1</v>
      </c>
      <c r="F51" s="4">
        <f>SUMIFS(Tab_11.Nov[SALDO
ATUAL],Tab_11.Nov[CONTA],$I51)</f>
        <v>256983.97</v>
      </c>
      <c r="G51" s="4">
        <f t="shared" si="2"/>
        <v>0</v>
      </c>
      <c r="H51" s="190">
        <v>11140</v>
      </c>
      <c r="I51" s="3" t="s">
        <v>300</v>
      </c>
      <c r="J51" s="3" t="s">
        <v>301</v>
      </c>
      <c r="K51" s="4">
        <v>256983.97</v>
      </c>
      <c r="L51" s="4">
        <v>0</v>
      </c>
      <c r="M51" s="4">
        <v>0</v>
      </c>
      <c r="N51" s="4">
        <v>256983.97</v>
      </c>
      <c r="O51" s="4">
        <f>Tab_12.Dez[[#This Row],[DÉBITO]]-Tab_12.Dez[[#This Row],[CRÉDITO]]</f>
        <v>0</v>
      </c>
    </row>
    <row r="52" spans="2:15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S</v>
      </c>
      <c r="E52" s="2">
        <f>IF($I52="","",COUNTIFS(Tab_00.Trial[CONTA],$I52))</f>
        <v>1</v>
      </c>
      <c r="F52" s="4">
        <f>SUMIFS(Tab_11.Nov[SALDO
ATUAL],Tab_11.Nov[CONTA],$I52)</f>
        <v>71671635.069999993</v>
      </c>
      <c r="G52" s="4">
        <f t="shared" si="2"/>
        <v>0</v>
      </c>
      <c r="H52" s="190">
        <v>11170</v>
      </c>
      <c r="I52" s="3" t="s">
        <v>554</v>
      </c>
      <c r="J52" s="3" t="s">
        <v>648</v>
      </c>
      <c r="K52" s="4">
        <v>71671635.069999993</v>
      </c>
      <c r="L52" s="4">
        <v>908</v>
      </c>
      <c r="M52" s="4">
        <v>140357</v>
      </c>
      <c r="N52" s="4">
        <v>71532186.069999993</v>
      </c>
      <c r="O52" s="4">
        <f>Tab_12.Dez[[#This Row],[DÉBITO]]-Tab_12.Dez[[#This Row],[CRÉDITO]]</f>
        <v>-139449</v>
      </c>
    </row>
    <row r="53" spans="2:15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S</v>
      </c>
      <c r="E53" s="2">
        <f>IF($I53="","",COUNTIFS(Tab_00.Trial[CONTA],$I53))</f>
        <v>1</v>
      </c>
      <c r="F53" s="4">
        <f>SUMIFS(Tab_11.Nov[SALDO
ATUAL],Tab_11.Nov[CONTA],$I53)</f>
        <v>45344232.229999997</v>
      </c>
      <c r="G53" s="4">
        <f t="shared" si="2"/>
        <v>0</v>
      </c>
      <c r="H53" s="190">
        <v>11185</v>
      </c>
      <c r="I53" s="3" t="s">
        <v>555</v>
      </c>
      <c r="J53" s="3" t="s">
        <v>649</v>
      </c>
      <c r="K53" s="4">
        <v>45344232.229999997</v>
      </c>
      <c r="L53" s="4">
        <v>0</v>
      </c>
      <c r="M53" s="4">
        <v>0</v>
      </c>
      <c r="N53" s="4">
        <v>45344232.229999997</v>
      </c>
      <c r="O53" s="4">
        <f>Tab_12.Dez[[#This Row],[DÉBITO]]-Tab_12.Dez[[#This Row],[CRÉDITO]]</f>
        <v>0</v>
      </c>
    </row>
    <row r="54" spans="2:15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A</v>
      </c>
      <c r="E54" s="2">
        <f>IF($I54="","",COUNTIFS(Tab_00.Trial[CONTA],$I54))</f>
        <v>1</v>
      </c>
      <c r="F54" s="4">
        <f>SUMIFS(Tab_11.Nov[SALDO
ATUAL],Tab_11.Nov[CONTA],$I54)</f>
        <v>42477392.43</v>
      </c>
      <c r="G54" s="4">
        <f t="shared" si="2"/>
        <v>0</v>
      </c>
      <c r="H54" s="190">
        <v>11205</v>
      </c>
      <c r="I54" s="3" t="s">
        <v>302</v>
      </c>
      <c r="J54" s="3" t="s">
        <v>303</v>
      </c>
      <c r="K54" s="4">
        <v>42477392.43</v>
      </c>
      <c r="L54" s="4">
        <v>0</v>
      </c>
      <c r="M54" s="4">
        <v>0</v>
      </c>
      <c r="N54" s="4">
        <v>42477392.43</v>
      </c>
      <c r="O54" s="4">
        <f>Tab_12.Dez[[#This Row],[DÉBITO]]-Tab_12.Dez[[#This Row],[CRÉDITO]]</f>
        <v>0</v>
      </c>
    </row>
    <row r="55" spans="2:15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A</v>
      </c>
      <c r="E55" s="2">
        <f>IF($I55="","",COUNTIFS(Tab_00.Trial[CONTA],$I55))</f>
        <v>1</v>
      </c>
      <c r="F55" s="4">
        <f>SUMIFS(Tab_11.Nov[SALDO
ATUAL],Tab_11.Nov[CONTA],$I55)</f>
        <v>2866839.8</v>
      </c>
      <c r="G55" s="4">
        <f t="shared" si="2"/>
        <v>0</v>
      </c>
      <c r="H55" s="190">
        <v>11210</v>
      </c>
      <c r="I55" s="3" t="s">
        <v>304</v>
      </c>
      <c r="J55" s="3" t="s">
        <v>305</v>
      </c>
      <c r="K55" s="4">
        <v>2866839.8</v>
      </c>
      <c r="L55" s="4">
        <v>0</v>
      </c>
      <c r="M55" s="4">
        <v>0</v>
      </c>
      <c r="N55" s="4">
        <v>2866839.8</v>
      </c>
      <c r="O55" s="4">
        <f>Tab_12.Dez[[#This Row],[DÉBITO]]-Tab_12.Dez[[#This Row],[CRÉDITO]]</f>
        <v>0</v>
      </c>
    </row>
    <row r="56" spans="2:15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S</v>
      </c>
      <c r="E56" s="2">
        <f>IF($I56="","",COUNTIFS(Tab_00.Trial[CONTA],$I56))</f>
        <v>1</v>
      </c>
      <c r="F56" s="4">
        <f>SUMIFS(Tab_11.Nov[SALDO
ATUAL],Tab_11.Nov[CONTA],$I56)</f>
        <v>4760.84</v>
      </c>
      <c r="G56" s="4">
        <f t="shared" si="2"/>
        <v>0</v>
      </c>
      <c r="H56" s="190">
        <v>11215</v>
      </c>
      <c r="I56" s="3" t="s">
        <v>556</v>
      </c>
      <c r="J56" s="3" t="s">
        <v>650</v>
      </c>
      <c r="K56" s="4">
        <v>4760.84</v>
      </c>
      <c r="L56" s="4">
        <v>0</v>
      </c>
      <c r="M56" s="4">
        <v>0</v>
      </c>
      <c r="N56" s="4">
        <v>4760.84</v>
      </c>
      <c r="O56" s="4">
        <f>Tab_12.Dez[[#This Row],[DÉBITO]]-Tab_12.Dez[[#This Row],[CRÉDITO]]</f>
        <v>0</v>
      </c>
    </row>
    <row r="57" spans="2:15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A</v>
      </c>
      <c r="E57" s="2">
        <f>IF($I57="","",COUNTIFS(Tab_00.Trial[CONTA],$I57))</f>
        <v>1</v>
      </c>
      <c r="F57" s="4">
        <f>SUMIFS(Tab_11.Nov[SALDO
ATUAL],Tab_11.Nov[CONTA],$I57)</f>
        <v>4760.84</v>
      </c>
      <c r="G57" s="4">
        <f t="shared" si="2"/>
        <v>0</v>
      </c>
      <c r="H57" s="190">
        <v>11230</v>
      </c>
      <c r="I57" s="3" t="s">
        <v>306</v>
      </c>
      <c r="J57" s="3" t="s">
        <v>307</v>
      </c>
      <c r="K57" s="4">
        <v>4760.84</v>
      </c>
      <c r="L57" s="4">
        <v>0</v>
      </c>
      <c r="M57" s="4">
        <v>0</v>
      </c>
      <c r="N57" s="4">
        <v>4760.84</v>
      </c>
      <c r="O57" s="4">
        <f>Tab_12.Dez[[#This Row],[DÉBITO]]-Tab_12.Dez[[#This Row],[CRÉDITO]]</f>
        <v>0</v>
      </c>
    </row>
    <row r="58" spans="2:15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S</v>
      </c>
      <c r="E58" s="2">
        <f>IF($I58="","",COUNTIFS(Tab_00.Trial[CONTA],$I58))</f>
        <v>1</v>
      </c>
      <c r="F58" s="4">
        <f>SUMIFS(Tab_11.Nov[SALDO
ATUAL],Tab_11.Nov[CONTA],$I58)</f>
        <v>26322642</v>
      </c>
      <c r="G58" s="4">
        <f t="shared" si="2"/>
        <v>0</v>
      </c>
      <c r="H58" s="190">
        <v>11235</v>
      </c>
      <c r="I58" s="3" t="s">
        <v>557</v>
      </c>
      <c r="J58" s="3" t="s">
        <v>309</v>
      </c>
      <c r="K58" s="4">
        <v>26322642</v>
      </c>
      <c r="L58" s="4">
        <v>908</v>
      </c>
      <c r="M58" s="4">
        <v>140357</v>
      </c>
      <c r="N58" s="4">
        <v>26183193</v>
      </c>
      <c r="O58" s="4">
        <f>Tab_12.Dez[[#This Row],[DÉBITO]]-Tab_12.Dez[[#This Row],[CRÉDITO]]</f>
        <v>-139449</v>
      </c>
    </row>
    <row r="59" spans="2:15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A</v>
      </c>
      <c r="E59" s="2">
        <f>IF($I59="","",COUNTIFS(Tab_00.Trial[CONTA],$I59))</f>
        <v>1</v>
      </c>
      <c r="F59" s="4">
        <f>SUMIFS(Tab_11.Nov[SALDO
ATUAL],Tab_11.Nov[CONTA],$I59)</f>
        <v>26322642</v>
      </c>
      <c r="G59" s="4">
        <f t="shared" si="2"/>
        <v>0</v>
      </c>
      <c r="H59" s="190">
        <v>11240</v>
      </c>
      <c r="I59" s="3" t="s">
        <v>308</v>
      </c>
      <c r="J59" s="3" t="s">
        <v>309</v>
      </c>
      <c r="K59" s="4">
        <v>26322642</v>
      </c>
      <c r="L59" s="4">
        <v>908</v>
      </c>
      <c r="M59" s="4">
        <v>140357</v>
      </c>
      <c r="N59" s="4">
        <v>26183193</v>
      </c>
      <c r="O59" s="4">
        <f>Tab_12.Dez[[#This Row],[DÉBITO]]-Tab_12.Dez[[#This Row],[CRÉDITO]]</f>
        <v>-139449</v>
      </c>
    </row>
    <row r="60" spans="2:15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S</v>
      </c>
      <c r="E60" s="2">
        <f>IF($I60="","",COUNTIFS(Tab_00.Trial[CONTA],$I60))</f>
        <v>1</v>
      </c>
      <c r="F60" s="4">
        <f>SUMIFS(Tab_11.Nov[SALDO
ATUAL],Tab_11.Nov[CONTA],$I60)</f>
        <v>2354549.81</v>
      </c>
      <c r="G60" s="4">
        <f t="shared" si="2"/>
        <v>0</v>
      </c>
      <c r="H60" s="190">
        <v>11245</v>
      </c>
      <c r="I60" s="3" t="s">
        <v>213</v>
      </c>
      <c r="J60" s="3" t="s">
        <v>35</v>
      </c>
      <c r="K60" s="4">
        <v>2354549.81</v>
      </c>
      <c r="L60" s="4">
        <v>5006.28</v>
      </c>
      <c r="M60" s="4">
        <v>3666.75</v>
      </c>
      <c r="N60" s="4">
        <v>2355889.34</v>
      </c>
      <c r="O60" s="4">
        <f>Tab_12.Dez[[#This Row],[DÉBITO]]-Tab_12.Dez[[#This Row],[CRÉDITO]]</f>
        <v>1339.53</v>
      </c>
    </row>
    <row r="61" spans="2:15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S</v>
      </c>
      <c r="E61" s="2">
        <f>IF($I61="","",COUNTIFS(Tab_00.Trial[CONTA],$I61))</f>
        <v>1</v>
      </c>
      <c r="F61" s="4">
        <f>SUMIFS(Tab_11.Nov[SALDO
ATUAL],Tab_11.Nov[CONTA],$I61)</f>
        <v>3549939.31</v>
      </c>
      <c r="G61" s="4">
        <f t="shared" si="2"/>
        <v>0</v>
      </c>
      <c r="H61" s="190">
        <v>11260</v>
      </c>
      <c r="I61" s="3" t="s">
        <v>214</v>
      </c>
      <c r="J61" s="3" t="s">
        <v>651</v>
      </c>
      <c r="K61" s="4">
        <v>3549939.31</v>
      </c>
      <c r="L61" s="4">
        <v>5006.28</v>
      </c>
      <c r="M61" s="4">
        <v>0</v>
      </c>
      <c r="N61" s="4">
        <v>3554945.59</v>
      </c>
      <c r="O61" s="4">
        <f>Tab_12.Dez[[#This Row],[DÉBITO]]-Tab_12.Dez[[#This Row],[CRÉDITO]]</f>
        <v>5006.28</v>
      </c>
    </row>
    <row r="62" spans="2:15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SUMIFS(Tab_11.Nov[SALDO
ATUAL],Tab_11.Nov[CONTA],$I62)</f>
        <v>1379260.84</v>
      </c>
      <c r="G62" s="4">
        <f t="shared" si="2"/>
        <v>0</v>
      </c>
      <c r="H62" s="190">
        <v>11275</v>
      </c>
      <c r="I62" s="3" t="s">
        <v>310</v>
      </c>
      <c r="J62" s="3" t="s">
        <v>311</v>
      </c>
      <c r="K62" s="4">
        <v>1379260.84</v>
      </c>
      <c r="L62" s="4">
        <v>0</v>
      </c>
      <c r="M62" s="4">
        <v>0</v>
      </c>
      <c r="N62" s="4">
        <v>1379260.84</v>
      </c>
      <c r="O62" s="4">
        <f>Tab_12.Dez[[#This Row],[DÉBITO]]-Tab_12.Dez[[#This Row],[CRÉDITO]]</f>
        <v>0</v>
      </c>
    </row>
    <row r="63" spans="2:15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A</v>
      </c>
      <c r="E63" s="2">
        <f>IF($I63="","",COUNTIFS(Tab_00.Trial[CONTA],$I63))</f>
        <v>1</v>
      </c>
      <c r="F63" s="4">
        <f>SUMIFS(Tab_11.Nov[SALDO
ATUAL],Tab_11.Nov[CONTA],$I63)</f>
        <v>1293371.25</v>
      </c>
      <c r="G63" s="4">
        <f t="shared" si="2"/>
        <v>0</v>
      </c>
      <c r="H63" s="190">
        <v>11290</v>
      </c>
      <c r="I63" s="3" t="s">
        <v>312</v>
      </c>
      <c r="J63" s="3" t="s">
        <v>313</v>
      </c>
      <c r="K63" s="4">
        <v>1293371.25</v>
      </c>
      <c r="L63" s="4">
        <v>3333.34</v>
      </c>
      <c r="M63" s="4">
        <v>0</v>
      </c>
      <c r="N63" s="4">
        <v>1296704.5900000001</v>
      </c>
      <c r="O63" s="4">
        <f>Tab_12.Dez[[#This Row],[DÉBITO]]-Tab_12.Dez[[#This Row],[CRÉDITO]]</f>
        <v>3333.34</v>
      </c>
    </row>
    <row r="64" spans="2:15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A</v>
      </c>
      <c r="E64" s="2">
        <f>IF($I64="","",COUNTIFS(Tab_00.Trial[CONTA],$I64))</f>
        <v>1</v>
      </c>
      <c r="F64" s="4">
        <f>SUMIFS(Tab_11.Nov[SALDO
ATUAL],Tab_11.Nov[CONTA],$I64)</f>
        <v>23000</v>
      </c>
      <c r="G64" s="4">
        <f t="shared" si="2"/>
        <v>0</v>
      </c>
      <c r="H64" s="190">
        <v>11320</v>
      </c>
      <c r="I64" s="3" t="s">
        <v>181</v>
      </c>
      <c r="J64" s="3" t="s">
        <v>314</v>
      </c>
      <c r="K64" s="4">
        <v>23000</v>
      </c>
      <c r="L64" s="4">
        <v>0</v>
      </c>
      <c r="M64" s="4">
        <v>0</v>
      </c>
      <c r="N64" s="4">
        <v>23000</v>
      </c>
      <c r="O64" s="4">
        <f>Tab_12.Dez[[#This Row],[DÉBITO]]-Tab_12.Dez[[#This Row],[CRÉDITO]]</f>
        <v>0</v>
      </c>
    </row>
    <row r="65" spans="2:15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SUMIFS(Tab_11.Nov[SALDO
ATUAL],Tab_11.Nov[CONTA],$I65)</f>
        <v>12594</v>
      </c>
      <c r="G65" s="4">
        <f t="shared" si="2"/>
        <v>0</v>
      </c>
      <c r="H65" s="190">
        <v>11335</v>
      </c>
      <c r="I65" s="3" t="s">
        <v>182</v>
      </c>
      <c r="J65" s="3" t="s">
        <v>315</v>
      </c>
      <c r="K65" s="4">
        <v>12594</v>
      </c>
      <c r="L65" s="4">
        <v>0</v>
      </c>
      <c r="M65" s="4">
        <v>0</v>
      </c>
      <c r="N65" s="4">
        <v>12594</v>
      </c>
      <c r="O65" s="4">
        <f>Tab_12.Dez[[#This Row],[DÉBITO]]-Tab_12.Dez[[#This Row],[CRÉDITO]]</f>
        <v>0</v>
      </c>
    </row>
    <row r="66" spans="2:15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A</v>
      </c>
      <c r="E66" s="2">
        <f>IF($I66="","",COUNTIFS(Tab_00.Trial[CONTA],$I66))</f>
        <v>1</v>
      </c>
      <c r="F66" s="4">
        <f>SUMIFS(Tab_11.Nov[SALDO
ATUAL],Tab_11.Nov[CONTA],$I66)</f>
        <v>224642.85</v>
      </c>
      <c r="G66" s="4">
        <f t="shared" si="2"/>
        <v>0</v>
      </c>
      <c r="H66" s="190">
        <v>11350</v>
      </c>
      <c r="I66" s="3" t="s">
        <v>183</v>
      </c>
      <c r="J66" s="3" t="s">
        <v>316</v>
      </c>
      <c r="K66" s="4">
        <v>224642.85</v>
      </c>
      <c r="L66" s="4">
        <v>1672.94</v>
      </c>
      <c r="M66" s="4">
        <v>0</v>
      </c>
      <c r="N66" s="4">
        <v>226315.79</v>
      </c>
      <c r="O66" s="4">
        <f>Tab_12.Dez[[#This Row],[DÉBITO]]-Tab_12.Dez[[#This Row],[CRÉDITO]]</f>
        <v>1672.94</v>
      </c>
    </row>
    <row r="67" spans="2:15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SUMIFS(Tab_11.Nov[SALDO
ATUAL],Tab_11.Nov[CONTA],$I67)</f>
        <v>8689.9</v>
      </c>
      <c r="G67" s="4">
        <f t="shared" si="2"/>
        <v>0</v>
      </c>
      <c r="H67" s="190">
        <v>11365</v>
      </c>
      <c r="I67" s="3" t="s">
        <v>317</v>
      </c>
      <c r="J67" s="3" t="s">
        <v>318</v>
      </c>
      <c r="K67" s="4">
        <v>8689.9</v>
      </c>
      <c r="L67" s="4">
        <v>0</v>
      </c>
      <c r="M67" s="4">
        <v>0</v>
      </c>
      <c r="N67" s="4">
        <v>8689.9</v>
      </c>
      <c r="O67" s="4">
        <f>Tab_12.Dez[[#This Row],[DÉBITO]]-Tab_12.Dez[[#This Row],[CRÉDITO]]</f>
        <v>0</v>
      </c>
    </row>
    <row r="68" spans="2:15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A</v>
      </c>
      <c r="E68" s="2">
        <f>IF($I68="","",COUNTIFS(Tab_00.Trial[CONTA],$I68))</f>
        <v>1</v>
      </c>
      <c r="F68" s="4">
        <f>SUMIFS(Tab_11.Nov[SALDO
ATUAL],Tab_11.Nov[CONTA],$I68)</f>
        <v>128697.03</v>
      </c>
      <c r="G68" s="4">
        <f t="shared" si="2"/>
        <v>0</v>
      </c>
      <c r="H68" s="190">
        <v>11380</v>
      </c>
      <c r="I68" s="3" t="s">
        <v>184</v>
      </c>
      <c r="J68" s="3" t="s">
        <v>319</v>
      </c>
      <c r="K68" s="4">
        <v>128697.03</v>
      </c>
      <c r="L68" s="4">
        <v>0</v>
      </c>
      <c r="M68" s="4">
        <v>0</v>
      </c>
      <c r="N68" s="4">
        <v>128697.03</v>
      </c>
      <c r="O68" s="4">
        <f>Tab_12.Dez[[#This Row],[DÉBITO]]-Tab_12.Dez[[#This Row],[CRÉDITO]]</f>
        <v>0</v>
      </c>
    </row>
    <row r="69" spans="2:15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SUMIFS(Tab_11.Nov[SALDO
ATUAL],Tab_11.Nov[CONTA],$I69)</f>
        <v>15029.74</v>
      </c>
      <c r="G69" s="4">
        <f t="shared" si="2"/>
        <v>0</v>
      </c>
      <c r="H69" s="190">
        <v>11410</v>
      </c>
      <c r="I69" s="3" t="s">
        <v>185</v>
      </c>
      <c r="J69" s="3" t="s">
        <v>320</v>
      </c>
      <c r="K69" s="4">
        <v>15029.74</v>
      </c>
      <c r="L69" s="4">
        <v>0</v>
      </c>
      <c r="M69" s="4">
        <v>0</v>
      </c>
      <c r="N69" s="4">
        <v>15029.74</v>
      </c>
      <c r="O69" s="4">
        <f>Tab_12.Dez[[#This Row],[DÉBITO]]-Tab_12.Dez[[#This Row],[CRÉDITO]]</f>
        <v>0</v>
      </c>
    </row>
    <row r="70" spans="2:15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SUMIFS(Tab_11.Nov[SALDO
ATUAL],Tab_11.Nov[CONTA],$I70)</f>
        <v>464653.7</v>
      </c>
      <c r="G70" s="4">
        <f t="shared" si="2"/>
        <v>0</v>
      </c>
      <c r="H70" s="190">
        <v>11415</v>
      </c>
      <c r="I70" s="3" t="s">
        <v>321</v>
      </c>
      <c r="J70" s="3" t="s">
        <v>322</v>
      </c>
      <c r="K70" s="4">
        <v>464653.7</v>
      </c>
      <c r="L70" s="4">
        <v>0</v>
      </c>
      <c r="M70" s="4">
        <v>0</v>
      </c>
      <c r="N70" s="4">
        <v>464653.7</v>
      </c>
      <c r="O70" s="4">
        <f>Tab_12.Dez[[#This Row],[DÉBITO]]-Tab_12.Dez[[#This Row],[CRÉDITO]]</f>
        <v>0</v>
      </c>
    </row>
    <row r="71" spans="2:15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S</v>
      </c>
      <c r="E71" s="2">
        <f>IF($I71="","",COUNTIFS(Tab_00.Trial[CONTA],$I71))</f>
        <v>1</v>
      </c>
      <c r="F71" s="4">
        <f>SUMIFS(Tab_11.Nov[SALDO
ATUAL],Tab_11.Nov[CONTA],$I71)</f>
        <v>-1195389.5</v>
      </c>
      <c r="G71" s="4">
        <f t="shared" si="2"/>
        <v>0</v>
      </c>
      <c r="H71" s="190">
        <v>11425</v>
      </c>
      <c r="I71" s="3" t="s">
        <v>215</v>
      </c>
      <c r="J71" s="3" t="s">
        <v>652</v>
      </c>
      <c r="K71" s="4">
        <v>-1195389.5</v>
      </c>
      <c r="L71" s="4">
        <v>0</v>
      </c>
      <c r="M71" s="4">
        <v>3666.75</v>
      </c>
      <c r="N71" s="4">
        <v>-1199056.25</v>
      </c>
      <c r="O71" s="4">
        <f>Tab_12.Dez[[#This Row],[DÉBITO]]-Tab_12.Dez[[#This Row],[CRÉDITO]]</f>
        <v>-3666.75</v>
      </c>
    </row>
    <row r="72" spans="2:15" x14ac:dyDescent="0.3">
      <c r="B72" s="2" t="str">
        <f>_xlfn.XLOOKUP($I72,Tab_00.Trial[CONTA],Tab_00.Trial[TP],"",0,1)</f>
        <v>A</v>
      </c>
      <c r="C72" s="2">
        <f>_xlfn.XLOOKUP($I72,Tab_00.Trial[CONTA],Tab_00.Trial[NV],"",0,1)</f>
        <v>5</v>
      </c>
      <c r="D72" s="2" t="str">
        <f>_xlfn.XLOOKUP($I72,Tab_00.Trial[CONTA],Tab_00.Trial[S/A],"",0,1)</f>
        <v>A</v>
      </c>
      <c r="E72" s="2">
        <f>IF($I72="","",COUNTIFS(Tab_00.Trial[CONTA],$I72))</f>
        <v>1</v>
      </c>
      <c r="F72" s="4">
        <f>SUMIFS(Tab_11.Nov[SALDO
ATUAL],Tab_11.Nov[CONTA],$I72)</f>
        <v>-676858.34</v>
      </c>
      <c r="G72" s="4">
        <f t="shared" si="2"/>
        <v>0</v>
      </c>
      <c r="H72" s="190">
        <v>11440</v>
      </c>
      <c r="I72" s="3" t="s">
        <v>186</v>
      </c>
      <c r="J72" s="3" t="s">
        <v>313</v>
      </c>
      <c r="K72" s="4">
        <v>-676858.34</v>
      </c>
      <c r="L72" s="4">
        <v>0</v>
      </c>
      <c r="M72" s="4">
        <v>2997.93</v>
      </c>
      <c r="N72" s="4">
        <v>-679856.27</v>
      </c>
      <c r="O72" s="4">
        <f>Tab_12.Dez[[#This Row],[DÉBITO]]-Tab_12.Dez[[#This Row],[CRÉDITO]]</f>
        <v>-2997.93</v>
      </c>
    </row>
    <row r="73" spans="2:15" x14ac:dyDescent="0.3">
      <c r="B73" s="2" t="str">
        <f>_xlfn.XLOOKUP($I73,Tab_00.Trial[CONTA],Tab_00.Trial[TP],"",0,1)</f>
        <v>A</v>
      </c>
      <c r="C73" s="2">
        <f>_xlfn.XLOOKUP($I73,Tab_00.Trial[CONTA],Tab_00.Trial[NV],"",0,1)</f>
        <v>5</v>
      </c>
      <c r="D73" s="2" t="str">
        <f>_xlfn.XLOOKUP($I73,Tab_00.Trial[CONTA],Tab_00.Trial[S/A],"",0,1)</f>
        <v>A</v>
      </c>
      <c r="E73" s="2">
        <f>IF($I73="","",COUNTIFS(Tab_00.Trial[CONTA],$I73))</f>
        <v>1</v>
      </c>
      <c r="F73" s="4">
        <f>SUMIFS(Tab_11.Nov[SALDO
ATUAL],Tab_11.Nov[CONTA],$I73)</f>
        <v>-21973.23</v>
      </c>
      <c r="G73" s="4">
        <f t="shared" si="2"/>
        <v>0</v>
      </c>
      <c r="H73" s="190">
        <v>11470</v>
      </c>
      <c r="I73" s="3" t="s">
        <v>187</v>
      </c>
      <c r="J73" s="3" t="s">
        <v>314</v>
      </c>
      <c r="K73" s="4">
        <v>-21973.23</v>
      </c>
      <c r="L73" s="4">
        <v>0</v>
      </c>
      <c r="M73" s="4">
        <v>191.67</v>
      </c>
      <c r="N73" s="4">
        <v>-22164.9</v>
      </c>
      <c r="O73" s="4">
        <f>Tab_12.Dez[[#This Row],[DÉBITO]]-Tab_12.Dez[[#This Row],[CRÉDITO]]</f>
        <v>-191.67</v>
      </c>
    </row>
    <row r="74" spans="2:15" x14ac:dyDescent="0.3">
      <c r="B74" s="2" t="str">
        <f>_xlfn.XLOOKUP($I74,Tab_00.Trial[CONTA],Tab_00.Trial[TP],"",0,1)</f>
        <v>A</v>
      </c>
      <c r="C74" s="2">
        <f>_xlfn.XLOOKUP($I74,Tab_00.Trial[CONTA],Tab_00.Trial[NV],"",0,1)</f>
        <v>5</v>
      </c>
      <c r="D74" s="2" t="str">
        <f>_xlfn.XLOOKUP($I74,Tab_00.Trial[CONTA],Tab_00.Trial[S/A],"",0,1)</f>
        <v>A</v>
      </c>
      <c r="E74" s="2">
        <f>IF($I74="","",COUNTIFS(Tab_00.Trial[CONTA],$I74))</f>
        <v>1</v>
      </c>
      <c r="F74" s="4">
        <f>SUMIFS(Tab_11.Nov[SALDO
ATUAL],Tab_11.Nov[CONTA],$I74)</f>
        <v>-7208.56</v>
      </c>
      <c r="G74" s="4">
        <f t="shared" si="2"/>
        <v>0</v>
      </c>
      <c r="H74" s="190">
        <v>11485</v>
      </c>
      <c r="I74" s="3" t="s">
        <v>188</v>
      </c>
      <c r="J74" s="3" t="s">
        <v>315</v>
      </c>
      <c r="K74" s="4">
        <v>-7208.56</v>
      </c>
      <c r="L74" s="4">
        <v>0</v>
      </c>
      <c r="M74" s="4">
        <v>104.95</v>
      </c>
      <c r="N74" s="4">
        <v>-7313.51</v>
      </c>
      <c r="O74" s="4">
        <f>Tab_12.Dez[[#This Row],[DÉBITO]]-Tab_12.Dez[[#This Row],[CRÉDITO]]</f>
        <v>-104.95</v>
      </c>
    </row>
    <row r="75" spans="2:15" x14ac:dyDescent="0.3">
      <c r="B75" s="2" t="str">
        <f>_xlfn.XLOOKUP($I75,Tab_00.Trial[CONTA],Tab_00.Trial[TP],"",0,1)</f>
        <v>A</v>
      </c>
      <c r="C75" s="2">
        <f>_xlfn.XLOOKUP($I75,Tab_00.Trial[CONTA],Tab_00.Trial[NV],"",0,1)</f>
        <v>5</v>
      </c>
      <c r="D75" s="2" t="str">
        <f>_xlfn.XLOOKUP($I75,Tab_00.Trial[CONTA],Tab_00.Trial[S/A],"",0,1)</f>
        <v>A</v>
      </c>
      <c r="E75" s="2">
        <f>IF($I75="","",COUNTIFS(Tab_00.Trial[CONTA],$I75))</f>
        <v>1</v>
      </c>
      <c r="F75" s="4">
        <f>SUMIFS(Tab_11.Nov[SALDO
ATUAL],Tab_11.Nov[CONTA],$I75)</f>
        <v>-224642.85</v>
      </c>
      <c r="G75" s="4">
        <f t="shared" si="2"/>
        <v>0</v>
      </c>
      <c r="H75" s="190">
        <v>11500</v>
      </c>
      <c r="I75" s="3" t="s">
        <v>189</v>
      </c>
      <c r="J75" s="3" t="s">
        <v>316</v>
      </c>
      <c r="K75" s="4">
        <v>-224642.85</v>
      </c>
      <c r="L75" s="4">
        <v>0</v>
      </c>
      <c r="M75" s="4">
        <v>0</v>
      </c>
      <c r="N75" s="4">
        <v>-224642.85</v>
      </c>
      <c r="O75" s="4">
        <f>Tab_12.Dez[[#This Row],[DÉBITO]]-Tab_12.Dez[[#This Row],[CRÉDITO]]</f>
        <v>0</v>
      </c>
    </row>
    <row r="76" spans="2:15" x14ac:dyDescent="0.3">
      <c r="B76" s="2" t="str">
        <f>_xlfn.XLOOKUP($I76,Tab_00.Trial[CONTA],Tab_00.Trial[TP],"",0,1)</f>
        <v>A</v>
      </c>
      <c r="C76" s="2">
        <f>_xlfn.XLOOKUP($I76,Tab_00.Trial[CONTA],Tab_00.Trial[NV],"",0,1)</f>
        <v>5</v>
      </c>
      <c r="D76" s="2" t="str">
        <f>_xlfn.XLOOKUP($I76,Tab_00.Trial[CONTA],Tab_00.Trial[S/A],"",0,1)</f>
        <v>A</v>
      </c>
      <c r="E76" s="2">
        <f>IF($I76="","",COUNTIFS(Tab_00.Trial[CONTA],$I76))</f>
        <v>1</v>
      </c>
      <c r="F76" s="4">
        <f>SUMIFS(Tab_11.Nov[SALDO
ATUAL],Tab_11.Nov[CONTA],$I76)</f>
        <v>-4675.84</v>
      </c>
      <c r="G76" s="4">
        <f t="shared" si="2"/>
        <v>0</v>
      </c>
      <c r="H76" s="190">
        <v>11515</v>
      </c>
      <c r="I76" s="3" t="s">
        <v>190</v>
      </c>
      <c r="J76" s="3" t="s">
        <v>318</v>
      </c>
      <c r="K76" s="4">
        <v>-4675.84</v>
      </c>
      <c r="L76" s="4">
        <v>0</v>
      </c>
      <c r="M76" s="4">
        <v>0</v>
      </c>
      <c r="N76" s="4">
        <v>-4675.84</v>
      </c>
      <c r="O76" s="4">
        <f>Tab_12.Dez[[#This Row],[DÉBITO]]-Tab_12.Dez[[#This Row],[CRÉDITO]]</f>
        <v>0</v>
      </c>
    </row>
    <row r="77" spans="2:15" x14ac:dyDescent="0.3">
      <c r="B77" s="2" t="str">
        <f>_xlfn.XLOOKUP($I77,Tab_00.Trial[CONTA],Tab_00.Trial[TP],"",0,1)</f>
        <v>A</v>
      </c>
      <c r="C77" s="2">
        <f>_xlfn.XLOOKUP($I77,Tab_00.Trial[CONTA],Tab_00.Trial[NV],"",0,1)</f>
        <v>5</v>
      </c>
      <c r="D77" s="2" t="str">
        <f>_xlfn.XLOOKUP($I77,Tab_00.Trial[CONTA],Tab_00.Trial[S/A],"",0,1)</f>
        <v>A</v>
      </c>
      <c r="E77" s="2">
        <f>IF($I77="","",COUNTIFS(Tab_00.Trial[CONTA],$I77))</f>
        <v>1</v>
      </c>
      <c r="F77" s="4">
        <f>SUMIFS(Tab_11.Nov[SALDO
ATUAL],Tab_11.Nov[CONTA],$I77)</f>
        <v>-128819.23</v>
      </c>
      <c r="G77" s="4">
        <f t="shared" si="2"/>
        <v>0</v>
      </c>
      <c r="H77" s="190">
        <v>11530</v>
      </c>
      <c r="I77" s="3" t="s">
        <v>323</v>
      </c>
      <c r="J77" s="3" t="s">
        <v>319</v>
      </c>
      <c r="K77" s="4">
        <v>-128819.23</v>
      </c>
      <c r="L77" s="4">
        <v>0</v>
      </c>
      <c r="M77" s="4">
        <v>122.2</v>
      </c>
      <c r="N77" s="4">
        <v>-128941.43</v>
      </c>
      <c r="O77" s="4">
        <f>Tab_12.Dez[[#This Row],[DÉBITO]]-Tab_12.Dez[[#This Row],[CRÉDITO]]</f>
        <v>-122.2</v>
      </c>
    </row>
    <row r="78" spans="2:15" x14ac:dyDescent="0.3">
      <c r="B78" s="2" t="str">
        <f>_xlfn.XLOOKUP($I78,Tab_00.Trial[CONTA],Tab_00.Trial[TP],"",0,1)</f>
        <v>A</v>
      </c>
      <c r="C78" s="2">
        <f>_xlfn.XLOOKUP($I78,Tab_00.Trial[CONTA],Tab_00.Trial[NV],"",0,1)</f>
        <v>5</v>
      </c>
      <c r="D78" s="2" t="str">
        <f>_xlfn.XLOOKUP($I78,Tab_00.Trial[CONTA],Tab_00.Trial[S/A],"",0,1)</f>
        <v>A</v>
      </c>
      <c r="E78" s="2">
        <f>IF($I78="","",COUNTIFS(Tab_00.Trial[CONTA],$I78))</f>
        <v>1</v>
      </c>
      <c r="F78" s="4">
        <f>SUMIFS(Tab_11.Nov[SALDO
ATUAL],Tab_11.Nov[CONTA],$I78)</f>
        <v>-15029.74</v>
      </c>
      <c r="G78" s="4">
        <f t="shared" si="2"/>
        <v>0</v>
      </c>
      <c r="H78" s="190">
        <v>11560</v>
      </c>
      <c r="I78" s="3" t="s">
        <v>324</v>
      </c>
      <c r="J78" s="3" t="s">
        <v>320</v>
      </c>
      <c r="K78" s="4">
        <v>-15029.74</v>
      </c>
      <c r="L78" s="4">
        <v>0</v>
      </c>
      <c r="M78" s="4">
        <v>0</v>
      </c>
      <c r="N78" s="4">
        <v>-15029.74</v>
      </c>
      <c r="O78" s="4">
        <f>Tab_12.Dez[[#This Row],[DÉBITO]]-Tab_12.Dez[[#This Row],[CRÉDITO]]</f>
        <v>0</v>
      </c>
    </row>
    <row r="79" spans="2:15" x14ac:dyDescent="0.3">
      <c r="B79" s="2" t="str">
        <f>_xlfn.XLOOKUP($I79,Tab_00.Trial[CONTA],Tab_00.Trial[TP],"",0,1)</f>
        <v>A</v>
      </c>
      <c r="C79" s="2">
        <f>_xlfn.XLOOKUP($I79,Tab_00.Trial[CONTA],Tab_00.Trial[NV],"",0,1)</f>
        <v>5</v>
      </c>
      <c r="D79" s="2" t="str">
        <f>_xlfn.XLOOKUP($I79,Tab_00.Trial[CONTA],Tab_00.Trial[S/A],"",0,1)</f>
        <v>A</v>
      </c>
      <c r="E79" s="2">
        <f>IF($I79="","",COUNTIFS(Tab_00.Trial[CONTA],$I79))</f>
        <v>1</v>
      </c>
      <c r="F79" s="4">
        <f>SUMIFS(Tab_11.Nov[SALDO
ATUAL],Tab_11.Nov[CONTA],$I79)</f>
        <v>-116181.71</v>
      </c>
      <c r="G79" s="4">
        <f t="shared" ref="G79:G142" si="3">$F79-$K79</f>
        <v>0</v>
      </c>
      <c r="H79" s="190">
        <v>11565</v>
      </c>
      <c r="I79" s="3" t="s">
        <v>325</v>
      </c>
      <c r="J79" s="3" t="s">
        <v>322</v>
      </c>
      <c r="K79" s="4">
        <v>-116181.71</v>
      </c>
      <c r="L79" s="4">
        <v>0</v>
      </c>
      <c r="M79" s="4">
        <v>250</v>
      </c>
      <c r="N79" s="4">
        <v>-116431.71</v>
      </c>
      <c r="O79" s="4">
        <f>Tab_12.Dez[[#This Row],[DÉBITO]]-Tab_12.Dez[[#This Row],[CRÉDITO]]</f>
        <v>-250</v>
      </c>
    </row>
    <row r="80" spans="2:15" x14ac:dyDescent="0.3">
      <c r="B80" s="2" t="str">
        <f>_xlfn.XLOOKUP($I80,Tab_00.Trial[CONTA],Tab_00.Trial[TP],"",0,1)</f>
        <v>P</v>
      </c>
      <c r="C80" s="2">
        <f>_xlfn.XLOOKUP($I80,Tab_00.Trial[CONTA],Tab_00.Trial[NV],"",0,1)</f>
        <v>1</v>
      </c>
      <c r="D80" s="2" t="str">
        <f>_xlfn.XLOOKUP($I80,Tab_00.Trial[CONTA],Tab_00.Trial[S/A],"",0,1)</f>
        <v>S</v>
      </c>
      <c r="E80" s="2">
        <f>IF($I80="","",COUNTIFS(Tab_00.Trial[CONTA],$I80))</f>
        <v>1</v>
      </c>
      <c r="F80" s="4">
        <f>SUMIFS(Tab_11.Nov[SALDO
ATUAL],Tab_11.Nov[CONTA],$I80)</f>
        <v>-83390588.689999998</v>
      </c>
      <c r="G80" s="4">
        <f t="shared" si="3"/>
        <v>0</v>
      </c>
      <c r="H80" s="190">
        <v>20000</v>
      </c>
      <c r="I80" s="3">
        <v>2</v>
      </c>
      <c r="J80" s="3" t="s">
        <v>653</v>
      </c>
      <c r="K80" s="4">
        <v>-83390588.689999998</v>
      </c>
      <c r="L80" s="4">
        <v>2783373.55</v>
      </c>
      <c r="M80" s="4">
        <v>3168527.1</v>
      </c>
      <c r="N80" s="4">
        <v>-83775742.239999995</v>
      </c>
      <c r="O80" s="4">
        <f>Tab_12.Dez[[#This Row],[DÉBITO]]-Tab_12.Dez[[#This Row],[CRÉDITO]]</f>
        <v>-385153.55</v>
      </c>
    </row>
    <row r="81" spans="2:15" x14ac:dyDescent="0.3">
      <c r="B81" s="2" t="str">
        <f>_xlfn.XLOOKUP($I81,Tab_00.Trial[CONTA],Tab_00.Trial[TP],"",0,1)</f>
        <v>P</v>
      </c>
      <c r="C81" s="2">
        <f>_xlfn.XLOOKUP($I81,Tab_00.Trial[CONTA],Tab_00.Trial[NV],"",0,1)</f>
        <v>2</v>
      </c>
      <c r="D81" s="2" t="str">
        <f>_xlfn.XLOOKUP($I81,Tab_00.Trial[CONTA],Tab_00.Trial[S/A],"",0,1)</f>
        <v>S</v>
      </c>
      <c r="E81" s="2">
        <f>IF($I81="","",COUNTIFS(Tab_00.Trial[CONTA],$I81))</f>
        <v>1</v>
      </c>
      <c r="F81" s="4">
        <f>SUMIFS(Tab_11.Nov[SALDO
ATUAL],Tab_11.Nov[CONTA],$I81)</f>
        <v>-1255686.92</v>
      </c>
      <c r="G81" s="4">
        <f t="shared" si="3"/>
        <v>0</v>
      </c>
      <c r="H81" s="190">
        <v>20015</v>
      </c>
      <c r="I81" s="3" t="s">
        <v>216</v>
      </c>
      <c r="J81" s="3" t="s">
        <v>31</v>
      </c>
      <c r="K81" s="4">
        <v>-1255686.92</v>
      </c>
      <c r="L81" s="4">
        <v>2558318.2000000002</v>
      </c>
      <c r="M81" s="4">
        <v>1952574.55</v>
      </c>
      <c r="N81" s="4">
        <v>-649943.27</v>
      </c>
      <c r="O81" s="4">
        <f>Tab_12.Dez[[#This Row],[DÉBITO]]-Tab_12.Dez[[#This Row],[CRÉDITO]]</f>
        <v>605743.65</v>
      </c>
    </row>
    <row r="82" spans="2:15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S</v>
      </c>
      <c r="E82" s="2">
        <f>IF($I82="","",COUNTIFS(Tab_00.Trial[CONTA],$I82))</f>
        <v>1</v>
      </c>
      <c r="F82" s="4">
        <f>SUMIFS(Tab_11.Nov[SALDO
ATUAL],Tab_11.Nov[CONTA],$I82)</f>
        <v>-372008.81</v>
      </c>
      <c r="G82" s="4">
        <f t="shared" si="3"/>
        <v>0</v>
      </c>
      <c r="H82" s="190">
        <v>20030</v>
      </c>
      <c r="I82" s="3" t="s">
        <v>558</v>
      </c>
      <c r="J82" s="3" t="s">
        <v>654</v>
      </c>
      <c r="K82" s="4">
        <v>-372008.81</v>
      </c>
      <c r="L82" s="4">
        <v>374846.87</v>
      </c>
      <c r="M82" s="4">
        <v>271621.78999999998</v>
      </c>
      <c r="N82" s="4">
        <v>-268783.73</v>
      </c>
      <c r="O82" s="4">
        <f>Tab_12.Dez[[#This Row],[DÉBITO]]-Tab_12.Dez[[#This Row],[CRÉDITO]]</f>
        <v>103225.08</v>
      </c>
    </row>
    <row r="83" spans="2:15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S</v>
      </c>
      <c r="E83" s="2">
        <f>IF($I83="","",COUNTIFS(Tab_00.Trial[CONTA],$I83))</f>
        <v>1</v>
      </c>
      <c r="F83" s="4">
        <f>SUMIFS(Tab_11.Nov[SALDO
ATUAL],Tab_11.Nov[CONTA],$I83)</f>
        <v>0</v>
      </c>
      <c r="G83" s="4">
        <f t="shared" si="3"/>
        <v>0</v>
      </c>
      <c r="H83" s="190">
        <v>20045</v>
      </c>
      <c r="I83" s="3" t="s">
        <v>559</v>
      </c>
      <c r="J83" s="3" t="s">
        <v>655</v>
      </c>
      <c r="K83" s="4">
        <v>0</v>
      </c>
      <c r="L83" s="4">
        <v>158343.13</v>
      </c>
      <c r="M83" s="4">
        <v>158343.13</v>
      </c>
      <c r="N83" s="4">
        <v>0</v>
      </c>
      <c r="O83" s="4">
        <f>Tab_12.Dez[[#This Row],[DÉBITO]]-Tab_12.Dez[[#This Row],[CRÉDITO]]</f>
        <v>0</v>
      </c>
    </row>
    <row r="84" spans="2:15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A</v>
      </c>
      <c r="E84" s="2">
        <f>IF($I84="","",COUNTIFS(Tab_00.Trial[CONTA],$I84))</f>
        <v>1</v>
      </c>
      <c r="F84" s="4">
        <f>SUMIFS(Tab_11.Nov[SALDO
ATUAL],Tab_11.Nov[CONTA],$I84)</f>
        <v>0</v>
      </c>
      <c r="G84" s="4">
        <f t="shared" si="3"/>
        <v>0</v>
      </c>
      <c r="H84" s="190">
        <v>20060</v>
      </c>
      <c r="I84" s="3" t="s">
        <v>326</v>
      </c>
      <c r="J84" s="3" t="s">
        <v>327</v>
      </c>
      <c r="K84" s="4">
        <v>0</v>
      </c>
      <c r="L84" s="4">
        <v>158343.13</v>
      </c>
      <c r="M84" s="4">
        <v>158343.13</v>
      </c>
      <c r="N84" s="4">
        <v>0</v>
      </c>
      <c r="O84" s="4">
        <f>Tab_12.Dez[[#This Row],[DÉBITO]]-Tab_12.Dez[[#This Row],[CRÉDITO]]</f>
        <v>0</v>
      </c>
    </row>
    <row r="85" spans="2:15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S</v>
      </c>
      <c r="E85" s="2">
        <f>IF($I85="","",COUNTIFS(Tab_00.Trial[CONTA],$I85))</f>
        <v>1</v>
      </c>
      <c r="F85" s="4">
        <f>SUMIFS(Tab_11.Nov[SALDO
ATUAL],Tab_11.Nov[CONTA],$I85)</f>
        <v>-127113.01</v>
      </c>
      <c r="G85" s="4">
        <f t="shared" si="3"/>
        <v>0</v>
      </c>
      <c r="H85" s="190">
        <v>20120</v>
      </c>
      <c r="I85" s="3" t="s">
        <v>560</v>
      </c>
      <c r="J85" s="3" t="s">
        <v>656</v>
      </c>
      <c r="K85" s="4">
        <v>-127113.01</v>
      </c>
      <c r="L85" s="4">
        <v>137275.10999999999</v>
      </c>
      <c r="M85" s="4">
        <v>10162.1</v>
      </c>
      <c r="N85" s="4">
        <v>0</v>
      </c>
      <c r="O85" s="4">
        <f>Tab_12.Dez[[#This Row],[DÉBITO]]-Tab_12.Dez[[#This Row],[CRÉDITO]]</f>
        <v>127113.01</v>
      </c>
    </row>
    <row r="86" spans="2:15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A</v>
      </c>
      <c r="E86" s="2">
        <f>IF($I86="","",COUNTIFS(Tab_00.Trial[CONTA],$I86))</f>
        <v>1</v>
      </c>
      <c r="F86" s="4">
        <f>SUMIFS(Tab_11.Nov[SALDO
ATUAL],Tab_11.Nov[CONTA],$I86)</f>
        <v>-93473.41</v>
      </c>
      <c r="G86" s="4">
        <f t="shared" si="3"/>
        <v>0</v>
      </c>
      <c r="H86" s="190">
        <v>20135</v>
      </c>
      <c r="I86" s="3" t="s">
        <v>332</v>
      </c>
      <c r="J86" s="3" t="s">
        <v>333</v>
      </c>
      <c r="K86" s="4">
        <v>-93473.41</v>
      </c>
      <c r="L86" s="4">
        <v>100666.14</v>
      </c>
      <c r="M86" s="4">
        <v>7192.73</v>
      </c>
      <c r="N86" s="4">
        <v>0</v>
      </c>
      <c r="O86" s="4">
        <f>Tab_12.Dez[[#This Row],[DÉBITO]]-Tab_12.Dez[[#This Row],[CRÉDITO]]</f>
        <v>93473.41</v>
      </c>
    </row>
    <row r="87" spans="2:15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A</v>
      </c>
      <c r="E87" s="2">
        <f>IF($I87="","",COUNTIFS(Tab_00.Trial[CONTA],$I87))</f>
        <v>1</v>
      </c>
      <c r="F87" s="4">
        <f>SUMIFS(Tab_11.Nov[SALDO
ATUAL],Tab_11.Nov[CONTA],$I87)</f>
        <v>-7477.8</v>
      </c>
      <c r="G87" s="4">
        <f t="shared" si="3"/>
        <v>0</v>
      </c>
      <c r="H87" s="190">
        <v>20150</v>
      </c>
      <c r="I87" s="3" t="s">
        <v>778</v>
      </c>
      <c r="J87" s="3" t="s">
        <v>779</v>
      </c>
      <c r="K87" s="4">
        <v>-7477.8</v>
      </c>
      <c r="L87" s="4">
        <v>8141.36</v>
      </c>
      <c r="M87" s="4">
        <v>663.56</v>
      </c>
      <c r="N87" s="4">
        <v>0</v>
      </c>
      <c r="O87" s="4">
        <f>Tab_12.Dez[[#This Row],[DÉBITO]]-Tab_12.Dez[[#This Row],[CRÉDITO]]</f>
        <v>7477.8</v>
      </c>
    </row>
    <row r="88" spans="2:15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A</v>
      </c>
      <c r="E88" s="2">
        <f>IF($I88="","",COUNTIFS(Tab_00.Trial[CONTA],$I88))</f>
        <v>1</v>
      </c>
      <c r="F88" s="4">
        <f>SUMIFS(Tab_11.Nov[SALDO
ATUAL],Tab_11.Nov[CONTA],$I88)</f>
        <v>-941.08</v>
      </c>
      <c r="G88" s="4">
        <f t="shared" si="3"/>
        <v>0</v>
      </c>
      <c r="H88" s="190">
        <v>20165</v>
      </c>
      <c r="I88" s="3" t="s">
        <v>780</v>
      </c>
      <c r="J88" s="3" t="s">
        <v>781</v>
      </c>
      <c r="K88" s="4">
        <v>-941.08</v>
      </c>
      <c r="L88" s="4">
        <v>1024.02</v>
      </c>
      <c r="M88" s="4">
        <v>82.94</v>
      </c>
      <c r="N88" s="4">
        <v>0</v>
      </c>
      <c r="O88" s="4">
        <f>Tab_12.Dez[[#This Row],[DÉBITO]]-Tab_12.Dez[[#This Row],[CRÉDITO]]</f>
        <v>941.08</v>
      </c>
    </row>
    <row r="89" spans="2:15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A</v>
      </c>
      <c r="E89" s="2">
        <f>IF($I89="","",COUNTIFS(Tab_00.Trial[CONTA],$I89))</f>
        <v>1</v>
      </c>
      <c r="F89" s="4">
        <f>SUMIFS(Tab_11.Nov[SALDO
ATUAL],Tab_11.Nov[CONTA],$I89)</f>
        <v>-25220.720000000001</v>
      </c>
      <c r="G89" s="4">
        <f t="shared" si="3"/>
        <v>0</v>
      </c>
      <c r="H89" s="190">
        <v>10097</v>
      </c>
      <c r="I89" s="3" t="s">
        <v>782</v>
      </c>
      <c r="J89" s="3" t="s">
        <v>783</v>
      </c>
      <c r="K89" s="4">
        <v>-25220.720000000001</v>
      </c>
      <c r="L89" s="4">
        <v>27443.59</v>
      </c>
      <c r="M89" s="4">
        <v>2222.87</v>
      </c>
      <c r="N89" s="4">
        <v>0</v>
      </c>
      <c r="O89" s="4">
        <f>Tab_12.Dez[[#This Row],[DÉBITO]]-Tab_12.Dez[[#This Row],[CRÉDITO]]</f>
        <v>25220.720000000001</v>
      </c>
    </row>
    <row r="90" spans="2:15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S</v>
      </c>
      <c r="E90" s="2">
        <f>IF($I90="","",COUNTIFS(Tab_00.Trial[CONTA],$I90))</f>
        <v>1</v>
      </c>
      <c r="F90" s="4">
        <f>SUMIFS(Tab_11.Nov[SALDO
ATUAL],Tab_11.Nov[CONTA],$I90)</f>
        <v>-199706.11</v>
      </c>
      <c r="G90" s="4">
        <f t="shared" si="3"/>
        <v>0</v>
      </c>
      <c r="H90" s="190">
        <v>20180</v>
      </c>
      <c r="I90" s="3" t="s">
        <v>561</v>
      </c>
      <c r="J90" s="3" t="s">
        <v>657</v>
      </c>
      <c r="K90" s="4">
        <v>-199706.11</v>
      </c>
      <c r="L90" s="4">
        <v>679.28</v>
      </c>
      <c r="M90" s="4">
        <v>17109.63</v>
      </c>
      <c r="N90" s="4">
        <v>-216136.46</v>
      </c>
      <c r="O90" s="4">
        <f>Tab_12.Dez[[#This Row],[DÉBITO]]-Tab_12.Dez[[#This Row],[CRÉDITO]]</f>
        <v>-16430.349999999999</v>
      </c>
    </row>
    <row r="91" spans="2:15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A</v>
      </c>
      <c r="E91" s="2">
        <f>IF($I91="","",COUNTIFS(Tab_00.Trial[CONTA],$I91))</f>
        <v>1</v>
      </c>
      <c r="F91" s="4">
        <f>SUMIFS(Tab_11.Nov[SALDO
ATUAL],Tab_11.Nov[CONTA],$I91)</f>
        <v>-147005.94</v>
      </c>
      <c r="G91" s="4">
        <f t="shared" si="3"/>
        <v>0</v>
      </c>
      <c r="H91" s="190">
        <v>20195</v>
      </c>
      <c r="I91" s="3" t="s">
        <v>334</v>
      </c>
      <c r="J91" s="3" t="s">
        <v>335</v>
      </c>
      <c r="K91" s="4">
        <v>-147005.94</v>
      </c>
      <c r="L91" s="4">
        <v>679.28</v>
      </c>
      <c r="M91" s="4">
        <v>12630.74</v>
      </c>
      <c r="N91" s="4">
        <v>-158957.4</v>
      </c>
      <c r="O91" s="4">
        <f>Tab_12.Dez[[#This Row],[DÉBITO]]-Tab_12.Dez[[#This Row],[CRÉDITO]]</f>
        <v>-11951.46</v>
      </c>
    </row>
    <row r="92" spans="2:15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A</v>
      </c>
      <c r="E92" s="2">
        <f>IF($I92="","",COUNTIFS(Tab_00.Trial[CONTA],$I92))</f>
        <v>1</v>
      </c>
      <c r="F92" s="4">
        <f>SUMIFS(Tab_11.Nov[SALDO
ATUAL],Tab_11.Nov[CONTA],$I92)</f>
        <v>-11730.99</v>
      </c>
      <c r="G92" s="4">
        <f t="shared" si="3"/>
        <v>0</v>
      </c>
      <c r="H92" s="190">
        <v>20210</v>
      </c>
      <c r="I92" s="3" t="s">
        <v>784</v>
      </c>
      <c r="J92" s="3" t="s">
        <v>785</v>
      </c>
      <c r="K92" s="4">
        <v>-11730.99</v>
      </c>
      <c r="L92" s="4">
        <v>0</v>
      </c>
      <c r="M92" s="4">
        <v>1003.1</v>
      </c>
      <c r="N92" s="4">
        <v>-12734.09</v>
      </c>
      <c r="O92" s="4">
        <f>Tab_12.Dez[[#This Row],[DÉBITO]]-Tab_12.Dez[[#This Row],[CRÉDITO]]</f>
        <v>-1003.1</v>
      </c>
    </row>
    <row r="93" spans="2:15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A</v>
      </c>
      <c r="E93" s="2">
        <f>IF($I93="","",COUNTIFS(Tab_00.Trial[CONTA],$I93))</f>
        <v>1</v>
      </c>
      <c r="F93" s="4">
        <f>SUMIFS(Tab_11.Nov[SALDO
ATUAL],Tab_11.Nov[CONTA],$I93)</f>
        <v>-1669.81</v>
      </c>
      <c r="G93" s="4">
        <f t="shared" si="3"/>
        <v>0</v>
      </c>
      <c r="H93" s="190">
        <v>20225</v>
      </c>
      <c r="I93" s="3" t="s">
        <v>786</v>
      </c>
      <c r="J93" s="3" t="s">
        <v>787</v>
      </c>
      <c r="K93" s="4">
        <v>-1669.81</v>
      </c>
      <c r="L93" s="4">
        <v>0</v>
      </c>
      <c r="M93" s="4">
        <v>115.37</v>
      </c>
      <c r="N93" s="4">
        <v>-1785.18</v>
      </c>
      <c r="O93" s="4">
        <f>Tab_12.Dez[[#This Row],[DÉBITO]]-Tab_12.Dez[[#This Row],[CRÉDITO]]</f>
        <v>-115.37</v>
      </c>
    </row>
    <row r="94" spans="2:15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A</v>
      </c>
      <c r="E94" s="2">
        <f>IF($I94="","",COUNTIFS(Tab_00.Trial[CONTA],$I94))</f>
        <v>1</v>
      </c>
      <c r="F94" s="4">
        <f>SUMIFS(Tab_11.Nov[SALDO
ATUAL],Tab_11.Nov[CONTA],$I94)</f>
        <v>-39299.370000000003</v>
      </c>
      <c r="G94" s="4">
        <f t="shared" si="3"/>
        <v>0</v>
      </c>
      <c r="H94" s="190">
        <v>10104</v>
      </c>
      <c r="I94" s="3" t="s">
        <v>788</v>
      </c>
      <c r="J94" s="3" t="s">
        <v>789</v>
      </c>
      <c r="K94" s="4">
        <v>-39299.370000000003</v>
      </c>
      <c r="L94" s="4">
        <v>0</v>
      </c>
      <c r="M94" s="4">
        <v>3360.42</v>
      </c>
      <c r="N94" s="4">
        <v>-42659.79</v>
      </c>
      <c r="O94" s="4">
        <f>Tab_12.Dez[[#This Row],[DÉBITO]]-Tab_12.Dez[[#This Row],[CRÉDITO]]</f>
        <v>-3360.42</v>
      </c>
    </row>
    <row r="95" spans="2:15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S</v>
      </c>
      <c r="E95" s="2">
        <f>IF($I95="","",COUNTIFS(Tab_00.Trial[CONTA],$I95))</f>
        <v>1</v>
      </c>
      <c r="F95" s="4">
        <f>SUMIFS(Tab_11.Nov[SALDO
ATUAL],Tab_11.Nov[CONTA],$I95)</f>
        <v>-35631.67</v>
      </c>
      <c r="G95" s="4">
        <f t="shared" si="3"/>
        <v>0</v>
      </c>
      <c r="H95" s="190">
        <v>20240</v>
      </c>
      <c r="I95" s="3" t="s">
        <v>562</v>
      </c>
      <c r="J95" s="3" t="s">
        <v>658</v>
      </c>
      <c r="K95" s="4">
        <v>-35631.67</v>
      </c>
      <c r="L95" s="4">
        <v>68050.5</v>
      </c>
      <c r="M95" s="4">
        <v>67642.080000000002</v>
      </c>
      <c r="N95" s="4">
        <v>-35223.25</v>
      </c>
      <c r="O95" s="4">
        <f>Tab_12.Dez[[#This Row],[DÉBITO]]-Tab_12.Dez[[#This Row],[CRÉDITO]]</f>
        <v>408.42</v>
      </c>
    </row>
    <row r="96" spans="2:15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A</v>
      </c>
      <c r="E96" s="2">
        <f>IF($I96="","",COUNTIFS(Tab_00.Trial[CONTA],$I96))</f>
        <v>1</v>
      </c>
      <c r="F96" s="4">
        <f>SUMIFS(Tab_11.Nov[SALDO
ATUAL],Tab_11.Nov[CONTA],$I96)</f>
        <v>-35088.22</v>
      </c>
      <c r="G96" s="4">
        <f t="shared" si="3"/>
        <v>0</v>
      </c>
      <c r="H96" s="190">
        <v>20255</v>
      </c>
      <c r="I96" s="3" t="s">
        <v>336</v>
      </c>
      <c r="J96" s="3" t="s">
        <v>337</v>
      </c>
      <c r="K96" s="4">
        <v>-35088.22</v>
      </c>
      <c r="L96" s="4">
        <v>67507.05</v>
      </c>
      <c r="M96" s="4">
        <v>67098.63</v>
      </c>
      <c r="N96" s="4">
        <v>-34679.800000000003</v>
      </c>
      <c r="O96" s="4">
        <f>Tab_12.Dez[[#This Row],[DÉBITO]]-Tab_12.Dez[[#This Row],[CRÉDITO]]</f>
        <v>408.42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A</v>
      </c>
      <c r="E97" s="2">
        <f>IF($I97="","",COUNTIFS(Tab_00.Trial[CONTA],$I97))</f>
        <v>1</v>
      </c>
      <c r="F97" s="4">
        <f>SUMIFS(Tab_11.Nov[SALDO
ATUAL],Tab_11.Nov[CONTA],$I97)</f>
        <v>-543.45000000000005</v>
      </c>
      <c r="G97" s="4">
        <f t="shared" si="3"/>
        <v>0</v>
      </c>
      <c r="H97" s="190">
        <v>20270</v>
      </c>
      <c r="I97" s="3" t="s">
        <v>338</v>
      </c>
      <c r="J97" s="3" t="s">
        <v>339</v>
      </c>
      <c r="K97" s="4">
        <v>-543.45000000000005</v>
      </c>
      <c r="L97" s="4">
        <v>543.45000000000005</v>
      </c>
      <c r="M97" s="4">
        <v>543.45000000000005</v>
      </c>
      <c r="N97" s="4">
        <v>-543.45000000000005</v>
      </c>
      <c r="O97" s="4">
        <f>Tab_12.Dez[[#This Row],[DÉBITO]]-Tab_12.Dez[[#This Row],[CRÉDITO]]</f>
        <v>0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S</v>
      </c>
      <c r="E98" s="2">
        <f>IF($I98="","",COUNTIFS(Tab_00.Trial[CONTA],$I98))</f>
        <v>1</v>
      </c>
      <c r="F98" s="4">
        <f>SUMIFS(Tab_11.Nov[SALDO
ATUAL],Tab_11.Nov[CONTA],$I98)</f>
        <v>-9558.02</v>
      </c>
      <c r="G98" s="4">
        <f t="shared" si="3"/>
        <v>0</v>
      </c>
      <c r="H98" s="190">
        <v>20345</v>
      </c>
      <c r="I98" s="3" t="s">
        <v>563</v>
      </c>
      <c r="J98" s="3" t="s">
        <v>659</v>
      </c>
      <c r="K98" s="4">
        <v>-9558.02</v>
      </c>
      <c r="L98" s="4">
        <v>10498.85</v>
      </c>
      <c r="M98" s="4">
        <v>18364.849999999999</v>
      </c>
      <c r="N98" s="4">
        <v>-17424.02</v>
      </c>
      <c r="O98" s="4">
        <f>Tab_12.Dez[[#This Row],[DÉBITO]]-Tab_12.Dez[[#This Row],[CRÉDITO]]</f>
        <v>-7866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A</v>
      </c>
      <c r="E99" s="2">
        <f>IF($I99="","",COUNTIFS(Tab_00.Trial[CONTA],$I99))</f>
        <v>1</v>
      </c>
      <c r="F99" s="4">
        <f>SUMIFS(Tab_11.Nov[SALDO
ATUAL],Tab_11.Nov[CONTA],$I99)</f>
        <v>-8430.9500000000007</v>
      </c>
      <c r="G99" s="4">
        <f t="shared" si="3"/>
        <v>0</v>
      </c>
      <c r="H99" s="190">
        <v>20360</v>
      </c>
      <c r="I99" s="3" t="s">
        <v>340</v>
      </c>
      <c r="J99" s="3" t="s">
        <v>341</v>
      </c>
      <c r="K99" s="4">
        <v>-8430.9500000000007</v>
      </c>
      <c r="L99" s="4">
        <v>8430.9500000000007</v>
      </c>
      <c r="M99" s="4">
        <v>16384.63</v>
      </c>
      <c r="N99" s="4">
        <v>-16384.63</v>
      </c>
      <c r="O99" s="4">
        <f>Tab_12.Dez[[#This Row],[DÉBITO]]-Tab_12.Dez[[#This Row],[CRÉDITO]]</f>
        <v>-7953.68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A</v>
      </c>
      <c r="E100" s="2">
        <f>IF($I100="","",COUNTIFS(Tab_00.Trial[CONTA],$I100))</f>
        <v>1</v>
      </c>
      <c r="F100" s="4">
        <f>SUMIFS(Tab_11.Nov[SALDO
ATUAL],Tab_11.Nov[CONTA],$I100)</f>
        <v>-1127.07</v>
      </c>
      <c r="G100" s="4">
        <f t="shared" si="3"/>
        <v>0</v>
      </c>
      <c r="H100" s="190">
        <v>20375</v>
      </c>
      <c r="I100" s="3" t="s">
        <v>342</v>
      </c>
      <c r="J100" s="3" t="s">
        <v>343</v>
      </c>
      <c r="K100" s="4">
        <v>-1127.07</v>
      </c>
      <c r="L100" s="4">
        <v>2067.9</v>
      </c>
      <c r="M100" s="4">
        <v>1980.22</v>
      </c>
      <c r="N100" s="4">
        <v>-1039.3900000000001</v>
      </c>
      <c r="O100" s="4">
        <f>Tab_12.Dez[[#This Row],[DÉBITO]]-Tab_12.Dez[[#This Row],[CRÉDITO]]</f>
        <v>87.68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S</v>
      </c>
      <c r="E101" s="2">
        <f>IF($I101="","",COUNTIFS(Tab_00.Trial[CONTA],$I101))</f>
        <v>1</v>
      </c>
      <c r="F101" s="4">
        <f>SUMIFS(Tab_11.Nov[SALDO
ATUAL],Tab_11.Nov[CONTA],$I101)</f>
        <v>-833406.21</v>
      </c>
      <c r="G101" s="4">
        <f t="shared" si="3"/>
        <v>0</v>
      </c>
      <c r="H101" s="190">
        <v>20390</v>
      </c>
      <c r="I101" s="3" t="s">
        <v>218</v>
      </c>
      <c r="J101" s="3" t="s">
        <v>660</v>
      </c>
      <c r="K101" s="4">
        <v>-833406.21</v>
      </c>
      <c r="L101" s="4">
        <v>2143157.9</v>
      </c>
      <c r="M101" s="4">
        <v>1659900.62</v>
      </c>
      <c r="N101" s="4">
        <v>-350148.93</v>
      </c>
      <c r="O101" s="4">
        <f>Tab_12.Dez[[#This Row],[DÉBITO]]-Tab_12.Dez[[#This Row],[CRÉDITO]]</f>
        <v>483257.28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S</v>
      </c>
      <c r="E102" s="2">
        <f>IF($I102="","",COUNTIFS(Tab_00.Trial[CONTA],$I102))</f>
        <v>1</v>
      </c>
      <c r="F102" s="4">
        <f>SUMIFS(Tab_11.Nov[SALDO
ATUAL],Tab_11.Nov[CONTA],$I102)</f>
        <v>-84057.62</v>
      </c>
      <c r="G102" s="4">
        <f t="shared" si="3"/>
        <v>0</v>
      </c>
      <c r="H102" s="190">
        <v>20405</v>
      </c>
      <c r="I102" s="3" t="s">
        <v>219</v>
      </c>
      <c r="J102" s="3" t="s">
        <v>56</v>
      </c>
      <c r="K102" s="4">
        <v>-84057.62</v>
      </c>
      <c r="L102" s="4">
        <v>802808.3</v>
      </c>
      <c r="M102" s="4">
        <v>760693.29</v>
      </c>
      <c r="N102" s="4">
        <v>-41942.61</v>
      </c>
      <c r="O102" s="4">
        <f>Tab_12.Dez[[#This Row],[DÉBITO]]-Tab_12.Dez[[#This Row],[CRÉDITO]]</f>
        <v>42115.01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A</v>
      </c>
      <c r="E103" s="2">
        <f>IF($I103="","",COUNTIFS(Tab_00.Trial[CONTA],$I103))</f>
        <v>1</v>
      </c>
      <c r="F103" s="4">
        <f>SUMIFS(Tab_11.Nov[SALDO
ATUAL],Tab_11.Nov[CONTA],$I103)</f>
        <v>-84057.62</v>
      </c>
      <c r="G103" s="4">
        <f t="shared" si="3"/>
        <v>0</v>
      </c>
      <c r="H103" s="190">
        <v>20420</v>
      </c>
      <c r="I103" s="3" t="s">
        <v>344</v>
      </c>
      <c r="J103" s="3" t="s">
        <v>56</v>
      </c>
      <c r="K103" s="4">
        <v>-84057.62</v>
      </c>
      <c r="L103" s="4">
        <v>802808.3</v>
      </c>
      <c r="M103" s="4">
        <v>760693.29</v>
      </c>
      <c r="N103" s="4">
        <v>-41942.61</v>
      </c>
      <c r="O103" s="4">
        <f>Tab_12.Dez[[#This Row],[DÉBITO]]-Tab_12.Dez[[#This Row],[CRÉDITO]]</f>
        <v>42115.01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S</v>
      </c>
      <c r="E104" s="2">
        <f>IF($I104="","",COUNTIFS(Tab_00.Trial[CONTA],$I104))</f>
        <v>1</v>
      </c>
      <c r="F104" s="4">
        <f>SUMIFS(Tab_11.Nov[SALDO
ATUAL],Tab_11.Nov[CONTA],$I104)</f>
        <v>-749348.59</v>
      </c>
      <c r="G104" s="4">
        <f t="shared" si="3"/>
        <v>0</v>
      </c>
      <c r="H104" s="190">
        <v>20455</v>
      </c>
      <c r="I104" s="3" t="s">
        <v>220</v>
      </c>
      <c r="J104" s="3" t="s">
        <v>346</v>
      </c>
      <c r="K104" s="4">
        <v>-749348.59</v>
      </c>
      <c r="L104" s="4">
        <v>1340349.6000000001</v>
      </c>
      <c r="M104" s="4">
        <v>899207.33</v>
      </c>
      <c r="N104" s="4">
        <v>-308206.32</v>
      </c>
      <c r="O104" s="4">
        <f>Tab_12.Dez[[#This Row],[DÉBITO]]-Tab_12.Dez[[#This Row],[CRÉDITO]]</f>
        <v>441142.27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A</v>
      </c>
      <c r="E105" s="2">
        <f>IF($I105="","",COUNTIFS(Tab_00.Trial[CONTA],$I105))</f>
        <v>1</v>
      </c>
      <c r="F105" s="4">
        <f>SUMIFS(Tab_11.Nov[SALDO
ATUAL],Tab_11.Nov[CONTA],$I105)</f>
        <v>-749348.59</v>
      </c>
      <c r="G105" s="4">
        <f t="shared" si="3"/>
        <v>0</v>
      </c>
      <c r="H105" s="190">
        <v>20460</v>
      </c>
      <c r="I105" s="3" t="s">
        <v>345</v>
      </c>
      <c r="J105" s="3" t="s">
        <v>346</v>
      </c>
      <c r="K105" s="4">
        <v>-749348.59</v>
      </c>
      <c r="L105" s="4">
        <v>1340349.6000000001</v>
      </c>
      <c r="M105" s="4">
        <v>899207.33</v>
      </c>
      <c r="N105" s="4">
        <v>-308206.32</v>
      </c>
      <c r="O105" s="4">
        <f>Tab_12.Dez[[#This Row],[DÉBITO]]-Tab_12.Dez[[#This Row],[CRÉDITO]]</f>
        <v>441142.27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S</v>
      </c>
      <c r="E106" s="2">
        <f>IF($I106="","",COUNTIFS(Tab_00.Trial[CONTA],$I106))</f>
        <v>1</v>
      </c>
      <c r="F106" s="4">
        <f>SUMIFS(Tab_11.Nov[SALDO
ATUAL],Tab_11.Nov[CONTA],$I106)</f>
        <v>-23349.07</v>
      </c>
      <c r="G106" s="4">
        <f t="shared" si="3"/>
        <v>0</v>
      </c>
      <c r="H106" s="190">
        <v>20465</v>
      </c>
      <c r="I106" s="3" t="s">
        <v>221</v>
      </c>
      <c r="J106" s="3" t="s">
        <v>661</v>
      </c>
      <c r="K106" s="4">
        <v>-23349.07</v>
      </c>
      <c r="L106" s="4">
        <v>19822.64</v>
      </c>
      <c r="M106" s="4">
        <v>20436.04</v>
      </c>
      <c r="N106" s="4">
        <v>-23962.47</v>
      </c>
      <c r="O106" s="4">
        <f>Tab_12.Dez[[#This Row],[DÉBITO]]-Tab_12.Dez[[#This Row],[CRÉDITO]]</f>
        <v>-613.4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S</v>
      </c>
      <c r="E107" s="2">
        <f>IF($I107="","",COUNTIFS(Tab_00.Trial[CONTA],$I107))</f>
        <v>1</v>
      </c>
      <c r="F107" s="4">
        <f>SUMIFS(Tab_11.Nov[SALDO
ATUAL],Tab_11.Nov[CONTA],$I107)</f>
        <v>-23349.07</v>
      </c>
      <c r="G107" s="4">
        <f t="shared" si="3"/>
        <v>0</v>
      </c>
      <c r="H107" s="190">
        <v>20480</v>
      </c>
      <c r="I107" s="3" t="s">
        <v>222</v>
      </c>
      <c r="J107" s="3" t="s">
        <v>662</v>
      </c>
      <c r="K107" s="4">
        <v>-23349.07</v>
      </c>
      <c r="L107" s="4">
        <v>19557.02</v>
      </c>
      <c r="M107" s="4">
        <v>20170.419999999998</v>
      </c>
      <c r="N107" s="4">
        <v>-23962.47</v>
      </c>
      <c r="O107" s="4">
        <f>Tab_12.Dez[[#This Row],[DÉBITO]]-Tab_12.Dez[[#This Row],[CRÉDITO]]</f>
        <v>-613.4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A</v>
      </c>
      <c r="E108" s="2">
        <f>IF($I108="","",COUNTIFS(Tab_00.Trial[CONTA],$I108))</f>
        <v>1</v>
      </c>
      <c r="F108" s="4">
        <f>SUMIFS(Tab_11.Nov[SALDO
ATUAL],Tab_11.Nov[CONTA],$I108)</f>
        <v>-2182.15</v>
      </c>
      <c r="G108" s="4">
        <f t="shared" si="3"/>
        <v>0</v>
      </c>
      <c r="H108" s="190">
        <v>20495</v>
      </c>
      <c r="I108" s="3" t="s">
        <v>191</v>
      </c>
      <c r="J108" s="3" t="s">
        <v>347</v>
      </c>
      <c r="K108" s="4">
        <v>-2182.15</v>
      </c>
      <c r="L108" s="4">
        <v>1348.14</v>
      </c>
      <c r="M108" s="4">
        <v>1012.27</v>
      </c>
      <c r="N108" s="4">
        <v>-1846.28</v>
      </c>
      <c r="O108" s="4">
        <f>Tab_12.Dez[[#This Row],[DÉBITO]]-Tab_12.Dez[[#This Row],[CRÉDITO]]</f>
        <v>335.87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A</v>
      </c>
      <c r="E109" s="2">
        <f>IF($I109="","",COUNTIFS(Tab_00.Trial[CONTA],$I109))</f>
        <v>1</v>
      </c>
      <c r="F109" s="4">
        <f>SUMIFS(Tab_11.Nov[SALDO
ATUAL],Tab_11.Nov[CONTA],$I109)</f>
        <v>-14692.56</v>
      </c>
      <c r="G109" s="4">
        <f t="shared" si="3"/>
        <v>0</v>
      </c>
      <c r="H109" s="190">
        <v>20510</v>
      </c>
      <c r="I109" s="3" t="s">
        <v>192</v>
      </c>
      <c r="J109" s="3" t="s">
        <v>348</v>
      </c>
      <c r="K109" s="4">
        <v>-14692.56</v>
      </c>
      <c r="L109" s="4">
        <v>14692.56</v>
      </c>
      <c r="M109" s="4">
        <v>15708.71</v>
      </c>
      <c r="N109" s="4">
        <v>-15708.71</v>
      </c>
      <c r="O109" s="4">
        <f>Tab_12.Dez[[#This Row],[DÉBITO]]-Tab_12.Dez[[#This Row],[CRÉDITO]]</f>
        <v>-1016.15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A</v>
      </c>
      <c r="E110" s="2">
        <f>IF($I110="","",COUNTIFS(Tab_00.Trial[CONTA],$I110))</f>
        <v>1</v>
      </c>
      <c r="F110" s="4">
        <f>SUMIFS(Tab_11.Nov[SALDO
ATUAL],Tab_11.Nov[CONTA],$I110)</f>
        <v>-6463.08</v>
      </c>
      <c r="G110" s="4">
        <f t="shared" si="3"/>
        <v>0</v>
      </c>
      <c r="H110" s="190">
        <v>20525</v>
      </c>
      <c r="I110" s="3" t="s">
        <v>350</v>
      </c>
      <c r="J110" s="3" t="s">
        <v>351</v>
      </c>
      <c r="K110" s="4">
        <v>-6463.08</v>
      </c>
      <c r="L110" s="4">
        <v>3505.04</v>
      </c>
      <c r="M110" s="4">
        <v>3437.73</v>
      </c>
      <c r="N110" s="4">
        <v>-6395.77</v>
      </c>
      <c r="O110" s="4">
        <f>Tab_12.Dez[[#This Row],[DÉBITO]]-Tab_12.Dez[[#This Row],[CRÉDITO]]</f>
        <v>67.31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A</v>
      </c>
      <c r="E111" s="2">
        <f>IF($I111="","",COUNTIFS(Tab_00.Trial[CONTA],$I111))</f>
        <v>1</v>
      </c>
      <c r="F111" s="4">
        <f>SUMIFS(Tab_11.Nov[SALDO
ATUAL],Tab_11.Nov[CONTA],$I111)</f>
        <v>-11.28</v>
      </c>
      <c r="G111" s="4">
        <f t="shared" si="3"/>
        <v>0</v>
      </c>
      <c r="H111" s="190">
        <v>20540</v>
      </c>
      <c r="I111" s="3" t="s">
        <v>352</v>
      </c>
      <c r="J111" s="3" t="s">
        <v>353</v>
      </c>
      <c r="K111" s="4">
        <v>-11.28</v>
      </c>
      <c r="L111" s="4">
        <v>11.28</v>
      </c>
      <c r="M111" s="4">
        <v>11.71</v>
      </c>
      <c r="N111" s="4">
        <v>-11.71</v>
      </c>
      <c r="O111" s="4">
        <f>Tab_12.Dez[[#This Row],[DÉBITO]]-Tab_12.Dez[[#This Row],[CRÉDITO]]</f>
        <v>-0.43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S</v>
      </c>
      <c r="E112" s="2">
        <f>IF($I112="","",COUNTIFS(Tab_00.Trial[CONTA],$I112))</f>
        <v>1</v>
      </c>
      <c r="F112" s="4">
        <f>SUMIFS(Tab_11.Nov[SALDO
ATUAL],Tab_11.Nov[CONTA],$I112)</f>
        <v>0</v>
      </c>
      <c r="G112" s="4">
        <f t="shared" si="3"/>
        <v>0</v>
      </c>
      <c r="H112" s="190">
        <v>20565</v>
      </c>
      <c r="I112" s="3" t="s">
        <v>223</v>
      </c>
      <c r="J112" s="3" t="s">
        <v>663</v>
      </c>
      <c r="K112" s="4">
        <v>0</v>
      </c>
      <c r="L112" s="4">
        <v>265.62</v>
      </c>
      <c r="M112" s="4">
        <v>265.62</v>
      </c>
      <c r="N112" s="4">
        <v>0</v>
      </c>
      <c r="O112" s="4">
        <f>Tab_12.Dez[[#This Row],[DÉBITO]]-Tab_12.Dez[[#This Row],[CRÉDITO]]</f>
        <v>0</v>
      </c>
    </row>
    <row r="113" spans="2:15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A</v>
      </c>
      <c r="E113" s="2">
        <f>IF($I113="","",COUNTIFS(Tab_00.Trial[CONTA],$I113))</f>
        <v>1</v>
      </c>
      <c r="F113" s="4">
        <f>SUMIFS(Tab_11.Nov[SALDO
ATUAL],Tab_11.Nov[CONTA],$I113)</f>
        <v>0</v>
      </c>
      <c r="G113" s="4">
        <f t="shared" si="3"/>
        <v>0</v>
      </c>
      <c r="H113" s="190">
        <v>20576</v>
      </c>
      <c r="I113" s="3" t="s">
        <v>354</v>
      </c>
      <c r="J113" s="3" t="s">
        <v>355</v>
      </c>
      <c r="K113" s="4">
        <v>0</v>
      </c>
      <c r="L113" s="4">
        <v>265.62</v>
      </c>
      <c r="M113" s="4">
        <v>265.62</v>
      </c>
      <c r="N113" s="4">
        <v>0</v>
      </c>
      <c r="O113" s="4">
        <f>Tab_12.Dez[[#This Row],[DÉBITO]]-Tab_12.Dez[[#This Row],[CRÉDITO]]</f>
        <v>0</v>
      </c>
    </row>
    <row r="114" spans="2:15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5</v>
      </c>
      <c r="D114" s="2" t="str">
        <f>_xlfn.XLOOKUP($I114,Tab_00.Trial[CONTA],Tab_00.Trial[S/A],"",0,1)</f>
        <v>S</v>
      </c>
      <c r="E114" s="2">
        <f>IF($I114="","",COUNTIFS(Tab_00.Trial[CONTA],$I114))</f>
        <v>1</v>
      </c>
      <c r="F114" s="4">
        <f>SUMIFS(Tab_11.Nov[SALDO
ATUAL],Tab_11.Nov[CONTA],$I114)</f>
        <v>-23073.63</v>
      </c>
      <c r="G114" s="4">
        <f t="shared" si="3"/>
        <v>0</v>
      </c>
      <c r="H114" s="190">
        <v>20690</v>
      </c>
      <c r="I114" s="3" t="s">
        <v>224</v>
      </c>
      <c r="J114" s="3" t="s">
        <v>664</v>
      </c>
      <c r="K114" s="4">
        <v>-23073.63</v>
      </c>
      <c r="L114" s="4">
        <v>20490.79</v>
      </c>
      <c r="M114" s="4">
        <v>616.1</v>
      </c>
      <c r="N114" s="4">
        <v>-3198.94</v>
      </c>
      <c r="O114" s="4">
        <f>Tab_12.Dez[[#This Row],[DÉBITO]]-Tab_12.Dez[[#This Row],[CRÉDITO]]</f>
        <v>19874.689999999999</v>
      </c>
    </row>
    <row r="115" spans="2:15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5</v>
      </c>
      <c r="D115" s="2" t="str">
        <f>_xlfn.XLOOKUP($I115,Tab_00.Trial[CONTA],Tab_00.Trial[S/A],"",0,1)</f>
        <v>S</v>
      </c>
      <c r="E115" s="2">
        <f>IF($I115="","",COUNTIFS(Tab_00.Trial[CONTA],$I115))</f>
        <v>1</v>
      </c>
      <c r="F115" s="4">
        <f>SUMIFS(Tab_11.Nov[SALDO
ATUAL],Tab_11.Nov[CONTA],$I115)</f>
        <v>-23073.63</v>
      </c>
      <c r="G115" s="4">
        <f t="shared" si="3"/>
        <v>0</v>
      </c>
      <c r="H115" s="190">
        <v>20705</v>
      </c>
      <c r="I115" s="3" t="s">
        <v>225</v>
      </c>
      <c r="J115" s="3" t="s">
        <v>665</v>
      </c>
      <c r="K115" s="4">
        <v>-23073.63</v>
      </c>
      <c r="L115" s="4">
        <v>20490.79</v>
      </c>
      <c r="M115" s="4">
        <v>616.1</v>
      </c>
      <c r="N115" s="4">
        <v>-3198.94</v>
      </c>
      <c r="O115" s="4">
        <f>Tab_12.Dez[[#This Row],[DÉBITO]]-Tab_12.Dez[[#This Row],[CRÉDITO]]</f>
        <v>19874.689999999999</v>
      </c>
    </row>
    <row r="116" spans="2:15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5</v>
      </c>
      <c r="D116" s="2" t="str">
        <f>_xlfn.XLOOKUP($I116,Tab_00.Trial[CONTA],Tab_00.Trial[S/A],"",0,1)</f>
        <v>A</v>
      </c>
      <c r="E116" s="2">
        <f>IF($I116="","",COUNTIFS(Tab_00.Trial[CONTA],$I116))</f>
        <v>1</v>
      </c>
      <c r="F116" s="4">
        <f>SUMIFS(Tab_11.Nov[SALDO
ATUAL],Tab_11.Nov[CONTA],$I116)</f>
        <v>-23073.63</v>
      </c>
      <c r="G116" s="4">
        <f t="shared" si="3"/>
        <v>0</v>
      </c>
      <c r="H116" s="190">
        <v>20750</v>
      </c>
      <c r="I116" s="3" t="s">
        <v>356</v>
      </c>
      <c r="J116" s="3" t="s">
        <v>357</v>
      </c>
      <c r="K116" s="4">
        <v>-23073.63</v>
      </c>
      <c r="L116" s="4">
        <v>20490.79</v>
      </c>
      <c r="M116" s="4">
        <v>616.1</v>
      </c>
      <c r="N116" s="4">
        <v>-3198.94</v>
      </c>
      <c r="O116" s="4">
        <f>Tab_12.Dez[[#This Row],[DÉBITO]]-Tab_12.Dez[[#This Row],[CRÉDITO]]</f>
        <v>19874.689999999999</v>
      </c>
    </row>
    <row r="117" spans="2:15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5</v>
      </c>
      <c r="D117" s="2" t="str">
        <f>_xlfn.XLOOKUP($I117,Tab_00.Trial[CONTA],Tab_00.Trial[S/A],"",0,1)</f>
        <v>S</v>
      </c>
      <c r="E117" s="2">
        <f>IF($I117="","",COUNTIFS(Tab_00.Trial[CONTA],$I117))</f>
        <v>1</v>
      </c>
      <c r="F117" s="4">
        <f>SUMIFS(Tab_11.Nov[SALDO
ATUAL],Tab_11.Nov[CONTA],$I117)</f>
        <v>-3849.2</v>
      </c>
      <c r="G117" s="4">
        <f t="shared" si="3"/>
        <v>0</v>
      </c>
      <c r="H117" s="190">
        <v>20765</v>
      </c>
      <c r="I117" s="3" t="s">
        <v>564</v>
      </c>
      <c r="J117" s="3" t="s">
        <v>666</v>
      </c>
      <c r="K117" s="4">
        <v>-3849.2</v>
      </c>
      <c r="L117" s="4">
        <v>0</v>
      </c>
      <c r="M117" s="4">
        <v>0</v>
      </c>
      <c r="N117" s="4">
        <v>-3849.2</v>
      </c>
      <c r="O117" s="4">
        <f>Tab_12.Dez[[#This Row],[DÉBITO]]-Tab_12.Dez[[#This Row],[CRÉDITO]]</f>
        <v>0</v>
      </c>
    </row>
    <row r="118" spans="2:15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5</v>
      </c>
      <c r="D118" s="2" t="str">
        <f>_xlfn.XLOOKUP($I118,Tab_00.Trial[CONTA],Tab_00.Trial[S/A],"",0,1)</f>
        <v>S</v>
      </c>
      <c r="E118" s="2">
        <f>IF($I118="","",COUNTIFS(Tab_00.Trial[CONTA],$I118))</f>
        <v>1</v>
      </c>
      <c r="F118" s="4">
        <f>SUMIFS(Tab_11.Nov[SALDO
ATUAL],Tab_11.Nov[CONTA],$I118)</f>
        <v>-3849.2</v>
      </c>
      <c r="G118" s="4">
        <f t="shared" si="3"/>
        <v>0</v>
      </c>
      <c r="H118" s="190">
        <v>20780</v>
      </c>
      <c r="I118" s="3" t="s">
        <v>565</v>
      </c>
      <c r="J118" s="3" t="s">
        <v>667</v>
      </c>
      <c r="K118" s="4">
        <v>-3849.2</v>
      </c>
      <c r="L118" s="4">
        <v>0</v>
      </c>
      <c r="M118" s="4">
        <v>0</v>
      </c>
      <c r="N118" s="4">
        <v>-3849.2</v>
      </c>
      <c r="O118" s="4">
        <f>Tab_12.Dez[[#This Row],[DÉBITO]]-Tab_12.Dez[[#This Row],[CRÉDITO]]</f>
        <v>0</v>
      </c>
    </row>
    <row r="119" spans="2:15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5</v>
      </c>
      <c r="D119" s="2" t="str">
        <f>_xlfn.XLOOKUP($I119,Tab_00.Trial[CONTA],Tab_00.Trial[S/A],"",0,1)</f>
        <v>A</v>
      </c>
      <c r="E119" s="2">
        <f>IF($I119="","",COUNTIFS(Tab_00.Trial[CONTA],$I119))</f>
        <v>1</v>
      </c>
      <c r="F119" s="4">
        <f>SUMIFS(Tab_11.Nov[SALDO
ATUAL],Tab_11.Nov[CONTA],$I119)</f>
        <v>-3849.2</v>
      </c>
      <c r="G119" s="4">
        <f t="shared" si="3"/>
        <v>0</v>
      </c>
      <c r="H119" s="190">
        <v>20790</v>
      </c>
      <c r="I119" s="3" t="s">
        <v>358</v>
      </c>
      <c r="J119" s="3" t="s">
        <v>359</v>
      </c>
      <c r="K119" s="4">
        <v>-3849.2</v>
      </c>
      <c r="L119" s="4">
        <v>0</v>
      </c>
      <c r="M119" s="4">
        <v>0</v>
      </c>
      <c r="N119" s="4">
        <v>-3849.2</v>
      </c>
      <c r="O119" s="4">
        <f>Tab_12.Dez[[#This Row],[DÉBITO]]-Tab_12.Dez[[#This Row],[CRÉDITO]]</f>
        <v>0</v>
      </c>
    </row>
    <row r="120" spans="2:15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2</v>
      </c>
      <c r="D120" s="2" t="str">
        <f>_xlfn.XLOOKUP($I120,Tab_00.Trial[CONTA],Tab_00.Trial[S/A],"",0,1)</f>
        <v>S</v>
      </c>
      <c r="E120" s="2">
        <f>IF($I120="","",COUNTIFS(Tab_00.Trial[CONTA],$I120))</f>
        <v>1</v>
      </c>
      <c r="F120" s="4">
        <f>SUMIFS(Tab_11.Nov[SALDO
ATUAL],Tab_11.Nov[CONTA],$I120)</f>
        <v>-46934.04</v>
      </c>
      <c r="G120" s="4">
        <f t="shared" si="3"/>
        <v>0</v>
      </c>
      <c r="H120" s="190">
        <v>20885</v>
      </c>
      <c r="I120" s="3" t="s">
        <v>226</v>
      </c>
      <c r="J120" s="3" t="s">
        <v>76</v>
      </c>
      <c r="K120" s="4">
        <v>-46934.04</v>
      </c>
      <c r="L120" s="4">
        <v>46934.04</v>
      </c>
      <c r="M120" s="4">
        <v>0</v>
      </c>
      <c r="N120" s="4">
        <v>0</v>
      </c>
      <c r="O120" s="4">
        <f>Tab_12.Dez[[#This Row],[DÉBITO]]-Tab_12.Dez[[#This Row],[CRÉDITO]]</f>
        <v>46934.04</v>
      </c>
    </row>
    <row r="121" spans="2:15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5</v>
      </c>
      <c r="D121" s="2" t="str">
        <f>_xlfn.XLOOKUP($I121,Tab_00.Trial[CONTA],Tab_00.Trial[S/A],"",0,1)</f>
        <v>S</v>
      </c>
      <c r="E121" s="2">
        <f>IF($I121="","",COUNTIFS(Tab_00.Trial[CONTA],$I121))</f>
        <v>1</v>
      </c>
      <c r="F121" s="4">
        <f>SUMIFS(Tab_11.Nov[SALDO
ATUAL],Tab_11.Nov[CONTA],$I121)</f>
        <v>-46934.04</v>
      </c>
      <c r="G121" s="4">
        <f t="shared" si="3"/>
        <v>0</v>
      </c>
      <c r="H121" s="190">
        <v>21110</v>
      </c>
      <c r="I121" s="3" t="s">
        <v>566</v>
      </c>
      <c r="J121" s="3" t="s">
        <v>668</v>
      </c>
      <c r="K121" s="4">
        <v>-46934.04</v>
      </c>
      <c r="L121" s="4">
        <v>46934.04</v>
      </c>
      <c r="M121" s="4">
        <v>0</v>
      </c>
      <c r="N121" s="4">
        <v>0</v>
      </c>
      <c r="O121" s="4">
        <f>Tab_12.Dez[[#This Row],[DÉBITO]]-Tab_12.Dez[[#This Row],[CRÉDITO]]</f>
        <v>46934.04</v>
      </c>
    </row>
    <row r="122" spans="2:15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5</v>
      </c>
      <c r="D122" s="2" t="str">
        <f>_xlfn.XLOOKUP($I122,Tab_00.Trial[CONTA],Tab_00.Trial[S/A],"",0,1)</f>
        <v>S</v>
      </c>
      <c r="E122" s="2">
        <f>IF($I122="","",COUNTIFS(Tab_00.Trial[CONTA],$I122))</f>
        <v>1</v>
      </c>
      <c r="F122" s="4">
        <f>SUMIFS(Tab_11.Nov[SALDO
ATUAL],Tab_11.Nov[CONTA],$I122)</f>
        <v>-46934.04</v>
      </c>
      <c r="G122" s="4">
        <f t="shared" si="3"/>
        <v>0</v>
      </c>
      <c r="H122" s="190">
        <v>21125</v>
      </c>
      <c r="I122" s="3" t="s">
        <v>567</v>
      </c>
      <c r="J122" s="3" t="s">
        <v>669</v>
      </c>
      <c r="K122" s="4">
        <v>-46934.04</v>
      </c>
      <c r="L122" s="4">
        <v>46934.04</v>
      </c>
      <c r="M122" s="4">
        <v>0</v>
      </c>
      <c r="N122" s="4">
        <v>0</v>
      </c>
      <c r="O122" s="4">
        <f>Tab_12.Dez[[#This Row],[DÉBITO]]-Tab_12.Dez[[#This Row],[CRÉDITO]]</f>
        <v>46934.04</v>
      </c>
    </row>
    <row r="123" spans="2:15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A</v>
      </c>
      <c r="E123" s="2">
        <f>IF($I123="","",COUNTIFS(Tab_00.Trial[CONTA],$I123))</f>
        <v>1</v>
      </c>
      <c r="F123" s="4">
        <f>SUMIFS(Tab_11.Nov[SALDO
ATUAL],Tab_11.Nov[CONTA],$I123)</f>
        <v>-31934.04</v>
      </c>
      <c r="G123" s="4">
        <f t="shared" si="3"/>
        <v>0</v>
      </c>
      <c r="H123" s="190">
        <v>21170</v>
      </c>
      <c r="I123" s="3" t="s">
        <v>360</v>
      </c>
      <c r="J123" s="3" t="s">
        <v>361</v>
      </c>
      <c r="K123" s="4">
        <v>-31934.04</v>
      </c>
      <c r="L123" s="4">
        <v>31934.04</v>
      </c>
      <c r="M123" s="4">
        <v>0</v>
      </c>
      <c r="N123" s="4">
        <v>0</v>
      </c>
      <c r="O123" s="4">
        <f>Tab_12.Dez[[#This Row],[DÉBITO]]-Tab_12.Dez[[#This Row],[CRÉDITO]]</f>
        <v>31934.04</v>
      </c>
    </row>
    <row r="124" spans="2:15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5</v>
      </c>
      <c r="D124" s="2" t="str">
        <f>_xlfn.XLOOKUP($I124,Tab_00.Trial[CONTA],Tab_00.Trial[S/A],"",0,1)</f>
        <v>A</v>
      </c>
      <c r="E124" s="2">
        <f>IF($I124="","",COUNTIFS(Tab_00.Trial[CONTA],$I124))</f>
        <v>1</v>
      </c>
      <c r="F124" s="4">
        <f>SUMIFS(Tab_11.Nov[SALDO
ATUAL],Tab_11.Nov[CONTA],$I124)</f>
        <v>-15000</v>
      </c>
      <c r="G124" s="4">
        <f t="shared" si="3"/>
        <v>0</v>
      </c>
      <c r="H124" s="190">
        <v>21185</v>
      </c>
      <c r="I124" s="3" t="s">
        <v>362</v>
      </c>
      <c r="J124" s="3" t="s">
        <v>363</v>
      </c>
      <c r="K124" s="4">
        <v>-15000</v>
      </c>
      <c r="L124" s="4">
        <v>15000</v>
      </c>
      <c r="M124" s="4">
        <v>0</v>
      </c>
      <c r="N124" s="4">
        <v>0</v>
      </c>
      <c r="O124" s="4">
        <f>Tab_12.Dez[[#This Row],[DÉBITO]]-Tab_12.Dez[[#This Row],[CRÉDITO]]</f>
        <v>15000</v>
      </c>
    </row>
    <row r="125" spans="2:15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2</v>
      </c>
      <c r="D125" s="2" t="str">
        <f>_xlfn.XLOOKUP($I125,Tab_00.Trial[CONTA],Tab_00.Trial[S/A],"",0,1)</f>
        <v>S</v>
      </c>
      <c r="E125" s="2">
        <f>IF($I125="","",COUNTIFS(Tab_00.Trial[CONTA],$I125))</f>
        <v>1</v>
      </c>
      <c r="F125" s="4">
        <f>SUMIFS(Tab_11.Nov[SALDO
ATUAL],Tab_11.Nov[CONTA],$I125)</f>
        <v>-82087967.730000004</v>
      </c>
      <c r="G125" s="4">
        <f t="shared" si="3"/>
        <v>0</v>
      </c>
      <c r="H125" s="190">
        <v>21200</v>
      </c>
      <c r="I125" s="3" t="s">
        <v>228</v>
      </c>
      <c r="J125" s="3" t="s">
        <v>670</v>
      </c>
      <c r="K125" s="4">
        <v>-82087967.730000004</v>
      </c>
      <c r="L125" s="4">
        <v>178121.31</v>
      </c>
      <c r="M125" s="4">
        <v>1215952.55</v>
      </c>
      <c r="N125" s="4">
        <v>-83125798.969999999</v>
      </c>
      <c r="O125" s="4">
        <f>Tab_12.Dez[[#This Row],[DÉBITO]]-Tab_12.Dez[[#This Row],[CRÉDITO]]</f>
        <v>-1037831.24</v>
      </c>
    </row>
    <row r="126" spans="2:15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S</v>
      </c>
      <c r="E126" s="2">
        <f>IF($I126="","",COUNTIFS(Tab_00.Trial[CONTA],$I126))</f>
        <v>1</v>
      </c>
      <c r="F126" s="4">
        <f>SUMIFS(Tab_11.Nov[SALDO
ATUAL],Tab_11.Nov[CONTA],$I126)</f>
        <v>-82087967.730000004</v>
      </c>
      <c r="G126" s="4">
        <f t="shared" si="3"/>
        <v>0</v>
      </c>
      <c r="H126" s="190">
        <v>21215</v>
      </c>
      <c r="I126" s="3" t="s">
        <v>229</v>
      </c>
      <c r="J126" s="3" t="s">
        <v>670</v>
      </c>
      <c r="K126" s="4">
        <v>-82087967.730000004</v>
      </c>
      <c r="L126" s="4">
        <v>178121.31</v>
      </c>
      <c r="M126" s="4">
        <v>1215952.55</v>
      </c>
      <c r="N126" s="4">
        <v>-83125798.969999999</v>
      </c>
      <c r="O126" s="4">
        <f>Tab_12.Dez[[#This Row],[DÉBITO]]-Tab_12.Dez[[#This Row],[CRÉDITO]]</f>
        <v>-1037831.24</v>
      </c>
    </row>
    <row r="127" spans="2:15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S</v>
      </c>
      <c r="E127" s="2">
        <f>IF($I127="","",COUNTIFS(Tab_00.Trial[CONTA],$I127))</f>
        <v>1</v>
      </c>
      <c r="F127" s="4">
        <f>SUMIFS(Tab_11.Nov[SALDO
ATUAL],Tab_11.Nov[CONTA],$I127)</f>
        <v>-104784619.59999999</v>
      </c>
      <c r="G127" s="4">
        <f t="shared" si="3"/>
        <v>0</v>
      </c>
      <c r="H127" s="190">
        <v>21230</v>
      </c>
      <c r="I127" s="3" t="s">
        <v>230</v>
      </c>
      <c r="J127" s="3" t="s">
        <v>364</v>
      </c>
      <c r="K127" s="4">
        <v>-104784619.59999999</v>
      </c>
      <c r="L127" s="4">
        <v>0</v>
      </c>
      <c r="M127" s="4">
        <v>0</v>
      </c>
      <c r="N127" s="4">
        <v>-104784619.59999999</v>
      </c>
      <c r="O127" s="4">
        <f>Tab_12.Dez[[#This Row],[DÉBITO]]-Tab_12.Dez[[#This Row],[CRÉDITO]]</f>
        <v>0</v>
      </c>
    </row>
    <row r="128" spans="2:15" x14ac:dyDescent="0.3">
      <c r="B128" s="2" t="str">
        <f>_xlfn.XLOOKUP($I128,Tab_00.Trial[CONTA],Tab_00.Trial[TP],"",0,1)</f>
        <v>P</v>
      </c>
      <c r="C128" s="2">
        <f>_xlfn.XLOOKUP($I128,Tab_00.Trial[CONTA],Tab_00.Trial[NV],"",0,1)</f>
        <v>5</v>
      </c>
      <c r="D128" s="2" t="str">
        <f>_xlfn.XLOOKUP($I128,Tab_00.Trial[CONTA],Tab_00.Trial[S/A],"",0,1)</f>
        <v>A</v>
      </c>
      <c r="E128" s="2">
        <f>IF($I128="","",COUNTIFS(Tab_00.Trial[CONTA],$I128))</f>
        <v>1</v>
      </c>
      <c r="F128" s="4">
        <f>SUMIFS(Tab_11.Nov[SALDO
ATUAL],Tab_11.Nov[CONTA],$I128)</f>
        <v>-104784619.59999999</v>
      </c>
      <c r="G128" s="4">
        <f t="shared" si="3"/>
        <v>0</v>
      </c>
      <c r="H128" s="190">
        <v>21245</v>
      </c>
      <c r="I128" s="3" t="s">
        <v>193</v>
      </c>
      <c r="J128" s="3" t="s">
        <v>364</v>
      </c>
      <c r="K128" s="4">
        <v>-104784619.59999999</v>
      </c>
      <c r="L128" s="4">
        <v>0</v>
      </c>
      <c r="M128" s="4">
        <v>0</v>
      </c>
      <c r="N128" s="4">
        <v>-104784619.59999999</v>
      </c>
      <c r="O128" s="4">
        <f>Tab_12.Dez[[#This Row],[DÉBITO]]-Tab_12.Dez[[#This Row],[CRÉDITO]]</f>
        <v>0</v>
      </c>
    </row>
    <row r="129" spans="2:19" x14ac:dyDescent="0.3">
      <c r="B129" s="2" t="str">
        <f>_xlfn.XLOOKUP($I129,Tab_00.Trial[CONTA],Tab_00.Trial[TP],"",0,1)</f>
        <v>P</v>
      </c>
      <c r="C129" s="2">
        <f>_xlfn.XLOOKUP($I129,Tab_00.Trial[CONTA],Tab_00.Trial[NV],"",0,1)</f>
        <v>5</v>
      </c>
      <c r="D129" s="2" t="str">
        <f>_xlfn.XLOOKUP($I129,Tab_00.Trial[CONTA],Tab_00.Trial[S/A],"",0,1)</f>
        <v>S</v>
      </c>
      <c r="E129" s="2">
        <f>IF($I129="","",COUNTIFS(Tab_00.Trial[CONTA],$I129))</f>
        <v>1</v>
      </c>
      <c r="F129" s="4">
        <f>SUMIFS(Tab_11.Nov[SALDO
ATUAL],Tab_11.Nov[CONTA],$I129)</f>
        <v>32587250.850000001</v>
      </c>
      <c r="G129" s="4">
        <f t="shared" si="3"/>
        <v>0</v>
      </c>
      <c r="H129" s="190">
        <v>21305</v>
      </c>
      <c r="I129" s="3" t="s">
        <v>568</v>
      </c>
      <c r="J129" s="3" t="s">
        <v>671</v>
      </c>
      <c r="K129" s="4">
        <v>32587250.850000001</v>
      </c>
      <c r="L129" s="4">
        <v>0</v>
      </c>
      <c r="M129" s="4">
        <v>0</v>
      </c>
      <c r="N129" s="4">
        <v>32587250.850000001</v>
      </c>
      <c r="O129" s="4">
        <f>Tab_12.Dez[[#This Row],[DÉBITO]]-Tab_12.Dez[[#This Row],[CRÉDITO]]</f>
        <v>0</v>
      </c>
    </row>
    <row r="130" spans="2:19" x14ac:dyDescent="0.3">
      <c r="B130" s="2" t="str">
        <f>_xlfn.XLOOKUP($I130,Tab_00.Trial[CONTA],Tab_00.Trial[TP],"",0,1)</f>
        <v>P</v>
      </c>
      <c r="C130" s="2">
        <f>_xlfn.XLOOKUP($I130,Tab_00.Trial[CONTA],Tab_00.Trial[NV],"",0,1)</f>
        <v>5</v>
      </c>
      <c r="D130" s="2" t="str">
        <f>_xlfn.XLOOKUP($I130,Tab_00.Trial[CONTA],Tab_00.Trial[S/A],"",0,1)</f>
        <v>A</v>
      </c>
      <c r="E130" s="2">
        <f>IF($I130="","",COUNTIFS(Tab_00.Trial[CONTA],$I130))</f>
        <v>1</v>
      </c>
      <c r="F130" s="4">
        <f>SUMIFS(Tab_11.Nov[SALDO
ATUAL],Tab_11.Nov[CONTA],$I130)</f>
        <v>-827719.82</v>
      </c>
      <c r="G130" s="4">
        <f t="shared" si="3"/>
        <v>0</v>
      </c>
      <c r="H130" s="190">
        <v>21320</v>
      </c>
      <c r="I130" s="3" t="s">
        <v>743</v>
      </c>
      <c r="J130" s="3" t="s">
        <v>744</v>
      </c>
      <c r="K130" s="4">
        <v>-827719.82</v>
      </c>
      <c r="L130" s="4">
        <v>0</v>
      </c>
      <c r="M130" s="4">
        <v>0</v>
      </c>
      <c r="N130" s="4">
        <v>-827719.82</v>
      </c>
      <c r="O130" s="4">
        <f>Tab_12.Dez[[#This Row],[DÉBITO]]-Tab_12.Dez[[#This Row],[CRÉDITO]]</f>
        <v>0</v>
      </c>
    </row>
    <row r="131" spans="2:19" x14ac:dyDescent="0.3">
      <c r="B131" s="2" t="str">
        <f>_xlfn.XLOOKUP($I131,Tab_00.Trial[CONTA],Tab_00.Trial[TP],"",0,1)</f>
        <v>P</v>
      </c>
      <c r="C131" s="2">
        <f>_xlfn.XLOOKUP($I131,Tab_00.Trial[CONTA],Tab_00.Trial[NV],"",0,1)</f>
        <v>5</v>
      </c>
      <c r="D131" s="2" t="str">
        <f>_xlfn.XLOOKUP($I131,Tab_00.Trial[CONTA],Tab_00.Trial[S/A],"",0,1)</f>
        <v>A</v>
      </c>
      <c r="E131" s="2">
        <f>IF($I131="","",COUNTIFS(Tab_00.Trial[CONTA],$I131))</f>
        <v>1</v>
      </c>
      <c r="F131" s="4">
        <f>SUMIFS(Tab_11.Nov[SALDO
ATUAL],Tab_11.Nov[CONTA],$I131)</f>
        <v>33414970.670000002</v>
      </c>
      <c r="G131" s="4">
        <f t="shared" si="3"/>
        <v>0</v>
      </c>
      <c r="H131" s="190">
        <v>21335</v>
      </c>
      <c r="I131" s="3" t="s">
        <v>365</v>
      </c>
      <c r="J131" s="3" t="s">
        <v>366</v>
      </c>
      <c r="K131" s="4">
        <v>33414970.670000002</v>
      </c>
      <c r="L131" s="4">
        <v>0</v>
      </c>
      <c r="M131" s="4">
        <v>0</v>
      </c>
      <c r="N131" s="4">
        <v>33414970.670000002</v>
      </c>
      <c r="O131" s="4">
        <f>Tab_12.Dez[[#This Row],[DÉBITO]]-Tab_12.Dez[[#This Row],[CRÉDITO]]</f>
        <v>0</v>
      </c>
    </row>
    <row r="132" spans="2:19" x14ac:dyDescent="0.3">
      <c r="B132" s="2" t="str">
        <f>_xlfn.XLOOKUP($I132,Tab_00.Trial[CONTA],Tab_00.Trial[TP],"",0,1)</f>
        <v>P</v>
      </c>
      <c r="C132" s="2">
        <f>_xlfn.XLOOKUP($I132,Tab_00.Trial[CONTA],Tab_00.Trial[NV],"",0,1)</f>
        <v>5</v>
      </c>
      <c r="D132" s="2" t="str">
        <f>_xlfn.XLOOKUP($I132,Tab_00.Trial[CONTA],Tab_00.Trial[S/A],"",0,1)</f>
        <v>S</v>
      </c>
      <c r="E132" s="2">
        <f>IF($I132="","",COUNTIFS(Tab_00.Trial[CONTA],$I132))</f>
        <v>1</v>
      </c>
      <c r="F132" s="4">
        <f>SUMIFS(Tab_11.Nov[SALDO
ATUAL],Tab_11.Nov[CONTA],$I132)</f>
        <v>-9890598.9800000004</v>
      </c>
      <c r="G132" s="4">
        <f t="shared" si="3"/>
        <v>0</v>
      </c>
      <c r="H132" s="190">
        <v>21350</v>
      </c>
      <c r="I132" s="3" t="s">
        <v>745</v>
      </c>
      <c r="J132" s="3" t="s">
        <v>746</v>
      </c>
      <c r="K132" s="4">
        <v>-9890598.9800000004</v>
      </c>
      <c r="L132" s="4">
        <v>178121.31</v>
      </c>
      <c r="M132" s="4">
        <v>1215952.55</v>
      </c>
      <c r="N132" s="4">
        <v>-10928430.220000001</v>
      </c>
      <c r="O132" s="4">
        <f>Tab_12.Dez[[#This Row],[DÉBITO]]-Tab_12.Dez[[#This Row],[CRÉDITO]]</f>
        <v>-1037831.24</v>
      </c>
    </row>
    <row r="133" spans="2:19" x14ac:dyDescent="0.3">
      <c r="B133" s="2" t="str">
        <f>_xlfn.XLOOKUP($I133,Tab_00.Trial[CONTA],Tab_00.Trial[TP],"",0,1)</f>
        <v>P</v>
      </c>
      <c r="C133" s="2">
        <f>_xlfn.XLOOKUP($I133,Tab_00.Trial[CONTA],Tab_00.Trial[NV],"",0,1)</f>
        <v>5</v>
      </c>
      <c r="D133" s="2" t="str">
        <f>_xlfn.XLOOKUP($I133,Tab_00.Trial[CONTA],Tab_00.Trial[S/A],"",0,1)</f>
        <v>A</v>
      </c>
      <c r="E133" s="2">
        <f>IF($I133="","",COUNTIFS(Tab_00.Trial[CONTA],$I133))</f>
        <v>1</v>
      </c>
      <c r="F133" s="4">
        <f>SUMIFS(Tab_11.Nov[SALDO
ATUAL],Tab_11.Nov[CONTA],$I133)</f>
        <v>-9890598.9800000004</v>
      </c>
      <c r="G133" s="4">
        <f t="shared" si="3"/>
        <v>0</v>
      </c>
      <c r="H133" s="190">
        <v>21365</v>
      </c>
      <c r="I133" s="3" t="s">
        <v>747</v>
      </c>
      <c r="J133" s="3" t="s">
        <v>746</v>
      </c>
      <c r="K133" s="4">
        <v>-9890598.9800000004</v>
      </c>
      <c r="L133" s="4">
        <v>178121.31</v>
      </c>
      <c r="M133" s="4">
        <v>1215952.55</v>
      </c>
      <c r="N133" s="4">
        <v>-10928430.220000001</v>
      </c>
      <c r="O133" s="4">
        <f>Tab_12.Dez[[#This Row],[DÉBITO]]-Tab_12.Dez[[#This Row],[CRÉDITO]]</f>
        <v>-1037831.24</v>
      </c>
    </row>
    <row r="134" spans="2:19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1</v>
      </c>
      <c r="D134" s="2" t="str">
        <f>_xlfn.XLOOKUP($I134,Tab_00.Trial[CONTA],Tab_00.Trial[S/A],"",0,1)</f>
        <v>S</v>
      </c>
      <c r="E134" s="2">
        <f>IF($I134="","",COUNTIFS(Tab_00.Trial[CONTA],$I134))</f>
        <v>1</v>
      </c>
      <c r="F134" s="4">
        <f>SUMIFS(Tab_11.Nov[SALDO
ATUAL],Tab_11.Nov[CONTA],$I134)</f>
        <v>-14289890.52</v>
      </c>
      <c r="G134" s="4">
        <f t="shared" si="3"/>
        <v>0</v>
      </c>
      <c r="H134" s="190">
        <v>30000</v>
      </c>
      <c r="I134" s="3">
        <v>3</v>
      </c>
      <c r="J134" s="3" t="s">
        <v>672</v>
      </c>
      <c r="K134" s="4">
        <v>-14289890.52</v>
      </c>
      <c r="L134" s="4">
        <v>139724.62</v>
      </c>
      <c r="M134" s="4">
        <v>1530042.18</v>
      </c>
      <c r="N134" s="4">
        <v>-15680208.08</v>
      </c>
      <c r="O134" s="4">
        <f>Tab_12.Dez[[#This Row],[DÉBITO]]-Tab_12.Dez[[#This Row],[CRÉDITO]]</f>
        <v>-1390317.56</v>
      </c>
    </row>
    <row r="135" spans="2:19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2</v>
      </c>
      <c r="D135" s="2" t="str">
        <f>_xlfn.XLOOKUP($I135,Tab_00.Trial[CONTA],Tab_00.Trial[S/A],"",0,1)</f>
        <v>S</v>
      </c>
      <c r="E135" s="2">
        <f>IF($I135="","",COUNTIFS(Tab_00.Trial[CONTA],$I135))</f>
        <v>1</v>
      </c>
      <c r="F135" s="4">
        <f>SUMIFS(Tab_11.Nov[SALDO
ATUAL],Tab_11.Nov[CONTA],$I135)</f>
        <v>-6649791.8899999997</v>
      </c>
      <c r="G135" s="4">
        <f t="shared" si="3"/>
        <v>0</v>
      </c>
      <c r="H135" s="190">
        <v>30030</v>
      </c>
      <c r="I135" s="3" t="s">
        <v>231</v>
      </c>
      <c r="J135" s="3" t="s">
        <v>673</v>
      </c>
      <c r="K135" s="4">
        <v>-6649791.8899999997</v>
      </c>
      <c r="L135" s="4">
        <v>1600</v>
      </c>
      <c r="M135" s="4">
        <v>1043604.57</v>
      </c>
      <c r="N135" s="4">
        <v>-7691796.46</v>
      </c>
      <c r="O135" s="4">
        <f>Tab_12.Dez[[#This Row],[DÉBITO]]-Tab_12.Dez[[#This Row],[CRÉDITO]]</f>
        <v>-1042004.57</v>
      </c>
    </row>
    <row r="136" spans="2:19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S</v>
      </c>
      <c r="E136" s="2">
        <f>IF($I136="","",COUNTIFS(Tab_00.Trial[CONTA],$I136))</f>
        <v>1</v>
      </c>
      <c r="F136" s="4">
        <f>SUMIFS(Tab_11.Nov[SALDO
ATUAL],Tab_11.Nov[CONTA],$I136)</f>
        <v>-4186433.71</v>
      </c>
      <c r="G136" s="4">
        <f t="shared" si="3"/>
        <v>0</v>
      </c>
      <c r="H136" s="190">
        <v>30045</v>
      </c>
      <c r="I136" s="3" t="s">
        <v>232</v>
      </c>
      <c r="J136" s="3" t="s">
        <v>674</v>
      </c>
      <c r="K136" s="4">
        <v>-4186433.71</v>
      </c>
      <c r="L136" s="4">
        <v>0</v>
      </c>
      <c r="M136" s="4">
        <v>555424.06000000006</v>
      </c>
      <c r="N136" s="4">
        <v>-4741857.7699999996</v>
      </c>
      <c r="O136" s="4">
        <f>Tab_12.Dez[[#This Row],[DÉBITO]]-Tab_12.Dez[[#This Row],[CRÉDITO]]</f>
        <v>-555424.06000000006</v>
      </c>
    </row>
    <row r="137" spans="2:19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S</v>
      </c>
      <c r="E137" s="2">
        <f>IF($I137="","",COUNTIFS(Tab_00.Trial[CONTA],$I137))</f>
        <v>1</v>
      </c>
      <c r="F137" s="4">
        <f>SUMIFS(Tab_11.Nov[SALDO
ATUAL],Tab_11.Nov[CONTA],$I137)</f>
        <v>-1443114.24</v>
      </c>
      <c r="G137" s="4">
        <f t="shared" si="3"/>
        <v>0</v>
      </c>
      <c r="H137" s="190">
        <v>30470</v>
      </c>
      <c r="I137" s="3" t="s">
        <v>233</v>
      </c>
      <c r="J137" s="3" t="s">
        <v>675</v>
      </c>
      <c r="K137" s="4">
        <v>-1443114.24</v>
      </c>
      <c r="L137" s="4">
        <v>0</v>
      </c>
      <c r="M137" s="4">
        <v>112795.04</v>
      </c>
      <c r="N137" s="4">
        <v>-1555909.28</v>
      </c>
      <c r="O137" s="4">
        <f>Tab_12.Dez[[#This Row],[DÉBITO]]-Tab_12.Dez[[#This Row],[CRÉDITO]]</f>
        <v>-112795.04</v>
      </c>
    </row>
    <row r="138" spans="2:19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A</v>
      </c>
      <c r="E138" s="2">
        <f>IF($I138="","",COUNTIFS(Tab_00.Trial[CONTA],$I138))</f>
        <v>1</v>
      </c>
      <c r="F138" s="4">
        <f>SUMIFS(Tab_11.Nov[SALDO
ATUAL],Tab_11.Nov[CONTA],$I138)</f>
        <v>-1443114.24</v>
      </c>
      <c r="G138" s="4">
        <f t="shared" si="3"/>
        <v>0</v>
      </c>
      <c r="H138" s="190">
        <v>30471</v>
      </c>
      <c r="I138" s="3" t="s">
        <v>194</v>
      </c>
      <c r="J138" s="3" t="s">
        <v>367</v>
      </c>
      <c r="K138" s="4">
        <v>-1443114.24</v>
      </c>
      <c r="L138" s="4">
        <v>0</v>
      </c>
      <c r="M138" s="4">
        <v>112795.04</v>
      </c>
      <c r="N138" s="4">
        <v>-1555909.28</v>
      </c>
      <c r="O138" s="4">
        <f>Tab_12.Dez[[#This Row],[DÉBITO]]-Tab_12.Dez[[#This Row],[CRÉDITO]]</f>
        <v>-112795.04</v>
      </c>
    </row>
    <row r="139" spans="2:19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S</v>
      </c>
      <c r="E139" s="2">
        <f>IF($I139="","",COUNTIFS(Tab_00.Trial[CONTA],$I139))</f>
        <v>1</v>
      </c>
      <c r="F139" s="4">
        <f>SUMIFS(Tab_11.Nov[SALDO
ATUAL],Tab_11.Nov[CONTA],$I139)</f>
        <v>-2743319.47</v>
      </c>
      <c r="G139" s="4">
        <f t="shared" si="3"/>
        <v>0</v>
      </c>
      <c r="H139" s="190">
        <v>30475</v>
      </c>
      <c r="I139" s="3" t="s">
        <v>735</v>
      </c>
      <c r="J139" s="3" t="s">
        <v>736</v>
      </c>
      <c r="K139" s="4">
        <v>-2743319.47</v>
      </c>
      <c r="L139" s="4">
        <v>0</v>
      </c>
      <c r="M139" s="4">
        <v>442629.02</v>
      </c>
      <c r="N139" s="4">
        <v>-3185948.49</v>
      </c>
      <c r="O139" s="4">
        <f>Tab_12.Dez[[#This Row],[DÉBITO]]-Tab_12.Dez[[#This Row],[CRÉDITO]]</f>
        <v>-442629.02</v>
      </c>
    </row>
    <row r="140" spans="2:19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A</v>
      </c>
      <c r="E140" s="2">
        <f>IF($I140="","",COUNTIFS(Tab_00.Trial[CONTA],$I140))</f>
        <v>1</v>
      </c>
      <c r="F140" s="4">
        <f>SUMIFS(Tab_11.Nov[SALDO
ATUAL],Tab_11.Nov[CONTA],$I140)</f>
        <v>-2743319.47</v>
      </c>
      <c r="G140" s="4">
        <f t="shared" si="3"/>
        <v>0</v>
      </c>
      <c r="H140" s="190">
        <v>30476</v>
      </c>
      <c r="I140" s="3" t="s">
        <v>737</v>
      </c>
      <c r="J140" s="3" t="s">
        <v>814</v>
      </c>
      <c r="K140" s="4">
        <v>-2743319.47</v>
      </c>
      <c r="L140" s="4">
        <v>0</v>
      </c>
      <c r="M140" s="4">
        <v>442629.02</v>
      </c>
      <c r="N140" s="4">
        <v>-3185948.49</v>
      </c>
      <c r="O140" s="4">
        <f>Tab_12.Dez[[#This Row],[DÉBITO]]-Tab_12.Dez[[#This Row],[CRÉDITO]]</f>
        <v>-442629.02</v>
      </c>
      <c r="R140" s="1">
        <v>440101001</v>
      </c>
      <c r="S140" s="1" t="s">
        <v>830</v>
      </c>
    </row>
    <row r="141" spans="2:19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5</v>
      </c>
      <c r="D141" s="2" t="str">
        <f>_xlfn.XLOOKUP($I141,Tab_00.Trial[CONTA],Tab_00.Trial[S/A],"",0,1)</f>
        <v>S</v>
      </c>
      <c r="E141" s="2">
        <f>IF($I141="","",COUNTIFS(Tab_00.Trial[CONTA],$I141))</f>
        <v>1</v>
      </c>
      <c r="F141" s="4">
        <f>SUMIFS(Tab_11.Nov[SALDO
ATUAL],Tab_11.Nov[CONTA],$I141)</f>
        <v>-2463358.1800000002</v>
      </c>
      <c r="G141" s="4">
        <f t="shared" si="3"/>
        <v>0</v>
      </c>
      <c r="H141" s="190">
        <v>30645</v>
      </c>
      <c r="I141" s="3" t="s">
        <v>569</v>
      </c>
      <c r="J141" s="3" t="s">
        <v>676</v>
      </c>
      <c r="K141" s="4">
        <v>-2463358.1800000002</v>
      </c>
      <c r="L141" s="4">
        <v>1600</v>
      </c>
      <c r="M141" s="4">
        <v>488180.51</v>
      </c>
      <c r="N141" s="4">
        <v>-2949938.69</v>
      </c>
      <c r="O141" s="4">
        <f>Tab_12.Dez[[#This Row],[DÉBITO]]-Tab_12.Dez[[#This Row],[CRÉDITO]]</f>
        <v>-486580.51</v>
      </c>
    </row>
    <row r="142" spans="2:19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S</v>
      </c>
      <c r="E142" s="2">
        <f>IF($I142="","",COUNTIFS(Tab_00.Trial[CONTA],$I142))</f>
        <v>1</v>
      </c>
      <c r="F142" s="4">
        <f>SUMIFS(Tab_11.Nov[SALDO
ATUAL],Tab_11.Nov[CONTA],$I142)</f>
        <v>-1550731.29</v>
      </c>
      <c r="G142" s="4">
        <f t="shared" si="3"/>
        <v>0</v>
      </c>
      <c r="H142" s="190">
        <v>30660</v>
      </c>
      <c r="I142" s="3" t="s">
        <v>570</v>
      </c>
      <c r="J142" s="3" t="s">
        <v>677</v>
      </c>
      <c r="K142" s="4">
        <v>-1550731.29</v>
      </c>
      <c r="L142" s="4">
        <v>1600</v>
      </c>
      <c r="M142" s="4">
        <v>405214.43</v>
      </c>
      <c r="N142" s="4">
        <v>-1954345.72</v>
      </c>
      <c r="O142" s="4">
        <f>Tab_12.Dez[[#This Row],[DÉBITO]]-Tab_12.Dez[[#This Row],[CRÉDITO]]</f>
        <v>-403614.43</v>
      </c>
    </row>
    <row r="143" spans="2:19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A</v>
      </c>
      <c r="E143" s="2">
        <f>IF($I143="","",COUNTIFS(Tab_00.Trial[CONTA],$I143))</f>
        <v>1</v>
      </c>
      <c r="F143" s="4">
        <f>SUMIFS(Tab_11.Nov[SALDO
ATUAL],Tab_11.Nov[CONTA],$I143)</f>
        <v>-504398.45</v>
      </c>
      <c r="G143" s="4">
        <f t="shared" ref="G143:G206" si="4">$F143-$K143</f>
        <v>0</v>
      </c>
      <c r="H143" s="190">
        <v>30675</v>
      </c>
      <c r="I143" s="3" t="s">
        <v>368</v>
      </c>
      <c r="J143" s="3" t="s">
        <v>369</v>
      </c>
      <c r="K143" s="4">
        <v>-504398.45</v>
      </c>
      <c r="L143" s="4">
        <v>0</v>
      </c>
      <c r="M143" s="4">
        <v>3900</v>
      </c>
      <c r="N143" s="4">
        <v>-508298.45</v>
      </c>
      <c r="O143" s="4">
        <f>Tab_12.Dez[[#This Row],[DÉBITO]]-Tab_12.Dez[[#This Row],[CRÉDITO]]</f>
        <v>-3900</v>
      </c>
    </row>
    <row r="144" spans="2:19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5</v>
      </c>
      <c r="D144" s="2" t="str">
        <f>_xlfn.XLOOKUP($I144,Tab_00.Trial[CONTA],Tab_00.Trial[S/A],"",0,1)</f>
        <v>A</v>
      </c>
      <c r="E144" s="2">
        <f>IF($I144="","",COUNTIFS(Tab_00.Trial[CONTA],$I144))</f>
        <v>1</v>
      </c>
      <c r="F144" s="4">
        <f>SUMIFS(Tab_11.Nov[SALDO
ATUAL],Tab_11.Nov[CONTA],$I144)</f>
        <v>-798298.19</v>
      </c>
      <c r="G144" s="4">
        <f t="shared" si="4"/>
        <v>0</v>
      </c>
      <c r="H144" s="190">
        <v>30690</v>
      </c>
      <c r="I144" s="3" t="s">
        <v>370</v>
      </c>
      <c r="J144" s="3" t="s">
        <v>371</v>
      </c>
      <c r="K144" s="4">
        <v>-798298.19</v>
      </c>
      <c r="L144" s="4">
        <v>1600</v>
      </c>
      <c r="M144" s="4">
        <v>391441.15</v>
      </c>
      <c r="N144" s="4">
        <v>-1188139.3400000001</v>
      </c>
      <c r="O144" s="4">
        <f>Tab_12.Dez[[#This Row],[DÉBITO]]-Tab_12.Dez[[#This Row],[CRÉDITO]]</f>
        <v>-389841.15</v>
      </c>
    </row>
    <row r="145" spans="2:18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5</v>
      </c>
      <c r="D145" s="2" t="str">
        <f>_xlfn.XLOOKUP($I145,Tab_00.Trial[CONTA],Tab_00.Trial[S/A],"",0,1)</f>
        <v>A</v>
      </c>
      <c r="E145" s="2">
        <f>IF($I145="","",COUNTIFS(Tab_00.Trial[CONTA],$I145))</f>
        <v>1</v>
      </c>
      <c r="F145" s="4">
        <f>SUMIFS(Tab_11.Nov[SALDO
ATUAL],Tab_11.Nov[CONTA],$I145)</f>
        <v>-6547.36</v>
      </c>
      <c r="G145" s="4">
        <f t="shared" si="4"/>
        <v>0</v>
      </c>
      <c r="H145" s="190">
        <v>30705</v>
      </c>
      <c r="I145" s="3" t="s">
        <v>372</v>
      </c>
      <c r="J145" s="3" t="s">
        <v>373</v>
      </c>
      <c r="K145" s="4">
        <v>-6547.36</v>
      </c>
      <c r="L145" s="4">
        <v>0</v>
      </c>
      <c r="M145" s="4">
        <v>0</v>
      </c>
      <c r="N145" s="4">
        <v>-6547.36</v>
      </c>
      <c r="O145" s="4">
        <f>Tab_12.Dez[[#This Row],[DÉBITO]]-Tab_12.Dez[[#This Row],[CRÉDITO]]</f>
        <v>0</v>
      </c>
    </row>
    <row r="146" spans="2:18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5</v>
      </c>
      <c r="D146" s="2" t="str">
        <f>_xlfn.XLOOKUP($I146,Tab_00.Trial[CONTA],Tab_00.Trial[S/A],"",0,1)</f>
        <v>A</v>
      </c>
      <c r="E146" s="2">
        <f>IF($I146="","",COUNTIFS(Tab_00.Trial[CONTA],$I146))</f>
        <v>1</v>
      </c>
      <c r="F146" s="4">
        <f>SUMIFS(Tab_11.Nov[SALDO
ATUAL],Tab_11.Nov[CONTA],$I146)</f>
        <v>-89617.06</v>
      </c>
      <c r="G146" s="4">
        <f t="shared" si="4"/>
        <v>0</v>
      </c>
      <c r="H146" s="190">
        <v>30710</v>
      </c>
      <c r="I146" s="3" t="s">
        <v>845</v>
      </c>
      <c r="J146" s="3" t="s">
        <v>846</v>
      </c>
      <c r="K146" s="4">
        <v>-89617.06</v>
      </c>
      <c r="L146" s="4">
        <v>0</v>
      </c>
      <c r="M146" s="4">
        <v>0</v>
      </c>
      <c r="N146" s="4">
        <v>-89617.06</v>
      </c>
      <c r="O146" s="4">
        <f>Tab_12.Dez[[#This Row],[DÉBITO]]-Tab_12.Dez[[#This Row],[CRÉDITO]]</f>
        <v>0</v>
      </c>
    </row>
    <row r="147" spans="2:18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5</v>
      </c>
      <c r="D147" s="2" t="str">
        <f>_xlfn.XLOOKUP($I147,Tab_00.Trial[CONTA],Tab_00.Trial[S/A],"",0,1)</f>
        <v>A</v>
      </c>
      <c r="E147" s="2">
        <f>IF($I147="","",COUNTIFS(Tab_00.Trial[CONTA],$I147))</f>
        <v>1</v>
      </c>
      <c r="F147" s="4">
        <f>SUMIFS(Tab_11.Nov[SALDO
ATUAL],Tab_11.Nov[CONTA],$I147)</f>
        <v>-151870.23000000001</v>
      </c>
      <c r="G147" s="4">
        <f t="shared" si="4"/>
        <v>0</v>
      </c>
      <c r="H147" s="190">
        <v>10895</v>
      </c>
      <c r="I147" s="3" t="s">
        <v>927</v>
      </c>
      <c r="J147" s="3" t="s">
        <v>928</v>
      </c>
      <c r="K147" s="4">
        <v>-151870.23000000001</v>
      </c>
      <c r="L147" s="4">
        <v>0</v>
      </c>
      <c r="M147" s="4">
        <v>9873.2800000000007</v>
      </c>
      <c r="N147" s="4">
        <v>-161743.51</v>
      </c>
      <c r="O147" s="4">
        <f>Tab_12.Dez[[#This Row],[DÉBITO]]-Tab_12.Dez[[#This Row],[CRÉDITO]]</f>
        <v>-9873.2800000000007</v>
      </c>
    </row>
    <row r="148" spans="2:18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S</v>
      </c>
      <c r="E148" s="2">
        <f>IF($I148="","",COUNTIFS(Tab_00.Trial[CONTA],$I148))</f>
        <v>1</v>
      </c>
      <c r="F148" s="4">
        <f>SUMIFS(Tab_11.Nov[SALDO
ATUAL],Tab_11.Nov[CONTA],$I148)</f>
        <v>-912626.89</v>
      </c>
      <c r="G148" s="4">
        <f t="shared" si="4"/>
        <v>0</v>
      </c>
      <c r="H148" s="190">
        <v>30720</v>
      </c>
      <c r="I148" s="3" t="s">
        <v>571</v>
      </c>
      <c r="J148" s="3" t="s">
        <v>377</v>
      </c>
      <c r="K148" s="4">
        <v>-912626.89</v>
      </c>
      <c r="L148" s="4">
        <v>0</v>
      </c>
      <c r="M148" s="4">
        <v>82966.080000000002</v>
      </c>
      <c r="N148" s="4">
        <v>-995592.97</v>
      </c>
      <c r="O148" s="4">
        <f>Tab_12.Dez[[#This Row],[DÉBITO]]-Tab_12.Dez[[#This Row],[CRÉDITO]]</f>
        <v>-82966.080000000002</v>
      </c>
    </row>
    <row r="149" spans="2:18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5</v>
      </c>
      <c r="D149" s="2" t="str">
        <f>_xlfn.XLOOKUP($I149,Tab_00.Trial[CONTA],Tab_00.Trial[S/A],"",0,1)</f>
        <v>A</v>
      </c>
      <c r="E149" s="2">
        <f>IF($I149="","",COUNTIFS(Tab_00.Trial[CONTA],$I149))</f>
        <v>1</v>
      </c>
      <c r="F149" s="4">
        <f>SUMIFS(Tab_11.Nov[SALDO
ATUAL],Tab_11.Nov[CONTA],$I149)</f>
        <v>-912626.89</v>
      </c>
      <c r="G149" s="4">
        <f t="shared" si="4"/>
        <v>0</v>
      </c>
      <c r="H149" s="190">
        <v>30735</v>
      </c>
      <c r="I149" s="3" t="s">
        <v>376</v>
      </c>
      <c r="J149" s="3" t="s">
        <v>377</v>
      </c>
      <c r="K149" s="4">
        <v>-912626.89</v>
      </c>
      <c r="L149" s="4">
        <v>0</v>
      </c>
      <c r="M149" s="4">
        <v>82966.080000000002</v>
      </c>
      <c r="N149" s="4">
        <v>-995592.97</v>
      </c>
      <c r="O149" s="4">
        <f>Tab_12.Dez[[#This Row],[DÉBITO]]-Tab_12.Dez[[#This Row],[CRÉDITO]]</f>
        <v>-82966.080000000002</v>
      </c>
    </row>
    <row r="150" spans="2:18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2</v>
      </c>
      <c r="D150" s="2" t="str">
        <f>_xlfn.XLOOKUP($I150,Tab_00.Trial[CONTA],Tab_00.Trial[S/A],"",0,1)</f>
        <v>S</v>
      </c>
      <c r="E150" s="2">
        <f>IF($I150="","",COUNTIFS(Tab_00.Trial[CONTA],$I150))</f>
        <v>1</v>
      </c>
      <c r="F150" s="4">
        <f>SUMIFS(Tab_11.Nov[SALDO
ATUAL],Tab_11.Nov[CONTA],$I150)</f>
        <v>-4884356.84</v>
      </c>
      <c r="G150" s="4">
        <f t="shared" si="4"/>
        <v>0</v>
      </c>
      <c r="H150" s="190">
        <v>31065</v>
      </c>
      <c r="I150" s="3" t="s">
        <v>574</v>
      </c>
      <c r="J150" s="3" t="s">
        <v>680</v>
      </c>
      <c r="K150" s="4">
        <v>-4884356.84</v>
      </c>
      <c r="L150" s="4">
        <v>265.62</v>
      </c>
      <c r="M150" s="4">
        <v>441965.87</v>
      </c>
      <c r="N150" s="4">
        <v>-5326057.09</v>
      </c>
      <c r="O150" s="4">
        <f>Tab_12.Dez[[#This Row],[DÉBITO]]-Tab_12.Dez[[#This Row],[CRÉDITO]]</f>
        <v>-441700.25</v>
      </c>
    </row>
    <row r="151" spans="2:18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5</v>
      </c>
      <c r="D151" s="2" t="str">
        <f>_xlfn.XLOOKUP($I151,Tab_00.Trial[CONTA],Tab_00.Trial[S/A],"",0,1)</f>
        <v>S</v>
      </c>
      <c r="E151" s="2">
        <f>IF($I151="","",COUNTIFS(Tab_00.Trial[CONTA],$I151))</f>
        <v>1</v>
      </c>
      <c r="F151" s="4">
        <f>SUMIFS(Tab_11.Nov[SALDO
ATUAL],Tab_11.Nov[CONTA],$I151)</f>
        <v>-13734.16</v>
      </c>
      <c r="G151" s="4">
        <f t="shared" si="4"/>
        <v>0</v>
      </c>
      <c r="H151" s="190">
        <v>31080</v>
      </c>
      <c r="I151" s="3" t="s">
        <v>575</v>
      </c>
      <c r="J151" s="3" t="s">
        <v>681</v>
      </c>
      <c r="K151" s="4">
        <v>-13734.16</v>
      </c>
      <c r="L151" s="4">
        <v>0</v>
      </c>
      <c r="M151" s="4">
        <v>1321.45</v>
      </c>
      <c r="N151" s="4">
        <v>-15055.61</v>
      </c>
      <c r="O151" s="4">
        <f>Tab_12.Dez[[#This Row],[DÉBITO]]-Tab_12.Dez[[#This Row],[CRÉDITO]]</f>
        <v>-1321.45</v>
      </c>
    </row>
    <row r="152" spans="2:18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5</v>
      </c>
      <c r="D152" s="2" t="str">
        <f>_xlfn.XLOOKUP($I152,Tab_00.Trial[CONTA],Tab_00.Trial[S/A],"",0,1)</f>
        <v>S</v>
      </c>
      <c r="E152" s="2">
        <f>IF($I152="","",COUNTIFS(Tab_00.Trial[CONTA],$I152))</f>
        <v>1</v>
      </c>
      <c r="F152" s="4">
        <f>SUMIFS(Tab_11.Nov[SALDO
ATUAL],Tab_11.Nov[CONTA],$I152)</f>
        <v>-13734.16</v>
      </c>
      <c r="G152" s="4">
        <f t="shared" si="4"/>
        <v>0</v>
      </c>
      <c r="H152" s="190">
        <v>31095</v>
      </c>
      <c r="I152" s="3" t="s">
        <v>576</v>
      </c>
      <c r="J152" s="3" t="s">
        <v>815</v>
      </c>
      <c r="K152" s="4">
        <v>-13734.16</v>
      </c>
      <c r="L152" s="4">
        <v>0</v>
      </c>
      <c r="M152" s="4">
        <v>1321.45</v>
      </c>
      <c r="N152" s="4">
        <v>-15055.61</v>
      </c>
      <c r="O152" s="4">
        <f>Tab_12.Dez[[#This Row],[DÉBITO]]-Tab_12.Dez[[#This Row],[CRÉDITO]]</f>
        <v>-1321.45</v>
      </c>
    </row>
    <row r="153" spans="2:18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5</v>
      </c>
      <c r="D153" s="2" t="str">
        <f>_xlfn.XLOOKUP($I153,Tab_00.Trial[CONTA],Tab_00.Trial[S/A],"",0,1)</f>
        <v>A</v>
      </c>
      <c r="E153" s="2">
        <f>IF($I153="","",COUNTIFS(Tab_00.Trial[CONTA],$I153))</f>
        <v>1</v>
      </c>
      <c r="F153" s="4">
        <f>SUMIFS(Tab_11.Nov[SALDO
ATUAL],Tab_11.Nov[CONTA],$I153)</f>
        <v>-13734.16</v>
      </c>
      <c r="G153" s="4">
        <f t="shared" si="4"/>
        <v>0</v>
      </c>
      <c r="H153" s="190">
        <v>31096</v>
      </c>
      <c r="I153" s="3" t="s">
        <v>382</v>
      </c>
      <c r="J153" s="3" t="s">
        <v>292</v>
      </c>
      <c r="K153" s="4">
        <v>-13734.16</v>
      </c>
      <c r="L153" s="4">
        <v>0</v>
      </c>
      <c r="M153" s="4">
        <v>1321.45</v>
      </c>
      <c r="N153" s="4">
        <v>-15055.61</v>
      </c>
      <c r="O153" s="4">
        <f>Tab_12.Dez[[#This Row],[DÉBITO]]-Tab_12.Dez[[#This Row],[CRÉDITO]]</f>
        <v>-1321.45</v>
      </c>
    </row>
    <row r="154" spans="2:18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5</v>
      </c>
      <c r="D154" s="2" t="str">
        <f>_xlfn.XLOOKUP($I154,Tab_00.Trial[CONTA],Tab_00.Trial[S/A],"",0,1)</f>
        <v>S</v>
      </c>
      <c r="E154" s="2">
        <f>IF($I154="","",COUNTIFS(Tab_00.Trial[CONTA],$I154))</f>
        <v>1</v>
      </c>
      <c r="F154" s="4">
        <f>SUMIFS(Tab_11.Nov[SALDO
ATUAL],Tab_11.Nov[CONTA],$I154)</f>
        <v>14038.16</v>
      </c>
      <c r="G154" s="4">
        <f t="shared" si="4"/>
        <v>0</v>
      </c>
      <c r="H154" s="190">
        <v>31140</v>
      </c>
      <c r="I154" s="3" t="s">
        <v>577</v>
      </c>
      <c r="J154" s="3" t="s">
        <v>683</v>
      </c>
      <c r="K154" s="4">
        <v>14038.16</v>
      </c>
      <c r="L154" s="4">
        <v>265.62</v>
      </c>
      <c r="M154" s="4">
        <v>0</v>
      </c>
      <c r="N154" s="4">
        <v>14303.78</v>
      </c>
      <c r="O154" s="4">
        <f>Tab_12.Dez[[#This Row],[DÉBITO]]-Tab_12.Dez[[#This Row],[CRÉDITO]]</f>
        <v>265.62</v>
      </c>
    </row>
    <row r="155" spans="2:18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5</v>
      </c>
      <c r="D155" s="2" t="str">
        <f>_xlfn.XLOOKUP($I155,Tab_00.Trial[CONTA],Tab_00.Trial[S/A],"",0,1)</f>
        <v>S</v>
      </c>
      <c r="E155" s="2">
        <f>IF($I155="","",COUNTIFS(Tab_00.Trial[CONTA],$I155))</f>
        <v>1</v>
      </c>
      <c r="F155" s="4">
        <f>SUMIFS(Tab_11.Nov[SALDO
ATUAL],Tab_11.Nov[CONTA],$I155)</f>
        <v>14038.16</v>
      </c>
      <c r="G155" s="4">
        <f t="shared" si="4"/>
        <v>0</v>
      </c>
      <c r="H155" s="190">
        <v>31215</v>
      </c>
      <c r="I155" s="3" t="s">
        <v>847</v>
      </c>
      <c r="J155" s="3" t="s">
        <v>848</v>
      </c>
      <c r="K155" s="4">
        <v>14038.16</v>
      </c>
      <c r="L155" s="4">
        <v>265.62</v>
      </c>
      <c r="M155" s="4">
        <v>0</v>
      </c>
      <c r="N155" s="4">
        <v>14303.78</v>
      </c>
      <c r="O155" s="4">
        <f>Tab_12.Dez[[#This Row],[DÉBITO]]-Tab_12.Dez[[#This Row],[CRÉDITO]]</f>
        <v>265.62</v>
      </c>
    </row>
    <row r="156" spans="2:18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5</v>
      </c>
      <c r="D156" s="2" t="str">
        <f>_xlfn.XLOOKUP($I156,Tab_00.Trial[CONTA],Tab_00.Trial[S/A],"",0,1)</f>
        <v>A</v>
      </c>
      <c r="E156" s="2">
        <f>IF($I156="","",COUNTIFS(Tab_00.Trial[CONTA],$I156))</f>
        <v>1</v>
      </c>
      <c r="F156" s="4">
        <f>SUMIFS(Tab_11.Nov[SALDO
ATUAL],Tab_11.Nov[CONTA],$I156)</f>
        <v>14038.16</v>
      </c>
      <c r="G156" s="4">
        <f t="shared" si="4"/>
        <v>0</v>
      </c>
      <c r="H156" s="190">
        <v>31246</v>
      </c>
      <c r="I156" s="3" t="s">
        <v>849</v>
      </c>
      <c r="J156" s="3" t="s">
        <v>850</v>
      </c>
      <c r="K156" s="4">
        <v>14038.16</v>
      </c>
      <c r="L156" s="4">
        <v>265.62</v>
      </c>
      <c r="M156" s="4">
        <v>0</v>
      </c>
      <c r="N156" s="4">
        <v>14303.78</v>
      </c>
      <c r="O156" s="4">
        <f>Tab_12.Dez[[#This Row],[DÉBITO]]-Tab_12.Dez[[#This Row],[CRÉDITO]]</f>
        <v>265.62</v>
      </c>
    </row>
    <row r="157" spans="2:18" x14ac:dyDescent="0.3">
      <c r="B157" s="2" t="str">
        <f>_xlfn.XLOOKUP($I157,Tab_00.Trial[CONTA],Tab_00.Trial[TP],"",0,1)</f>
        <v>R</v>
      </c>
      <c r="C157" s="2">
        <f>_xlfn.XLOOKUP($I157,Tab_00.Trial[CONTA],Tab_00.Trial[NV],"",0,1)</f>
        <v>5</v>
      </c>
      <c r="D157" s="2" t="str">
        <f>_xlfn.XLOOKUP($I157,Tab_00.Trial[CONTA],Tab_00.Trial[S/A],"",0,1)</f>
        <v>S</v>
      </c>
      <c r="E157" s="2">
        <f>IF($I157="","",COUNTIFS(Tab_00.Trial[CONTA],$I157))</f>
        <v>1</v>
      </c>
      <c r="F157" s="4">
        <f>SUMIFS(Tab_11.Nov[SALDO
ATUAL],Tab_11.Nov[CONTA],$I157)</f>
        <v>-4884660.84</v>
      </c>
      <c r="G157" s="4">
        <f t="shared" si="4"/>
        <v>0</v>
      </c>
      <c r="H157" s="190">
        <v>31260</v>
      </c>
      <c r="I157" s="3" t="s">
        <v>580</v>
      </c>
      <c r="J157" s="3" t="s">
        <v>816</v>
      </c>
      <c r="K157" s="4">
        <v>-4884660.84</v>
      </c>
      <c r="L157" s="4">
        <v>0</v>
      </c>
      <c r="M157" s="4">
        <v>440644.42</v>
      </c>
      <c r="N157" s="4">
        <v>-5325305.26</v>
      </c>
      <c r="O157" s="4">
        <f>Tab_12.Dez[[#This Row],[DÉBITO]]-Tab_12.Dez[[#This Row],[CRÉDITO]]</f>
        <v>-440644.42</v>
      </c>
    </row>
    <row r="158" spans="2:18" x14ac:dyDescent="0.3">
      <c r="B158" s="2" t="str">
        <f>_xlfn.XLOOKUP($I158,Tab_00.Trial[CONTA],Tab_00.Trial[TP],"",0,1)</f>
        <v>R</v>
      </c>
      <c r="C158" s="2">
        <f>_xlfn.XLOOKUP($I158,Tab_00.Trial[CONTA],Tab_00.Trial[NV],"",0,1)</f>
        <v>5</v>
      </c>
      <c r="D158" s="2" t="str">
        <f>_xlfn.XLOOKUP($I158,Tab_00.Trial[CONTA],Tab_00.Trial[S/A],"",0,1)</f>
        <v>S</v>
      </c>
      <c r="E158" s="2">
        <f>IF($I158="","",COUNTIFS(Tab_00.Trial[CONTA],$I158))</f>
        <v>1</v>
      </c>
      <c r="F158" s="4">
        <f>SUMIFS(Tab_11.Nov[SALDO
ATUAL],Tab_11.Nov[CONTA],$I158)</f>
        <v>-4884660.84</v>
      </c>
      <c r="G158" s="4">
        <f t="shared" si="4"/>
        <v>0</v>
      </c>
      <c r="H158" s="190">
        <v>31275</v>
      </c>
      <c r="I158" s="3" t="s">
        <v>581</v>
      </c>
      <c r="J158" s="3" t="s">
        <v>687</v>
      </c>
      <c r="K158" s="4">
        <v>-4884660.84</v>
      </c>
      <c r="L158" s="4">
        <v>0</v>
      </c>
      <c r="M158" s="4">
        <v>440644.42</v>
      </c>
      <c r="N158" s="4">
        <v>-5325305.26</v>
      </c>
      <c r="O158" s="4">
        <f>Tab_12.Dez[[#This Row],[DÉBITO]]-Tab_12.Dez[[#This Row],[CRÉDITO]]</f>
        <v>-440644.42</v>
      </c>
    </row>
    <row r="159" spans="2:18" x14ac:dyDescent="0.3">
      <c r="B159" s="2" t="str">
        <f>_xlfn.XLOOKUP($I159,Tab_00.Trial[CONTA],Tab_00.Trial[TP],"",0,1)</f>
        <v>R</v>
      </c>
      <c r="C159" s="2">
        <f>_xlfn.XLOOKUP($I159,Tab_00.Trial[CONTA],Tab_00.Trial[NV],"",0,1)</f>
        <v>5</v>
      </c>
      <c r="D159" s="2" t="str">
        <f>_xlfn.XLOOKUP($I159,Tab_00.Trial[CONTA],Tab_00.Trial[S/A],"",0,1)</f>
        <v>A</v>
      </c>
      <c r="E159" s="2">
        <f>IF($I159="","",COUNTIFS(Tab_00.Trial[CONTA],$I159))</f>
        <v>1</v>
      </c>
      <c r="F159" s="4">
        <f>SUMIFS(Tab_11.Nov[SALDO
ATUAL],Tab_11.Nov[CONTA],$I159)</f>
        <v>-4787785.58</v>
      </c>
      <c r="G159" s="4">
        <f t="shared" si="4"/>
        <v>0</v>
      </c>
      <c r="H159" s="190">
        <v>31291</v>
      </c>
      <c r="I159" s="3" t="s">
        <v>387</v>
      </c>
      <c r="J159" s="3" t="s">
        <v>388</v>
      </c>
      <c r="K159" s="4">
        <v>-4787785.58</v>
      </c>
      <c r="L159" s="4">
        <v>0</v>
      </c>
      <c r="M159" s="4">
        <v>440421.58</v>
      </c>
      <c r="N159" s="4">
        <v>-5228207.16</v>
      </c>
      <c r="O159" s="4">
        <f>Tab_12.Dez[[#This Row],[DÉBITO]]-Tab_12.Dez[[#This Row],[CRÉDITO]]</f>
        <v>-440421.58</v>
      </c>
    </row>
    <row r="160" spans="2:18" x14ac:dyDescent="0.3">
      <c r="B160" s="2" t="str">
        <f>_xlfn.XLOOKUP($I160,Tab_00.Trial[CONTA],Tab_00.Trial[TP],"",0,1)</f>
        <v>R</v>
      </c>
      <c r="C160" s="2">
        <f>_xlfn.XLOOKUP($I160,Tab_00.Trial[CONTA],Tab_00.Trial[NV],"",0,1)</f>
        <v>5</v>
      </c>
      <c r="D160" s="2" t="str">
        <f>_xlfn.XLOOKUP($I160,Tab_00.Trial[CONTA],Tab_00.Trial[S/A],"",0,1)</f>
        <v>A</v>
      </c>
      <c r="E160" s="2">
        <f>IF($I160="","",COUNTIFS(Tab_00.Trial[CONTA],$I160))</f>
        <v>1</v>
      </c>
      <c r="F160" s="4">
        <f>SUMIFS(Tab_11.Nov[SALDO
ATUAL],Tab_11.Nov[CONTA],$I160)</f>
        <v>-96875.26</v>
      </c>
      <c r="G160" s="4">
        <f t="shared" si="4"/>
        <v>0</v>
      </c>
      <c r="H160" s="190">
        <v>31292</v>
      </c>
      <c r="I160" s="3" t="s">
        <v>389</v>
      </c>
      <c r="J160" s="3" t="s">
        <v>390</v>
      </c>
      <c r="K160" s="4">
        <v>-96875.26</v>
      </c>
      <c r="L160" s="4">
        <v>0</v>
      </c>
      <c r="M160" s="4">
        <v>222.84</v>
      </c>
      <c r="N160" s="4">
        <v>-97098.1</v>
      </c>
      <c r="O160" s="4">
        <f>Tab_12.Dez[[#This Row],[DÉBITO]]-Tab_12.Dez[[#This Row],[CRÉDITO]]</f>
        <v>-222.84</v>
      </c>
      <c r="R160" s="1">
        <v>440101001</v>
      </c>
    </row>
    <row r="161" spans="2:15" x14ac:dyDescent="0.3">
      <c r="B161" s="2" t="str">
        <f>_xlfn.XLOOKUP($I161,Tab_00.Trial[CONTA],Tab_00.Trial[TP],"",0,1)</f>
        <v>R</v>
      </c>
      <c r="C161" s="2">
        <f>_xlfn.XLOOKUP($I161,Tab_00.Trial[CONTA],Tab_00.Trial[NV],"",0,1)</f>
        <v>2</v>
      </c>
      <c r="D161" s="2" t="str">
        <f>_xlfn.XLOOKUP($I161,Tab_00.Trial[CONTA],Tab_00.Trial[S/A],"",0,1)</f>
        <v>S</v>
      </c>
      <c r="E161" s="2">
        <f>IF($I161="","",COUNTIFS(Tab_00.Trial[CONTA],$I161))</f>
        <v>1</v>
      </c>
      <c r="F161" s="4">
        <f>SUMIFS(Tab_11.Nov[SALDO
ATUAL],Tab_11.Nov[CONTA],$I161)</f>
        <v>-2748291.79</v>
      </c>
      <c r="G161" s="4">
        <f t="shared" si="4"/>
        <v>0</v>
      </c>
      <c r="H161" s="190">
        <v>31470</v>
      </c>
      <c r="I161" s="3" t="s">
        <v>582</v>
      </c>
      <c r="J161" s="3" t="s">
        <v>688</v>
      </c>
      <c r="K161" s="4">
        <v>-2748291.79</v>
      </c>
      <c r="L161" s="4">
        <v>137859</v>
      </c>
      <c r="M161" s="4">
        <v>44471.74</v>
      </c>
      <c r="N161" s="4">
        <v>-2654904.5299999998</v>
      </c>
      <c r="O161" s="4">
        <f>Tab_12.Dez[[#This Row],[DÉBITO]]-Tab_12.Dez[[#This Row],[CRÉDITO]]</f>
        <v>93387.26</v>
      </c>
    </row>
    <row r="162" spans="2:15" x14ac:dyDescent="0.3">
      <c r="B162" s="2" t="str">
        <f>_xlfn.XLOOKUP($I162,Tab_00.Trial[CONTA],Tab_00.Trial[TP],"",0,1)</f>
        <v>R</v>
      </c>
      <c r="C162" s="2">
        <f>_xlfn.XLOOKUP($I162,Tab_00.Trial[CONTA],Tab_00.Trial[NV],"",0,1)</f>
        <v>5</v>
      </c>
      <c r="D162" s="2" t="str">
        <f>_xlfn.XLOOKUP($I162,Tab_00.Trial[CONTA],Tab_00.Trial[S/A],"",0,1)</f>
        <v>S</v>
      </c>
      <c r="E162" s="2">
        <f>IF($I162="","",COUNTIFS(Tab_00.Trial[CONTA],$I162))</f>
        <v>1</v>
      </c>
      <c r="F162" s="4">
        <f>SUMIFS(Tab_11.Nov[SALDO
ATUAL],Tab_11.Nov[CONTA],$I162)</f>
        <v>-2008.76</v>
      </c>
      <c r="G162" s="4">
        <f t="shared" si="4"/>
        <v>0</v>
      </c>
      <c r="H162" s="190">
        <v>31590</v>
      </c>
      <c r="I162" s="3" t="s">
        <v>583</v>
      </c>
      <c r="J162" s="3" t="s">
        <v>689</v>
      </c>
      <c r="K162" s="4">
        <v>-2008.76</v>
      </c>
      <c r="L162" s="4">
        <v>0</v>
      </c>
      <c r="M162" s="4">
        <v>0.01</v>
      </c>
      <c r="N162" s="4">
        <v>-2008.77</v>
      </c>
      <c r="O162" s="4">
        <f>Tab_12.Dez[[#This Row],[DÉBITO]]-Tab_12.Dez[[#This Row],[CRÉDITO]]</f>
        <v>-0.01</v>
      </c>
    </row>
    <row r="163" spans="2:15" x14ac:dyDescent="0.3">
      <c r="B163" s="2" t="str">
        <f>_xlfn.XLOOKUP($I163,Tab_00.Trial[CONTA],Tab_00.Trial[TP],"",0,1)</f>
        <v>R</v>
      </c>
      <c r="C163" s="2">
        <f>_xlfn.XLOOKUP($I163,Tab_00.Trial[CONTA],Tab_00.Trial[NV],"",0,1)</f>
        <v>5</v>
      </c>
      <c r="D163" s="2" t="str">
        <f>_xlfn.XLOOKUP($I163,Tab_00.Trial[CONTA],Tab_00.Trial[S/A],"",0,1)</f>
        <v>S</v>
      </c>
      <c r="E163" s="2">
        <f>IF($I163="","",COUNTIFS(Tab_00.Trial[CONTA],$I163))</f>
        <v>1</v>
      </c>
      <c r="F163" s="4">
        <f>SUMIFS(Tab_11.Nov[SALDO
ATUAL],Tab_11.Nov[CONTA],$I163)</f>
        <v>-2008.76</v>
      </c>
      <c r="G163" s="4">
        <f t="shared" si="4"/>
        <v>0</v>
      </c>
      <c r="H163" s="190">
        <v>31605</v>
      </c>
      <c r="I163" s="3" t="s">
        <v>584</v>
      </c>
      <c r="J163" s="3" t="s">
        <v>689</v>
      </c>
      <c r="K163" s="4">
        <v>-2008.76</v>
      </c>
      <c r="L163" s="4">
        <v>0</v>
      </c>
      <c r="M163" s="4">
        <v>0.01</v>
      </c>
      <c r="N163" s="4">
        <v>-2008.77</v>
      </c>
      <c r="O163" s="4">
        <f>Tab_12.Dez[[#This Row],[DÉBITO]]-Tab_12.Dez[[#This Row],[CRÉDITO]]</f>
        <v>-0.01</v>
      </c>
    </row>
    <row r="164" spans="2:15" x14ac:dyDescent="0.3">
      <c r="B164" s="2" t="str">
        <f>_xlfn.XLOOKUP($I164,Tab_00.Trial[CONTA],Tab_00.Trial[TP],"",0,1)</f>
        <v>R</v>
      </c>
      <c r="C164" s="2">
        <f>_xlfn.XLOOKUP($I164,Tab_00.Trial[CONTA],Tab_00.Trial[NV],"",0,1)</f>
        <v>5</v>
      </c>
      <c r="D164" s="2" t="str">
        <f>_xlfn.XLOOKUP($I164,Tab_00.Trial[CONTA],Tab_00.Trial[S/A],"",0,1)</f>
        <v>A</v>
      </c>
      <c r="E164" s="2">
        <f>IF($I164="","",COUNTIFS(Tab_00.Trial[CONTA],$I164))</f>
        <v>1</v>
      </c>
      <c r="F164" s="4">
        <f>SUMIFS(Tab_11.Nov[SALDO
ATUAL],Tab_11.Nov[CONTA],$I164)</f>
        <v>-2008.76</v>
      </c>
      <c r="G164" s="4">
        <f t="shared" si="4"/>
        <v>0</v>
      </c>
      <c r="H164" s="190">
        <v>31645</v>
      </c>
      <c r="I164" s="3" t="s">
        <v>391</v>
      </c>
      <c r="J164" s="3" t="s">
        <v>392</v>
      </c>
      <c r="K164" s="4">
        <v>-2008.76</v>
      </c>
      <c r="L164" s="4">
        <v>0</v>
      </c>
      <c r="M164" s="4">
        <v>0.01</v>
      </c>
      <c r="N164" s="4">
        <v>-2008.77</v>
      </c>
      <c r="O164" s="4">
        <f>Tab_12.Dez[[#This Row],[DÉBITO]]-Tab_12.Dez[[#This Row],[CRÉDITO]]</f>
        <v>-0.01</v>
      </c>
    </row>
    <row r="165" spans="2:15" x14ac:dyDescent="0.3">
      <c r="B165" s="2" t="str">
        <f>_xlfn.XLOOKUP($I165,Tab_00.Trial[CONTA],Tab_00.Trial[TP],"",0,1)</f>
        <v>R</v>
      </c>
      <c r="C165" s="2">
        <f>_xlfn.XLOOKUP($I165,Tab_00.Trial[CONTA],Tab_00.Trial[NV],"",0,1)</f>
        <v>5</v>
      </c>
      <c r="D165" s="2" t="str">
        <f>_xlfn.XLOOKUP($I165,Tab_00.Trial[CONTA],Tab_00.Trial[S/A],"",0,1)</f>
        <v>S</v>
      </c>
      <c r="E165" s="2">
        <f>IF($I165="","",COUNTIFS(Tab_00.Trial[CONTA],$I165))</f>
        <v>1</v>
      </c>
      <c r="F165" s="4">
        <f>SUMIFS(Tab_11.Nov[SALDO
ATUAL],Tab_11.Nov[CONTA],$I165)</f>
        <v>-2746283.03</v>
      </c>
      <c r="G165" s="4">
        <f t="shared" si="4"/>
        <v>0</v>
      </c>
      <c r="H165" s="190">
        <v>31650</v>
      </c>
      <c r="I165" s="3" t="s">
        <v>585</v>
      </c>
      <c r="J165" s="3" t="s">
        <v>690</v>
      </c>
      <c r="K165" s="4">
        <v>-2746283.03</v>
      </c>
      <c r="L165" s="4">
        <v>137859</v>
      </c>
      <c r="M165" s="4">
        <v>44471.73</v>
      </c>
      <c r="N165" s="4">
        <v>-2652895.7599999998</v>
      </c>
      <c r="O165" s="4">
        <f>Tab_12.Dez[[#This Row],[DÉBITO]]-Tab_12.Dez[[#This Row],[CRÉDITO]]</f>
        <v>93387.27</v>
      </c>
    </row>
    <row r="166" spans="2:15" x14ac:dyDescent="0.3">
      <c r="B166" s="2" t="str">
        <f>_xlfn.XLOOKUP($I166,Tab_00.Trial[CONTA],Tab_00.Trial[TP],"",0,1)</f>
        <v>R</v>
      </c>
      <c r="C166" s="2">
        <f>_xlfn.XLOOKUP($I166,Tab_00.Trial[CONTA],Tab_00.Trial[NV],"",0,1)</f>
        <v>5</v>
      </c>
      <c r="D166" s="2" t="str">
        <f>_xlfn.XLOOKUP($I166,Tab_00.Trial[CONTA],Tab_00.Trial[S/A],"",0,1)</f>
        <v>S</v>
      </c>
      <c r="E166" s="2">
        <f>IF($I166="","",COUNTIFS(Tab_00.Trial[CONTA],$I166))</f>
        <v>1</v>
      </c>
      <c r="F166" s="4">
        <f>SUMIFS(Tab_11.Nov[SALDO
ATUAL],Tab_11.Nov[CONTA],$I166)</f>
        <v>-2746283.03</v>
      </c>
      <c r="G166" s="4">
        <f t="shared" si="4"/>
        <v>0</v>
      </c>
      <c r="H166" s="190">
        <v>31665</v>
      </c>
      <c r="I166" s="3" t="s">
        <v>586</v>
      </c>
      <c r="J166" s="3" t="s">
        <v>394</v>
      </c>
      <c r="K166" s="4">
        <v>-2746283.03</v>
      </c>
      <c r="L166" s="4">
        <v>137859</v>
      </c>
      <c r="M166" s="4">
        <v>44471.73</v>
      </c>
      <c r="N166" s="4">
        <v>-2652895.7599999998</v>
      </c>
      <c r="O166" s="4">
        <f>Tab_12.Dez[[#This Row],[DÉBITO]]-Tab_12.Dez[[#This Row],[CRÉDITO]]</f>
        <v>93387.27</v>
      </c>
    </row>
    <row r="167" spans="2:15" x14ac:dyDescent="0.3">
      <c r="B167" s="2" t="str">
        <f>_xlfn.XLOOKUP($I167,Tab_00.Trial[CONTA],Tab_00.Trial[TP],"",0,1)</f>
        <v>R</v>
      </c>
      <c r="C167" s="2">
        <f>_xlfn.XLOOKUP($I167,Tab_00.Trial[CONTA],Tab_00.Trial[NV],"",0,1)</f>
        <v>5</v>
      </c>
      <c r="D167" s="2" t="str">
        <f>_xlfn.XLOOKUP($I167,Tab_00.Trial[CONTA],Tab_00.Trial[S/A],"",0,1)</f>
        <v>A</v>
      </c>
      <c r="E167" s="2">
        <f>IF($I167="","",COUNTIFS(Tab_00.Trial[CONTA],$I167))</f>
        <v>1</v>
      </c>
      <c r="F167" s="4">
        <f>SUMIFS(Tab_11.Nov[SALDO
ATUAL],Tab_11.Nov[CONTA],$I167)</f>
        <v>-2746283.03</v>
      </c>
      <c r="G167" s="4">
        <f t="shared" si="4"/>
        <v>0</v>
      </c>
      <c r="H167" s="190">
        <v>31680</v>
      </c>
      <c r="I167" s="3" t="s">
        <v>393</v>
      </c>
      <c r="J167" s="3" t="s">
        <v>394</v>
      </c>
      <c r="K167" s="4">
        <v>-2746283.03</v>
      </c>
      <c r="L167" s="4">
        <v>137859</v>
      </c>
      <c r="M167" s="4">
        <v>44471.73</v>
      </c>
      <c r="N167" s="4">
        <v>-2652895.7599999998</v>
      </c>
      <c r="O167" s="4">
        <f>Tab_12.Dez[[#This Row],[DÉBITO]]-Tab_12.Dez[[#This Row],[CRÉDITO]]</f>
        <v>93387.27</v>
      </c>
    </row>
    <row r="168" spans="2:15" x14ac:dyDescent="0.3">
      <c r="B168" s="2" t="str">
        <f>_xlfn.XLOOKUP($I168,Tab_00.Trial[CONTA],Tab_00.Trial[TP],"",0,1)</f>
        <v>R</v>
      </c>
      <c r="C168" s="2">
        <f>_xlfn.XLOOKUP($I168,Tab_00.Trial[CONTA],Tab_00.Trial[NV],"",0,1)</f>
        <v>2</v>
      </c>
      <c r="D168" s="2" t="str">
        <f>_xlfn.XLOOKUP($I168,Tab_00.Trial[CONTA],Tab_00.Trial[S/A],"",0,1)</f>
        <v>S</v>
      </c>
      <c r="E168" s="2">
        <f>IF($I168="","",COUNTIFS(Tab_00.Trial[CONTA],$I168))</f>
        <v>1</v>
      </c>
      <c r="F168" s="4">
        <f>SUMIFS(Tab_11.Nov[SALDO
ATUAL],Tab_11.Nov[CONTA],$I168)</f>
        <v>-7450</v>
      </c>
      <c r="G168" s="4">
        <f t="shared" si="4"/>
        <v>0</v>
      </c>
      <c r="H168" s="190">
        <v>31725</v>
      </c>
      <c r="I168" s="3" t="s">
        <v>587</v>
      </c>
      <c r="J168" s="3" t="s">
        <v>691</v>
      </c>
      <c r="K168" s="4">
        <v>-7450</v>
      </c>
      <c r="L168" s="4">
        <v>0</v>
      </c>
      <c r="M168" s="4">
        <v>0</v>
      </c>
      <c r="N168" s="4">
        <v>-7450</v>
      </c>
      <c r="O168" s="4">
        <f>Tab_12.Dez[[#This Row],[DÉBITO]]-Tab_12.Dez[[#This Row],[CRÉDITO]]</f>
        <v>0</v>
      </c>
    </row>
    <row r="169" spans="2:15" x14ac:dyDescent="0.3">
      <c r="B169" s="2" t="str">
        <f>_xlfn.XLOOKUP($I169,Tab_00.Trial[CONTA],Tab_00.Trial[TP],"",0,1)</f>
        <v>R</v>
      </c>
      <c r="C169" s="2">
        <f>_xlfn.XLOOKUP($I169,Tab_00.Trial[CONTA],Tab_00.Trial[NV],"",0,1)</f>
        <v>5</v>
      </c>
      <c r="D169" s="2" t="str">
        <f>_xlfn.XLOOKUP($I169,Tab_00.Trial[CONTA],Tab_00.Trial[S/A],"",0,1)</f>
        <v>S</v>
      </c>
      <c r="E169" s="2">
        <f>IF($I169="","",COUNTIFS(Tab_00.Trial[CONTA],$I169))</f>
        <v>1</v>
      </c>
      <c r="F169" s="4">
        <f>SUMIFS(Tab_11.Nov[SALDO
ATUAL],Tab_11.Nov[CONTA],$I169)</f>
        <v>-7450</v>
      </c>
      <c r="G169" s="4">
        <f t="shared" si="4"/>
        <v>0</v>
      </c>
      <c r="H169" s="190">
        <v>30722</v>
      </c>
      <c r="I169" s="3" t="s">
        <v>588</v>
      </c>
      <c r="J169" s="3" t="s">
        <v>692</v>
      </c>
      <c r="K169" s="4">
        <v>-7450</v>
      </c>
      <c r="L169" s="4">
        <v>0</v>
      </c>
      <c r="M169" s="4">
        <v>0</v>
      </c>
      <c r="N169" s="4">
        <v>-7450</v>
      </c>
      <c r="O169" s="4">
        <f>Tab_12.Dez[[#This Row],[DÉBITO]]-Tab_12.Dez[[#This Row],[CRÉDITO]]</f>
        <v>0</v>
      </c>
    </row>
    <row r="170" spans="2:15" x14ac:dyDescent="0.3">
      <c r="B170" s="2" t="str">
        <f>_xlfn.XLOOKUP($I170,Tab_00.Trial[CONTA],Tab_00.Trial[TP],"",0,1)</f>
        <v>R</v>
      </c>
      <c r="C170" s="2">
        <f>_xlfn.XLOOKUP($I170,Tab_00.Trial[CONTA],Tab_00.Trial[NV],"",0,1)</f>
        <v>5</v>
      </c>
      <c r="D170" s="2" t="str">
        <f>_xlfn.XLOOKUP($I170,Tab_00.Trial[CONTA],Tab_00.Trial[S/A],"",0,1)</f>
        <v>S</v>
      </c>
      <c r="E170" s="2">
        <f>IF($I170="","",COUNTIFS(Tab_00.Trial[CONTA],$I170))</f>
        <v>1</v>
      </c>
      <c r="F170" s="4">
        <f>SUMIFS(Tab_11.Nov[SALDO
ATUAL],Tab_11.Nov[CONTA],$I170)</f>
        <v>-7450</v>
      </c>
      <c r="G170" s="4">
        <f t="shared" si="4"/>
        <v>0</v>
      </c>
      <c r="H170" s="190">
        <v>30729</v>
      </c>
      <c r="I170" s="3" t="s">
        <v>589</v>
      </c>
      <c r="J170" s="3" t="s">
        <v>692</v>
      </c>
      <c r="K170" s="4">
        <v>-7450</v>
      </c>
      <c r="L170" s="4">
        <v>0</v>
      </c>
      <c r="M170" s="4">
        <v>0</v>
      </c>
      <c r="N170" s="4">
        <v>-7450</v>
      </c>
      <c r="O170" s="4">
        <f>Tab_12.Dez[[#This Row],[DÉBITO]]-Tab_12.Dez[[#This Row],[CRÉDITO]]</f>
        <v>0</v>
      </c>
    </row>
    <row r="171" spans="2:15" x14ac:dyDescent="0.3">
      <c r="B171" s="2" t="str">
        <f>_xlfn.XLOOKUP($I171,Tab_00.Trial[CONTA],Tab_00.Trial[TP],"",0,1)</f>
        <v>R</v>
      </c>
      <c r="C171" s="2">
        <f>_xlfn.XLOOKUP($I171,Tab_00.Trial[CONTA],Tab_00.Trial[NV],"",0,1)</f>
        <v>5</v>
      </c>
      <c r="D171" s="2" t="str">
        <f>_xlfn.XLOOKUP($I171,Tab_00.Trial[CONTA],Tab_00.Trial[S/A],"",0,1)</f>
        <v>A</v>
      </c>
      <c r="E171" s="2">
        <f>IF($I171="","",COUNTIFS(Tab_00.Trial[CONTA],$I171))</f>
        <v>1</v>
      </c>
      <c r="F171" s="4">
        <f>SUMIFS(Tab_11.Nov[SALDO
ATUAL],Tab_11.Nov[CONTA],$I171)</f>
        <v>-7450</v>
      </c>
      <c r="G171" s="4">
        <f t="shared" si="4"/>
        <v>0</v>
      </c>
      <c r="H171" s="190">
        <v>30736</v>
      </c>
      <c r="I171" s="3" t="s">
        <v>395</v>
      </c>
      <c r="J171" s="3" t="s">
        <v>396</v>
      </c>
      <c r="K171" s="4">
        <v>-7450</v>
      </c>
      <c r="L171" s="4">
        <v>0</v>
      </c>
      <c r="M171" s="4">
        <v>0</v>
      </c>
      <c r="N171" s="4">
        <v>-7450</v>
      </c>
      <c r="O171" s="4">
        <f>Tab_12.Dez[[#This Row],[DÉBITO]]-Tab_12.Dez[[#This Row],[CRÉDITO]]</f>
        <v>0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1</v>
      </c>
      <c r="D172" s="2" t="str">
        <f>_xlfn.XLOOKUP($I172,Tab_00.Trial[CONTA],Tab_00.Trial[S/A],"",0,1)</f>
        <v>S</v>
      </c>
      <c r="E172" s="2">
        <f>IF($I172="","",COUNTIFS(Tab_00.Trial[CONTA],$I172))</f>
        <v>1</v>
      </c>
      <c r="F172" s="4">
        <f>SUMIFS(Tab_11.Nov[SALDO
ATUAL],Tab_11.Nov[CONTA],$I172)</f>
        <v>8854916.7899999991</v>
      </c>
      <c r="G172" s="4">
        <f t="shared" si="4"/>
        <v>0</v>
      </c>
      <c r="H172" s="190">
        <v>40000</v>
      </c>
      <c r="I172" s="3">
        <v>4</v>
      </c>
      <c r="J172" s="3" t="s">
        <v>693</v>
      </c>
      <c r="K172" s="4">
        <v>8854916.7899999991</v>
      </c>
      <c r="L172" s="4">
        <v>1637238.46</v>
      </c>
      <c r="M172" s="4">
        <v>15179.07</v>
      </c>
      <c r="N172" s="4">
        <v>10476976.18</v>
      </c>
      <c r="O172" s="4">
        <f>Tab_12.Dez[[#This Row],[DÉBITO]]-Tab_12.Dez[[#This Row],[CRÉDITO]]</f>
        <v>1622059.39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2</v>
      </c>
      <c r="D173" s="2" t="str">
        <f>_xlfn.XLOOKUP($I173,Tab_00.Trial[CONTA],Tab_00.Trial[S/A],"",0,1)</f>
        <v>S</v>
      </c>
      <c r="E173" s="2">
        <f>IF($I173="","",COUNTIFS(Tab_00.Trial[CONTA],$I173))</f>
        <v>1</v>
      </c>
      <c r="F173" s="4">
        <f>SUMIFS(Tab_11.Nov[SALDO
ATUAL],Tab_11.Nov[CONTA],$I173)</f>
        <v>8853645.7899999991</v>
      </c>
      <c r="G173" s="4">
        <f t="shared" si="4"/>
        <v>0</v>
      </c>
      <c r="H173" s="190">
        <v>40015</v>
      </c>
      <c r="I173" s="3" t="s">
        <v>234</v>
      </c>
      <c r="J173" s="3" t="s">
        <v>817</v>
      </c>
      <c r="K173" s="4">
        <v>8853645.7899999991</v>
      </c>
      <c r="L173" s="4">
        <v>1637238.46</v>
      </c>
      <c r="M173" s="4">
        <v>15179.07</v>
      </c>
      <c r="N173" s="4">
        <v>10475705.18</v>
      </c>
      <c r="O173" s="4">
        <f>Tab_12.Dez[[#This Row],[DÉBITO]]-Tab_12.Dez[[#This Row],[CRÉDITO]]</f>
        <v>1622059.39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S</v>
      </c>
      <c r="E174" s="2">
        <f>IF($I174="","",COUNTIFS(Tab_00.Trial[CONTA],$I174))</f>
        <v>1</v>
      </c>
      <c r="F174" s="4">
        <f>SUMIFS(Tab_11.Nov[SALDO
ATUAL],Tab_11.Nov[CONTA],$I174)</f>
        <v>1839414.63</v>
      </c>
      <c r="G174" s="4">
        <f t="shared" si="4"/>
        <v>0</v>
      </c>
      <c r="H174" s="190">
        <v>40030</v>
      </c>
      <c r="I174" s="3" t="s">
        <v>235</v>
      </c>
      <c r="J174" s="3" t="s">
        <v>818</v>
      </c>
      <c r="K174" s="4">
        <v>1839414.63</v>
      </c>
      <c r="L174" s="4">
        <v>182607.07</v>
      </c>
      <c r="M174" s="4">
        <v>15179.07</v>
      </c>
      <c r="N174" s="4">
        <v>2006842.63</v>
      </c>
      <c r="O174" s="4">
        <f>Tab_12.Dez[[#This Row],[DÉBITO]]-Tab_12.Dez[[#This Row],[CRÉDITO]]</f>
        <v>167428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S</v>
      </c>
      <c r="E175" s="2">
        <f>IF($I175="","",COUNTIFS(Tab_00.Trial[CONTA],$I175))</f>
        <v>1</v>
      </c>
      <c r="F175" s="4">
        <f>SUMIFS(Tab_11.Nov[SALDO
ATUAL],Tab_11.Nov[CONTA],$I175)</f>
        <v>760522.57</v>
      </c>
      <c r="G175" s="4">
        <f t="shared" si="4"/>
        <v>0</v>
      </c>
      <c r="H175" s="190">
        <v>40045</v>
      </c>
      <c r="I175" s="3" t="s">
        <v>236</v>
      </c>
      <c r="J175" s="3" t="s">
        <v>696</v>
      </c>
      <c r="K175" s="4">
        <v>760522.57</v>
      </c>
      <c r="L175" s="4">
        <v>95060.66</v>
      </c>
      <c r="M175" s="4">
        <v>10700.4</v>
      </c>
      <c r="N175" s="4">
        <v>844882.83</v>
      </c>
      <c r="O175" s="4">
        <f>Tab_12.Dez[[#This Row],[DÉBITO]]-Tab_12.Dez[[#This Row],[CRÉDITO]]</f>
        <v>84360.26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A</v>
      </c>
      <c r="E176" s="2">
        <f>IF($I176="","",COUNTIFS(Tab_00.Trial[CONTA],$I176))</f>
        <v>1</v>
      </c>
      <c r="F176" s="4">
        <f>SUMIFS(Tab_11.Nov[SALDO
ATUAL],Tab_11.Nov[CONTA],$I176)</f>
        <v>549917.99</v>
      </c>
      <c r="G176" s="4">
        <f t="shared" si="4"/>
        <v>0</v>
      </c>
      <c r="H176" s="190">
        <v>40060</v>
      </c>
      <c r="I176" s="3" t="s">
        <v>195</v>
      </c>
      <c r="J176" s="3" t="s">
        <v>427</v>
      </c>
      <c r="K176" s="4">
        <v>549917.99</v>
      </c>
      <c r="L176" s="4">
        <v>71795.7</v>
      </c>
      <c r="M176" s="4">
        <v>9309.68</v>
      </c>
      <c r="N176" s="4">
        <v>612404.01</v>
      </c>
      <c r="O176" s="4">
        <f>Tab_12.Dez[[#This Row],[DÉBITO]]-Tab_12.Dez[[#This Row],[CRÉDITO]]</f>
        <v>62486.02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A</v>
      </c>
      <c r="E177" s="2">
        <f>IF($I177="","",COUNTIFS(Tab_00.Trial[CONTA],$I177))</f>
        <v>1</v>
      </c>
      <c r="F177" s="4">
        <f>SUMIFS(Tab_11.Nov[SALDO
ATUAL],Tab_11.Nov[CONTA],$I177)</f>
        <v>93631.43</v>
      </c>
      <c r="G177" s="4">
        <f t="shared" si="4"/>
        <v>0</v>
      </c>
      <c r="H177" s="190">
        <v>40075</v>
      </c>
      <c r="I177" s="3" t="s">
        <v>430</v>
      </c>
      <c r="J177" s="3" t="s">
        <v>431</v>
      </c>
      <c r="K177" s="4">
        <v>93631.43</v>
      </c>
      <c r="L177" s="4">
        <v>12630.74</v>
      </c>
      <c r="M177" s="4">
        <v>0</v>
      </c>
      <c r="N177" s="4">
        <v>106262.17</v>
      </c>
      <c r="O177" s="4">
        <f>Tab_12.Dez[[#This Row],[DÉBITO]]-Tab_12.Dez[[#This Row],[CRÉDITO]]</f>
        <v>12630.74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A</v>
      </c>
      <c r="E178" s="2">
        <f>IF($I178="","",COUNTIFS(Tab_00.Trial[CONTA],$I178))</f>
        <v>1</v>
      </c>
      <c r="F178" s="4">
        <f>SUMIFS(Tab_11.Nov[SALDO
ATUAL],Tab_11.Nov[CONTA],$I178)</f>
        <v>48912.75</v>
      </c>
      <c r="G178" s="4">
        <f t="shared" si="4"/>
        <v>0</v>
      </c>
      <c r="H178" s="190">
        <v>40085</v>
      </c>
      <c r="I178" s="3" t="s">
        <v>432</v>
      </c>
      <c r="J178" s="3" t="s">
        <v>433</v>
      </c>
      <c r="K178" s="4">
        <v>48912.75</v>
      </c>
      <c r="L178" s="4">
        <v>4475.91</v>
      </c>
      <c r="M178" s="4">
        <v>1041.45</v>
      </c>
      <c r="N178" s="4">
        <v>52347.21</v>
      </c>
      <c r="O178" s="4">
        <f>Tab_12.Dez[[#This Row],[DÉBITO]]-Tab_12.Dez[[#This Row],[CRÉDITO]]</f>
        <v>3434.46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A</v>
      </c>
      <c r="E179" s="2">
        <f>IF($I179="","",COUNTIFS(Tab_00.Trial[CONTA],$I179))</f>
        <v>1</v>
      </c>
      <c r="F179" s="4">
        <f>SUMIFS(Tab_11.Nov[SALDO
ATUAL],Tab_11.Nov[CONTA],$I179)</f>
        <v>46469.52</v>
      </c>
      <c r="G179" s="4">
        <f t="shared" si="4"/>
        <v>0</v>
      </c>
      <c r="H179" s="190">
        <v>10111</v>
      </c>
      <c r="I179" s="3" t="s">
        <v>790</v>
      </c>
      <c r="J179" s="3" t="s">
        <v>791</v>
      </c>
      <c r="K179" s="4">
        <v>46469.52</v>
      </c>
      <c r="L179" s="4">
        <v>3360.42</v>
      </c>
      <c r="M179" s="4">
        <v>0</v>
      </c>
      <c r="N179" s="4">
        <v>49829.94</v>
      </c>
      <c r="O179" s="4">
        <f>Tab_12.Dez[[#This Row],[DÉBITO]]-Tab_12.Dez[[#This Row],[CRÉDITO]]</f>
        <v>3360.42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A</v>
      </c>
      <c r="E180" s="2">
        <f>IF($I180="","",COUNTIFS(Tab_00.Trial[CONTA],$I180))</f>
        <v>1</v>
      </c>
      <c r="F180" s="4">
        <f>SUMIFS(Tab_11.Nov[SALDO
ATUAL],Tab_11.Nov[CONTA],$I180)</f>
        <v>3853.21</v>
      </c>
      <c r="G180" s="4">
        <f t="shared" si="4"/>
        <v>0</v>
      </c>
      <c r="H180" s="190">
        <v>10118</v>
      </c>
      <c r="I180" s="3" t="s">
        <v>792</v>
      </c>
      <c r="J180" s="3" t="s">
        <v>793</v>
      </c>
      <c r="K180" s="4">
        <v>3853.21</v>
      </c>
      <c r="L180" s="4">
        <v>1003.1</v>
      </c>
      <c r="M180" s="4">
        <v>0</v>
      </c>
      <c r="N180" s="4">
        <v>4856.3100000000004</v>
      </c>
      <c r="O180" s="4">
        <f>Tab_12.Dez[[#This Row],[DÉBITO]]-Tab_12.Dez[[#This Row],[CRÉDITO]]</f>
        <v>1003.1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A</v>
      </c>
      <c r="E181" s="2">
        <f>IF($I181="","",COUNTIFS(Tab_00.Trial[CONTA],$I181))</f>
        <v>1</v>
      </c>
      <c r="F181" s="4">
        <f>SUMIFS(Tab_11.Nov[SALDO
ATUAL],Tab_11.Nov[CONTA],$I181)</f>
        <v>365.56</v>
      </c>
      <c r="G181" s="4">
        <f t="shared" si="4"/>
        <v>0</v>
      </c>
      <c r="H181" s="190">
        <v>10139</v>
      </c>
      <c r="I181" s="3" t="s">
        <v>794</v>
      </c>
      <c r="J181" s="3" t="s">
        <v>795</v>
      </c>
      <c r="K181" s="4">
        <v>365.56</v>
      </c>
      <c r="L181" s="4">
        <v>0</v>
      </c>
      <c r="M181" s="4">
        <v>0</v>
      </c>
      <c r="N181" s="4">
        <v>365.56</v>
      </c>
      <c r="O181" s="4">
        <f>Tab_12.Dez[[#This Row],[DÉBITO]]-Tab_12.Dez[[#This Row],[CRÉDITO]]</f>
        <v>0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A</v>
      </c>
      <c r="E182" s="2">
        <f>IF($I182="","",COUNTIFS(Tab_00.Trial[CONTA],$I182))</f>
        <v>1</v>
      </c>
      <c r="F182" s="4">
        <f>SUMIFS(Tab_11.Nov[SALDO
ATUAL],Tab_11.Nov[CONTA],$I182)</f>
        <v>12943.65</v>
      </c>
      <c r="G182" s="4">
        <f t="shared" si="4"/>
        <v>0</v>
      </c>
      <c r="H182" s="190">
        <v>10146</v>
      </c>
      <c r="I182" s="3" t="s">
        <v>796</v>
      </c>
      <c r="J182" s="3" t="s">
        <v>797</v>
      </c>
      <c r="K182" s="4">
        <v>12943.65</v>
      </c>
      <c r="L182" s="4">
        <v>1257.2</v>
      </c>
      <c r="M182" s="4">
        <v>267.45999999999998</v>
      </c>
      <c r="N182" s="4">
        <v>13933.39</v>
      </c>
      <c r="O182" s="4">
        <f>Tab_12.Dez[[#This Row],[DÉBITO]]-Tab_12.Dez[[#This Row],[CRÉDITO]]</f>
        <v>989.74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A</v>
      </c>
      <c r="E183" s="2">
        <f>IF($I183="","",COUNTIFS(Tab_00.Trial[CONTA],$I183))</f>
        <v>1</v>
      </c>
      <c r="F183" s="4">
        <f>SUMIFS(Tab_11.Nov[SALDO
ATUAL],Tab_11.Nov[CONTA],$I183)</f>
        <v>3913</v>
      </c>
      <c r="G183" s="4">
        <f t="shared" si="4"/>
        <v>0</v>
      </c>
      <c r="H183" s="190">
        <v>10153</v>
      </c>
      <c r="I183" s="3" t="s">
        <v>798</v>
      </c>
      <c r="J183" s="3" t="s">
        <v>799</v>
      </c>
      <c r="K183" s="4">
        <v>3913</v>
      </c>
      <c r="L183" s="4">
        <v>375.3</v>
      </c>
      <c r="M183" s="4">
        <v>71.83</v>
      </c>
      <c r="N183" s="4">
        <v>4216.47</v>
      </c>
      <c r="O183" s="4">
        <f>Tab_12.Dez[[#This Row],[DÉBITO]]-Tab_12.Dez[[#This Row],[CRÉDITO]]</f>
        <v>303.47000000000003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A</v>
      </c>
      <c r="E184" s="2">
        <f>IF($I184="","",COUNTIFS(Tab_00.Trial[CONTA],$I184))</f>
        <v>1</v>
      </c>
      <c r="F184" s="4">
        <f>SUMIFS(Tab_11.Nov[SALDO
ATUAL],Tab_11.Nov[CONTA],$I184)</f>
        <v>515.46</v>
      </c>
      <c r="G184" s="4">
        <f t="shared" si="4"/>
        <v>0</v>
      </c>
      <c r="H184" s="190">
        <v>10160</v>
      </c>
      <c r="I184" s="3" t="s">
        <v>800</v>
      </c>
      <c r="J184" s="3" t="s">
        <v>801</v>
      </c>
      <c r="K184" s="4">
        <v>515.46</v>
      </c>
      <c r="L184" s="4">
        <v>162.29</v>
      </c>
      <c r="M184" s="4">
        <v>9.98</v>
      </c>
      <c r="N184" s="4">
        <v>667.77</v>
      </c>
      <c r="O184" s="4">
        <f>Tab_12.Dez[[#This Row],[DÉBITO]]-Tab_12.Dez[[#This Row],[CRÉDITO]]</f>
        <v>152.31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S</v>
      </c>
      <c r="E185" s="2">
        <f>IF($I185="","",COUNTIFS(Tab_00.Trial[CONTA],$I185))</f>
        <v>1</v>
      </c>
      <c r="F185" s="4">
        <f>SUMIFS(Tab_11.Nov[SALDO
ATUAL],Tab_11.Nov[CONTA],$I185)</f>
        <v>274047.57</v>
      </c>
      <c r="G185" s="4">
        <f t="shared" si="4"/>
        <v>0</v>
      </c>
      <c r="H185" s="190">
        <v>40150</v>
      </c>
      <c r="I185" s="3" t="s">
        <v>590</v>
      </c>
      <c r="J185" s="3" t="s">
        <v>697</v>
      </c>
      <c r="K185" s="4">
        <v>274047.57</v>
      </c>
      <c r="L185" s="4">
        <v>25971.57</v>
      </c>
      <c r="M185" s="4">
        <v>4478.67</v>
      </c>
      <c r="N185" s="4">
        <v>295540.46999999997</v>
      </c>
      <c r="O185" s="4">
        <f>Tab_12.Dez[[#This Row],[DÉBITO]]-Tab_12.Dez[[#This Row],[CRÉDITO]]</f>
        <v>21492.9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A</v>
      </c>
      <c r="E186" s="2">
        <f>IF($I186="","",COUNTIFS(Tab_00.Trial[CONTA],$I186))</f>
        <v>1</v>
      </c>
      <c r="F186" s="4">
        <f>SUMIFS(Tab_11.Nov[SALDO
ATUAL],Tab_11.Nov[CONTA],$I186)</f>
        <v>268466.71999999997</v>
      </c>
      <c r="G186" s="4">
        <f t="shared" si="4"/>
        <v>0</v>
      </c>
      <c r="H186" s="190">
        <v>40165</v>
      </c>
      <c r="I186" s="3" t="s">
        <v>434</v>
      </c>
      <c r="J186" s="3" t="s">
        <v>435</v>
      </c>
      <c r="K186" s="4">
        <v>268466.71999999997</v>
      </c>
      <c r="L186" s="4">
        <v>25971.57</v>
      </c>
      <c r="M186" s="4">
        <v>3163.54</v>
      </c>
      <c r="N186" s="4">
        <v>291274.75</v>
      </c>
      <c r="O186" s="4">
        <f>Tab_12.Dez[[#This Row],[DÉBITO]]-Tab_12.Dez[[#This Row],[CRÉDITO]]</f>
        <v>22808.03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A</v>
      </c>
      <c r="E187" s="2">
        <f>IF($I187="","",COUNTIFS(Tab_00.Trial[CONTA],$I187))</f>
        <v>1</v>
      </c>
      <c r="F187" s="4">
        <f>SUMIFS(Tab_11.Nov[SALDO
ATUAL],Tab_11.Nov[CONTA],$I187)</f>
        <v>5580.85</v>
      </c>
      <c r="G187" s="4">
        <f t="shared" si="4"/>
        <v>0</v>
      </c>
      <c r="H187" s="190">
        <v>40195</v>
      </c>
      <c r="I187" s="3" t="s">
        <v>750</v>
      </c>
      <c r="J187" s="3" t="s">
        <v>751</v>
      </c>
      <c r="K187" s="4">
        <v>5580.85</v>
      </c>
      <c r="L187" s="4">
        <v>0</v>
      </c>
      <c r="M187" s="4">
        <v>1315.13</v>
      </c>
      <c r="N187" s="4">
        <v>4265.72</v>
      </c>
      <c r="O187" s="4">
        <f>Tab_12.Dez[[#This Row],[DÉBITO]]-Tab_12.Dez[[#This Row],[CRÉDITO]]</f>
        <v>-1315.13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S</v>
      </c>
      <c r="E188" s="2">
        <f>IF($I188="","",COUNTIFS(Tab_00.Trial[CONTA],$I188))</f>
        <v>1</v>
      </c>
      <c r="F188" s="4">
        <f>SUMIFS(Tab_11.Nov[SALDO
ATUAL],Tab_11.Nov[CONTA],$I188)</f>
        <v>225903.28</v>
      </c>
      <c r="G188" s="4">
        <f t="shared" si="4"/>
        <v>0</v>
      </c>
      <c r="H188" s="190">
        <v>40210</v>
      </c>
      <c r="I188" s="3" t="s">
        <v>591</v>
      </c>
      <c r="J188" s="3" t="s">
        <v>698</v>
      </c>
      <c r="K188" s="4">
        <v>225903.28</v>
      </c>
      <c r="L188" s="4">
        <v>21657.37</v>
      </c>
      <c r="M188" s="4">
        <v>0</v>
      </c>
      <c r="N188" s="4">
        <v>247560.65</v>
      </c>
      <c r="O188" s="4">
        <f>Tab_12.Dez[[#This Row],[DÉBITO]]-Tab_12.Dez[[#This Row],[CRÉDITO]]</f>
        <v>21657.37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A</v>
      </c>
      <c r="E189" s="2">
        <f>IF($I189="","",COUNTIFS(Tab_00.Trial[CONTA],$I189))</f>
        <v>1</v>
      </c>
      <c r="F189" s="4">
        <f>SUMIFS(Tab_11.Nov[SALDO
ATUAL],Tab_11.Nov[CONTA],$I189)</f>
        <v>175882.43</v>
      </c>
      <c r="G189" s="4">
        <f t="shared" si="4"/>
        <v>0</v>
      </c>
      <c r="H189" s="190">
        <v>40225</v>
      </c>
      <c r="I189" s="3" t="s">
        <v>436</v>
      </c>
      <c r="J189" s="3" t="s">
        <v>437</v>
      </c>
      <c r="K189" s="4">
        <v>175882.43</v>
      </c>
      <c r="L189" s="4">
        <v>16267.6</v>
      </c>
      <c r="M189" s="4">
        <v>0</v>
      </c>
      <c r="N189" s="4">
        <v>192150.03</v>
      </c>
      <c r="O189" s="4">
        <f>Tab_12.Dez[[#This Row],[DÉBITO]]-Tab_12.Dez[[#This Row],[CRÉDITO]]</f>
        <v>16267.6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A</v>
      </c>
      <c r="E190" s="2">
        <f>IF($I190="","",COUNTIFS(Tab_00.Trial[CONTA],$I190))</f>
        <v>1</v>
      </c>
      <c r="F190" s="4">
        <f>SUMIFS(Tab_11.Nov[SALDO
ATUAL],Tab_11.Nov[CONTA],$I190)</f>
        <v>43762.63</v>
      </c>
      <c r="G190" s="4">
        <f t="shared" si="4"/>
        <v>0</v>
      </c>
      <c r="H190" s="190">
        <v>40240</v>
      </c>
      <c r="I190" s="3" t="s">
        <v>438</v>
      </c>
      <c r="J190" s="3" t="s">
        <v>196</v>
      </c>
      <c r="K190" s="4">
        <v>43762.63</v>
      </c>
      <c r="L190" s="4">
        <v>4855.9799999999996</v>
      </c>
      <c r="M190" s="4">
        <v>0</v>
      </c>
      <c r="N190" s="4">
        <v>48618.61</v>
      </c>
      <c r="O190" s="4">
        <f>Tab_12.Dez[[#This Row],[DÉBITO]]-Tab_12.Dez[[#This Row],[CRÉDITO]]</f>
        <v>4855.9799999999996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A</v>
      </c>
      <c r="E191" s="2">
        <f>IF($I191="","",COUNTIFS(Tab_00.Trial[CONTA],$I191))</f>
        <v>1</v>
      </c>
      <c r="F191" s="4">
        <f>SUMIFS(Tab_11.Nov[SALDO
ATUAL],Tab_11.Nov[CONTA],$I191)</f>
        <v>6258.22</v>
      </c>
      <c r="G191" s="4">
        <f t="shared" si="4"/>
        <v>0</v>
      </c>
      <c r="H191" s="190">
        <v>40255</v>
      </c>
      <c r="I191" s="3" t="s">
        <v>439</v>
      </c>
      <c r="J191" s="3" t="s">
        <v>440</v>
      </c>
      <c r="K191" s="4">
        <v>6258.22</v>
      </c>
      <c r="L191" s="4">
        <v>533.79</v>
      </c>
      <c r="M191" s="4">
        <v>0</v>
      </c>
      <c r="N191" s="4">
        <v>6792.01</v>
      </c>
      <c r="O191" s="4">
        <f>Tab_12.Dez[[#This Row],[DÉBITO]]-Tab_12.Dez[[#This Row],[CRÉDITO]]</f>
        <v>533.79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S</v>
      </c>
      <c r="E192" s="2">
        <f>IF($I192="","",COUNTIFS(Tab_00.Trial[CONTA],$I192))</f>
        <v>1</v>
      </c>
      <c r="F192" s="4">
        <f>SUMIFS(Tab_11.Nov[SALDO
ATUAL],Tab_11.Nov[CONTA],$I192)</f>
        <v>12548.87</v>
      </c>
      <c r="G192" s="4">
        <f t="shared" si="4"/>
        <v>0</v>
      </c>
      <c r="H192" s="190">
        <v>40285</v>
      </c>
      <c r="I192" s="3" t="s">
        <v>592</v>
      </c>
      <c r="J192" s="3" t="s">
        <v>699</v>
      </c>
      <c r="K192" s="4">
        <v>12548.87</v>
      </c>
      <c r="L192" s="4">
        <v>1359.52</v>
      </c>
      <c r="M192" s="4">
        <v>0</v>
      </c>
      <c r="N192" s="4">
        <v>13908.39</v>
      </c>
      <c r="O192" s="4">
        <f>Tab_12.Dez[[#This Row],[DÉBITO]]-Tab_12.Dez[[#This Row],[CRÉDITO]]</f>
        <v>1359.52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5</v>
      </c>
      <c r="D193" s="2" t="str">
        <f>_xlfn.XLOOKUP($I193,Tab_00.Trial[CONTA],Tab_00.Trial[S/A],"",0,1)</f>
        <v>A</v>
      </c>
      <c r="E193" s="2">
        <f>IF($I193="","",COUNTIFS(Tab_00.Trial[CONTA],$I193))</f>
        <v>1</v>
      </c>
      <c r="F193" s="4">
        <f>SUMIFS(Tab_11.Nov[SALDO
ATUAL],Tab_11.Nov[CONTA],$I193)</f>
        <v>10917.24</v>
      </c>
      <c r="G193" s="4">
        <f t="shared" si="4"/>
        <v>0</v>
      </c>
      <c r="H193" s="190">
        <v>40300</v>
      </c>
      <c r="I193" s="3" t="s">
        <v>397</v>
      </c>
      <c r="J193" s="3" t="s">
        <v>398</v>
      </c>
      <c r="K193" s="4">
        <v>10917.24</v>
      </c>
      <c r="L193" s="4">
        <v>1359.52</v>
      </c>
      <c r="M193" s="4">
        <v>0</v>
      </c>
      <c r="N193" s="4">
        <v>12276.76</v>
      </c>
      <c r="O193" s="4">
        <f>Tab_12.Dez[[#This Row],[DÉBITO]]-Tab_12.Dez[[#This Row],[CRÉDITO]]</f>
        <v>1359.52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5</v>
      </c>
      <c r="D194" s="2" t="str">
        <f>_xlfn.XLOOKUP($I194,Tab_00.Trial[CONTA],Tab_00.Trial[S/A],"",0,1)</f>
        <v>A</v>
      </c>
      <c r="E194" s="2">
        <f>IF($I194="","",COUNTIFS(Tab_00.Trial[CONTA],$I194))</f>
        <v>1</v>
      </c>
      <c r="F194" s="4">
        <f>SUMIFS(Tab_11.Nov[SALDO
ATUAL],Tab_11.Nov[CONTA],$I194)</f>
        <v>1631.63</v>
      </c>
      <c r="G194" s="4">
        <f t="shared" si="4"/>
        <v>0</v>
      </c>
      <c r="H194" s="190">
        <v>40315</v>
      </c>
      <c r="I194" s="3" t="s">
        <v>399</v>
      </c>
      <c r="J194" s="3" t="s">
        <v>400</v>
      </c>
      <c r="K194" s="4">
        <v>1631.63</v>
      </c>
      <c r="L194" s="4">
        <v>0</v>
      </c>
      <c r="M194" s="4">
        <v>0</v>
      </c>
      <c r="N194" s="4">
        <v>1631.63</v>
      </c>
      <c r="O194" s="4">
        <f>Tab_12.Dez[[#This Row],[DÉBITO]]-Tab_12.Dez[[#This Row],[CRÉDITO]]</f>
        <v>0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S</v>
      </c>
      <c r="E195" s="2">
        <f>IF($I195="","",COUNTIFS(Tab_00.Trial[CONTA],$I195))</f>
        <v>1</v>
      </c>
      <c r="F195" s="4">
        <f>SUMIFS(Tab_11.Nov[SALDO
ATUAL],Tab_11.Nov[CONTA],$I195)</f>
        <v>398262.2</v>
      </c>
      <c r="G195" s="4">
        <f t="shared" si="4"/>
        <v>0</v>
      </c>
      <c r="H195" s="190">
        <v>40295</v>
      </c>
      <c r="I195" s="3" t="s">
        <v>593</v>
      </c>
      <c r="J195" s="3" t="s">
        <v>711</v>
      </c>
      <c r="K195" s="4">
        <v>398262.2</v>
      </c>
      <c r="L195" s="4">
        <v>27305.96</v>
      </c>
      <c r="M195" s="4">
        <v>0</v>
      </c>
      <c r="N195" s="4">
        <v>425568.16</v>
      </c>
      <c r="O195" s="4">
        <f>Tab_12.Dez[[#This Row],[DÉBITO]]-Tab_12.Dez[[#This Row],[CRÉDITO]]</f>
        <v>27305.96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A</v>
      </c>
      <c r="E196" s="2">
        <f>IF($I196="","",COUNTIFS(Tab_00.Trial[CONTA],$I196))</f>
        <v>1</v>
      </c>
      <c r="F196" s="4">
        <f>SUMIFS(Tab_11.Nov[SALDO
ATUAL],Tab_11.Nov[CONTA],$I196)</f>
        <v>48374.95</v>
      </c>
      <c r="G196" s="4">
        <f t="shared" si="4"/>
        <v>0</v>
      </c>
      <c r="H196" s="190">
        <v>40339</v>
      </c>
      <c r="I196" s="3" t="s">
        <v>403</v>
      </c>
      <c r="J196" s="3" t="s">
        <v>404</v>
      </c>
      <c r="K196" s="4">
        <v>48374.95</v>
      </c>
      <c r="L196" s="4">
        <v>4585.96</v>
      </c>
      <c r="M196" s="4">
        <v>0</v>
      </c>
      <c r="N196" s="4">
        <v>52960.91</v>
      </c>
      <c r="O196" s="4">
        <f>Tab_12.Dez[[#This Row],[DÉBITO]]-Tab_12.Dez[[#This Row],[CRÉDITO]]</f>
        <v>4585.96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5</v>
      </c>
      <c r="D197" s="2" t="str">
        <f>_xlfn.XLOOKUP($I197,Tab_00.Trial[CONTA],Tab_00.Trial[S/A],"",0,1)</f>
        <v>A</v>
      </c>
      <c r="E197" s="2">
        <f>IF($I197="","",COUNTIFS(Tab_00.Trial[CONTA],$I197))</f>
        <v>1</v>
      </c>
      <c r="F197" s="4">
        <f>SUMIFS(Tab_11.Nov[SALDO
ATUAL],Tab_11.Nov[CONTA],$I197)</f>
        <v>329522</v>
      </c>
      <c r="G197" s="4">
        <f t="shared" si="4"/>
        <v>0</v>
      </c>
      <c r="H197" s="190">
        <v>40341</v>
      </c>
      <c r="I197" s="3" t="s">
        <v>405</v>
      </c>
      <c r="J197" s="3" t="s">
        <v>406</v>
      </c>
      <c r="K197" s="4">
        <v>329522</v>
      </c>
      <c r="L197" s="4">
        <v>22720</v>
      </c>
      <c r="M197" s="4">
        <v>0</v>
      </c>
      <c r="N197" s="4">
        <v>352242</v>
      </c>
      <c r="O197" s="4">
        <f>Tab_12.Dez[[#This Row],[DÉBITO]]-Tab_12.Dez[[#This Row],[CRÉDITO]]</f>
        <v>22720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5</v>
      </c>
      <c r="D198" s="2" t="str">
        <f>_xlfn.XLOOKUP($I198,Tab_00.Trial[CONTA],Tab_00.Trial[S/A],"",0,1)</f>
        <v>A</v>
      </c>
      <c r="E198" s="2">
        <f>IF($I198="","",COUNTIFS(Tab_00.Trial[CONTA],$I198))</f>
        <v>1</v>
      </c>
      <c r="F198" s="4">
        <f>SUMIFS(Tab_11.Nov[SALDO
ATUAL],Tab_11.Nov[CONTA],$I198)</f>
        <v>20365.25</v>
      </c>
      <c r="G198" s="4">
        <f t="shared" si="4"/>
        <v>0</v>
      </c>
      <c r="H198" s="190">
        <v>40350</v>
      </c>
      <c r="I198" s="3" t="s">
        <v>407</v>
      </c>
      <c r="J198" s="3" t="s">
        <v>408</v>
      </c>
      <c r="K198" s="4">
        <v>20365.25</v>
      </c>
      <c r="L198" s="4">
        <v>0</v>
      </c>
      <c r="M198" s="4">
        <v>0</v>
      </c>
      <c r="N198" s="4">
        <v>20365.25</v>
      </c>
      <c r="O198" s="4">
        <f>Tab_12.Dez[[#This Row],[DÉBITO]]-Tab_12.Dez[[#This Row],[CRÉDITO]]</f>
        <v>0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5</v>
      </c>
      <c r="D199" s="2" t="str">
        <f>_xlfn.XLOOKUP($I199,Tab_00.Trial[CONTA],Tab_00.Trial[S/A],"",0,1)</f>
        <v>S</v>
      </c>
      <c r="E199" s="2">
        <f>IF($I199="","",COUNTIFS(Tab_00.Trial[CONTA],$I199))</f>
        <v>1</v>
      </c>
      <c r="F199" s="4">
        <f>SUMIFS(Tab_11.Nov[SALDO
ATUAL],Tab_11.Nov[CONTA],$I199)</f>
        <v>161035.01</v>
      </c>
      <c r="G199" s="4">
        <f t="shared" si="4"/>
        <v>0</v>
      </c>
      <c r="H199" s="190">
        <v>40353</v>
      </c>
      <c r="I199" s="3" t="s">
        <v>594</v>
      </c>
      <c r="J199" s="3" t="s">
        <v>819</v>
      </c>
      <c r="K199" s="4">
        <v>161035.01</v>
      </c>
      <c r="L199" s="4">
        <v>10824.73</v>
      </c>
      <c r="M199" s="4">
        <v>0</v>
      </c>
      <c r="N199" s="4">
        <v>171859.74</v>
      </c>
      <c r="O199" s="4">
        <f>Tab_12.Dez[[#This Row],[DÉBITO]]-Tab_12.Dez[[#This Row],[CRÉDITO]]</f>
        <v>10824.73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5</v>
      </c>
      <c r="D200" s="2" t="str">
        <f>_xlfn.XLOOKUP($I200,Tab_00.Trial[CONTA],Tab_00.Trial[S/A],"",0,1)</f>
        <v>A</v>
      </c>
      <c r="E200" s="2">
        <f>IF($I200="","",COUNTIFS(Tab_00.Trial[CONTA],$I200))</f>
        <v>1</v>
      </c>
      <c r="F200" s="4">
        <f>SUMIFS(Tab_11.Nov[SALDO
ATUAL],Tab_11.Nov[CONTA],$I200)</f>
        <v>300</v>
      </c>
      <c r="G200" s="4">
        <f t="shared" si="4"/>
        <v>0</v>
      </c>
      <c r="H200" s="190">
        <v>40354</v>
      </c>
      <c r="I200" s="3" t="s">
        <v>411</v>
      </c>
      <c r="J200" s="3" t="s">
        <v>412</v>
      </c>
      <c r="K200" s="4">
        <v>300</v>
      </c>
      <c r="L200" s="4">
        <v>0</v>
      </c>
      <c r="M200" s="4">
        <v>0</v>
      </c>
      <c r="N200" s="4">
        <v>300</v>
      </c>
      <c r="O200" s="4">
        <f>Tab_12.Dez[[#This Row],[DÉBITO]]-Tab_12.Dez[[#This Row],[CRÉDITO]]</f>
        <v>0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5</v>
      </c>
      <c r="D201" s="2" t="str">
        <f>_xlfn.XLOOKUP($I201,Tab_00.Trial[CONTA],Tab_00.Trial[S/A],"",0,1)</f>
        <v>A</v>
      </c>
      <c r="E201" s="2">
        <f>IF($I201="","",COUNTIFS(Tab_00.Trial[CONTA],$I201))</f>
        <v>1</v>
      </c>
      <c r="F201" s="4">
        <f>SUMIFS(Tab_11.Nov[SALDO
ATUAL],Tab_11.Nov[CONTA],$I201)</f>
        <v>160682.54999999999</v>
      </c>
      <c r="G201" s="4">
        <f t="shared" si="4"/>
        <v>0</v>
      </c>
      <c r="H201" s="190">
        <v>40355</v>
      </c>
      <c r="I201" s="3" t="s">
        <v>413</v>
      </c>
      <c r="J201" s="3" t="s">
        <v>414</v>
      </c>
      <c r="K201" s="4">
        <v>160682.54999999999</v>
      </c>
      <c r="L201" s="4">
        <v>10824.73</v>
      </c>
      <c r="M201" s="4">
        <v>0</v>
      </c>
      <c r="N201" s="4">
        <v>171507.28</v>
      </c>
      <c r="O201" s="4">
        <f>Tab_12.Dez[[#This Row],[DÉBITO]]-Tab_12.Dez[[#This Row],[CRÉDITO]]</f>
        <v>10824.73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5</v>
      </c>
      <c r="D202" s="2" t="str">
        <f>_xlfn.XLOOKUP($I202,Tab_00.Trial[CONTA],Tab_00.Trial[S/A],"",0,1)</f>
        <v>A</v>
      </c>
      <c r="E202" s="2">
        <f>IF($I202="","",COUNTIFS(Tab_00.Trial[CONTA],$I202))</f>
        <v>1</v>
      </c>
      <c r="F202" s="4">
        <f>SUMIFS(Tab_11.Nov[SALDO
ATUAL],Tab_11.Nov[CONTA],$I202)</f>
        <v>52.46</v>
      </c>
      <c r="G202" s="4">
        <f t="shared" si="4"/>
        <v>0</v>
      </c>
      <c r="H202" s="190">
        <v>40358</v>
      </c>
      <c r="I202" s="3" t="s">
        <v>417</v>
      </c>
      <c r="J202" s="3" t="s">
        <v>418</v>
      </c>
      <c r="K202" s="4">
        <v>52.46</v>
      </c>
      <c r="L202" s="4">
        <v>0</v>
      </c>
      <c r="M202" s="4">
        <v>0</v>
      </c>
      <c r="N202" s="4">
        <v>52.46</v>
      </c>
      <c r="O202" s="4">
        <f>Tab_12.Dez[[#This Row],[DÉBITO]]-Tab_12.Dez[[#This Row],[CRÉDITO]]</f>
        <v>0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5</v>
      </c>
      <c r="D203" s="2" t="str">
        <f>_xlfn.XLOOKUP($I203,Tab_00.Trial[CONTA],Tab_00.Trial[S/A],"",0,1)</f>
        <v>S</v>
      </c>
      <c r="E203" s="2">
        <f>IF($I203="","",COUNTIFS(Tab_00.Trial[CONTA],$I203))</f>
        <v>1</v>
      </c>
      <c r="F203" s="4">
        <f>SUMIFS(Tab_11.Nov[SALDO
ATUAL],Tab_11.Nov[CONTA],$I203)</f>
        <v>7095.13</v>
      </c>
      <c r="G203" s="4">
        <f t="shared" si="4"/>
        <v>0</v>
      </c>
      <c r="H203" s="190">
        <v>40365</v>
      </c>
      <c r="I203" s="3" t="s">
        <v>595</v>
      </c>
      <c r="J203" s="3" t="s">
        <v>420</v>
      </c>
      <c r="K203" s="4">
        <v>7095.13</v>
      </c>
      <c r="L203" s="4">
        <v>427.26</v>
      </c>
      <c r="M203" s="4">
        <v>0</v>
      </c>
      <c r="N203" s="4">
        <v>7522.39</v>
      </c>
      <c r="O203" s="4">
        <f>Tab_12.Dez[[#This Row],[DÉBITO]]-Tab_12.Dez[[#This Row],[CRÉDITO]]</f>
        <v>427.26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5</v>
      </c>
      <c r="D204" s="2" t="str">
        <f>_xlfn.XLOOKUP($I204,Tab_00.Trial[CONTA],Tab_00.Trial[S/A],"",0,1)</f>
        <v>A</v>
      </c>
      <c r="E204" s="2">
        <f>IF($I204="","",COUNTIFS(Tab_00.Trial[CONTA],$I204))</f>
        <v>1</v>
      </c>
      <c r="F204" s="4">
        <f>SUMIFS(Tab_11.Nov[SALDO
ATUAL],Tab_11.Nov[CONTA],$I204)</f>
        <v>7095.13</v>
      </c>
      <c r="G204" s="4">
        <f t="shared" si="4"/>
        <v>0</v>
      </c>
      <c r="H204" s="190">
        <v>40366</v>
      </c>
      <c r="I204" s="3" t="s">
        <v>419</v>
      </c>
      <c r="J204" s="3" t="s">
        <v>420</v>
      </c>
      <c r="K204" s="4">
        <v>7095.13</v>
      </c>
      <c r="L204" s="4">
        <v>427.26</v>
      </c>
      <c r="M204" s="4">
        <v>0</v>
      </c>
      <c r="N204" s="4">
        <v>7522.39</v>
      </c>
      <c r="O204" s="4">
        <f>Tab_12.Dez[[#This Row],[DÉBITO]]-Tab_12.Dez[[#This Row],[CRÉDITO]]</f>
        <v>427.26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5</v>
      </c>
      <c r="D205" s="2" t="str">
        <f>_xlfn.XLOOKUP($I205,Tab_00.Trial[CONTA],Tab_00.Trial[S/A],"",0,1)</f>
        <v>S</v>
      </c>
      <c r="E205" s="2">
        <f>IF($I205="","",COUNTIFS(Tab_00.Trial[CONTA],$I205))</f>
        <v>1</v>
      </c>
      <c r="F205" s="4">
        <f>SUMIFS(Tab_11.Nov[SALDO
ATUAL],Tab_11.Nov[CONTA],$I205)</f>
        <v>7014231.1600000001</v>
      </c>
      <c r="G205" s="4">
        <f t="shared" si="4"/>
        <v>0</v>
      </c>
      <c r="H205" s="190">
        <v>40345</v>
      </c>
      <c r="I205" s="3" t="s">
        <v>237</v>
      </c>
      <c r="J205" s="3" t="s">
        <v>702</v>
      </c>
      <c r="K205" s="4">
        <v>7014231.1600000001</v>
      </c>
      <c r="L205" s="4">
        <v>1454631.39</v>
      </c>
      <c r="M205" s="4">
        <v>0</v>
      </c>
      <c r="N205" s="4">
        <v>8468862.5500000007</v>
      </c>
      <c r="O205" s="4">
        <f>Tab_12.Dez[[#This Row],[DÉBITO]]-Tab_12.Dez[[#This Row],[CRÉDITO]]</f>
        <v>1454631.39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5</v>
      </c>
      <c r="D206" s="2" t="str">
        <f>_xlfn.XLOOKUP($I206,Tab_00.Trial[CONTA],Tab_00.Trial[S/A],"",0,1)</f>
        <v>S</v>
      </c>
      <c r="E206" s="2">
        <f>IF($I206="","",COUNTIFS(Tab_00.Trial[CONTA],$I206))</f>
        <v>1</v>
      </c>
      <c r="F206" s="4">
        <f>SUMIFS(Tab_11.Nov[SALDO
ATUAL],Tab_11.Nov[CONTA],$I206)</f>
        <v>7014231.1600000001</v>
      </c>
      <c r="G206" s="4">
        <f t="shared" si="4"/>
        <v>0</v>
      </c>
      <c r="H206" s="190">
        <v>40360</v>
      </c>
      <c r="I206" s="3" t="s">
        <v>238</v>
      </c>
      <c r="J206" s="3" t="s">
        <v>820</v>
      </c>
      <c r="K206" s="4">
        <v>7014231.1600000001</v>
      </c>
      <c r="L206" s="4">
        <v>1454631.39</v>
      </c>
      <c r="M206" s="4">
        <v>0</v>
      </c>
      <c r="N206" s="4">
        <v>8468862.5500000007</v>
      </c>
      <c r="O206" s="4">
        <f>Tab_12.Dez[[#This Row],[DÉBITO]]-Tab_12.Dez[[#This Row],[CRÉDITO]]</f>
        <v>1454631.39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5</v>
      </c>
      <c r="D207" s="2" t="str">
        <f>_xlfn.XLOOKUP($I207,Tab_00.Trial[CONTA],Tab_00.Trial[S/A],"",0,1)</f>
        <v>A</v>
      </c>
      <c r="E207" s="2">
        <f>IF($I207="","",COUNTIFS(Tab_00.Trial[CONTA],$I207))</f>
        <v>1</v>
      </c>
      <c r="F207" s="4">
        <f>SUMIFS(Tab_11.Nov[SALDO
ATUAL],Tab_11.Nov[CONTA],$I207)</f>
        <v>2743319.47</v>
      </c>
      <c r="G207" s="4">
        <f t="shared" ref="G207:G218" si="5">$F207-$K207</f>
        <v>0</v>
      </c>
      <c r="H207" s="190">
        <v>40425</v>
      </c>
      <c r="I207" s="3" t="s">
        <v>421</v>
      </c>
      <c r="J207" s="3" t="s">
        <v>422</v>
      </c>
      <c r="K207" s="4">
        <v>2743319.47</v>
      </c>
      <c r="L207" s="4">
        <v>442629.02</v>
      </c>
      <c r="M207" s="4">
        <v>0</v>
      </c>
      <c r="N207" s="4">
        <v>3185948.49</v>
      </c>
      <c r="O207" s="4">
        <f>Tab_12.Dez[[#This Row],[DÉBITO]]-Tab_12.Dez[[#This Row],[CRÉDITO]]</f>
        <v>442629.02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5</v>
      </c>
      <c r="D208" s="2" t="str">
        <f>_xlfn.XLOOKUP($I208,Tab_00.Trial[CONTA],Tab_00.Trial[S/A],"",0,1)</f>
        <v>A</v>
      </c>
      <c r="E208" s="2">
        <f>IF($I208="","",COUNTIFS(Tab_00.Trial[CONTA],$I208))</f>
        <v>1</v>
      </c>
      <c r="F208" s="4">
        <f>SUMIFS(Tab_11.Nov[SALDO
ATUAL],Tab_11.Nov[CONTA],$I208)</f>
        <v>1443114.24</v>
      </c>
      <c r="G208" s="4">
        <f t="shared" si="5"/>
        <v>0</v>
      </c>
      <c r="H208" s="190">
        <v>40468</v>
      </c>
      <c r="I208" s="3" t="s">
        <v>738</v>
      </c>
      <c r="J208" s="3" t="s">
        <v>367</v>
      </c>
      <c r="K208" s="4">
        <v>1443114.24</v>
      </c>
      <c r="L208" s="4">
        <v>112795.04</v>
      </c>
      <c r="M208" s="4">
        <v>0</v>
      </c>
      <c r="N208" s="4">
        <v>1555909.28</v>
      </c>
      <c r="O208" s="4">
        <f>Tab_12.Dez[[#This Row],[DÉBITO]]-Tab_12.Dez[[#This Row],[CRÉDITO]]</f>
        <v>112795.04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5</v>
      </c>
      <c r="D209" s="2" t="str">
        <f>_xlfn.XLOOKUP($I209,Tab_00.Trial[CONTA],Tab_00.Trial[S/A],"",0,1)</f>
        <v>A</v>
      </c>
      <c r="E209" s="2">
        <f>IF($I209="","",COUNTIFS(Tab_00.Trial[CONTA],$I209))</f>
        <v>1</v>
      </c>
      <c r="F209" s="4">
        <f>SUMIFS(Tab_11.Nov[SALDO
ATUAL],Tab_11.Nov[CONTA],$I209)</f>
        <v>2827797.45</v>
      </c>
      <c r="G209" s="4">
        <f t="shared" si="5"/>
        <v>0</v>
      </c>
      <c r="H209" s="190">
        <v>40469</v>
      </c>
      <c r="I209" s="3" t="s">
        <v>423</v>
      </c>
      <c r="J209" s="3" t="s">
        <v>424</v>
      </c>
      <c r="K209" s="4">
        <v>2827797.45</v>
      </c>
      <c r="L209" s="4">
        <v>899207.33</v>
      </c>
      <c r="M209" s="4">
        <v>0</v>
      </c>
      <c r="N209" s="4">
        <v>3727004.78</v>
      </c>
      <c r="O209" s="4">
        <f>Tab_12.Dez[[#This Row],[DÉBITO]]-Tab_12.Dez[[#This Row],[CRÉDITO]]</f>
        <v>899207.33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2</v>
      </c>
      <c r="D210" s="2" t="str">
        <f>_xlfn.XLOOKUP($I210,Tab_00.Trial[CONTA],Tab_00.Trial[S/A],"",0,1)</f>
        <v>S</v>
      </c>
      <c r="E210" s="2">
        <f>IF($I210="","",COUNTIFS(Tab_00.Trial[CONTA],$I210))</f>
        <v>1</v>
      </c>
      <c r="F210" s="4">
        <f>SUMIFS(Tab_11.Nov[SALDO
ATUAL],Tab_11.Nov[CONTA],$I210)</f>
        <v>1271</v>
      </c>
      <c r="G210" s="4">
        <f t="shared" si="5"/>
        <v>0</v>
      </c>
      <c r="H210" s="190">
        <v>40590</v>
      </c>
      <c r="I210" s="3" t="s">
        <v>596</v>
      </c>
      <c r="J210" s="3" t="s">
        <v>680</v>
      </c>
      <c r="K210" s="4">
        <v>1271</v>
      </c>
      <c r="L210" s="4">
        <v>0</v>
      </c>
      <c r="M210" s="4">
        <v>0</v>
      </c>
      <c r="N210" s="4">
        <v>1271</v>
      </c>
      <c r="O210" s="4">
        <f>Tab_12.Dez[[#This Row],[DÉBITO]]-Tab_12.Dez[[#This Row],[CRÉDITO]]</f>
        <v>0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5</v>
      </c>
      <c r="D211" s="2" t="str">
        <f>_xlfn.XLOOKUP($I211,Tab_00.Trial[CONTA],Tab_00.Trial[S/A],"",0,1)</f>
        <v>S</v>
      </c>
      <c r="E211" s="2">
        <f>IF($I211="","",COUNTIFS(Tab_00.Trial[CONTA],$I211))</f>
        <v>1</v>
      </c>
      <c r="F211" s="4">
        <f>SUMIFS(Tab_11.Nov[SALDO
ATUAL],Tab_11.Nov[CONTA],$I211)</f>
        <v>1271</v>
      </c>
      <c r="G211" s="4">
        <f t="shared" si="5"/>
        <v>0</v>
      </c>
      <c r="H211" s="190">
        <v>40600</v>
      </c>
      <c r="I211" s="3" t="s">
        <v>597</v>
      </c>
      <c r="J211" s="3" t="s">
        <v>703</v>
      </c>
      <c r="K211" s="4">
        <v>1271</v>
      </c>
      <c r="L211" s="4">
        <v>0</v>
      </c>
      <c r="M211" s="4">
        <v>0</v>
      </c>
      <c r="N211" s="4">
        <v>1271</v>
      </c>
      <c r="O211" s="4">
        <f>Tab_12.Dez[[#This Row],[DÉBITO]]-Tab_12.Dez[[#This Row],[CRÉDITO]]</f>
        <v>0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S</v>
      </c>
      <c r="E212" s="2">
        <f>IF($I212="","",COUNTIFS(Tab_00.Trial[CONTA],$I212))</f>
        <v>1</v>
      </c>
      <c r="F212" s="4">
        <f>SUMIFS(Tab_11.Nov[SALDO
ATUAL],Tab_11.Nov[CONTA],$I212)</f>
        <v>1271</v>
      </c>
      <c r="G212" s="4">
        <f t="shared" si="5"/>
        <v>0</v>
      </c>
      <c r="H212" s="190">
        <v>40615</v>
      </c>
      <c r="I212" s="3" t="s">
        <v>598</v>
      </c>
      <c r="J212" s="3" t="s">
        <v>704</v>
      </c>
      <c r="K212" s="4">
        <v>1271</v>
      </c>
      <c r="L212" s="4">
        <v>0</v>
      </c>
      <c r="M212" s="4">
        <v>0</v>
      </c>
      <c r="N212" s="4">
        <v>1271</v>
      </c>
      <c r="O212" s="4">
        <f>Tab_12.Dez[[#This Row],[DÉBITO]]-Tab_12.Dez[[#This Row],[CRÉDITO]]</f>
        <v>0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A</v>
      </c>
      <c r="E213" s="2">
        <f>IF($I213="","",COUNTIFS(Tab_00.Trial[CONTA],$I213))</f>
        <v>1</v>
      </c>
      <c r="F213" s="4">
        <f>SUMIFS(Tab_11.Nov[SALDO
ATUAL],Tab_11.Nov[CONTA],$I213)</f>
        <v>1271</v>
      </c>
      <c r="G213" s="4">
        <f t="shared" si="5"/>
        <v>0</v>
      </c>
      <c r="H213" s="190">
        <v>40620</v>
      </c>
      <c r="I213" s="3" t="s">
        <v>425</v>
      </c>
      <c r="J213" s="3" t="s">
        <v>426</v>
      </c>
      <c r="K213" s="4">
        <v>1271</v>
      </c>
      <c r="L213" s="4">
        <v>0</v>
      </c>
      <c r="M213" s="4">
        <v>0</v>
      </c>
      <c r="N213" s="4">
        <v>1271</v>
      </c>
      <c r="O213" s="4">
        <f>Tab_12.Dez[[#This Row],[DÉBITO]]-Tab_12.Dez[[#This Row],[CRÉDITO]]</f>
        <v>0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1</v>
      </c>
      <c r="D214" s="2" t="str">
        <f>_xlfn.XLOOKUP($I214,Tab_00.Trial[CONTA],Tab_00.Trial[S/A],"",0,1)</f>
        <v>S</v>
      </c>
      <c r="E214" s="2">
        <f>IF($I214="","",COUNTIFS(Tab_00.Trial[CONTA],$I214))</f>
        <v>1</v>
      </c>
      <c r="F214" s="4">
        <f>SUMIFS(Tab_11.Nov[SALDO
ATUAL],Tab_11.Nov[CONTA],$I214)</f>
        <v>3154590.35</v>
      </c>
      <c r="G214" s="4">
        <f t="shared" si="5"/>
        <v>0</v>
      </c>
      <c r="H214" s="190">
        <v>50000</v>
      </c>
      <c r="I214" s="3">
        <v>5</v>
      </c>
      <c r="J214" s="3" t="s">
        <v>705</v>
      </c>
      <c r="K214" s="4">
        <v>3154590.35</v>
      </c>
      <c r="L214" s="4">
        <v>291915.83</v>
      </c>
      <c r="M214" s="4">
        <v>32615.86</v>
      </c>
      <c r="N214" s="4">
        <v>3413890.32</v>
      </c>
      <c r="O214" s="4">
        <f>Tab_12.Dez[[#This Row],[DÉBITO]]-Tab_12.Dez[[#This Row],[CRÉDITO]]</f>
        <v>259299.97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2</v>
      </c>
      <c r="D215" s="2" t="str">
        <f>_xlfn.XLOOKUP($I215,Tab_00.Trial[CONTA],Tab_00.Trial[S/A],"",0,1)</f>
        <v>S</v>
      </c>
      <c r="E215" s="2">
        <f>IF($I215="","",COUNTIFS(Tab_00.Trial[CONTA],$I215))</f>
        <v>1</v>
      </c>
      <c r="F215" s="4">
        <f>SUMIFS(Tab_11.Nov[SALDO
ATUAL],Tab_11.Nov[CONTA],$I215)</f>
        <v>3154374.35</v>
      </c>
      <c r="G215" s="4">
        <f t="shared" si="5"/>
        <v>0</v>
      </c>
      <c r="H215" s="190">
        <v>50015</v>
      </c>
      <c r="I215" s="3" t="s">
        <v>599</v>
      </c>
      <c r="J215" s="3" t="s">
        <v>821</v>
      </c>
      <c r="K215" s="4">
        <v>3154374.35</v>
      </c>
      <c r="L215" s="4">
        <v>291915.83</v>
      </c>
      <c r="M215" s="4">
        <v>32615.86</v>
      </c>
      <c r="N215" s="4">
        <v>3413674.32</v>
      </c>
      <c r="O215" s="4">
        <f>Tab_12.Dez[[#This Row],[DÉBITO]]-Tab_12.Dez[[#This Row],[CRÉDITO]]</f>
        <v>259299.97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S</v>
      </c>
      <c r="E216" s="2">
        <f>IF($I216="","",COUNTIFS(Tab_00.Trial[CONTA],$I216))</f>
        <v>1</v>
      </c>
      <c r="F216" s="4">
        <f>SUMIFS(Tab_11.Nov[SALDO
ATUAL],Tab_11.Nov[CONTA],$I216)</f>
        <v>1086533.54</v>
      </c>
      <c r="G216" s="4">
        <f t="shared" si="5"/>
        <v>0</v>
      </c>
      <c r="H216" s="190">
        <v>50030</v>
      </c>
      <c r="I216" s="3" t="s">
        <v>600</v>
      </c>
      <c r="J216" s="3" t="s">
        <v>706</v>
      </c>
      <c r="K216" s="4">
        <v>1086533.54</v>
      </c>
      <c r="L216" s="4">
        <v>81209.149999999994</v>
      </c>
      <c r="M216" s="4">
        <v>32579.86</v>
      </c>
      <c r="N216" s="4">
        <v>1135162.83</v>
      </c>
      <c r="O216" s="4">
        <f>Tab_12.Dez[[#This Row],[DÉBITO]]-Tab_12.Dez[[#This Row],[CRÉDITO]]</f>
        <v>48629.29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S</v>
      </c>
      <c r="E217" s="2">
        <f>IF($I217="","",COUNTIFS(Tab_00.Trial[CONTA],$I217))</f>
        <v>1</v>
      </c>
      <c r="F217" s="4">
        <f>SUMIFS(Tab_11.Nov[SALDO
ATUAL],Tab_11.Nov[CONTA],$I217)</f>
        <v>728347.62</v>
      </c>
      <c r="G217" s="4">
        <f t="shared" si="5"/>
        <v>0</v>
      </c>
      <c r="H217" s="190">
        <v>50045</v>
      </c>
      <c r="I217" s="3" t="s">
        <v>601</v>
      </c>
      <c r="J217" s="3" t="s">
        <v>707</v>
      </c>
      <c r="K217" s="4">
        <v>728347.62</v>
      </c>
      <c r="L217" s="4">
        <v>60137.21</v>
      </c>
      <c r="M217" s="4">
        <v>32579.86</v>
      </c>
      <c r="N217" s="4">
        <v>755904.97</v>
      </c>
      <c r="O217" s="4">
        <f>Tab_12.Dez[[#This Row],[DÉBITO]]-Tab_12.Dez[[#This Row],[CRÉDITO]]</f>
        <v>27557.35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A</v>
      </c>
      <c r="E218" s="2">
        <f>IF($I218="","",COUNTIFS(Tab_00.Trial[CONTA],$I218))</f>
        <v>1</v>
      </c>
      <c r="F218" s="4">
        <f>SUMIFS(Tab_11.Nov[SALDO
ATUAL],Tab_11.Nov[CONTA],$I218)</f>
        <v>488045.75</v>
      </c>
      <c r="G218" s="4">
        <f t="shared" si="5"/>
        <v>0</v>
      </c>
      <c r="H218" s="190">
        <v>50060</v>
      </c>
      <c r="I218" s="3" t="s">
        <v>441</v>
      </c>
      <c r="J218" s="3" t="s">
        <v>427</v>
      </c>
      <c r="K218" s="4">
        <v>488045.75</v>
      </c>
      <c r="L218" s="4">
        <v>56130.44</v>
      </c>
      <c r="M218" s="4">
        <v>11432.48</v>
      </c>
      <c r="N218" s="4">
        <v>532743.71</v>
      </c>
      <c r="O218" s="4">
        <f>Tab_12.Dez[[#This Row],[DÉBITO]]-Tab_12.Dez[[#This Row],[CRÉDITO]]</f>
        <v>44697.96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A</v>
      </c>
      <c r="E219" s="2">
        <f>IF($I219="","",COUNTIFS(Tab_00.Trial[CONTA],$I219))</f>
        <v>1</v>
      </c>
      <c r="F219" s="4">
        <f>SUMIFS(Tab_11.Nov[SALDO
ATUAL],Tab_11.Nov[CONTA],$I219)</f>
        <v>55069.19</v>
      </c>
      <c r="G219" s="4">
        <f t="shared" ref="G219:G250" si="6">$F219-$K219</f>
        <v>0</v>
      </c>
      <c r="H219" s="190">
        <v>50090</v>
      </c>
      <c r="I219" s="3" t="s">
        <v>443</v>
      </c>
      <c r="J219" s="3" t="s">
        <v>431</v>
      </c>
      <c r="K219" s="4">
        <v>55069.19</v>
      </c>
      <c r="L219" s="4">
        <v>0</v>
      </c>
      <c r="M219" s="4">
        <v>0</v>
      </c>
      <c r="N219" s="4">
        <v>55069.19</v>
      </c>
      <c r="O219" s="4">
        <f>Tab_12.Dez[[#This Row],[DÉBITO]]-Tab_12.Dez[[#This Row],[CRÉDITO]]</f>
        <v>0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A</v>
      </c>
      <c r="E220" s="2">
        <f>IF($I220="","",COUNTIFS(Tab_00.Trial[CONTA],$I220))</f>
        <v>1</v>
      </c>
      <c r="F220" s="4">
        <f>SUMIFS(Tab_11.Nov[SALDO
ATUAL],Tab_11.Nov[CONTA],$I220)</f>
        <v>58502.32</v>
      </c>
      <c r="G220" s="4">
        <f t="shared" si="6"/>
        <v>0</v>
      </c>
      <c r="H220" s="190">
        <v>50105</v>
      </c>
      <c r="I220" s="3" t="s">
        <v>444</v>
      </c>
      <c r="J220" s="3" t="s">
        <v>433</v>
      </c>
      <c r="K220" s="4">
        <v>58502.32</v>
      </c>
      <c r="L220" s="4">
        <v>2716.82</v>
      </c>
      <c r="M220" s="4">
        <v>21147.38</v>
      </c>
      <c r="N220" s="4">
        <v>40071.760000000002</v>
      </c>
      <c r="O220" s="4">
        <f>Tab_12.Dez[[#This Row],[DÉBITO]]-Tab_12.Dez[[#This Row],[CRÉDITO]]</f>
        <v>-18430.560000000001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A</v>
      </c>
      <c r="E221" s="2">
        <f>IF($I221="","",COUNTIFS(Tab_00.Trial[CONTA],$I221))</f>
        <v>1</v>
      </c>
      <c r="F221" s="4">
        <f>SUMIFS(Tab_11.Nov[SALDO
ATUAL],Tab_11.Nov[CONTA],$I221)</f>
        <v>85959.77</v>
      </c>
      <c r="G221" s="4">
        <f t="shared" si="6"/>
        <v>0</v>
      </c>
      <c r="H221" s="190">
        <v>50120</v>
      </c>
      <c r="I221" s="3" t="s">
        <v>775</v>
      </c>
      <c r="J221" s="3" t="s">
        <v>749</v>
      </c>
      <c r="K221" s="4">
        <v>85959.77</v>
      </c>
      <c r="L221" s="4">
        <v>0</v>
      </c>
      <c r="M221" s="4">
        <v>0</v>
      </c>
      <c r="N221" s="4">
        <v>85959.77</v>
      </c>
      <c r="O221" s="4">
        <f>Tab_12.Dez[[#This Row],[DÉBITO]]-Tab_12.Dez[[#This Row],[CRÉDITO]]</f>
        <v>0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A</v>
      </c>
      <c r="E222" s="2">
        <f>IF($I222="","",COUNTIFS(Tab_00.Trial[CONTA],$I222))</f>
        <v>1</v>
      </c>
      <c r="F222" s="4">
        <f>SUMIFS(Tab_11.Nov[SALDO
ATUAL],Tab_11.Nov[CONTA],$I222)</f>
        <v>1576.67</v>
      </c>
      <c r="G222" s="4">
        <f t="shared" si="6"/>
        <v>0</v>
      </c>
      <c r="H222" s="190">
        <v>50205</v>
      </c>
      <c r="I222" s="3" t="s">
        <v>447</v>
      </c>
      <c r="J222" s="3" t="s">
        <v>448</v>
      </c>
      <c r="K222" s="4">
        <v>1576.67</v>
      </c>
      <c r="L222" s="4">
        <v>0</v>
      </c>
      <c r="M222" s="4">
        <v>0</v>
      </c>
      <c r="N222" s="4">
        <v>1576.67</v>
      </c>
      <c r="O222" s="4">
        <f>Tab_12.Dez[[#This Row],[DÉBITO]]-Tab_12.Dez[[#This Row],[CRÉDITO]]</f>
        <v>0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A</v>
      </c>
      <c r="E223" s="2">
        <f>IF($I223="","",COUNTIFS(Tab_00.Trial[CONTA],$I223))</f>
        <v>1</v>
      </c>
      <c r="F223" s="4">
        <f>SUMIFS(Tab_11.Nov[SALDO
ATUAL],Tab_11.Nov[CONTA],$I223)</f>
        <v>8227.25</v>
      </c>
      <c r="G223" s="4">
        <f t="shared" si="6"/>
        <v>0</v>
      </c>
      <c r="H223" s="190">
        <v>10167</v>
      </c>
      <c r="I223" s="3" t="s">
        <v>802</v>
      </c>
      <c r="J223" s="3" t="s">
        <v>791</v>
      </c>
      <c r="K223" s="4">
        <v>8227.25</v>
      </c>
      <c r="L223" s="4">
        <v>0</v>
      </c>
      <c r="M223" s="4">
        <v>0</v>
      </c>
      <c r="N223" s="4">
        <v>8227.25</v>
      </c>
      <c r="O223" s="4">
        <f>Tab_12.Dez[[#This Row],[DÉBITO]]-Tab_12.Dez[[#This Row],[CRÉDITO]]</f>
        <v>0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A</v>
      </c>
      <c r="E224" s="2">
        <f>IF($I224="","",COUNTIFS(Tab_00.Trial[CONTA],$I224))</f>
        <v>1</v>
      </c>
      <c r="F224" s="4">
        <f>SUMIFS(Tab_11.Nov[SALDO
ATUAL],Tab_11.Nov[CONTA],$I224)</f>
        <v>11878.87</v>
      </c>
      <c r="G224" s="4">
        <f t="shared" si="6"/>
        <v>0</v>
      </c>
      <c r="H224" s="190">
        <v>10174</v>
      </c>
      <c r="I224" s="3" t="s">
        <v>803</v>
      </c>
      <c r="J224" s="3" t="s">
        <v>793</v>
      </c>
      <c r="K224" s="4">
        <v>11878.87</v>
      </c>
      <c r="L224" s="4">
        <v>0</v>
      </c>
      <c r="M224" s="4">
        <v>0</v>
      </c>
      <c r="N224" s="4">
        <v>11878.87</v>
      </c>
      <c r="O224" s="4">
        <f>Tab_12.Dez[[#This Row],[DÉBITO]]-Tab_12.Dez[[#This Row],[CRÉDITO]]</f>
        <v>0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A</v>
      </c>
      <c r="E225" s="2">
        <f>IF($I225="","",COUNTIFS(Tab_00.Trial[CONTA],$I225))</f>
        <v>1</v>
      </c>
      <c r="F225" s="4">
        <f>SUMIFS(Tab_11.Nov[SALDO
ATUAL],Tab_11.Nov[CONTA],$I225)</f>
        <v>272.25</v>
      </c>
      <c r="G225" s="4">
        <f t="shared" si="6"/>
        <v>0</v>
      </c>
      <c r="H225" s="190">
        <v>10181</v>
      </c>
      <c r="I225" s="3" t="s">
        <v>804</v>
      </c>
      <c r="J225" s="3" t="s">
        <v>795</v>
      </c>
      <c r="K225" s="4">
        <v>272.25</v>
      </c>
      <c r="L225" s="4">
        <v>0</v>
      </c>
      <c r="M225" s="4">
        <v>0</v>
      </c>
      <c r="N225" s="4">
        <v>272.25</v>
      </c>
      <c r="O225" s="4">
        <f>Tab_12.Dez[[#This Row],[DÉBITO]]-Tab_12.Dez[[#This Row],[CRÉDITO]]</f>
        <v>0</v>
      </c>
    </row>
    <row r="226" spans="2:15" x14ac:dyDescent="0.3">
      <c r="B226" s="2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A</v>
      </c>
      <c r="E226" s="2">
        <f>IF($I226="","",COUNTIFS(Tab_00.Trial[CONTA],$I226))</f>
        <v>1</v>
      </c>
      <c r="F226" s="4">
        <f>SUMIFS(Tab_11.Nov[SALDO
ATUAL],Tab_11.Nov[CONTA],$I226)</f>
        <v>14074.93</v>
      </c>
      <c r="G226" s="4">
        <f t="shared" si="6"/>
        <v>0</v>
      </c>
      <c r="H226" s="190">
        <v>10188</v>
      </c>
      <c r="I226" s="3" t="s">
        <v>805</v>
      </c>
      <c r="J226" s="3" t="s">
        <v>797</v>
      </c>
      <c r="K226" s="4">
        <v>14074.93</v>
      </c>
      <c r="L226" s="4">
        <v>965.67</v>
      </c>
      <c r="M226" s="4">
        <v>0</v>
      </c>
      <c r="N226" s="4">
        <v>15040.6</v>
      </c>
      <c r="O226" s="4">
        <f>Tab_12.Dez[[#This Row],[DÉBITO]]-Tab_12.Dez[[#This Row],[CRÉDITO]]</f>
        <v>965.67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A</v>
      </c>
      <c r="E227" s="2">
        <f>IF($I227="","",COUNTIFS(Tab_00.Trial[CONTA],$I227))</f>
        <v>1</v>
      </c>
      <c r="F227" s="4">
        <f>SUMIFS(Tab_11.Nov[SALDO
ATUAL],Tab_11.Nov[CONTA],$I227)</f>
        <v>4202.57</v>
      </c>
      <c r="G227" s="4">
        <f t="shared" si="6"/>
        <v>0</v>
      </c>
      <c r="H227" s="190">
        <v>10202</v>
      </c>
      <c r="I227" s="3" t="s">
        <v>806</v>
      </c>
      <c r="J227" s="3" t="s">
        <v>799</v>
      </c>
      <c r="K227" s="4">
        <v>4202.57</v>
      </c>
      <c r="L227" s="4">
        <v>288.26</v>
      </c>
      <c r="M227" s="4">
        <v>0</v>
      </c>
      <c r="N227" s="4">
        <v>4490.83</v>
      </c>
      <c r="O227" s="4">
        <f>Tab_12.Dez[[#This Row],[DÉBITO]]-Tab_12.Dez[[#This Row],[CRÉDITO]]</f>
        <v>288.26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A</v>
      </c>
      <c r="E228" s="2">
        <f>IF($I228="","",COUNTIFS(Tab_00.Trial[CONTA],$I228))</f>
        <v>1</v>
      </c>
      <c r="F228" s="4">
        <f>SUMIFS(Tab_11.Nov[SALDO
ATUAL],Tab_11.Nov[CONTA],$I228)</f>
        <v>538.04999999999995</v>
      </c>
      <c r="G228" s="4">
        <f t="shared" si="6"/>
        <v>0</v>
      </c>
      <c r="H228" s="190">
        <v>10209</v>
      </c>
      <c r="I228" s="3" t="s">
        <v>807</v>
      </c>
      <c r="J228" s="3" t="s">
        <v>801</v>
      </c>
      <c r="K228" s="4">
        <v>538.04999999999995</v>
      </c>
      <c r="L228" s="4">
        <v>36.020000000000003</v>
      </c>
      <c r="M228" s="4">
        <v>0</v>
      </c>
      <c r="N228" s="4">
        <v>574.07000000000005</v>
      </c>
      <c r="O228" s="4">
        <f>Tab_12.Dez[[#This Row],[DÉBITO]]-Tab_12.Dez[[#This Row],[CRÉDITO]]</f>
        <v>36.020000000000003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S</v>
      </c>
      <c r="E229" s="2">
        <f>IF($I229="","",COUNTIFS(Tab_00.Trial[CONTA],$I229))</f>
        <v>1</v>
      </c>
      <c r="F229" s="4">
        <f>SUMIFS(Tab_11.Nov[SALDO
ATUAL],Tab_11.Nov[CONTA],$I229)</f>
        <v>1014</v>
      </c>
      <c r="G229" s="4">
        <f t="shared" si="6"/>
        <v>0</v>
      </c>
      <c r="H229" s="190">
        <v>50150</v>
      </c>
      <c r="I229" s="3" t="s">
        <v>602</v>
      </c>
      <c r="J229" s="3" t="s">
        <v>708</v>
      </c>
      <c r="K229" s="4">
        <v>1014</v>
      </c>
      <c r="L229" s="4">
        <v>119.61</v>
      </c>
      <c r="M229" s="4">
        <v>0</v>
      </c>
      <c r="N229" s="4">
        <v>1133.6099999999999</v>
      </c>
      <c r="O229" s="4">
        <f>Tab_12.Dez[[#This Row],[DÉBITO]]-Tab_12.Dez[[#This Row],[CRÉDITO]]</f>
        <v>119.61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A</v>
      </c>
      <c r="E230" s="2">
        <f>IF($I230="","",COUNTIFS(Tab_00.Trial[CONTA],$I230))</f>
        <v>1</v>
      </c>
      <c r="F230" s="4">
        <f>SUMIFS(Tab_11.Nov[SALDO
ATUAL],Tab_11.Nov[CONTA],$I230)</f>
        <v>1014</v>
      </c>
      <c r="G230" s="4">
        <f t="shared" si="6"/>
        <v>0</v>
      </c>
      <c r="H230" s="190">
        <v>50211</v>
      </c>
      <c r="I230" s="3" t="s">
        <v>455</v>
      </c>
      <c r="J230" s="3" t="s">
        <v>456</v>
      </c>
      <c r="K230" s="4">
        <v>1014</v>
      </c>
      <c r="L230" s="4">
        <v>119.61</v>
      </c>
      <c r="M230" s="4">
        <v>0</v>
      </c>
      <c r="N230" s="4">
        <v>1133.6099999999999</v>
      </c>
      <c r="O230" s="4">
        <f>Tab_12.Dez[[#This Row],[DÉBITO]]-Tab_12.Dez[[#This Row],[CRÉDITO]]</f>
        <v>119.61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S</v>
      </c>
      <c r="E231" s="2">
        <f>IF($I231="","",COUNTIFS(Tab_00.Trial[CONTA],$I231))</f>
        <v>1</v>
      </c>
      <c r="F231" s="4">
        <f>SUMIFS(Tab_11.Nov[SALDO
ATUAL],Tab_11.Nov[CONTA],$I231)</f>
        <v>353776.92</v>
      </c>
      <c r="G231" s="4">
        <f t="shared" si="6"/>
        <v>0</v>
      </c>
      <c r="H231" s="190">
        <v>50215</v>
      </c>
      <c r="I231" s="3" t="s">
        <v>603</v>
      </c>
      <c r="J231" s="3" t="s">
        <v>709</v>
      </c>
      <c r="K231" s="4">
        <v>353776.92</v>
      </c>
      <c r="L231" s="4">
        <v>20722.330000000002</v>
      </c>
      <c r="M231" s="4">
        <v>0</v>
      </c>
      <c r="N231" s="4">
        <v>374499.25</v>
      </c>
      <c r="O231" s="4">
        <f>Tab_12.Dez[[#This Row],[DÉBITO]]-Tab_12.Dez[[#This Row],[CRÉDITO]]</f>
        <v>20722.330000000002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A</v>
      </c>
      <c r="E232" s="2">
        <f>IF($I232="","",COUNTIFS(Tab_00.Trial[CONTA],$I232))</f>
        <v>1</v>
      </c>
      <c r="F232" s="4">
        <f>SUMIFS(Tab_11.Nov[SALDO
ATUAL],Tab_11.Nov[CONTA],$I232)</f>
        <v>126982.38</v>
      </c>
      <c r="G232" s="4">
        <f t="shared" si="6"/>
        <v>0</v>
      </c>
      <c r="H232" s="190">
        <v>50225</v>
      </c>
      <c r="I232" s="3" t="s">
        <v>451</v>
      </c>
      <c r="J232" s="3" t="s">
        <v>437</v>
      </c>
      <c r="K232" s="4">
        <v>126982.38</v>
      </c>
      <c r="L232" s="4">
        <v>16830.82</v>
      </c>
      <c r="M232" s="4">
        <v>0</v>
      </c>
      <c r="N232" s="4">
        <v>143813.20000000001</v>
      </c>
      <c r="O232" s="4">
        <f>Tab_12.Dez[[#This Row],[DÉBITO]]-Tab_12.Dez[[#This Row],[CRÉDITO]]</f>
        <v>16830.82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A</v>
      </c>
      <c r="E233" s="2">
        <f>IF($I233="","",COUNTIFS(Tab_00.Trial[CONTA],$I233))</f>
        <v>1</v>
      </c>
      <c r="F233" s="4">
        <f>SUMIFS(Tab_11.Nov[SALDO
ATUAL],Tab_11.Nov[CONTA],$I233)</f>
        <v>222055.79</v>
      </c>
      <c r="G233" s="4">
        <f t="shared" si="6"/>
        <v>0</v>
      </c>
      <c r="H233" s="190">
        <v>50240</v>
      </c>
      <c r="I233" s="3" t="s">
        <v>452</v>
      </c>
      <c r="J233" s="3" t="s">
        <v>196</v>
      </c>
      <c r="K233" s="4">
        <v>222055.79</v>
      </c>
      <c r="L233" s="4">
        <v>3459.12</v>
      </c>
      <c r="M233" s="4">
        <v>0</v>
      </c>
      <c r="N233" s="4">
        <v>225514.91</v>
      </c>
      <c r="O233" s="4">
        <f>Tab_12.Dez[[#This Row],[DÉBITO]]-Tab_12.Dez[[#This Row],[CRÉDITO]]</f>
        <v>3459.12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A</v>
      </c>
      <c r="E234" s="2">
        <f>IF($I234="","",COUNTIFS(Tab_00.Trial[CONTA],$I234))</f>
        <v>1</v>
      </c>
      <c r="F234" s="4">
        <f>SUMIFS(Tab_11.Nov[SALDO
ATUAL],Tab_11.Nov[CONTA],$I234)</f>
        <v>4738.75</v>
      </c>
      <c r="G234" s="4">
        <f t="shared" si="6"/>
        <v>0</v>
      </c>
      <c r="H234" s="191">
        <v>50255</v>
      </c>
      <c r="I234" s="3" t="s">
        <v>453</v>
      </c>
      <c r="J234" s="3" t="s">
        <v>454</v>
      </c>
      <c r="K234" s="4">
        <v>4738.75</v>
      </c>
      <c r="L234" s="4">
        <v>432.39</v>
      </c>
      <c r="M234" s="4">
        <v>0</v>
      </c>
      <c r="N234" s="4">
        <v>5171.1400000000003</v>
      </c>
      <c r="O234" s="4">
        <f>Tab_12.Dez[[#This Row],[DÉBITO]]-Tab_12.Dez[[#This Row],[CRÉDITO]]</f>
        <v>432.39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S</v>
      </c>
      <c r="E235" s="2">
        <f>IF($I235="","",COUNTIFS(Tab_00.Trial[CONTA],$I235))</f>
        <v>1</v>
      </c>
      <c r="F235" s="4">
        <f>SUMIFS(Tab_11.Nov[SALDO
ATUAL],Tab_11.Nov[CONTA],$I235)</f>
        <v>3395</v>
      </c>
      <c r="G235" s="4">
        <f t="shared" si="6"/>
        <v>0</v>
      </c>
      <c r="H235" s="191">
        <v>50290</v>
      </c>
      <c r="I235" s="3" t="s">
        <v>604</v>
      </c>
      <c r="J235" s="3" t="s">
        <v>710</v>
      </c>
      <c r="K235" s="4">
        <v>3395</v>
      </c>
      <c r="L235" s="4">
        <v>230</v>
      </c>
      <c r="M235" s="4">
        <v>0</v>
      </c>
      <c r="N235" s="4">
        <v>3625</v>
      </c>
      <c r="O235" s="4">
        <f>Tab_12.Dez[[#This Row],[DÉBITO]]-Tab_12.Dez[[#This Row],[CRÉDITO]]</f>
        <v>230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A</v>
      </c>
      <c r="E236" s="2">
        <f>IF($I236="","",COUNTIFS(Tab_00.Trial[CONTA],$I236))</f>
        <v>1</v>
      </c>
      <c r="F236" s="4">
        <f>SUMIFS(Tab_11.Nov[SALDO
ATUAL],Tab_11.Nov[CONTA],$I236)</f>
        <v>3395</v>
      </c>
      <c r="G236" s="4">
        <f t="shared" si="6"/>
        <v>0</v>
      </c>
      <c r="H236" s="191">
        <v>50295</v>
      </c>
      <c r="I236" s="3" t="s">
        <v>457</v>
      </c>
      <c r="J236" s="3" t="s">
        <v>458</v>
      </c>
      <c r="K236" s="4">
        <v>3395</v>
      </c>
      <c r="L236" s="4">
        <v>230</v>
      </c>
      <c r="M236" s="4">
        <v>0</v>
      </c>
      <c r="N236" s="4">
        <v>3625</v>
      </c>
      <c r="O236" s="4">
        <f>Tab_12.Dez[[#This Row],[DÉBITO]]-Tab_12.Dez[[#This Row],[CRÉDITO]]</f>
        <v>230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S</v>
      </c>
      <c r="E237" s="2">
        <f>IF($I237="","",COUNTIFS(Tab_00.Trial[CONTA],$I237))</f>
        <v>1</v>
      </c>
      <c r="F237" s="4">
        <f>SUMIFS(Tab_11.Nov[SALDO
ATUAL],Tab_11.Nov[CONTA],$I237)</f>
        <v>1691374.48</v>
      </c>
      <c r="G237" s="4">
        <f t="shared" si="6"/>
        <v>0</v>
      </c>
      <c r="H237" s="191">
        <v>50285</v>
      </c>
      <c r="I237" s="3" t="s">
        <v>605</v>
      </c>
      <c r="J237" s="3" t="s">
        <v>711</v>
      </c>
      <c r="K237" s="4">
        <v>1691374.48</v>
      </c>
      <c r="L237" s="4">
        <v>161172.53</v>
      </c>
      <c r="M237" s="4">
        <v>0</v>
      </c>
      <c r="N237" s="4">
        <v>1852547.01</v>
      </c>
      <c r="O237" s="4">
        <f>Tab_12.Dez[[#This Row],[DÉBITO]]-Tab_12.Dez[[#This Row],[CRÉDITO]]</f>
        <v>161172.53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S</v>
      </c>
      <c r="E238" s="2">
        <f>IF($I238="","",COUNTIFS(Tab_00.Trial[CONTA],$I238))</f>
        <v>1</v>
      </c>
      <c r="F238" s="4">
        <f>SUMIFS(Tab_11.Nov[SALDO
ATUAL],Tab_11.Nov[CONTA],$I238)</f>
        <v>778747.59</v>
      </c>
      <c r="G238" s="4">
        <f t="shared" si="6"/>
        <v>0</v>
      </c>
      <c r="H238" s="191">
        <v>50300</v>
      </c>
      <c r="I238" s="3" t="s">
        <v>606</v>
      </c>
      <c r="J238" s="3" t="s">
        <v>712</v>
      </c>
      <c r="K238" s="4">
        <v>778747.59</v>
      </c>
      <c r="L238" s="4">
        <v>78206.45</v>
      </c>
      <c r="M238" s="4">
        <v>0</v>
      </c>
      <c r="N238" s="4">
        <v>856954.04</v>
      </c>
      <c r="O238" s="4">
        <f>Tab_12.Dez[[#This Row],[DÉBITO]]-Tab_12.Dez[[#This Row],[CRÉDITO]]</f>
        <v>78206.45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A</v>
      </c>
      <c r="E239" s="2">
        <f>IF($I239="","",COUNTIFS(Tab_00.Trial[CONTA],$I239))</f>
        <v>1</v>
      </c>
      <c r="F239" s="4">
        <f>SUMIFS(Tab_11.Nov[SALDO
ATUAL],Tab_11.Nov[CONTA],$I239)</f>
        <v>96874.240000000005</v>
      </c>
      <c r="G239" s="4">
        <f t="shared" si="6"/>
        <v>0</v>
      </c>
      <c r="H239" s="191">
        <v>50315</v>
      </c>
      <c r="I239" s="3" t="s">
        <v>459</v>
      </c>
      <c r="J239" s="3" t="s">
        <v>460</v>
      </c>
      <c r="K239" s="4">
        <v>96874.240000000005</v>
      </c>
      <c r="L239" s="4">
        <v>9157.56</v>
      </c>
      <c r="M239" s="4">
        <v>0</v>
      </c>
      <c r="N239" s="4">
        <v>106031.8</v>
      </c>
      <c r="O239" s="4">
        <f>Tab_12.Dez[[#This Row],[DÉBITO]]-Tab_12.Dez[[#This Row],[CRÉDITO]]</f>
        <v>9157.56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A</v>
      </c>
      <c r="E240" s="2">
        <f>IF($I240="","",COUNTIFS(Tab_00.Trial[CONTA],$I240))</f>
        <v>1</v>
      </c>
      <c r="F240" s="4">
        <f>SUMIFS(Tab_11.Nov[SALDO
ATUAL],Tab_11.Nov[CONTA],$I240)</f>
        <v>156172.1</v>
      </c>
      <c r="G240" s="4">
        <f t="shared" si="6"/>
        <v>0</v>
      </c>
      <c r="H240" s="191">
        <v>50330</v>
      </c>
      <c r="I240" s="3" t="s">
        <v>461</v>
      </c>
      <c r="J240" s="3" t="s">
        <v>462</v>
      </c>
      <c r="K240" s="4">
        <v>156172.1</v>
      </c>
      <c r="L240" s="4">
        <v>12350</v>
      </c>
      <c r="M240" s="4">
        <v>0</v>
      </c>
      <c r="N240" s="4">
        <v>168522.1</v>
      </c>
      <c r="O240" s="4">
        <f>Tab_12.Dez[[#This Row],[DÉBITO]]-Tab_12.Dez[[#This Row],[CRÉDITO]]</f>
        <v>12350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A</v>
      </c>
      <c r="E241" s="2">
        <f>IF($I241="","",COUNTIFS(Tab_00.Trial[CONTA],$I241))</f>
        <v>1</v>
      </c>
      <c r="F241" s="4">
        <f>SUMIFS(Tab_11.Nov[SALDO
ATUAL],Tab_11.Nov[CONTA],$I241)</f>
        <v>21500.01</v>
      </c>
      <c r="G241" s="4">
        <f t="shared" si="6"/>
        <v>0</v>
      </c>
      <c r="H241" s="191">
        <v>50345</v>
      </c>
      <c r="I241" s="3" t="s">
        <v>463</v>
      </c>
      <c r="J241" s="3" t="s">
        <v>464</v>
      </c>
      <c r="K241" s="4">
        <v>21500.01</v>
      </c>
      <c r="L241" s="4">
        <v>0</v>
      </c>
      <c r="M241" s="4">
        <v>0</v>
      </c>
      <c r="N241" s="4">
        <v>21500.01</v>
      </c>
      <c r="O241" s="4">
        <f>Tab_12.Dez[[#This Row],[DÉBITO]]-Tab_12.Dez[[#This Row],[CRÉDITO]]</f>
        <v>0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A</v>
      </c>
      <c r="E242" s="2">
        <f>IF($I242="","",COUNTIFS(Tab_00.Trial[CONTA],$I242))</f>
        <v>1</v>
      </c>
      <c r="F242" s="4">
        <f>SUMIFS(Tab_11.Nov[SALDO
ATUAL],Tab_11.Nov[CONTA],$I242)</f>
        <v>332452.84000000003</v>
      </c>
      <c r="G242" s="4">
        <f t="shared" si="6"/>
        <v>0</v>
      </c>
      <c r="H242" s="191">
        <v>50360</v>
      </c>
      <c r="I242" s="3" t="s">
        <v>465</v>
      </c>
      <c r="J242" s="3" t="s">
        <v>466</v>
      </c>
      <c r="K242" s="4">
        <v>332452.84000000003</v>
      </c>
      <c r="L242" s="4">
        <v>42074.27</v>
      </c>
      <c r="M242" s="4">
        <v>0</v>
      </c>
      <c r="N242" s="4">
        <v>374527.11</v>
      </c>
      <c r="O242" s="4">
        <f>Tab_12.Dez[[#This Row],[DÉBITO]]-Tab_12.Dez[[#This Row],[CRÉDITO]]</f>
        <v>42074.27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A</v>
      </c>
      <c r="E243" s="2">
        <f>IF($I243="","",COUNTIFS(Tab_00.Trial[CONTA],$I243))</f>
        <v>1</v>
      </c>
      <c r="F243" s="4">
        <f>SUMIFS(Tab_11.Nov[SALDO
ATUAL],Tab_11.Nov[CONTA],$I243)</f>
        <v>49500</v>
      </c>
      <c r="G243" s="4">
        <f t="shared" si="6"/>
        <v>0</v>
      </c>
      <c r="H243" s="191">
        <v>50375</v>
      </c>
      <c r="I243" s="3" t="s">
        <v>473</v>
      </c>
      <c r="J243" s="3" t="s">
        <v>474</v>
      </c>
      <c r="K243" s="4">
        <v>49500</v>
      </c>
      <c r="L243" s="4">
        <v>4500</v>
      </c>
      <c r="M243" s="4">
        <v>0</v>
      </c>
      <c r="N243" s="4">
        <v>54000</v>
      </c>
      <c r="O243" s="4">
        <f>Tab_12.Dez[[#This Row],[DÉBITO]]-Tab_12.Dez[[#This Row],[CRÉDITO]]</f>
        <v>4500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A</v>
      </c>
      <c r="E244" s="2">
        <f>IF($I244="","",COUNTIFS(Tab_00.Trial[CONTA],$I244))</f>
        <v>1</v>
      </c>
      <c r="F244" s="4">
        <f>SUMIFS(Tab_11.Nov[SALDO
ATUAL],Tab_11.Nov[CONTA],$I244)</f>
        <v>2459.16</v>
      </c>
      <c r="G244" s="4">
        <f t="shared" si="6"/>
        <v>0</v>
      </c>
      <c r="H244" s="191">
        <v>50405</v>
      </c>
      <c r="I244" s="3" t="s">
        <v>467</v>
      </c>
      <c r="J244" s="3" t="s">
        <v>468</v>
      </c>
      <c r="K244" s="4">
        <v>2459.16</v>
      </c>
      <c r="L244" s="4">
        <v>234.21</v>
      </c>
      <c r="M244" s="4">
        <v>0</v>
      </c>
      <c r="N244" s="4">
        <v>2693.37</v>
      </c>
      <c r="O244" s="4">
        <f>Tab_12.Dez[[#This Row],[DÉBITO]]-Tab_12.Dez[[#This Row],[CRÉDITO]]</f>
        <v>234.21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A</v>
      </c>
      <c r="E245" s="2">
        <f>IF($I245="","",COUNTIFS(Tab_00.Trial[CONTA],$I245))</f>
        <v>1</v>
      </c>
      <c r="F245" s="4">
        <f>SUMIFS(Tab_11.Nov[SALDO
ATUAL],Tab_11.Nov[CONTA],$I245)</f>
        <v>65998.740000000005</v>
      </c>
      <c r="G245" s="4">
        <f t="shared" si="6"/>
        <v>0</v>
      </c>
      <c r="H245" s="191">
        <v>50430</v>
      </c>
      <c r="I245" s="3" t="s">
        <v>469</v>
      </c>
      <c r="J245" s="3" t="s">
        <v>470</v>
      </c>
      <c r="K245" s="4">
        <v>65998.740000000005</v>
      </c>
      <c r="L245" s="4">
        <v>4950</v>
      </c>
      <c r="M245" s="4">
        <v>0</v>
      </c>
      <c r="N245" s="4">
        <v>70948.740000000005</v>
      </c>
      <c r="O245" s="4">
        <f>Tab_12.Dez[[#This Row],[DÉBITO]]-Tab_12.Dez[[#This Row],[CRÉDITO]]</f>
        <v>4950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A</v>
      </c>
      <c r="E246" s="2">
        <f>IF($I246="","",COUNTIFS(Tab_00.Trial[CONTA],$I246))</f>
        <v>1</v>
      </c>
      <c r="F246" s="4">
        <f>SUMIFS(Tab_11.Nov[SALDO
ATUAL],Tab_11.Nov[CONTA],$I246)</f>
        <v>53790.5</v>
      </c>
      <c r="G246" s="4">
        <f t="shared" si="6"/>
        <v>0</v>
      </c>
      <c r="H246" s="191">
        <v>50432</v>
      </c>
      <c r="I246" s="3" t="s">
        <v>471</v>
      </c>
      <c r="J246" s="3" t="s">
        <v>472</v>
      </c>
      <c r="K246" s="4">
        <v>53790.5</v>
      </c>
      <c r="L246" s="4">
        <v>4940.41</v>
      </c>
      <c r="M246" s="4">
        <v>0</v>
      </c>
      <c r="N246" s="4">
        <v>58730.91</v>
      </c>
      <c r="O246" s="4">
        <f>Tab_12.Dez[[#This Row],[DÉBITO]]-Tab_12.Dez[[#This Row],[CRÉDITO]]</f>
        <v>4940.41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S</v>
      </c>
      <c r="E247" s="2">
        <f>IF($I247="","",COUNTIFS(Tab_00.Trial[CONTA],$I247))</f>
        <v>1</v>
      </c>
      <c r="F247" s="4">
        <f>SUMIFS(Tab_11.Nov[SALDO
ATUAL],Tab_11.Nov[CONTA],$I247)</f>
        <v>912626.89</v>
      </c>
      <c r="G247" s="4">
        <f t="shared" si="6"/>
        <v>0</v>
      </c>
      <c r="H247" s="191">
        <v>50465</v>
      </c>
      <c r="I247" s="3" t="s">
        <v>608</v>
      </c>
      <c r="J247" s="3" t="s">
        <v>713</v>
      </c>
      <c r="K247" s="4">
        <v>912626.89</v>
      </c>
      <c r="L247" s="4">
        <v>82966.080000000002</v>
      </c>
      <c r="M247" s="4">
        <v>0</v>
      </c>
      <c r="N247" s="4">
        <v>995592.97</v>
      </c>
      <c r="O247" s="4">
        <f>Tab_12.Dez[[#This Row],[DÉBITO]]-Tab_12.Dez[[#This Row],[CRÉDITO]]</f>
        <v>82966.080000000002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A</v>
      </c>
      <c r="E248" s="2">
        <f>IF($I248="","",COUNTIFS(Tab_00.Trial[CONTA],$I248))</f>
        <v>1</v>
      </c>
      <c r="F248" s="4">
        <f>SUMIFS(Tab_11.Nov[SALDO
ATUAL],Tab_11.Nov[CONTA],$I248)</f>
        <v>197780.89</v>
      </c>
      <c r="G248" s="4">
        <f t="shared" si="6"/>
        <v>0</v>
      </c>
      <c r="H248" s="191">
        <v>50480</v>
      </c>
      <c r="I248" s="3" t="s">
        <v>741</v>
      </c>
      <c r="J248" s="3" t="s">
        <v>742</v>
      </c>
      <c r="K248" s="4">
        <v>197780.89</v>
      </c>
      <c r="L248" s="4">
        <v>17980.080000000002</v>
      </c>
      <c r="M248" s="4">
        <v>0</v>
      </c>
      <c r="N248" s="4">
        <v>215760.97</v>
      </c>
      <c r="O248" s="4">
        <f>Tab_12.Dez[[#This Row],[DÉBITO]]-Tab_12.Dez[[#This Row],[CRÉDITO]]</f>
        <v>17980.080000000002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A</v>
      </c>
      <c r="E249" s="2">
        <f>IF($I249="","",COUNTIFS(Tab_00.Trial[CONTA],$I249))</f>
        <v>1</v>
      </c>
      <c r="F249" s="4">
        <f>SUMIFS(Tab_11.Nov[SALDO
ATUAL],Tab_11.Nov[CONTA],$I249)</f>
        <v>82500</v>
      </c>
      <c r="G249" s="4">
        <f t="shared" si="6"/>
        <v>0</v>
      </c>
      <c r="H249" s="191">
        <v>50495</v>
      </c>
      <c r="I249" s="3" t="s">
        <v>833</v>
      </c>
      <c r="J249" s="3" t="s">
        <v>834</v>
      </c>
      <c r="K249" s="4">
        <v>82500</v>
      </c>
      <c r="L249" s="4">
        <v>7500</v>
      </c>
      <c r="M249" s="4">
        <v>0</v>
      </c>
      <c r="N249" s="4">
        <v>90000</v>
      </c>
      <c r="O249" s="4">
        <f>Tab_12.Dez[[#This Row],[DÉBITO]]-Tab_12.Dez[[#This Row],[CRÉDITO]]</f>
        <v>7500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A</v>
      </c>
      <c r="E250" s="2">
        <f>IF($I250="","",COUNTIFS(Tab_00.Trial[CONTA],$I250))</f>
        <v>1</v>
      </c>
      <c r="F250" s="4">
        <f>SUMIFS(Tab_11.Nov[SALDO
ATUAL],Tab_11.Nov[CONTA],$I250)</f>
        <v>632346</v>
      </c>
      <c r="G250" s="4">
        <f t="shared" si="6"/>
        <v>0</v>
      </c>
      <c r="H250" s="191">
        <v>50500</v>
      </c>
      <c r="I250" s="3" t="s">
        <v>480</v>
      </c>
      <c r="J250" s="3" t="s">
        <v>481</v>
      </c>
      <c r="K250" s="4">
        <v>632346</v>
      </c>
      <c r="L250" s="4">
        <v>57486</v>
      </c>
      <c r="M250" s="4">
        <v>0</v>
      </c>
      <c r="N250" s="4">
        <v>689832</v>
      </c>
      <c r="O250" s="4">
        <f>Tab_12.Dez[[#This Row],[DÉBITO]]-Tab_12.Dez[[#This Row],[CRÉDITO]]</f>
        <v>57486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S</v>
      </c>
      <c r="E251" s="2">
        <f>IF($I251="","",COUNTIFS(Tab_00.Trial[CONTA],$I251))</f>
        <v>1</v>
      </c>
      <c r="F251" s="4">
        <f>SUMIFS(Tab_11.Nov[SALDO
ATUAL],Tab_11.Nov[CONTA],$I251)</f>
        <v>22023.58</v>
      </c>
      <c r="G251" s="4">
        <f t="shared" ref="G251:G281" si="7">$F251-$K251</f>
        <v>0</v>
      </c>
      <c r="H251" s="191">
        <v>50510</v>
      </c>
      <c r="I251" s="3" t="s">
        <v>609</v>
      </c>
      <c r="J251" s="3" t="s">
        <v>714</v>
      </c>
      <c r="K251" s="4">
        <v>22023.58</v>
      </c>
      <c r="L251" s="4">
        <v>168</v>
      </c>
      <c r="M251" s="4">
        <v>0</v>
      </c>
      <c r="N251" s="4">
        <v>22191.58</v>
      </c>
      <c r="O251" s="4">
        <f>Tab_12.Dez[[#This Row],[DÉBITO]]-Tab_12.Dez[[#This Row],[CRÉDITO]]</f>
        <v>168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S</v>
      </c>
      <c r="E252" s="2">
        <f>IF($I252="","",COUNTIFS(Tab_00.Trial[CONTA],$I252))</f>
        <v>1</v>
      </c>
      <c r="F252" s="4">
        <f>SUMIFS(Tab_11.Nov[SALDO
ATUAL],Tab_11.Nov[CONTA],$I252)</f>
        <v>21795.58</v>
      </c>
      <c r="G252" s="4">
        <f t="shared" si="7"/>
        <v>0</v>
      </c>
      <c r="H252" s="191">
        <v>50525</v>
      </c>
      <c r="I252" s="3" t="s">
        <v>610</v>
      </c>
      <c r="J252" s="3" t="s">
        <v>714</v>
      </c>
      <c r="K252" s="4">
        <v>21795.58</v>
      </c>
      <c r="L252" s="4">
        <v>168</v>
      </c>
      <c r="M252" s="4">
        <v>0</v>
      </c>
      <c r="N252" s="4">
        <v>21963.58</v>
      </c>
      <c r="O252" s="4">
        <f>Tab_12.Dez[[#This Row],[DÉBITO]]-Tab_12.Dez[[#This Row],[CRÉDITO]]</f>
        <v>168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A</v>
      </c>
      <c r="E253" s="2">
        <f>IF($I253="","",COUNTIFS(Tab_00.Trial[CONTA],$I253))</f>
        <v>1</v>
      </c>
      <c r="F253" s="4">
        <f>SUMIFS(Tab_11.Nov[SALDO
ATUAL],Tab_11.Nov[CONTA],$I253)</f>
        <v>7636.23</v>
      </c>
      <c r="G253" s="4">
        <f t="shared" si="7"/>
        <v>0</v>
      </c>
      <c r="H253" s="191">
        <v>50540</v>
      </c>
      <c r="I253" s="3" t="s">
        <v>482</v>
      </c>
      <c r="J253" s="3" t="s">
        <v>483</v>
      </c>
      <c r="K253" s="4">
        <v>7636.23</v>
      </c>
      <c r="L253" s="4">
        <v>168</v>
      </c>
      <c r="M253" s="4">
        <v>0</v>
      </c>
      <c r="N253" s="4">
        <v>7804.23</v>
      </c>
      <c r="O253" s="4">
        <f>Tab_12.Dez[[#This Row],[DÉBITO]]-Tab_12.Dez[[#This Row],[CRÉDITO]]</f>
        <v>168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A</v>
      </c>
      <c r="E254" s="2">
        <f>IF($I254="","",COUNTIFS(Tab_00.Trial[CONTA],$I254))</f>
        <v>1</v>
      </c>
      <c r="F254" s="4">
        <f>SUMIFS(Tab_11.Nov[SALDO
ATUAL],Tab_11.Nov[CONTA],$I254)</f>
        <v>5000</v>
      </c>
      <c r="G254" s="4">
        <f t="shared" si="7"/>
        <v>0</v>
      </c>
      <c r="H254" s="191">
        <v>50555</v>
      </c>
      <c r="I254" s="3" t="s">
        <v>752</v>
      </c>
      <c r="J254" s="3" t="s">
        <v>753</v>
      </c>
      <c r="K254" s="4">
        <v>5000</v>
      </c>
      <c r="L254" s="4">
        <v>0</v>
      </c>
      <c r="M254" s="4">
        <v>0</v>
      </c>
      <c r="N254" s="4">
        <v>5000</v>
      </c>
      <c r="O254" s="4">
        <f>Tab_12.Dez[[#This Row],[DÉBITO]]-Tab_12.Dez[[#This Row],[CRÉDITO]]</f>
        <v>0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A</v>
      </c>
      <c r="E255" s="2">
        <f>IF($I255="","",COUNTIFS(Tab_00.Trial[CONTA],$I255))</f>
        <v>1</v>
      </c>
      <c r="F255" s="4">
        <f>SUMIFS(Tab_11.Nov[SALDO
ATUAL],Tab_11.Nov[CONTA],$I255)</f>
        <v>9159.35</v>
      </c>
      <c r="G255" s="4">
        <f t="shared" si="7"/>
        <v>0</v>
      </c>
      <c r="H255" s="191">
        <v>50570</v>
      </c>
      <c r="I255" s="3" t="s">
        <v>484</v>
      </c>
      <c r="J255" s="3" t="s">
        <v>485</v>
      </c>
      <c r="K255" s="4">
        <v>9159.35</v>
      </c>
      <c r="L255" s="4">
        <v>0</v>
      </c>
      <c r="M255" s="4">
        <v>0</v>
      </c>
      <c r="N255" s="4">
        <v>9159.35</v>
      </c>
      <c r="O255" s="4">
        <f>Tab_12.Dez[[#This Row],[DÉBITO]]-Tab_12.Dez[[#This Row],[CRÉDITO]]</f>
        <v>0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S</v>
      </c>
      <c r="E256" s="2">
        <f>IF($I256="","",COUNTIFS(Tab_00.Trial[CONTA],$I256))</f>
        <v>1</v>
      </c>
      <c r="F256" s="4">
        <f>SUMIFS(Tab_11.Nov[SALDO
ATUAL],Tab_11.Nov[CONTA],$I256)</f>
        <v>228</v>
      </c>
      <c r="G256" s="4">
        <f t="shared" si="7"/>
        <v>0</v>
      </c>
      <c r="H256" s="191">
        <v>50630</v>
      </c>
      <c r="I256" s="3" t="s">
        <v>611</v>
      </c>
      <c r="J256" s="3" t="s">
        <v>715</v>
      </c>
      <c r="K256" s="4">
        <v>228</v>
      </c>
      <c r="L256" s="4">
        <v>0</v>
      </c>
      <c r="M256" s="4">
        <v>0</v>
      </c>
      <c r="N256" s="4">
        <v>228</v>
      </c>
      <c r="O256" s="4">
        <f>Tab_12.Dez[[#This Row],[DÉBITO]]-Tab_12.Dez[[#This Row],[CRÉDITO]]</f>
        <v>0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A</v>
      </c>
      <c r="E257" s="2">
        <f>IF($I257="","",COUNTIFS(Tab_00.Trial[CONTA],$I257))</f>
        <v>1</v>
      </c>
      <c r="F257" s="4">
        <f>SUMIFS(Tab_11.Nov[SALDO
ATUAL],Tab_11.Nov[CONTA],$I257)</f>
        <v>228</v>
      </c>
      <c r="G257" s="4">
        <f t="shared" si="7"/>
        <v>0</v>
      </c>
      <c r="H257" s="191">
        <v>50645</v>
      </c>
      <c r="I257" s="3" t="s">
        <v>489</v>
      </c>
      <c r="J257" s="3" t="s">
        <v>490</v>
      </c>
      <c r="K257" s="4">
        <v>228</v>
      </c>
      <c r="L257" s="4">
        <v>0</v>
      </c>
      <c r="M257" s="4">
        <v>0</v>
      </c>
      <c r="N257" s="4">
        <v>228</v>
      </c>
      <c r="O257" s="4">
        <f>Tab_12.Dez[[#This Row],[DÉBITO]]-Tab_12.Dez[[#This Row],[CRÉDITO]]</f>
        <v>0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S</v>
      </c>
      <c r="E258" s="2">
        <f>IF($I258="","",COUNTIFS(Tab_00.Trial[CONTA],$I258))</f>
        <v>1</v>
      </c>
      <c r="F258" s="4">
        <f>SUMIFS(Tab_11.Nov[SALDO
ATUAL],Tab_11.Nov[CONTA],$I258)</f>
        <v>115066.41</v>
      </c>
      <c r="G258" s="4">
        <f t="shared" si="7"/>
        <v>0</v>
      </c>
      <c r="H258" s="191">
        <v>50660</v>
      </c>
      <c r="I258" s="3" t="s">
        <v>612</v>
      </c>
      <c r="J258" s="3" t="s">
        <v>716</v>
      </c>
      <c r="K258" s="4">
        <v>115066.41</v>
      </c>
      <c r="L258" s="4">
        <v>30010.2</v>
      </c>
      <c r="M258" s="4">
        <v>36</v>
      </c>
      <c r="N258" s="4">
        <v>145040.60999999999</v>
      </c>
      <c r="O258" s="4">
        <f>Tab_12.Dez[[#This Row],[DÉBITO]]-Tab_12.Dez[[#This Row],[CRÉDITO]]</f>
        <v>29974.2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S</v>
      </c>
      <c r="E259" s="2">
        <f>IF($I259="","",COUNTIFS(Tab_00.Trial[CONTA],$I259))</f>
        <v>1</v>
      </c>
      <c r="F259" s="4">
        <f>SUMIFS(Tab_11.Nov[SALDO
ATUAL],Tab_11.Nov[CONTA],$I259)</f>
        <v>61714.9</v>
      </c>
      <c r="G259" s="4">
        <f t="shared" si="7"/>
        <v>0</v>
      </c>
      <c r="H259" s="191">
        <v>50675</v>
      </c>
      <c r="I259" s="3" t="s">
        <v>613</v>
      </c>
      <c r="J259" s="3" t="s">
        <v>717</v>
      </c>
      <c r="K259" s="4">
        <v>61714.9</v>
      </c>
      <c r="L259" s="4">
        <v>2833.93</v>
      </c>
      <c r="M259" s="4">
        <v>0</v>
      </c>
      <c r="N259" s="4">
        <v>64548.83</v>
      </c>
      <c r="O259" s="4">
        <f>Tab_12.Dez[[#This Row],[DÉBITO]]-Tab_12.Dez[[#This Row],[CRÉDITO]]</f>
        <v>2833.93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A</v>
      </c>
      <c r="E260" s="2">
        <f>IF($I260="","",COUNTIFS(Tab_00.Trial[CONTA],$I260))</f>
        <v>1</v>
      </c>
      <c r="F260" s="4">
        <f>SUMIFS(Tab_11.Nov[SALDO
ATUAL],Tab_11.Nov[CONTA],$I260)</f>
        <v>29400.48</v>
      </c>
      <c r="G260" s="4">
        <f t="shared" si="7"/>
        <v>0</v>
      </c>
      <c r="H260" s="191">
        <v>50690</v>
      </c>
      <c r="I260" s="3" t="s">
        <v>491</v>
      </c>
      <c r="J260" s="3" t="s">
        <v>492</v>
      </c>
      <c r="K260" s="4">
        <v>29400.48</v>
      </c>
      <c r="L260" s="4">
        <v>0</v>
      </c>
      <c r="M260" s="4">
        <v>0</v>
      </c>
      <c r="N260" s="4">
        <v>29400.48</v>
      </c>
      <c r="O260" s="4">
        <f>Tab_12.Dez[[#This Row],[DÉBITO]]-Tab_12.Dez[[#This Row],[CRÉDITO]]</f>
        <v>0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A</v>
      </c>
      <c r="E261" s="2">
        <f>IF($I261="","",COUNTIFS(Tab_00.Trial[CONTA],$I261))</f>
        <v>1</v>
      </c>
      <c r="F261" s="4">
        <f>SUMIFS(Tab_11.Nov[SALDO
ATUAL],Tab_11.Nov[CONTA],$I261)</f>
        <v>16538.13</v>
      </c>
      <c r="G261" s="4">
        <f t="shared" si="7"/>
        <v>0</v>
      </c>
      <c r="H261" s="191">
        <v>50705</v>
      </c>
      <c r="I261" s="3" t="s">
        <v>493</v>
      </c>
      <c r="J261" s="3" t="s">
        <v>494</v>
      </c>
      <c r="K261" s="4">
        <v>16538.13</v>
      </c>
      <c r="L261" s="4">
        <v>1374.07</v>
      </c>
      <c r="M261" s="4">
        <v>0</v>
      </c>
      <c r="N261" s="4">
        <v>17912.2</v>
      </c>
      <c r="O261" s="4">
        <f>Tab_12.Dez[[#This Row],[DÉBITO]]-Tab_12.Dez[[#This Row],[CRÉDITO]]</f>
        <v>1374.07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A</v>
      </c>
      <c r="E262" s="2">
        <f>IF($I262="","",COUNTIFS(Tab_00.Trial[CONTA],$I262))</f>
        <v>1</v>
      </c>
      <c r="F262" s="4">
        <f>SUMIFS(Tab_11.Nov[SALDO
ATUAL],Tab_11.Nov[CONTA],$I262)</f>
        <v>15776.29</v>
      </c>
      <c r="G262" s="4">
        <f t="shared" si="7"/>
        <v>0</v>
      </c>
      <c r="H262" s="191">
        <v>50720</v>
      </c>
      <c r="I262" s="3" t="s">
        <v>495</v>
      </c>
      <c r="J262" s="3" t="s">
        <v>496</v>
      </c>
      <c r="K262" s="4">
        <v>15776.29</v>
      </c>
      <c r="L262" s="4">
        <v>1459.86</v>
      </c>
      <c r="M262" s="4">
        <v>0</v>
      </c>
      <c r="N262" s="4">
        <v>17236.150000000001</v>
      </c>
      <c r="O262" s="4">
        <f>Tab_12.Dez[[#This Row],[DÉBITO]]-Tab_12.Dez[[#This Row],[CRÉDITO]]</f>
        <v>1459.86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S</v>
      </c>
      <c r="E263" s="2">
        <f>IF($I263="","",COUNTIFS(Tab_00.Trial[CONTA],$I263))</f>
        <v>1</v>
      </c>
      <c r="F263" s="4">
        <f>SUMIFS(Tab_11.Nov[SALDO
ATUAL],Tab_11.Nov[CONTA],$I263)</f>
        <v>53351.51</v>
      </c>
      <c r="G263" s="4">
        <f t="shared" si="7"/>
        <v>0</v>
      </c>
      <c r="H263" s="191">
        <v>50750</v>
      </c>
      <c r="I263" s="3" t="s">
        <v>614</v>
      </c>
      <c r="J263" s="3" t="s">
        <v>718</v>
      </c>
      <c r="K263" s="4">
        <v>53351.51</v>
      </c>
      <c r="L263" s="4">
        <v>27176.27</v>
      </c>
      <c r="M263" s="4">
        <v>36</v>
      </c>
      <c r="N263" s="4">
        <v>80491.78</v>
      </c>
      <c r="O263" s="4">
        <f>Tab_12.Dez[[#This Row],[DÉBITO]]-Tab_12.Dez[[#This Row],[CRÉDITO]]</f>
        <v>27140.27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A</v>
      </c>
      <c r="E264" s="2">
        <f>IF($I264="","",COUNTIFS(Tab_00.Trial[CONTA],$I264))</f>
        <v>1</v>
      </c>
      <c r="F264" s="4">
        <f>SUMIFS(Tab_11.Nov[SALDO
ATUAL],Tab_11.Nov[CONTA],$I264)</f>
        <v>95</v>
      </c>
      <c r="G264" s="4">
        <f t="shared" si="7"/>
        <v>0</v>
      </c>
      <c r="H264" s="191">
        <v>50765</v>
      </c>
      <c r="I264" s="3" t="s">
        <v>497</v>
      </c>
      <c r="J264" s="3" t="s">
        <v>498</v>
      </c>
      <c r="K264" s="4">
        <v>95</v>
      </c>
      <c r="L264" s="4">
        <v>0</v>
      </c>
      <c r="M264" s="4">
        <v>0</v>
      </c>
      <c r="N264" s="4">
        <v>95</v>
      </c>
      <c r="O264" s="4">
        <f>Tab_12.Dez[[#This Row],[DÉBITO]]-Tab_12.Dez[[#This Row],[CRÉDITO]]</f>
        <v>0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A</v>
      </c>
      <c r="E265" s="2">
        <f>IF($I265="","",COUNTIFS(Tab_00.Trial[CONTA],$I265))</f>
        <v>1</v>
      </c>
      <c r="F265" s="4">
        <f>SUMIFS(Tab_11.Nov[SALDO
ATUAL],Tab_11.Nov[CONTA],$I265)</f>
        <v>22772.240000000002</v>
      </c>
      <c r="G265" s="4">
        <f t="shared" si="7"/>
        <v>0</v>
      </c>
      <c r="H265" s="191">
        <v>50780</v>
      </c>
      <c r="I265" s="3" t="s">
        <v>499</v>
      </c>
      <c r="J265" s="3" t="s">
        <v>500</v>
      </c>
      <c r="K265" s="4">
        <v>22772.240000000002</v>
      </c>
      <c r="L265" s="4">
        <v>50</v>
      </c>
      <c r="M265" s="4">
        <v>0</v>
      </c>
      <c r="N265" s="4">
        <v>22822.240000000002</v>
      </c>
      <c r="O265" s="4">
        <f>Tab_12.Dez[[#This Row],[DÉBITO]]-Tab_12.Dez[[#This Row],[CRÉDITO]]</f>
        <v>50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A</v>
      </c>
      <c r="E266" s="2">
        <f>IF($I266="","",COUNTIFS(Tab_00.Trial[CONTA],$I266))</f>
        <v>1</v>
      </c>
      <c r="F266" s="4">
        <f>SUMIFS(Tab_11.Nov[SALDO
ATUAL],Tab_11.Nov[CONTA],$I266)</f>
        <v>15011.2</v>
      </c>
      <c r="G266" s="4">
        <f t="shared" si="7"/>
        <v>0</v>
      </c>
      <c r="H266" s="191">
        <v>50795</v>
      </c>
      <c r="I266" s="3" t="s">
        <v>501</v>
      </c>
      <c r="J266" s="3" t="s">
        <v>502</v>
      </c>
      <c r="K266" s="4">
        <v>15011.2</v>
      </c>
      <c r="L266" s="4">
        <v>24298</v>
      </c>
      <c r="M266" s="4">
        <v>0</v>
      </c>
      <c r="N266" s="4">
        <v>39309.199999999997</v>
      </c>
      <c r="O266" s="4">
        <f>Tab_12.Dez[[#This Row],[DÉBITO]]-Tab_12.Dez[[#This Row],[CRÉDITO]]</f>
        <v>24298</v>
      </c>
    </row>
    <row r="267" spans="2:15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5</v>
      </c>
      <c r="D267" s="2" t="str">
        <f>_xlfn.XLOOKUP($I267,Tab_00.Trial[CONTA],Tab_00.Trial[S/A],"",0,1)</f>
        <v>A</v>
      </c>
      <c r="E267" s="2">
        <f>IF($I267="","",COUNTIFS(Tab_00.Trial[CONTA],$I267))</f>
        <v>1</v>
      </c>
      <c r="F267" s="4">
        <f>SUMIFS(Tab_11.Nov[SALDO
ATUAL],Tab_11.Nov[CONTA],$I267)</f>
        <v>15313.37</v>
      </c>
      <c r="G267" s="4">
        <f t="shared" si="7"/>
        <v>0</v>
      </c>
      <c r="H267" s="191">
        <v>50810</v>
      </c>
      <c r="I267" s="3" t="s">
        <v>503</v>
      </c>
      <c r="J267" s="3" t="s">
        <v>504</v>
      </c>
      <c r="K267" s="4">
        <v>15313.37</v>
      </c>
      <c r="L267" s="4">
        <v>2828.27</v>
      </c>
      <c r="M267" s="4">
        <v>36</v>
      </c>
      <c r="N267" s="4">
        <v>18105.64</v>
      </c>
      <c r="O267" s="4">
        <f>Tab_12.Dez[[#This Row],[DÉBITO]]-Tab_12.Dez[[#This Row],[CRÉDITO]]</f>
        <v>2792.27</v>
      </c>
    </row>
    <row r="268" spans="2:15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5</v>
      </c>
      <c r="D268" s="2" t="str">
        <f>_xlfn.XLOOKUP($I268,Tab_00.Trial[CONTA],Tab_00.Trial[S/A],"",0,1)</f>
        <v>A</v>
      </c>
      <c r="E268" s="2">
        <f>IF($I268="","",COUNTIFS(Tab_00.Trial[CONTA],$I268))</f>
        <v>1</v>
      </c>
      <c r="F268" s="4">
        <f>SUMIFS(Tab_11.Nov[SALDO
ATUAL],Tab_11.Nov[CONTA],$I268)</f>
        <v>159.69999999999999</v>
      </c>
      <c r="G268" s="4">
        <f t="shared" si="7"/>
        <v>0</v>
      </c>
      <c r="H268" s="191">
        <v>50815</v>
      </c>
      <c r="I268" s="3" t="s">
        <v>505</v>
      </c>
      <c r="J268" s="3" t="s">
        <v>506</v>
      </c>
      <c r="K268" s="4">
        <v>159.69999999999999</v>
      </c>
      <c r="L268" s="4">
        <v>0</v>
      </c>
      <c r="M268" s="4">
        <v>0</v>
      </c>
      <c r="N268" s="4">
        <v>159.69999999999999</v>
      </c>
      <c r="O268" s="4">
        <f>Tab_12.Dez[[#This Row],[DÉBITO]]-Tab_12.Dez[[#This Row],[CRÉDITO]]</f>
        <v>0</v>
      </c>
    </row>
    <row r="269" spans="2:15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5</v>
      </c>
      <c r="D269" s="2" t="str">
        <f>_xlfn.XLOOKUP($I269,Tab_00.Trial[CONTA],Tab_00.Trial[S/A],"",0,1)</f>
        <v>S</v>
      </c>
      <c r="E269" s="2">
        <f>IF($I269="","",COUNTIFS(Tab_00.Trial[CONTA],$I269))</f>
        <v>1</v>
      </c>
      <c r="F269" s="4">
        <f>SUMIFS(Tab_11.Nov[SALDO
ATUAL],Tab_11.Nov[CONTA],$I269)</f>
        <v>63380.91</v>
      </c>
      <c r="G269" s="4">
        <f t="shared" si="7"/>
        <v>0</v>
      </c>
      <c r="H269" s="191">
        <v>50870</v>
      </c>
      <c r="I269" s="3" t="s">
        <v>615</v>
      </c>
      <c r="J269" s="3" t="s">
        <v>719</v>
      </c>
      <c r="K269" s="4">
        <v>63380.91</v>
      </c>
      <c r="L269" s="4">
        <v>5375.14</v>
      </c>
      <c r="M269" s="4">
        <v>0</v>
      </c>
      <c r="N269" s="4">
        <v>68756.05</v>
      </c>
      <c r="O269" s="4">
        <f>Tab_12.Dez[[#This Row],[DÉBITO]]-Tab_12.Dez[[#This Row],[CRÉDITO]]</f>
        <v>5375.14</v>
      </c>
    </row>
    <row r="270" spans="2:15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S</v>
      </c>
      <c r="E270" s="2">
        <f>IF($I270="","",COUNTIFS(Tab_00.Trial[CONTA],$I270))</f>
        <v>1</v>
      </c>
      <c r="F270" s="4">
        <f>SUMIFS(Tab_11.Nov[SALDO
ATUAL],Tab_11.Nov[CONTA],$I270)</f>
        <v>3160.59</v>
      </c>
      <c r="G270" s="4">
        <f t="shared" si="7"/>
        <v>0</v>
      </c>
      <c r="H270" s="191">
        <v>50915</v>
      </c>
      <c r="I270" s="3" t="s">
        <v>617</v>
      </c>
      <c r="J270" s="3" t="s">
        <v>721</v>
      </c>
      <c r="K270" s="4">
        <v>3160.59</v>
      </c>
      <c r="L270" s="4">
        <v>291.76</v>
      </c>
      <c r="M270" s="4">
        <v>0</v>
      </c>
      <c r="N270" s="4">
        <v>3452.35</v>
      </c>
      <c r="O270" s="4">
        <f>Tab_12.Dez[[#This Row],[DÉBITO]]-Tab_12.Dez[[#This Row],[CRÉDITO]]</f>
        <v>291.76</v>
      </c>
    </row>
    <row r="271" spans="2:15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5</v>
      </c>
      <c r="D271" s="2" t="str">
        <f>_xlfn.XLOOKUP($I271,Tab_00.Trial[CONTA],Tab_00.Trial[S/A],"",0,1)</f>
        <v>A</v>
      </c>
      <c r="E271" s="2">
        <f>IF($I271="","",COUNTIFS(Tab_00.Trial[CONTA],$I271))</f>
        <v>1</v>
      </c>
      <c r="F271" s="4">
        <f>SUMIFS(Tab_11.Nov[SALDO
ATUAL],Tab_11.Nov[CONTA],$I271)</f>
        <v>3160.59</v>
      </c>
      <c r="G271" s="4">
        <f t="shared" si="7"/>
        <v>0</v>
      </c>
      <c r="H271" s="191">
        <v>50945</v>
      </c>
      <c r="I271" s="3" t="s">
        <v>739</v>
      </c>
      <c r="J271" s="3" t="s">
        <v>740</v>
      </c>
      <c r="K271" s="4">
        <v>3160.59</v>
      </c>
      <c r="L271" s="4">
        <v>291.76</v>
      </c>
      <c r="M271" s="4">
        <v>0</v>
      </c>
      <c r="N271" s="4">
        <v>3452.35</v>
      </c>
      <c r="O271" s="4">
        <f>Tab_12.Dez[[#This Row],[DÉBITO]]-Tab_12.Dez[[#This Row],[CRÉDITO]]</f>
        <v>291.76</v>
      </c>
    </row>
    <row r="272" spans="2:15" x14ac:dyDescent="0.3">
      <c r="B272" s="2" t="str">
        <f>_xlfn.XLOOKUP($I272,Tab_00.Trial[CONTA],Tab_00.Trial[TP],"",0,1)</f>
        <v>C</v>
      </c>
      <c r="C272" s="2">
        <f>_xlfn.XLOOKUP($I272,Tab_00.Trial[CONTA],Tab_00.Trial[NV],"",0,1)</f>
        <v>5</v>
      </c>
      <c r="D272" s="2" t="str">
        <f>_xlfn.XLOOKUP($I272,Tab_00.Trial[CONTA],Tab_00.Trial[S/A],"",0,1)</f>
        <v>S</v>
      </c>
      <c r="E272" s="2">
        <f>IF($I272="","",COUNTIFS(Tab_00.Trial[CONTA],$I272))</f>
        <v>1</v>
      </c>
      <c r="F272" s="4">
        <f>SUMIFS(Tab_11.Nov[SALDO
ATUAL],Tab_11.Nov[CONTA],$I272)</f>
        <v>29211.68</v>
      </c>
      <c r="G272" s="4">
        <f t="shared" si="7"/>
        <v>0</v>
      </c>
      <c r="H272" s="191">
        <v>50960</v>
      </c>
      <c r="I272" s="3" t="s">
        <v>618</v>
      </c>
      <c r="J272" s="3" t="s">
        <v>722</v>
      </c>
      <c r="K272" s="4">
        <v>29211.68</v>
      </c>
      <c r="L272" s="4">
        <v>2708.67</v>
      </c>
      <c r="M272" s="4">
        <v>0</v>
      </c>
      <c r="N272" s="4">
        <v>31920.35</v>
      </c>
      <c r="O272" s="4">
        <f>Tab_12.Dez[[#This Row],[DÉBITO]]-Tab_12.Dez[[#This Row],[CRÉDITO]]</f>
        <v>2708.67</v>
      </c>
    </row>
    <row r="273" spans="2:15" x14ac:dyDescent="0.3">
      <c r="B273" s="2" t="str">
        <f>_xlfn.XLOOKUP($I273,Tab_00.Trial[CONTA],Tab_00.Trial[TP],"",0,1)</f>
        <v>C</v>
      </c>
      <c r="C273" s="2">
        <f>_xlfn.XLOOKUP($I273,Tab_00.Trial[CONTA],Tab_00.Trial[NV],"",0,1)</f>
        <v>5</v>
      </c>
      <c r="D273" s="2" t="str">
        <f>_xlfn.XLOOKUP($I273,Tab_00.Trial[CONTA],Tab_00.Trial[S/A],"",0,1)</f>
        <v>A</v>
      </c>
      <c r="E273" s="2">
        <f>IF($I273="","",COUNTIFS(Tab_00.Trial[CONTA],$I273))</f>
        <v>1</v>
      </c>
      <c r="F273" s="4">
        <f>SUMIFS(Tab_11.Nov[SALDO
ATUAL],Tab_11.Nov[CONTA],$I273)</f>
        <v>29211.68</v>
      </c>
      <c r="G273" s="4">
        <f t="shared" si="7"/>
        <v>0</v>
      </c>
      <c r="H273" s="191">
        <v>50965</v>
      </c>
      <c r="I273" s="3" t="s">
        <v>511</v>
      </c>
      <c r="J273" s="3" t="s">
        <v>512</v>
      </c>
      <c r="K273" s="4">
        <v>29211.68</v>
      </c>
      <c r="L273" s="4">
        <v>2708.67</v>
      </c>
      <c r="M273" s="4">
        <v>0</v>
      </c>
      <c r="N273" s="4">
        <v>31920.35</v>
      </c>
      <c r="O273" s="4">
        <f>Tab_12.Dez[[#This Row],[DÉBITO]]-Tab_12.Dez[[#This Row],[CRÉDITO]]</f>
        <v>2708.67</v>
      </c>
    </row>
    <row r="274" spans="2:15" x14ac:dyDescent="0.3">
      <c r="B274" s="2" t="str">
        <f>_xlfn.XLOOKUP($I274,Tab_00.Trial[CONTA],Tab_00.Trial[TP],"",0,1)</f>
        <v>C</v>
      </c>
      <c r="C274" s="2">
        <f>_xlfn.XLOOKUP($I274,Tab_00.Trial[CONTA],Tab_00.Trial[NV],"",0,1)</f>
        <v>5</v>
      </c>
      <c r="D274" s="2" t="str">
        <f>_xlfn.XLOOKUP($I274,Tab_00.Trial[CONTA],Tab_00.Trial[S/A],"",0,1)</f>
        <v>S</v>
      </c>
      <c r="E274" s="2">
        <f>IF($I274="","",COUNTIFS(Tab_00.Trial[CONTA],$I274))</f>
        <v>1</v>
      </c>
      <c r="F274" s="4">
        <f>SUMIFS(Tab_11.Nov[SALDO
ATUAL],Tab_11.Nov[CONTA],$I274)</f>
        <v>31008.639999999999</v>
      </c>
      <c r="G274" s="4">
        <f t="shared" si="7"/>
        <v>0</v>
      </c>
      <c r="H274" s="191">
        <v>50970</v>
      </c>
      <c r="I274" s="3" t="s">
        <v>619</v>
      </c>
      <c r="J274" s="3" t="s">
        <v>420</v>
      </c>
      <c r="K274" s="4">
        <v>31008.639999999999</v>
      </c>
      <c r="L274" s="4">
        <v>2374.71</v>
      </c>
      <c r="M274" s="4">
        <v>0</v>
      </c>
      <c r="N274" s="4">
        <v>33383.35</v>
      </c>
      <c r="O274" s="4">
        <f>Tab_12.Dez[[#This Row],[DÉBITO]]-Tab_12.Dez[[#This Row],[CRÉDITO]]</f>
        <v>2374.71</v>
      </c>
    </row>
    <row r="275" spans="2:15" x14ac:dyDescent="0.3">
      <c r="B275" s="2" t="str">
        <f>_xlfn.XLOOKUP($I275,Tab_00.Trial[CONTA],Tab_00.Trial[TP],"",0,1)</f>
        <v>C</v>
      </c>
      <c r="C275" s="2">
        <f>_xlfn.XLOOKUP($I275,Tab_00.Trial[CONTA],Tab_00.Trial[NV],"",0,1)</f>
        <v>5</v>
      </c>
      <c r="D275" s="2" t="str">
        <f>_xlfn.XLOOKUP($I275,Tab_00.Trial[CONTA],Tab_00.Trial[S/A],"",0,1)</f>
        <v>A</v>
      </c>
      <c r="E275" s="2">
        <f>IF($I275="","",COUNTIFS(Tab_00.Trial[CONTA],$I275))</f>
        <v>1</v>
      </c>
      <c r="F275" s="4">
        <f>SUMIFS(Tab_11.Nov[SALDO
ATUAL],Tab_11.Nov[CONTA],$I275)</f>
        <v>31008.639999999999</v>
      </c>
      <c r="G275" s="4">
        <f t="shared" si="7"/>
        <v>0</v>
      </c>
      <c r="H275" s="191">
        <v>50975</v>
      </c>
      <c r="I275" s="3" t="s">
        <v>515</v>
      </c>
      <c r="J275" s="3" t="s">
        <v>420</v>
      </c>
      <c r="K275" s="4">
        <v>31008.639999999999</v>
      </c>
      <c r="L275" s="4">
        <v>2374.71</v>
      </c>
      <c r="M275" s="4">
        <v>0</v>
      </c>
      <c r="N275" s="4">
        <v>33383.35</v>
      </c>
      <c r="O275" s="4">
        <f>Tab_12.Dez[[#This Row],[DÉBITO]]-Tab_12.Dez[[#This Row],[CRÉDITO]]</f>
        <v>2374.71</v>
      </c>
    </row>
    <row r="276" spans="2:15" x14ac:dyDescent="0.3">
      <c r="B276" s="2" t="str">
        <f>_xlfn.XLOOKUP($I276,Tab_00.Trial[CONTA],Tab_00.Trial[TP],"",0,1)</f>
        <v>C</v>
      </c>
      <c r="C276" s="2">
        <f>_xlfn.XLOOKUP($I276,Tab_00.Trial[CONTA],Tab_00.Trial[NV],"",0,1)</f>
        <v>5</v>
      </c>
      <c r="D276" s="2" t="str">
        <f>_xlfn.XLOOKUP($I276,Tab_00.Trial[CONTA],Tab_00.Trial[S/A],"",0,1)</f>
        <v>S</v>
      </c>
      <c r="E276" s="2">
        <f>IF($I276="","",COUNTIFS(Tab_00.Trial[CONTA],$I276))</f>
        <v>1</v>
      </c>
      <c r="F276" s="4">
        <f>SUMIFS(Tab_11.Nov[SALDO
ATUAL],Tab_11.Nov[CONTA],$I276)</f>
        <v>27620.18</v>
      </c>
      <c r="G276" s="4">
        <f t="shared" si="7"/>
        <v>0</v>
      </c>
      <c r="H276" s="191">
        <v>50990</v>
      </c>
      <c r="I276" s="3" t="s">
        <v>621</v>
      </c>
      <c r="J276" s="3" t="s">
        <v>723</v>
      </c>
      <c r="K276" s="4">
        <v>27620.18</v>
      </c>
      <c r="L276" s="4">
        <v>879.34</v>
      </c>
      <c r="M276" s="4">
        <v>0</v>
      </c>
      <c r="N276" s="4">
        <v>28499.52</v>
      </c>
      <c r="O276" s="4">
        <f>Tab_12.Dez[[#This Row],[DÉBITO]]-Tab_12.Dez[[#This Row],[CRÉDITO]]</f>
        <v>879.34</v>
      </c>
    </row>
    <row r="277" spans="2:15" x14ac:dyDescent="0.3">
      <c r="B277" s="2" t="str">
        <f>_xlfn.XLOOKUP($I277,Tab_00.Trial[CONTA],Tab_00.Trial[TP],"",0,1)</f>
        <v>C</v>
      </c>
      <c r="C277" s="2">
        <f>_xlfn.XLOOKUP($I277,Tab_00.Trial[CONTA],Tab_00.Trial[NV],"",0,1)</f>
        <v>5</v>
      </c>
      <c r="D277" s="2" t="str">
        <f>_xlfn.XLOOKUP($I277,Tab_00.Trial[CONTA],Tab_00.Trial[S/A],"",0,1)</f>
        <v>S</v>
      </c>
      <c r="E277" s="2">
        <f>IF($I277="","",COUNTIFS(Tab_00.Trial[CONTA],$I277))</f>
        <v>1</v>
      </c>
      <c r="F277" s="4">
        <f>SUMIFS(Tab_11.Nov[SALDO
ATUAL],Tab_11.Nov[CONTA],$I277)</f>
        <v>27620.18</v>
      </c>
      <c r="G277" s="4">
        <f t="shared" si="7"/>
        <v>0</v>
      </c>
      <c r="H277" s="191">
        <v>51005</v>
      </c>
      <c r="I277" s="3" t="s">
        <v>622</v>
      </c>
      <c r="J277" s="3" t="s">
        <v>723</v>
      </c>
      <c r="K277" s="4">
        <v>27620.18</v>
      </c>
      <c r="L277" s="4">
        <v>879.34</v>
      </c>
      <c r="M277" s="4">
        <v>0</v>
      </c>
      <c r="N277" s="4">
        <v>28499.52</v>
      </c>
      <c r="O277" s="4">
        <f>Tab_12.Dez[[#This Row],[DÉBITO]]-Tab_12.Dez[[#This Row],[CRÉDITO]]</f>
        <v>879.34</v>
      </c>
    </row>
    <row r="278" spans="2:15" x14ac:dyDescent="0.3">
      <c r="B278" s="2" t="str">
        <f>_xlfn.XLOOKUP($I278,Tab_00.Trial[CONTA],Tab_00.Trial[TP],"",0,1)</f>
        <v>C</v>
      </c>
      <c r="C278" s="2">
        <f>_xlfn.XLOOKUP($I278,Tab_00.Trial[CONTA],Tab_00.Trial[NV],"",0,1)</f>
        <v>5</v>
      </c>
      <c r="D278" s="2" t="str">
        <f>_xlfn.XLOOKUP($I278,Tab_00.Trial[CONTA],Tab_00.Trial[S/A],"",0,1)</f>
        <v>A</v>
      </c>
      <c r="E278" s="2">
        <f>IF($I278="","",COUNTIFS(Tab_00.Trial[CONTA],$I278))</f>
        <v>1</v>
      </c>
      <c r="F278" s="4">
        <f>SUMIFS(Tab_11.Nov[SALDO
ATUAL],Tab_11.Nov[CONTA],$I278)</f>
        <v>27620.18</v>
      </c>
      <c r="G278" s="4">
        <f t="shared" si="7"/>
        <v>0</v>
      </c>
      <c r="H278" s="191">
        <v>51019</v>
      </c>
      <c r="I278" s="3" t="s">
        <v>518</v>
      </c>
      <c r="J278" s="3" t="s">
        <v>519</v>
      </c>
      <c r="K278" s="4">
        <v>27620.18</v>
      </c>
      <c r="L278" s="4">
        <v>879.34</v>
      </c>
      <c r="M278" s="4">
        <v>0</v>
      </c>
      <c r="N278" s="4">
        <v>28499.52</v>
      </c>
      <c r="O278" s="4">
        <f>Tab_12.Dez[[#This Row],[DÉBITO]]-Tab_12.Dez[[#This Row],[CRÉDITO]]</f>
        <v>879.34</v>
      </c>
    </row>
    <row r="279" spans="2:15" x14ac:dyDescent="0.3">
      <c r="B279" s="2" t="str">
        <f>_xlfn.XLOOKUP($I279,Tab_00.Trial[CONTA],Tab_00.Trial[TP],"",0,1)</f>
        <v>C</v>
      </c>
      <c r="C279" s="2">
        <f>_xlfn.XLOOKUP($I279,Tab_00.Trial[CONTA],Tab_00.Trial[NV],"",0,1)</f>
        <v>5</v>
      </c>
      <c r="D279" s="2" t="str">
        <f>_xlfn.XLOOKUP($I279,Tab_00.Trial[CONTA],Tab_00.Trial[S/A],"",0,1)</f>
        <v>S</v>
      </c>
      <c r="E279" s="2">
        <f>IF($I279="","",COUNTIFS(Tab_00.Trial[CONTA],$I279))</f>
        <v>1</v>
      </c>
      <c r="F279" s="4">
        <f>SUMIFS(Tab_11.Nov[SALDO
ATUAL],Tab_11.Nov[CONTA],$I279)</f>
        <v>43615.49</v>
      </c>
      <c r="G279" s="4">
        <f t="shared" si="7"/>
        <v>0</v>
      </c>
      <c r="H279" s="191">
        <v>51050</v>
      </c>
      <c r="I279" s="3" t="s">
        <v>623</v>
      </c>
      <c r="J279" s="3" t="s">
        <v>724</v>
      </c>
      <c r="K279" s="4">
        <v>43615.49</v>
      </c>
      <c r="L279" s="4">
        <v>3666.75</v>
      </c>
      <c r="M279" s="4">
        <v>0</v>
      </c>
      <c r="N279" s="4">
        <v>47282.239999999998</v>
      </c>
      <c r="O279" s="4">
        <f>Tab_12.Dez[[#This Row],[DÉBITO]]-Tab_12.Dez[[#This Row],[CRÉDITO]]</f>
        <v>3666.75</v>
      </c>
    </row>
    <row r="280" spans="2:15" x14ac:dyDescent="0.3">
      <c r="B280" s="2" t="str">
        <f>_xlfn.XLOOKUP($I280,Tab_00.Trial[CONTA],Tab_00.Trial[TP],"",0,1)</f>
        <v>C</v>
      </c>
      <c r="C280" s="2">
        <f>_xlfn.XLOOKUP($I280,Tab_00.Trial[CONTA],Tab_00.Trial[NV],"",0,1)</f>
        <v>5</v>
      </c>
      <c r="D280" s="2" t="str">
        <f>_xlfn.XLOOKUP($I280,Tab_00.Trial[CONTA],Tab_00.Trial[S/A],"",0,1)</f>
        <v>S</v>
      </c>
      <c r="E280" s="2">
        <f>IF($I280="","",COUNTIFS(Tab_00.Trial[CONTA],$I280))</f>
        <v>1</v>
      </c>
      <c r="F280" s="4">
        <f>SUMIFS(Tab_11.Nov[SALDO
ATUAL],Tab_11.Nov[CONTA],$I280)</f>
        <v>43615.49</v>
      </c>
      <c r="G280" s="4">
        <f t="shared" si="7"/>
        <v>0</v>
      </c>
      <c r="H280" s="191">
        <v>51065</v>
      </c>
      <c r="I280" s="3" t="s">
        <v>624</v>
      </c>
      <c r="J280" s="3" t="s">
        <v>724</v>
      </c>
      <c r="K280" s="4">
        <v>43615.49</v>
      </c>
      <c r="L280" s="4">
        <v>3666.75</v>
      </c>
      <c r="M280" s="4">
        <v>0</v>
      </c>
      <c r="N280" s="4">
        <v>47282.239999999998</v>
      </c>
      <c r="O280" s="4">
        <f>Tab_12.Dez[[#This Row],[DÉBITO]]-Tab_12.Dez[[#This Row],[CRÉDITO]]</f>
        <v>3666.75</v>
      </c>
    </row>
    <row r="281" spans="2:15" x14ac:dyDescent="0.3">
      <c r="B281" s="2" t="str">
        <f>_xlfn.XLOOKUP($I281,Tab_00.Trial[CONTA],Tab_00.Trial[TP],"",0,1)</f>
        <v>C</v>
      </c>
      <c r="C281" s="2">
        <f>_xlfn.XLOOKUP($I281,Tab_00.Trial[CONTA],Tab_00.Trial[NV],"",0,1)</f>
        <v>5</v>
      </c>
      <c r="D281" s="2" t="str">
        <f>_xlfn.XLOOKUP($I281,Tab_00.Trial[CONTA],Tab_00.Trial[S/A],"",0,1)</f>
        <v>A</v>
      </c>
      <c r="E281" s="2">
        <f>IF($I281="","",COUNTIFS(Tab_00.Trial[CONTA],$I281))</f>
        <v>1</v>
      </c>
      <c r="F281" s="4">
        <f>SUMIFS(Tab_11.Nov[SALDO
ATUAL],Tab_11.Nov[CONTA],$I281)</f>
        <v>43615.49</v>
      </c>
      <c r="G281" s="4">
        <f t="shared" si="7"/>
        <v>0</v>
      </c>
      <c r="H281" s="191">
        <v>51080</v>
      </c>
      <c r="I281" s="3" t="s">
        <v>520</v>
      </c>
      <c r="J281" s="3" t="s">
        <v>521</v>
      </c>
      <c r="K281" s="4">
        <v>43615.49</v>
      </c>
      <c r="L281" s="4">
        <v>3666.75</v>
      </c>
      <c r="M281" s="4">
        <v>0</v>
      </c>
      <c r="N281" s="4">
        <v>47282.239999999998</v>
      </c>
      <c r="O281" s="4">
        <f>Tab_12.Dez[[#This Row],[DÉBITO]]-Tab_12.Dez[[#This Row],[CRÉDITO]]</f>
        <v>3666.75</v>
      </c>
    </row>
    <row r="282" spans="2:15" x14ac:dyDescent="0.3">
      <c r="B282" s="2" t="str">
        <f>_xlfn.XLOOKUP($I282,Tab_00.Trial[CONTA],Tab_00.Trial[TP],"",0,1)</f>
        <v>C</v>
      </c>
      <c r="C282" s="2">
        <f>_xlfn.XLOOKUP($I282,Tab_00.Trial[CONTA],Tab_00.Trial[NV],"",0,1)</f>
        <v>5</v>
      </c>
      <c r="D282" s="2" t="str">
        <f>_xlfn.XLOOKUP($I282,Tab_00.Trial[CONTA],Tab_00.Trial[S/A],"",0,1)</f>
        <v>S</v>
      </c>
      <c r="E282" s="2">
        <f>IF($I282="","",COUNTIFS(Tab_00.Trial[CONTA],$I282))</f>
        <v>1</v>
      </c>
      <c r="F282" s="4">
        <f>SUMIFS(Tab_11.Nov[SALDO
ATUAL],Tab_11.Nov[CONTA],$I282)</f>
        <v>54858.26</v>
      </c>
      <c r="G282" s="4">
        <f t="shared" ref="G282:G296" si="8">$F282-$K282</f>
        <v>0</v>
      </c>
      <c r="H282" s="191">
        <v>51110</v>
      </c>
      <c r="I282" s="3" t="s">
        <v>625</v>
      </c>
      <c r="J282" s="3" t="s">
        <v>542</v>
      </c>
      <c r="K282" s="4">
        <v>54858.26</v>
      </c>
      <c r="L282" s="4">
        <v>9434.7199999999993</v>
      </c>
      <c r="M282" s="4">
        <v>0</v>
      </c>
      <c r="N282" s="4">
        <v>64292.98</v>
      </c>
      <c r="O282" s="4">
        <f>Tab_12.Dez[[#This Row],[DÉBITO]]-Tab_12.Dez[[#This Row],[CRÉDITO]]</f>
        <v>9434.7199999999993</v>
      </c>
    </row>
    <row r="283" spans="2:15" x14ac:dyDescent="0.3">
      <c r="B283" s="2" t="str">
        <f>_xlfn.XLOOKUP($I283,Tab_00.Trial[CONTA],Tab_00.Trial[TP],"",0,1)</f>
        <v>C</v>
      </c>
      <c r="C283" s="2">
        <f>_xlfn.XLOOKUP($I283,Tab_00.Trial[CONTA],Tab_00.Trial[NV],"",0,1)</f>
        <v>5</v>
      </c>
      <c r="D283" s="2" t="str">
        <f>_xlfn.XLOOKUP($I283,Tab_00.Trial[CONTA],Tab_00.Trial[S/A],"",0,1)</f>
        <v>S</v>
      </c>
      <c r="E283" s="2">
        <f>IF($I283="","",COUNTIFS(Tab_00.Trial[CONTA],$I283))</f>
        <v>1</v>
      </c>
      <c r="F283" s="4">
        <f>SUMIFS(Tab_11.Nov[SALDO
ATUAL],Tab_11.Nov[CONTA],$I283)</f>
        <v>17541.150000000001</v>
      </c>
      <c r="G283" s="4">
        <f t="shared" si="8"/>
        <v>0</v>
      </c>
      <c r="H283" s="191">
        <v>51125</v>
      </c>
      <c r="I283" s="3" t="s">
        <v>626</v>
      </c>
      <c r="J283" s="3" t="s">
        <v>725</v>
      </c>
      <c r="K283" s="4">
        <v>17541.150000000001</v>
      </c>
      <c r="L283" s="4">
        <v>24.62</v>
      </c>
      <c r="M283" s="4">
        <v>0</v>
      </c>
      <c r="N283" s="4">
        <v>17565.77</v>
      </c>
      <c r="O283" s="4">
        <f>Tab_12.Dez[[#This Row],[DÉBITO]]-Tab_12.Dez[[#This Row],[CRÉDITO]]</f>
        <v>24.62</v>
      </c>
    </row>
    <row r="284" spans="2:15" x14ac:dyDescent="0.3">
      <c r="B284" s="2" t="str">
        <f>_xlfn.XLOOKUP($I284,Tab_00.Trial[CONTA],Tab_00.Trial[TP],"",0,1)</f>
        <v>C</v>
      </c>
      <c r="C284" s="2">
        <f>_xlfn.XLOOKUP($I284,Tab_00.Trial[CONTA],Tab_00.Trial[NV],"",0,1)</f>
        <v>5</v>
      </c>
      <c r="D284" s="2" t="str">
        <f>_xlfn.XLOOKUP($I284,Tab_00.Trial[CONTA],Tab_00.Trial[S/A],"",0,1)</f>
        <v>A</v>
      </c>
      <c r="E284" s="2">
        <f>IF($I284="","",COUNTIFS(Tab_00.Trial[CONTA],$I284))</f>
        <v>1</v>
      </c>
      <c r="F284" s="4">
        <f>SUMIFS(Tab_11.Nov[SALDO
ATUAL],Tab_11.Nov[CONTA],$I284)</f>
        <v>16854.34</v>
      </c>
      <c r="G284" s="4">
        <f t="shared" si="8"/>
        <v>0</v>
      </c>
      <c r="H284" s="191">
        <v>51200</v>
      </c>
      <c r="I284" s="3" t="s">
        <v>522</v>
      </c>
      <c r="J284" s="3" t="s">
        <v>523</v>
      </c>
      <c r="K284" s="4">
        <v>16854.34</v>
      </c>
      <c r="L284" s="4">
        <v>0</v>
      </c>
      <c r="M284" s="4">
        <v>0</v>
      </c>
      <c r="N284" s="4">
        <v>16854.34</v>
      </c>
      <c r="O284" s="4">
        <f>Tab_12.Dez[[#This Row],[DÉBITO]]-Tab_12.Dez[[#This Row],[CRÉDITO]]</f>
        <v>0</v>
      </c>
    </row>
    <row r="285" spans="2:15" x14ac:dyDescent="0.3">
      <c r="B285" s="2" t="str">
        <f>_xlfn.XLOOKUP($I285,Tab_00.Trial[CONTA],Tab_00.Trial[TP],"",0,1)</f>
        <v>C</v>
      </c>
      <c r="C285" s="2">
        <f>_xlfn.XLOOKUP($I285,Tab_00.Trial[CONTA],Tab_00.Trial[NV],"",0,1)</f>
        <v>5</v>
      </c>
      <c r="D285" s="2" t="str">
        <f>_xlfn.XLOOKUP($I285,Tab_00.Trial[CONTA],Tab_00.Trial[S/A],"",0,1)</f>
        <v>A</v>
      </c>
      <c r="E285" s="2">
        <f>IF($I285="","",COUNTIFS(Tab_00.Trial[CONTA],$I285))</f>
        <v>1</v>
      </c>
      <c r="F285" s="4">
        <f>SUMIFS(Tab_11.Nov[SALDO
ATUAL],Tab_11.Nov[CONTA],$I285)</f>
        <v>686.81</v>
      </c>
      <c r="G285" s="4">
        <f t="shared" si="8"/>
        <v>0</v>
      </c>
      <c r="H285" s="191">
        <v>51220</v>
      </c>
      <c r="I285" s="3" t="s">
        <v>524</v>
      </c>
      <c r="J285" s="3" t="s">
        <v>525</v>
      </c>
      <c r="K285" s="4">
        <v>686.81</v>
      </c>
      <c r="L285" s="4">
        <v>24.62</v>
      </c>
      <c r="M285" s="4">
        <v>0</v>
      </c>
      <c r="N285" s="4">
        <v>711.43</v>
      </c>
      <c r="O285" s="4">
        <f>Tab_12.Dez[[#This Row],[DÉBITO]]-Tab_12.Dez[[#This Row],[CRÉDITO]]</f>
        <v>24.62</v>
      </c>
    </row>
    <row r="286" spans="2:15" x14ac:dyDescent="0.3">
      <c r="B286" s="2" t="str">
        <f>_xlfn.XLOOKUP($I286,Tab_00.Trial[CONTA],Tab_00.Trial[TP],"",0,1)</f>
        <v>C</v>
      </c>
      <c r="C286" s="2">
        <f>_xlfn.XLOOKUP($I286,Tab_00.Trial[CONTA],Tab_00.Trial[NV],"",0,1)</f>
        <v>5</v>
      </c>
      <c r="D286" s="2" t="str">
        <f>_xlfn.XLOOKUP($I286,Tab_00.Trial[CONTA],Tab_00.Trial[S/A],"",0,1)</f>
        <v>S</v>
      </c>
      <c r="E286" s="2">
        <f>IF($I286="","",COUNTIFS(Tab_00.Trial[CONTA],$I286))</f>
        <v>1</v>
      </c>
      <c r="F286" s="4">
        <f>SUMIFS(Tab_11.Nov[SALDO
ATUAL],Tab_11.Nov[CONTA],$I286)</f>
        <v>37317.11</v>
      </c>
      <c r="G286" s="4">
        <f t="shared" si="8"/>
        <v>0</v>
      </c>
      <c r="H286" s="191">
        <v>51230</v>
      </c>
      <c r="I286" s="3" t="s">
        <v>627</v>
      </c>
      <c r="J286" s="3" t="s">
        <v>542</v>
      </c>
      <c r="K286" s="4">
        <v>37317.11</v>
      </c>
      <c r="L286" s="4">
        <v>9410.1</v>
      </c>
      <c r="M286" s="4">
        <v>0</v>
      </c>
      <c r="N286" s="4">
        <v>46727.21</v>
      </c>
      <c r="O286" s="4">
        <f>Tab_12.Dez[[#This Row],[DÉBITO]]-Tab_12.Dez[[#This Row],[CRÉDITO]]</f>
        <v>9410.1</v>
      </c>
    </row>
    <row r="287" spans="2:15" x14ac:dyDescent="0.3">
      <c r="B287" s="2" t="str">
        <f>_xlfn.XLOOKUP($I287,Tab_00.Trial[CONTA],Tab_00.Trial[TP],"",0,1)</f>
        <v>C</v>
      </c>
      <c r="C287" s="2">
        <f>_xlfn.XLOOKUP($I287,Tab_00.Trial[CONTA],Tab_00.Trial[NV],"",0,1)</f>
        <v>5</v>
      </c>
      <c r="D287" s="2" t="str">
        <f>_xlfn.XLOOKUP($I287,Tab_00.Trial[CONTA],Tab_00.Trial[S/A],"",0,1)</f>
        <v>A</v>
      </c>
      <c r="E287" s="2">
        <f>IF($I287="","",COUNTIFS(Tab_00.Trial[CONTA],$I287))</f>
        <v>1</v>
      </c>
      <c r="F287" s="4">
        <f>SUMIFS(Tab_11.Nov[SALDO
ATUAL],Tab_11.Nov[CONTA],$I287)</f>
        <v>2464.7399999999998</v>
      </c>
      <c r="G287" s="4">
        <f t="shared" si="8"/>
        <v>0</v>
      </c>
      <c r="H287" s="191">
        <v>51245</v>
      </c>
      <c r="I287" s="3" t="s">
        <v>528</v>
      </c>
      <c r="J287" s="3" t="s">
        <v>416</v>
      </c>
      <c r="K287" s="4">
        <v>2464.7399999999998</v>
      </c>
      <c r="L287" s="4">
        <v>0</v>
      </c>
      <c r="M287" s="4">
        <v>0</v>
      </c>
      <c r="N287" s="4">
        <v>2464.7399999999998</v>
      </c>
      <c r="O287" s="4">
        <f>Tab_12.Dez[[#This Row],[DÉBITO]]-Tab_12.Dez[[#This Row],[CRÉDITO]]</f>
        <v>0</v>
      </c>
    </row>
    <row r="288" spans="2:15" x14ac:dyDescent="0.3">
      <c r="B288" s="2" t="str">
        <f>_xlfn.XLOOKUP($I288,Tab_00.Trial[CONTA],Tab_00.Trial[TP],"",0,1)</f>
        <v>C</v>
      </c>
      <c r="C288" s="2">
        <f>_xlfn.XLOOKUP($I288,Tab_00.Trial[CONTA],Tab_00.Trial[NV],"",0,1)</f>
        <v>5</v>
      </c>
      <c r="D288" s="2" t="str">
        <f>_xlfn.XLOOKUP($I288,Tab_00.Trial[CONTA],Tab_00.Trial[S/A],"",0,1)</f>
        <v>A</v>
      </c>
      <c r="E288" s="2">
        <f>IF($I288="","",COUNTIFS(Tab_00.Trial[CONTA],$I288))</f>
        <v>1</v>
      </c>
      <c r="F288" s="4">
        <f>SUMIFS(Tab_11.Nov[SALDO
ATUAL],Tab_11.Nov[CONTA],$I288)</f>
        <v>849.32</v>
      </c>
      <c r="G288" s="4">
        <f t="shared" si="8"/>
        <v>0</v>
      </c>
      <c r="H288" s="191">
        <v>51275</v>
      </c>
      <c r="I288" s="3" t="s">
        <v>529</v>
      </c>
      <c r="J288" s="3" t="s">
        <v>530</v>
      </c>
      <c r="K288" s="4">
        <v>849.32</v>
      </c>
      <c r="L288" s="4">
        <v>0</v>
      </c>
      <c r="M288" s="4">
        <v>0</v>
      </c>
      <c r="N288" s="4">
        <v>849.32</v>
      </c>
      <c r="O288" s="4">
        <f>Tab_12.Dez[[#This Row],[DÉBITO]]-Tab_12.Dez[[#This Row],[CRÉDITO]]</f>
        <v>0</v>
      </c>
    </row>
    <row r="289" spans="2:15" x14ac:dyDescent="0.3">
      <c r="B289" s="2" t="str">
        <f>_xlfn.XLOOKUP($I289,Tab_00.Trial[CONTA],Tab_00.Trial[TP],"",0,1)</f>
        <v>C</v>
      </c>
      <c r="C289" s="2">
        <f>_xlfn.XLOOKUP($I289,Tab_00.Trial[CONTA],Tab_00.Trial[NV],"",0,1)</f>
        <v>5</v>
      </c>
      <c r="D289" s="2" t="str">
        <f>_xlfn.XLOOKUP($I289,Tab_00.Trial[CONTA],Tab_00.Trial[S/A],"",0,1)</f>
        <v>A</v>
      </c>
      <c r="E289" s="2">
        <f>IF($I289="","",COUNTIFS(Tab_00.Trial[CONTA],$I289))</f>
        <v>1</v>
      </c>
      <c r="F289" s="4">
        <f>SUMIFS(Tab_11.Nov[SALDO
ATUAL],Tab_11.Nov[CONTA],$I289)</f>
        <v>1664.1</v>
      </c>
      <c r="G289" s="4">
        <f t="shared" si="8"/>
        <v>0</v>
      </c>
      <c r="H289" s="191">
        <v>51290</v>
      </c>
      <c r="I289" s="3" t="s">
        <v>531</v>
      </c>
      <c r="J289" s="3" t="s">
        <v>532</v>
      </c>
      <c r="K289" s="4">
        <v>1664.1</v>
      </c>
      <c r="L289" s="4">
        <v>44.28</v>
      </c>
      <c r="M289" s="4">
        <v>0</v>
      </c>
      <c r="N289" s="4">
        <v>1708.38</v>
      </c>
      <c r="O289" s="4">
        <f>Tab_12.Dez[[#This Row],[DÉBITO]]-Tab_12.Dez[[#This Row],[CRÉDITO]]</f>
        <v>44.28</v>
      </c>
    </row>
    <row r="290" spans="2:15" x14ac:dyDescent="0.3">
      <c r="B290" s="2" t="str">
        <f>_xlfn.XLOOKUP($I290,Tab_00.Trial[CONTA],Tab_00.Trial[TP],"",0,1)</f>
        <v>C</v>
      </c>
      <c r="C290" s="2">
        <f>_xlfn.XLOOKUP($I290,Tab_00.Trial[CONTA],Tab_00.Trial[NV],"",0,1)</f>
        <v>5</v>
      </c>
      <c r="D290" s="2" t="str">
        <f>_xlfn.XLOOKUP($I290,Tab_00.Trial[CONTA],Tab_00.Trial[S/A],"",0,1)</f>
        <v>A</v>
      </c>
      <c r="E290" s="2">
        <f>IF($I290="","",COUNTIFS(Tab_00.Trial[CONTA],$I290))</f>
        <v>1</v>
      </c>
      <c r="F290" s="4">
        <f>SUMIFS(Tab_11.Nov[SALDO
ATUAL],Tab_11.Nov[CONTA],$I290)</f>
        <v>7060.19</v>
      </c>
      <c r="G290" s="4">
        <f t="shared" si="8"/>
        <v>0</v>
      </c>
      <c r="H290" s="191">
        <v>51305</v>
      </c>
      <c r="I290" s="3" t="s">
        <v>533</v>
      </c>
      <c r="J290" s="3" t="s">
        <v>534</v>
      </c>
      <c r="K290" s="4">
        <v>7060.19</v>
      </c>
      <c r="L290" s="4">
        <v>7010</v>
      </c>
      <c r="M290" s="4">
        <v>0</v>
      </c>
      <c r="N290" s="4">
        <v>14070.19</v>
      </c>
      <c r="O290" s="4">
        <f>Tab_12.Dez[[#This Row],[DÉBITO]]-Tab_12.Dez[[#This Row],[CRÉDITO]]</f>
        <v>7010</v>
      </c>
    </row>
    <row r="291" spans="2:15" x14ac:dyDescent="0.3">
      <c r="B291" s="2" t="str">
        <f>_xlfn.XLOOKUP($I291,Tab_00.Trial[CONTA],Tab_00.Trial[TP],"",0,1)</f>
        <v>C</v>
      </c>
      <c r="C291" s="2">
        <f>_xlfn.XLOOKUP($I291,Tab_00.Trial[CONTA],Tab_00.Trial[NV],"",0,1)</f>
        <v>5</v>
      </c>
      <c r="D291" s="2" t="str">
        <f>_xlfn.XLOOKUP($I291,Tab_00.Trial[CONTA],Tab_00.Trial[S/A],"",0,1)</f>
        <v>A</v>
      </c>
      <c r="E291" s="2">
        <f>IF($I291="","",COUNTIFS(Tab_00.Trial[CONTA],$I291))</f>
        <v>1</v>
      </c>
      <c r="F291" s="4">
        <f>SUMIFS(Tab_11.Nov[SALDO
ATUAL],Tab_11.Nov[CONTA],$I291)</f>
        <v>4749.8900000000003</v>
      </c>
      <c r="G291" s="4">
        <f t="shared" si="8"/>
        <v>0</v>
      </c>
      <c r="H291" s="191">
        <v>51335</v>
      </c>
      <c r="I291" s="3" t="s">
        <v>537</v>
      </c>
      <c r="J291" s="3" t="s">
        <v>538</v>
      </c>
      <c r="K291" s="4">
        <v>4749.8900000000003</v>
      </c>
      <c r="L291" s="4">
        <v>6.2</v>
      </c>
      <c r="M291" s="4">
        <v>0</v>
      </c>
      <c r="N291" s="4">
        <v>4756.09</v>
      </c>
      <c r="O291" s="4">
        <f>Tab_12.Dez[[#This Row],[DÉBITO]]-Tab_12.Dez[[#This Row],[CRÉDITO]]</f>
        <v>6.2</v>
      </c>
    </row>
    <row r="292" spans="2:15" x14ac:dyDescent="0.3">
      <c r="B292" s="2" t="str">
        <f>_xlfn.XLOOKUP($I292,Tab_00.Trial[CONTA],Tab_00.Trial[TP],"",0,1)</f>
        <v>C</v>
      </c>
      <c r="C292" s="2">
        <f>_xlfn.XLOOKUP($I292,Tab_00.Trial[CONTA],Tab_00.Trial[NV],"",0,1)</f>
        <v>5</v>
      </c>
      <c r="D292" s="2" t="str">
        <f>_xlfn.XLOOKUP($I292,Tab_00.Trial[CONTA],Tab_00.Trial[S/A],"",0,1)</f>
        <v>A</v>
      </c>
      <c r="E292" s="2">
        <f>IF($I292="","",COUNTIFS(Tab_00.Trial[CONTA],$I292))</f>
        <v>1</v>
      </c>
      <c r="F292" s="4">
        <f>SUMIFS(Tab_11.Nov[SALDO
ATUAL],Tab_11.Nov[CONTA],$I292)</f>
        <v>16302.77</v>
      </c>
      <c r="G292" s="4">
        <f t="shared" si="8"/>
        <v>0</v>
      </c>
      <c r="H292" s="191">
        <v>51338</v>
      </c>
      <c r="I292" s="3" t="s">
        <v>539</v>
      </c>
      <c r="J292" s="3" t="s">
        <v>540</v>
      </c>
      <c r="K292" s="4">
        <v>16302.77</v>
      </c>
      <c r="L292" s="4">
        <v>1348.07</v>
      </c>
      <c r="M292" s="4">
        <v>0</v>
      </c>
      <c r="N292" s="4">
        <v>17650.84</v>
      </c>
      <c r="O292" s="4">
        <f>Tab_12.Dez[[#This Row],[DÉBITO]]-Tab_12.Dez[[#This Row],[CRÉDITO]]</f>
        <v>1348.07</v>
      </c>
    </row>
    <row r="293" spans="2:15" x14ac:dyDescent="0.3">
      <c r="B293" s="2" t="str">
        <f>_xlfn.XLOOKUP($I293,Tab_00.Trial[CONTA],Tab_00.Trial[TP],"",0,1)</f>
        <v>C</v>
      </c>
      <c r="C293" s="2">
        <f>_xlfn.XLOOKUP($I293,Tab_00.Trial[CONTA],Tab_00.Trial[NV],"",0,1)</f>
        <v>5</v>
      </c>
      <c r="D293" s="2" t="str">
        <f>_xlfn.XLOOKUP($I293,Tab_00.Trial[CONTA],Tab_00.Trial[S/A],"",0,1)</f>
        <v>A</v>
      </c>
      <c r="E293" s="2">
        <f>IF($I293="","",COUNTIFS(Tab_00.Trial[CONTA],$I293))</f>
        <v>1</v>
      </c>
      <c r="F293" s="4">
        <f>SUMIFS(Tab_11.Nov[SALDO
ATUAL],Tab_11.Nov[CONTA],$I293)</f>
        <v>4226.1000000000004</v>
      </c>
      <c r="G293" s="4">
        <f t="shared" si="8"/>
        <v>0</v>
      </c>
      <c r="H293" s="191">
        <v>51337</v>
      </c>
      <c r="I293" s="3" t="s">
        <v>541</v>
      </c>
      <c r="J293" s="3" t="s">
        <v>542</v>
      </c>
      <c r="K293" s="4">
        <v>4226.1000000000004</v>
      </c>
      <c r="L293" s="4">
        <v>1001.55</v>
      </c>
      <c r="M293" s="4">
        <v>0</v>
      </c>
      <c r="N293" s="4">
        <v>5227.6499999999996</v>
      </c>
      <c r="O293" s="4">
        <f>Tab_12.Dez[[#This Row],[DÉBITO]]-Tab_12.Dez[[#This Row],[CRÉDITO]]</f>
        <v>1001.55</v>
      </c>
    </row>
    <row r="294" spans="2:15" x14ac:dyDescent="0.3">
      <c r="B294" s="2" t="str">
        <f>_xlfn.XLOOKUP($I294,Tab_00.Trial[CONTA],Tab_00.Trial[TP],"",0,1)</f>
        <v>C</v>
      </c>
      <c r="C294" s="2">
        <f>_xlfn.XLOOKUP($I294,Tab_00.Trial[CONTA],Tab_00.Trial[NV],"",0,1)</f>
        <v>5</v>
      </c>
      <c r="D294" s="2" t="str">
        <f>_xlfn.XLOOKUP($I294,Tab_00.Trial[CONTA],Tab_00.Trial[S/A],"",0,1)</f>
        <v>S</v>
      </c>
      <c r="E294" s="2">
        <f>IF($I294="","",COUNTIFS(Tab_00.Trial[CONTA],$I294))</f>
        <v>1</v>
      </c>
      <c r="F294" s="4">
        <f>SUMIFS(Tab_11.Nov[SALDO
ATUAL],Tab_11.Nov[CONTA],$I294)</f>
        <v>49901.5</v>
      </c>
      <c r="G294" s="4">
        <f t="shared" si="8"/>
        <v>0</v>
      </c>
      <c r="H294" s="191">
        <v>51340</v>
      </c>
      <c r="I294" s="3" t="s">
        <v>628</v>
      </c>
      <c r="J294" s="3" t="s">
        <v>726</v>
      </c>
      <c r="K294" s="4">
        <v>49901.5</v>
      </c>
      <c r="L294" s="4">
        <v>0</v>
      </c>
      <c r="M294" s="4">
        <v>0</v>
      </c>
      <c r="N294" s="4">
        <v>49901.5</v>
      </c>
      <c r="O294" s="4">
        <f>Tab_12.Dez[[#This Row],[DÉBITO]]-Tab_12.Dez[[#This Row],[CRÉDITO]]</f>
        <v>0</v>
      </c>
    </row>
    <row r="295" spans="2:15" x14ac:dyDescent="0.3">
      <c r="B295" s="2" t="str">
        <f>_xlfn.XLOOKUP($I295,Tab_00.Trial[CONTA],Tab_00.Trial[TP],"",0,1)</f>
        <v>C</v>
      </c>
      <c r="C295" s="2">
        <f>_xlfn.XLOOKUP($I295,Tab_00.Trial[CONTA],Tab_00.Trial[NV],"",0,1)</f>
        <v>5</v>
      </c>
      <c r="D295" s="2" t="str">
        <f>_xlfn.XLOOKUP($I295,Tab_00.Trial[CONTA],Tab_00.Trial[S/A],"",0,1)</f>
        <v>S</v>
      </c>
      <c r="E295" s="2">
        <f>IF($I295="","",COUNTIFS(Tab_00.Trial[CONTA],$I295))</f>
        <v>1</v>
      </c>
      <c r="F295" s="4">
        <f>SUMIFS(Tab_11.Nov[SALDO
ATUAL],Tab_11.Nov[CONTA],$I295)</f>
        <v>49901.5</v>
      </c>
      <c r="G295" s="4">
        <f t="shared" si="8"/>
        <v>0</v>
      </c>
      <c r="H295" s="191">
        <v>51370</v>
      </c>
      <c r="I295" s="3" t="s">
        <v>1004</v>
      </c>
      <c r="J295" s="3" t="s">
        <v>1005</v>
      </c>
      <c r="K295" s="4">
        <v>49901.5</v>
      </c>
      <c r="L295" s="4">
        <v>0</v>
      </c>
      <c r="M295" s="4">
        <v>0</v>
      </c>
      <c r="N295" s="4">
        <v>49901.5</v>
      </c>
      <c r="O295" s="4">
        <f>Tab_12.Dez[[#This Row],[DÉBITO]]-Tab_12.Dez[[#This Row],[CRÉDITO]]</f>
        <v>0</v>
      </c>
    </row>
    <row r="296" spans="2:15" x14ac:dyDescent="0.3">
      <c r="B296" s="2" t="str">
        <f>_xlfn.XLOOKUP($I296,Tab_00.Trial[CONTA],Tab_00.Trial[TP],"",0,1)</f>
        <v>C</v>
      </c>
      <c r="C296" s="2">
        <f>_xlfn.XLOOKUP($I296,Tab_00.Trial[CONTA],Tab_00.Trial[NV],"",0,1)</f>
        <v>5</v>
      </c>
      <c r="D296" s="2" t="str">
        <f>_xlfn.XLOOKUP($I296,Tab_00.Trial[CONTA],Tab_00.Trial[S/A],"",0,1)</f>
        <v>A</v>
      </c>
      <c r="E296" s="2">
        <f>IF($I296="","",COUNTIFS(Tab_00.Trial[CONTA],$I296))</f>
        <v>1</v>
      </c>
      <c r="F296" s="4">
        <f>SUMIFS(Tab_11.Nov[SALDO
ATUAL],Tab_11.Nov[CONTA],$I296)</f>
        <v>49901.5</v>
      </c>
      <c r="G296" s="4">
        <f t="shared" si="8"/>
        <v>0</v>
      </c>
      <c r="H296" s="191">
        <v>51374</v>
      </c>
      <c r="I296" s="3" t="s">
        <v>1006</v>
      </c>
      <c r="J296" s="3" t="s">
        <v>1007</v>
      </c>
      <c r="K296" s="4">
        <v>49901.5</v>
      </c>
      <c r="L296" s="4">
        <v>0</v>
      </c>
      <c r="M296" s="4">
        <v>0</v>
      </c>
      <c r="N296" s="4">
        <v>49901.5</v>
      </c>
      <c r="O296" s="4">
        <f>Tab_12.Dez[[#This Row],[DÉBITO]]-Tab_12.Dez[[#This Row],[CRÉDITO]]</f>
        <v>0</v>
      </c>
    </row>
    <row r="297" spans="2:15" x14ac:dyDescent="0.3">
      <c r="B297" s="2" t="str">
        <f>_xlfn.XLOOKUP($I297,Tab_00.Trial[CONTA],Tab_00.Trial[TP],"",0,1)</f>
        <v>C</v>
      </c>
      <c r="C297" s="2">
        <f>_xlfn.XLOOKUP($I297,Tab_00.Trial[CONTA],Tab_00.Trial[NV],"",0,1)</f>
        <v>2</v>
      </c>
      <c r="D297" s="2" t="str">
        <f>_xlfn.XLOOKUP($I297,Tab_00.Trial[CONTA],Tab_00.Trial[S/A],"",0,1)</f>
        <v>S</v>
      </c>
      <c r="E297" s="2">
        <f>IF($I297="","",COUNTIFS(Tab_00.Trial[CONTA],$I297))</f>
        <v>1</v>
      </c>
      <c r="F297" s="4">
        <f>SUMIFS(Tab_11.Nov[SALDO
ATUAL],Tab_11.Nov[CONTA],$I297)</f>
        <v>405</v>
      </c>
      <c r="G297" s="4">
        <f t="shared" ref="G297:G298" si="9">$F297-$K297</f>
        <v>0</v>
      </c>
      <c r="H297" s="191">
        <v>51500</v>
      </c>
      <c r="I297" s="3" t="s">
        <v>630</v>
      </c>
      <c r="J297" s="3" t="s">
        <v>728</v>
      </c>
      <c r="K297" s="4">
        <v>405</v>
      </c>
      <c r="L297" s="4">
        <v>0</v>
      </c>
      <c r="M297" s="4">
        <v>0</v>
      </c>
      <c r="N297" s="4">
        <v>405</v>
      </c>
      <c r="O297" s="4">
        <f>Tab_12.Dez[[#This Row],[DÉBITO]]-Tab_12.Dez[[#This Row],[CRÉDITO]]</f>
        <v>0</v>
      </c>
    </row>
    <row r="298" spans="2:15" x14ac:dyDescent="0.3">
      <c r="B298" s="2" t="str">
        <f>_xlfn.XLOOKUP($I298,Tab_00.Trial[CONTA],Tab_00.Trial[TP],"",0,1)</f>
        <v>C</v>
      </c>
      <c r="C298" s="2">
        <f>_xlfn.XLOOKUP($I298,Tab_00.Trial[CONTA],Tab_00.Trial[NV],"",0,1)</f>
        <v>5</v>
      </c>
      <c r="D298" s="2" t="str">
        <f>_xlfn.XLOOKUP($I298,Tab_00.Trial[CONTA],Tab_00.Trial[S/A],"",0,1)</f>
        <v>S</v>
      </c>
      <c r="E298" s="2">
        <f>IF($I298="","",COUNTIFS(Tab_00.Trial[CONTA],$I298))</f>
        <v>1</v>
      </c>
      <c r="F298" s="4">
        <f>SUMIFS(Tab_11.Nov[SALDO
ATUAL],Tab_11.Nov[CONTA],$I298)</f>
        <v>405</v>
      </c>
      <c r="G298" s="4">
        <f t="shared" si="9"/>
        <v>0</v>
      </c>
      <c r="H298" s="191">
        <v>51505</v>
      </c>
      <c r="I298" s="3" t="s">
        <v>631</v>
      </c>
      <c r="J298" s="3" t="s">
        <v>728</v>
      </c>
      <c r="K298" s="4">
        <v>405</v>
      </c>
      <c r="L298" s="4">
        <v>0</v>
      </c>
      <c r="M298" s="4">
        <v>0</v>
      </c>
      <c r="N298" s="4">
        <v>405</v>
      </c>
      <c r="O298" s="4">
        <f>Tab_12.Dez[[#This Row],[DÉBITO]]-Tab_12.Dez[[#This Row],[CRÉDITO]]</f>
        <v>0</v>
      </c>
    </row>
    <row r="299" spans="2:15" x14ac:dyDescent="0.3">
      <c r="B299" s="2" t="str">
        <f>_xlfn.XLOOKUP($I299,Tab_00.Trial[CONTA],Tab_00.Trial[TP],"",0,1)</f>
        <v>C</v>
      </c>
      <c r="C299" s="2">
        <f>_xlfn.XLOOKUP($I299,Tab_00.Trial[CONTA],Tab_00.Trial[NV],"",0,1)</f>
        <v>5</v>
      </c>
      <c r="D299" s="2" t="str">
        <f>_xlfn.XLOOKUP($I299,Tab_00.Trial[CONTA],Tab_00.Trial[S/A],"",0,1)</f>
        <v>S</v>
      </c>
      <c r="E299" s="2">
        <f>IF($I299="","",COUNTIFS(Tab_00.Trial[CONTA],$I299))</f>
        <v>1</v>
      </c>
      <c r="F299" s="4">
        <f>SUMIFS(Tab_11.Nov[SALDO
ATUAL],Tab_11.Nov[CONTA],$I299)</f>
        <v>405</v>
      </c>
      <c r="G299" s="4">
        <f t="shared" ref="G299:G302" si="10">$F299-$K299</f>
        <v>0</v>
      </c>
      <c r="H299" s="191">
        <v>51565</v>
      </c>
      <c r="I299" s="3" t="s">
        <v>633</v>
      </c>
      <c r="J299" s="3" t="s">
        <v>548</v>
      </c>
      <c r="K299" s="4">
        <v>405</v>
      </c>
      <c r="L299" s="4">
        <v>0</v>
      </c>
      <c r="M299" s="4">
        <v>0</v>
      </c>
      <c r="N299" s="4">
        <v>405</v>
      </c>
      <c r="O299" s="4">
        <f>Tab_12.Dez[[#This Row],[DÉBITO]]-Tab_12.Dez[[#This Row],[CRÉDITO]]</f>
        <v>0</v>
      </c>
    </row>
    <row r="300" spans="2:15" x14ac:dyDescent="0.3">
      <c r="B300" s="2" t="str">
        <f>_xlfn.XLOOKUP($I300,Tab_00.Trial[CONTA],Tab_00.Trial[TP],"",0,1)</f>
        <v>C</v>
      </c>
      <c r="C300" s="2">
        <f>_xlfn.XLOOKUP($I300,Tab_00.Trial[CONTA],Tab_00.Trial[NV],"",0,1)</f>
        <v>5</v>
      </c>
      <c r="D300" s="2" t="str">
        <f>_xlfn.XLOOKUP($I300,Tab_00.Trial[CONTA],Tab_00.Trial[S/A],"",0,1)</f>
        <v>A</v>
      </c>
      <c r="E300" s="2">
        <f>IF($I300="","",COUNTIFS(Tab_00.Trial[CONTA],$I300))</f>
        <v>1</v>
      </c>
      <c r="F300" s="4">
        <f>SUMIFS(Tab_11.Nov[SALDO
ATUAL],Tab_11.Nov[CONTA],$I300)</f>
        <v>405</v>
      </c>
      <c r="G300" s="4">
        <f t="shared" si="10"/>
        <v>0</v>
      </c>
      <c r="H300" s="191">
        <v>51570</v>
      </c>
      <c r="I300" s="3" t="s">
        <v>547</v>
      </c>
      <c r="J300" s="3" t="s">
        <v>548</v>
      </c>
      <c r="K300" s="4">
        <v>405</v>
      </c>
      <c r="L300" s="4">
        <v>0</v>
      </c>
      <c r="M300" s="4">
        <v>0</v>
      </c>
      <c r="N300" s="4">
        <v>405</v>
      </c>
      <c r="O300" s="4">
        <f>Tab_12.Dez[[#This Row],[DÉBITO]]-Tab_12.Dez[[#This Row],[CRÉDITO]]</f>
        <v>0</v>
      </c>
    </row>
    <row r="301" spans="2:15" x14ac:dyDescent="0.3">
      <c r="B301" s="2" t="str">
        <f>_xlfn.XLOOKUP($I301,Tab_00.Trial[CONTA],Tab_00.Trial[TP],"",0,1)</f>
        <v>C</v>
      </c>
      <c r="C301" s="2">
        <f>_xlfn.XLOOKUP($I301,Tab_00.Trial[CONTA],Tab_00.Trial[NV],"",0,1)</f>
        <v>2</v>
      </c>
      <c r="D301" s="2" t="str">
        <f>_xlfn.XLOOKUP($I301,Tab_00.Trial[CONTA],Tab_00.Trial[S/A],"",0,1)</f>
        <v>S</v>
      </c>
      <c r="E301" s="2">
        <f>IF($I301="","",COUNTIFS(Tab_00.Trial[CONTA],$I301))</f>
        <v>1</v>
      </c>
      <c r="F301" s="4">
        <f>SUMIFS(Tab_11.Nov[SALDO
ATUAL],Tab_11.Nov[CONTA],$I301)</f>
        <v>-189</v>
      </c>
      <c r="G301" s="4">
        <f t="shared" si="10"/>
        <v>0</v>
      </c>
      <c r="H301" s="191">
        <v>51590</v>
      </c>
      <c r="I301" s="3" t="s">
        <v>634</v>
      </c>
      <c r="J301" s="3" t="s">
        <v>730</v>
      </c>
      <c r="K301" s="4">
        <v>-189</v>
      </c>
      <c r="L301" s="4">
        <v>0</v>
      </c>
      <c r="M301" s="4">
        <v>0</v>
      </c>
      <c r="N301" s="4">
        <v>-189</v>
      </c>
      <c r="O301" s="4">
        <f>Tab_12.Dez[[#This Row],[DÉBITO]]-Tab_12.Dez[[#This Row],[CRÉDITO]]</f>
        <v>0</v>
      </c>
    </row>
    <row r="302" spans="2:15" x14ac:dyDescent="0.3">
      <c r="B302" s="2" t="str">
        <f>_xlfn.XLOOKUP($I302,Tab_00.Trial[CONTA],Tab_00.Trial[TP],"",0,1)</f>
        <v>C</v>
      </c>
      <c r="C302" s="2">
        <f>_xlfn.XLOOKUP($I302,Tab_00.Trial[CONTA],Tab_00.Trial[NV],"",0,1)</f>
        <v>5</v>
      </c>
      <c r="D302" s="2" t="str">
        <f>_xlfn.XLOOKUP($I302,Tab_00.Trial[CONTA],Tab_00.Trial[S/A],"",0,1)</f>
        <v>S</v>
      </c>
      <c r="E302" s="2">
        <f>IF($I302="","",COUNTIFS(Tab_00.Trial[CONTA],$I302))</f>
        <v>1</v>
      </c>
      <c r="F302" s="4">
        <f>SUMIFS(Tab_11.Nov[SALDO
ATUAL],Tab_11.Nov[CONTA],$I302)</f>
        <v>-189</v>
      </c>
      <c r="G302" s="4">
        <f t="shared" si="10"/>
        <v>0</v>
      </c>
      <c r="H302" s="191">
        <v>10216</v>
      </c>
      <c r="I302" s="3" t="s">
        <v>825</v>
      </c>
      <c r="J302" s="3" t="s">
        <v>826</v>
      </c>
      <c r="K302" s="4">
        <v>-189</v>
      </c>
      <c r="L302" s="4">
        <v>0</v>
      </c>
      <c r="M302" s="4">
        <v>0</v>
      </c>
      <c r="N302" s="4">
        <v>-189</v>
      </c>
      <c r="O302" s="4">
        <f>Tab_12.Dez[[#This Row],[DÉBITO]]-Tab_12.Dez[[#This Row],[CRÉDITO]]</f>
        <v>0</v>
      </c>
    </row>
    <row r="303" spans="2:15" x14ac:dyDescent="0.3">
      <c r="B303" s="2" t="str">
        <f>_xlfn.XLOOKUP($I303,Tab_00.Trial[CONTA],Tab_00.Trial[TP],"",0,1)</f>
        <v>C</v>
      </c>
      <c r="C303" s="2">
        <f>_xlfn.XLOOKUP($I303,Tab_00.Trial[CONTA],Tab_00.Trial[NV],"",0,1)</f>
        <v>5</v>
      </c>
      <c r="D303" s="2" t="str">
        <f>_xlfn.XLOOKUP($I303,Tab_00.Trial[CONTA],Tab_00.Trial[S/A],"",0,1)</f>
        <v>S</v>
      </c>
      <c r="E303" s="2">
        <f>IF($I303="","",COUNTIFS(Tab_00.Trial[CONTA],$I303))</f>
        <v>1</v>
      </c>
      <c r="F303" s="4">
        <f>SUMIFS(Tab_11.Nov[SALDO
ATUAL],Tab_11.Nov[CONTA],$I303)</f>
        <v>-189</v>
      </c>
      <c r="G303" s="4">
        <f>$F303-$K303</f>
        <v>0</v>
      </c>
      <c r="H303" s="191">
        <v>10230</v>
      </c>
      <c r="I303" s="3" t="s">
        <v>827</v>
      </c>
      <c r="J303" s="3" t="s">
        <v>826</v>
      </c>
      <c r="K303" s="4">
        <v>-189</v>
      </c>
      <c r="L303" s="4">
        <v>0</v>
      </c>
      <c r="M303" s="4">
        <v>0</v>
      </c>
      <c r="N303" s="4">
        <v>-189</v>
      </c>
      <c r="O303" s="4">
        <f>Tab_12.Dez[[#This Row],[DÉBITO]]-Tab_12.Dez[[#This Row],[CRÉDITO]]</f>
        <v>0</v>
      </c>
    </row>
    <row r="304" spans="2:15" x14ac:dyDescent="0.3">
      <c r="B304" s="2" t="str">
        <f>_xlfn.XLOOKUP($I304,Tab_00.Trial[CONTA],Tab_00.Trial[TP],"",0,1)</f>
        <v>C</v>
      </c>
      <c r="C304" s="2">
        <f>_xlfn.XLOOKUP($I304,Tab_00.Trial[CONTA],Tab_00.Trial[NV],"",0,1)</f>
        <v>5</v>
      </c>
      <c r="D304" s="2" t="str">
        <f>_xlfn.XLOOKUP($I304,Tab_00.Trial[CONTA],Tab_00.Trial[S/A],"",0,1)</f>
        <v>A</v>
      </c>
      <c r="E304" s="2">
        <f>IF($I304="","",COUNTIFS(Tab_00.Trial[CONTA],$I304))</f>
        <v>1</v>
      </c>
      <c r="F304" s="4">
        <f>SUMIFS(Tab_11.Nov[SALDO
ATUAL],Tab_11.Nov[CONTA],$I304)</f>
        <v>-189</v>
      </c>
      <c r="G304" s="4">
        <f>$F304-$K304</f>
        <v>0</v>
      </c>
      <c r="H304" s="191">
        <v>10237</v>
      </c>
      <c r="I304" s="3" t="s">
        <v>828</v>
      </c>
      <c r="J304" s="3" t="s">
        <v>829</v>
      </c>
      <c r="K304" s="4">
        <v>-189</v>
      </c>
      <c r="L304" s="4">
        <v>0</v>
      </c>
      <c r="M304" s="4">
        <v>0</v>
      </c>
      <c r="N304" s="4">
        <v>-189</v>
      </c>
      <c r="O304" s="4">
        <f>Tab_12.Dez[[#This Row],[DÉBITO]]-Tab_12.Dez[[#This Row],[CRÉDITO]]</f>
        <v>0</v>
      </c>
    </row>
  </sheetData>
  <sheetProtection autoFilter="0"/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4EB65-6E08-4B9B-9612-9458C8D81F8A}">
  <sheetPr codeName="Planilha2">
    <outlinePr summaryBelow="0" summaryRight="0"/>
  </sheetPr>
  <dimension ref="B2:P41"/>
  <sheetViews>
    <sheetView showGridLines="0" showRowColHeaders="0" zoomScale="120" zoomScaleNormal="120" workbookViewId="0">
      <pane xSplit="4" ySplit="4" topLeftCell="E30" activePane="bottomRight" state="frozen"/>
      <selection pane="topRight" activeCell="E1" sqref="E1"/>
      <selection pane="bottomLeft" activeCell="A5" sqref="A5"/>
      <selection pane="bottomRight" activeCell="D42" sqref="D42"/>
    </sheetView>
  </sheetViews>
  <sheetFormatPr defaultColWidth="8.88671875" defaultRowHeight="13.8" x14ac:dyDescent="0.3"/>
  <cols>
    <col min="1" max="1" width="2.6640625" style="1" customWidth="1"/>
    <col min="2" max="2" width="20.6640625" style="3" customWidth="1"/>
    <col min="3" max="3" width="50.6640625" style="1" customWidth="1"/>
    <col min="4" max="16" width="15.6640625" style="4" customWidth="1"/>
    <col min="17" max="16384" width="8.88671875" style="1"/>
  </cols>
  <sheetData>
    <row r="2" spans="2:16" x14ac:dyDescent="0.3">
      <c r="C2" s="17" t="s">
        <v>114</v>
      </c>
    </row>
    <row r="4" spans="2:16" ht="20.100000000000001" customHeight="1" x14ac:dyDescent="0.3">
      <c r="D4" s="20" t="s">
        <v>113</v>
      </c>
      <c r="E4" s="20" t="s">
        <v>3</v>
      </c>
      <c r="F4" s="20" t="s">
        <v>4</v>
      </c>
      <c r="G4" s="20" t="s">
        <v>5</v>
      </c>
      <c r="H4" s="20" t="s">
        <v>6</v>
      </c>
      <c r="I4" s="20" t="s">
        <v>7</v>
      </c>
      <c r="J4" s="20" t="s">
        <v>8</v>
      </c>
      <c r="K4" s="20" t="s">
        <v>9</v>
      </c>
      <c r="L4" s="20" t="s">
        <v>10</v>
      </c>
      <c r="M4" s="20" t="s">
        <v>11</v>
      </c>
      <c r="N4" s="20" t="s">
        <v>12</v>
      </c>
      <c r="O4" s="20" t="s">
        <v>13</v>
      </c>
      <c r="P4" s="20" t="s">
        <v>14</v>
      </c>
    </row>
    <row r="5" spans="2:16" ht="9.9" customHeight="1" x14ac:dyDescent="0.3">
      <c r="C5" s="1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</row>
    <row r="6" spans="2:16" x14ac:dyDescent="0.3">
      <c r="B6" s="3" t="s">
        <v>101</v>
      </c>
      <c r="C6" s="1" t="s">
        <v>145</v>
      </c>
      <c r="D6" s="7">
        <f>SUM($E6:$P6)</f>
        <v>13039607.33</v>
      </c>
      <c r="E6" s="4">
        <f>-SUMIFS(Tab_000.Trial[JANEIRO],Tab_000.Trial[DC],$B6)</f>
        <v>949895.11</v>
      </c>
      <c r="F6" s="4">
        <f>-SUMIFS(Tab_000.Trial[FEVEREIRO],Tab_000.Trial[DC],$B6)</f>
        <v>975336.03</v>
      </c>
      <c r="G6" s="4">
        <f>-SUMIFS(Tab_000.Trial[MARÇO],Tab_000.Trial[DC],$B6)</f>
        <v>1050829.07</v>
      </c>
      <c r="H6" s="4">
        <f>-SUMIFS(Tab_000.Trial[ABRIL],Tab_000.Trial[DC],$B6)</f>
        <v>1106727.18</v>
      </c>
      <c r="I6" s="4">
        <f>-SUMIFS(Tab_000.Trial[MAIO],Tab_000.Trial[DC],$B6)</f>
        <v>1212292.3600000001</v>
      </c>
      <c r="J6" s="4">
        <f>-SUMIFS(Tab_000.Trial[JUNHO],Tab_000.Trial[DC],$B6)</f>
        <v>1008257.62</v>
      </c>
      <c r="K6" s="4">
        <f>-SUMIFS(Tab_000.Trial[JULHO],Tab_000.Trial[DC],$B6)</f>
        <v>1075033.8999999999</v>
      </c>
      <c r="L6" s="4">
        <f>-SUMIFS(Tab_000.Trial[AGOSTO],Tab_000.Trial[DC],$B6)</f>
        <v>1041896.74</v>
      </c>
      <c r="M6" s="4">
        <f>-SUMIFS(Tab_000.Trial[SETEMBRO],Tab_000.Trial[DC],$B6)</f>
        <v>974149.05</v>
      </c>
      <c r="N6" s="4">
        <f>-SUMIFS(Tab_000.Trial[OUTUBRO],Tab_000.Trial[DC],$B6)</f>
        <v>1243446.46</v>
      </c>
      <c r="O6" s="4">
        <f>-SUMIFS(Tab_000.Trial[NOVEMBRO],Tab_000.Trial[DC],$B6)</f>
        <v>917773.37</v>
      </c>
      <c r="P6" s="4">
        <f>-SUMIFS(Tab_000.Trial[DEZEMBRO],Tab_000.Trial[DC],$B6)</f>
        <v>1483970.44</v>
      </c>
    </row>
    <row r="7" spans="2:16" x14ac:dyDescent="0.3">
      <c r="B7" s="3" t="s">
        <v>102</v>
      </c>
      <c r="C7" s="3" t="s">
        <v>155</v>
      </c>
      <c r="D7" s="7">
        <f t="shared" ref="D7" si="0">SUM($E7:$P7)</f>
        <v>-14303.78</v>
      </c>
      <c r="E7" s="4">
        <f>-SUMIFS(Tab_000.Trial[JANEIRO],Tab_000.Trial[DC],$B7)</f>
        <v>0</v>
      </c>
      <c r="F7" s="4">
        <f>-SUMIFS(Tab_000.Trial[FEVEREIRO],Tab_000.Trial[DC],$B7)</f>
        <v>0</v>
      </c>
      <c r="G7" s="4">
        <f>-SUMIFS(Tab_000.Trial[MARÇO],Tab_000.Trial[DC],$B7)</f>
        <v>0</v>
      </c>
      <c r="H7" s="4">
        <f>-SUMIFS(Tab_000.Trial[ABRIL],Tab_000.Trial[DC],$B7)</f>
        <v>0</v>
      </c>
      <c r="I7" s="4">
        <f>-SUMIFS(Tab_000.Trial[MAIO],Tab_000.Trial[DC],$B7)</f>
        <v>0</v>
      </c>
      <c r="J7" s="4">
        <f>-SUMIFS(Tab_000.Trial[JUNHO],Tab_000.Trial[DC],$B7)</f>
        <v>0</v>
      </c>
      <c r="K7" s="4">
        <f>-SUMIFS(Tab_000.Trial[JULHO],Tab_000.Trial[DC],$B7)</f>
        <v>-11</v>
      </c>
      <c r="L7" s="4">
        <f>-SUMIFS(Tab_000.Trial[AGOSTO],Tab_000.Trial[DC],$B7)</f>
        <v>-37.729999999999997</v>
      </c>
      <c r="M7" s="4">
        <f>-SUMIFS(Tab_000.Trial[SETEMBRO],Tab_000.Trial[DC],$B7)</f>
        <v>-12078.33</v>
      </c>
      <c r="N7" s="4">
        <f>-SUMIFS(Tab_000.Trial[OUTUBRO],Tab_000.Trial[DC],$B7)</f>
        <v>-12.1</v>
      </c>
      <c r="O7" s="4">
        <f>-SUMIFS(Tab_000.Trial[NOVEMBRO],Tab_000.Trial[DC],$B7)</f>
        <v>-1899</v>
      </c>
      <c r="P7" s="4">
        <f>-SUMIFS(Tab_000.Trial[DEZEMBRO],Tab_000.Trial[DC],$B7)</f>
        <v>-265.62</v>
      </c>
    </row>
    <row r="8" spans="2:16" ht="5.0999999999999996" customHeight="1" x14ac:dyDescent="0.3"/>
    <row r="9" spans="2:16" x14ac:dyDescent="0.3">
      <c r="C9" s="17" t="s">
        <v>151</v>
      </c>
      <c r="D9" s="16">
        <f>SUBTOTAL(9,D$5:D$8)</f>
        <v>13025303.550000001</v>
      </c>
      <c r="E9" s="16">
        <f>SUBTOTAL(9,E$5:E$8)</f>
        <v>949895.11</v>
      </c>
      <c r="F9" s="16">
        <f t="shared" ref="F9:P9" si="1">SUBTOTAL(9,F$5:F$8)</f>
        <v>975336.03</v>
      </c>
      <c r="G9" s="16">
        <f t="shared" si="1"/>
        <v>1050829.07</v>
      </c>
      <c r="H9" s="16">
        <f t="shared" si="1"/>
        <v>1106727.18</v>
      </c>
      <c r="I9" s="16">
        <f t="shared" si="1"/>
        <v>1212292.3600000001</v>
      </c>
      <c r="J9" s="16">
        <f t="shared" si="1"/>
        <v>1008257.62</v>
      </c>
      <c r="K9" s="16">
        <f t="shared" si="1"/>
        <v>1075022.8999999999</v>
      </c>
      <c r="L9" s="16">
        <f t="shared" si="1"/>
        <v>1041859.01</v>
      </c>
      <c r="M9" s="16">
        <f t="shared" si="1"/>
        <v>962070.72</v>
      </c>
      <c r="N9" s="16">
        <f t="shared" si="1"/>
        <v>1243434.3600000001</v>
      </c>
      <c r="O9" s="16">
        <f t="shared" si="1"/>
        <v>915874.37</v>
      </c>
      <c r="P9" s="16">
        <f t="shared" si="1"/>
        <v>1483704.82</v>
      </c>
    </row>
    <row r="10" spans="2:16" ht="9.9" customHeight="1" x14ac:dyDescent="0.3"/>
    <row r="11" spans="2:16" x14ac:dyDescent="0.3">
      <c r="C11" s="17" t="s">
        <v>152</v>
      </c>
      <c r="D11" s="7"/>
    </row>
    <row r="12" spans="2:16" x14ac:dyDescent="0.3">
      <c r="B12" s="3" t="s">
        <v>103</v>
      </c>
      <c r="C12" s="3" t="s">
        <v>153</v>
      </c>
      <c r="D12" s="7">
        <f t="shared" ref="D12" si="2">SUM($E12:$P12)</f>
        <v>-9088992.2300000004</v>
      </c>
      <c r="E12" s="4">
        <f>-SUMIFS(Tab_000.Trial[JANEIRO],Tab_000.Trial[DC],$B12)</f>
        <v>-907517.82</v>
      </c>
      <c r="F12" s="4">
        <f>-SUMIFS(Tab_000.Trial[FEVEREIRO],Tab_000.Trial[DC],$B12)</f>
        <v>-1065158.02</v>
      </c>
      <c r="G12" s="4">
        <f>-SUMIFS(Tab_000.Trial[MARÇO],Tab_000.Trial[DC],$B12)</f>
        <v>-450750.88</v>
      </c>
      <c r="H12" s="4">
        <f>-SUMIFS(Tab_000.Trial[ABRIL],Tab_000.Trial[DC],$B12)</f>
        <v>-715177.31</v>
      </c>
      <c r="I12" s="4">
        <f>-SUMIFS(Tab_000.Trial[MAIO],Tab_000.Trial[DC],$B12)</f>
        <v>-732286.12</v>
      </c>
      <c r="J12" s="4">
        <f>-SUMIFS(Tab_000.Trial[JUNHO],Tab_000.Trial[DC],$B12)</f>
        <v>-432861.01</v>
      </c>
      <c r="K12" s="4">
        <f>-SUMIFS(Tab_000.Trial[JULHO],Tab_000.Trial[DC],$B12)</f>
        <v>-752409.54</v>
      </c>
      <c r="L12" s="4">
        <f>-SUMIFS(Tab_000.Trial[AGOSTO],Tab_000.Trial[DC],$B12)</f>
        <v>-703098.66</v>
      </c>
      <c r="M12" s="4">
        <f>-SUMIFS(Tab_000.Trial[SETEMBRO],Tab_000.Trial[DC],$B12)</f>
        <v>-618169.23</v>
      </c>
      <c r="N12" s="4">
        <f>-SUMIFS(Tab_000.Trial[OUTUBRO],Tab_000.Trial[DC],$B12)</f>
        <v>-858712.5</v>
      </c>
      <c r="O12" s="4">
        <f>-SUMIFS(Tab_000.Trial[NOVEMBRO],Tab_000.Trial[DC],$B12)</f>
        <v>-358302.28</v>
      </c>
      <c r="P12" s="4">
        <f>-SUMIFS(Tab_000.Trial[DEZEMBRO],Tab_000.Trial[DC],$B12)</f>
        <v>-1494548.86</v>
      </c>
    </row>
    <row r="13" spans="2:16" ht="5.0999999999999996" customHeight="1" x14ac:dyDescent="0.3"/>
    <row r="14" spans="2:16" x14ac:dyDescent="0.3">
      <c r="C14" s="17" t="s">
        <v>65</v>
      </c>
      <c r="D14" s="16">
        <f t="shared" ref="D14:P14" si="3">SUBTOTAL(9,D$5:D$13)</f>
        <v>3936311.32</v>
      </c>
      <c r="E14" s="16">
        <f t="shared" si="3"/>
        <v>42377.29</v>
      </c>
      <c r="F14" s="16">
        <f t="shared" si="3"/>
        <v>-89821.99</v>
      </c>
      <c r="G14" s="16">
        <f t="shared" si="3"/>
        <v>600078.18999999994</v>
      </c>
      <c r="H14" s="16">
        <f t="shared" si="3"/>
        <v>391549.87</v>
      </c>
      <c r="I14" s="16">
        <f t="shared" si="3"/>
        <v>480006.24</v>
      </c>
      <c r="J14" s="16">
        <f t="shared" si="3"/>
        <v>575396.61</v>
      </c>
      <c r="K14" s="16">
        <f t="shared" si="3"/>
        <v>322613.36</v>
      </c>
      <c r="L14" s="16">
        <f t="shared" si="3"/>
        <v>338760.35</v>
      </c>
      <c r="M14" s="16">
        <f t="shared" si="3"/>
        <v>343901.49</v>
      </c>
      <c r="N14" s="16">
        <f t="shared" si="3"/>
        <v>384721.86</v>
      </c>
      <c r="O14" s="16">
        <f t="shared" si="3"/>
        <v>557572.09</v>
      </c>
      <c r="P14" s="16">
        <f t="shared" si="3"/>
        <v>-10844.04</v>
      </c>
    </row>
    <row r="15" spans="2:16" ht="9.9" customHeight="1" x14ac:dyDescent="0.3"/>
    <row r="16" spans="2:16" x14ac:dyDescent="0.3">
      <c r="C16" s="17" t="s">
        <v>86</v>
      </c>
      <c r="D16" s="126">
        <f>SUBTOTAL(9,D$17:D$23)</f>
        <v>-4735615.26</v>
      </c>
      <c r="E16" s="126">
        <f t="shared" ref="E16:P16" si="4">SUBTOTAL(9,E$17:E$23)</f>
        <v>-350644.61</v>
      </c>
      <c r="F16" s="126">
        <f t="shared" si="4"/>
        <v>-619299.11</v>
      </c>
      <c r="G16" s="126">
        <f t="shared" si="4"/>
        <v>-367145.64</v>
      </c>
      <c r="H16" s="126">
        <f t="shared" si="4"/>
        <v>-359810.82</v>
      </c>
      <c r="I16" s="126">
        <f t="shared" si="4"/>
        <v>-339611.73</v>
      </c>
      <c r="J16" s="126">
        <f t="shared" si="4"/>
        <v>-422965.76000000001</v>
      </c>
      <c r="K16" s="126">
        <f t="shared" si="4"/>
        <v>-344934.99</v>
      </c>
      <c r="L16" s="126">
        <f t="shared" si="4"/>
        <v>-373601.7</v>
      </c>
      <c r="M16" s="126">
        <f t="shared" si="4"/>
        <v>-429552.9</v>
      </c>
      <c r="N16" s="126">
        <f t="shared" si="4"/>
        <v>-364734.01</v>
      </c>
      <c r="O16" s="126">
        <f t="shared" si="4"/>
        <v>-382987.13</v>
      </c>
      <c r="P16" s="126">
        <f t="shared" si="4"/>
        <v>-380326.86</v>
      </c>
    </row>
    <row r="17" spans="2:16" x14ac:dyDescent="0.3">
      <c r="B17" s="3" t="s">
        <v>104</v>
      </c>
      <c r="C17" s="3" t="s">
        <v>146</v>
      </c>
      <c r="D17" s="7">
        <f t="shared" ref="D17:D22" si="5">SUM($E17:$P17)</f>
        <v>-2518388.17</v>
      </c>
      <c r="E17" s="4">
        <f>-SUMIFS(Tab_000.Trial[JANEIRO],Tab_000.Trial[DC],$B17)</f>
        <v>-200564.34</v>
      </c>
      <c r="F17" s="4">
        <f>-SUMIFS(Tab_000.Trial[FEVEREIRO],Tab_000.Trial[DC],$B17)</f>
        <v>-476605.36</v>
      </c>
      <c r="G17" s="4">
        <f>-SUMIFS(Tab_000.Trial[MARÇO],Tab_000.Trial[DC],$B17)</f>
        <v>-207604.77</v>
      </c>
      <c r="H17" s="4">
        <f>-SUMIFS(Tab_000.Trial[ABRIL],Tab_000.Trial[DC],$B17)</f>
        <v>-186151.86</v>
      </c>
      <c r="I17" s="4">
        <f>-SUMIFS(Tab_000.Trial[MAIO],Tab_000.Trial[DC],$B17)</f>
        <v>-181114.04</v>
      </c>
      <c r="J17" s="4">
        <f>-SUMIFS(Tab_000.Trial[JUNHO],Tab_000.Trial[DC],$B17)</f>
        <v>-190381.77</v>
      </c>
      <c r="K17" s="4">
        <f>-SUMIFS(Tab_000.Trial[JULHO],Tab_000.Trial[DC],$B17)</f>
        <v>-159061.79999999999</v>
      </c>
      <c r="L17" s="4">
        <f>-SUMIFS(Tab_000.Trial[AGOSTO],Tab_000.Trial[DC],$B17)</f>
        <v>-191116.9</v>
      </c>
      <c r="M17" s="4">
        <f>-SUMIFS(Tab_000.Trial[SETEMBRO],Tab_000.Trial[DC],$B17)</f>
        <v>-187941.84</v>
      </c>
      <c r="N17" s="4">
        <f>-SUMIFS(Tab_000.Trial[OUTUBRO],Tab_000.Trial[DC],$B17)</f>
        <v>-173614.13</v>
      </c>
      <c r="O17" s="4">
        <f>-SUMIFS(Tab_000.Trial[NOVEMBRO],Tab_000.Trial[DC],$B17)</f>
        <v>-188441.15</v>
      </c>
      <c r="P17" s="4">
        <f>-SUMIFS(Tab_000.Trial[DEZEMBRO],Tab_000.Trial[DC],$B17)</f>
        <v>-175790.21</v>
      </c>
    </row>
    <row r="18" spans="2:16" x14ac:dyDescent="0.3">
      <c r="B18" s="3" t="s">
        <v>105</v>
      </c>
      <c r="C18" s="3" t="s">
        <v>82</v>
      </c>
      <c r="D18" s="7">
        <f t="shared" si="5"/>
        <v>-1347301.21</v>
      </c>
      <c r="E18" s="4">
        <f>-SUMIFS(Tab_000.Trial[JANEIRO],Tab_000.Trial[DC],$B18)</f>
        <v>-108248.42</v>
      </c>
      <c r="F18" s="4">
        <f>-SUMIFS(Tab_000.Trial[FEVEREIRO],Tab_000.Trial[DC],$B18)</f>
        <v>-103731.27</v>
      </c>
      <c r="G18" s="4">
        <f>-SUMIFS(Tab_000.Trial[MARÇO],Tab_000.Trial[DC],$B18)</f>
        <v>-109169.7</v>
      </c>
      <c r="H18" s="4">
        <f>-SUMIFS(Tab_000.Trial[ABRIL],Tab_000.Trial[DC],$B18)</f>
        <v>-127784.68</v>
      </c>
      <c r="I18" s="4">
        <f>-SUMIFS(Tab_000.Trial[MAIO],Tab_000.Trial[DC],$B18)</f>
        <v>-106123.84</v>
      </c>
      <c r="J18" s="4">
        <f>-SUMIFS(Tab_000.Trial[JUNHO],Tab_000.Trial[DC],$B18)</f>
        <v>-107676.46</v>
      </c>
      <c r="K18" s="4">
        <f>-SUMIFS(Tab_000.Trial[JULHO],Tab_000.Trial[DC],$B18)</f>
        <v>-105468.78</v>
      </c>
      <c r="L18" s="4">
        <f>-SUMIFS(Tab_000.Trial[AGOSTO],Tab_000.Trial[DC],$B18)</f>
        <v>-105290.1</v>
      </c>
      <c r="M18" s="4">
        <f>-SUMIFS(Tab_000.Trial[SETEMBRO],Tab_000.Trial[DC],$B18)</f>
        <v>-116191.26</v>
      </c>
      <c r="N18" s="4">
        <f>-SUMIFS(Tab_000.Trial[OUTUBRO],Tab_000.Trial[DC],$B18)</f>
        <v>-117054.75</v>
      </c>
      <c r="O18" s="4">
        <f>-SUMIFS(Tab_000.Trial[NOVEMBRO],Tab_000.Trial[DC],$B18)</f>
        <v>-109731.75</v>
      </c>
      <c r="P18" s="4">
        <f>-SUMIFS(Tab_000.Trial[DEZEMBRO],Tab_000.Trial[DC],$B18)</f>
        <v>-130830.2</v>
      </c>
    </row>
    <row r="19" spans="2:16" x14ac:dyDescent="0.3">
      <c r="B19" s="3" t="s">
        <v>106</v>
      </c>
      <c r="C19" s="3" t="s">
        <v>147</v>
      </c>
      <c r="D19" s="7">
        <f t="shared" si="5"/>
        <v>-802954.04</v>
      </c>
      <c r="E19" s="4">
        <f>-SUMIFS(Tab_000.Trial[JANEIRO],Tab_000.Trial[DC],$B19)</f>
        <v>-40945.24</v>
      </c>
      <c r="F19" s="4">
        <f>-SUMIFS(Tab_000.Trial[FEVEREIRO],Tab_000.Trial[DC],$B19)</f>
        <v>-37363.51</v>
      </c>
      <c r="G19" s="4">
        <f>-SUMIFS(Tab_000.Trial[MARÇO],Tab_000.Trial[DC],$B19)</f>
        <v>-37363.51</v>
      </c>
      <c r="H19" s="4">
        <f>-SUMIFS(Tab_000.Trial[ABRIL],Tab_000.Trial[DC],$B19)</f>
        <v>-45874.28</v>
      </c>
      <c r="I19" s="4">
        <f>-SUMIFS(Tab_000.Trial[MAIO],Tab_000.Trial[DC],$B19)</f>
        <v>-52258.35</v>
      </c>
      <c r="J19" s="4">
        <f>-SUMIFS(Tab_000.Trial[JUNHO],Tab_000.Trial[DC],$B19)</f>
        <v>-124772.53</v>
      </c>
      <c r="K19" s="4">
        <f>-SUMIFS(Tab_000.Trial[JULHO],Tab_000.Trial[DC],$B19)</f>
        <v>-80404.41</v>
      </c>
      <c r="L19" s="4">
        <f>-SUMIFS(Tab_000.Trial[AGOSTO],Tab_000.Trial[DC],$B19)</f>
        <v>-77194.7</v>
      </c>
      <c r="M19" s="4">
        <f>-SUMIFS(Tab_000.Trial[SETEMBRO],Tab_000.Trial[DC],$B19)</f>
        <v>-75518.3</v>
      </c>
      <c r="N19" s="4">
        <f>-SUMIFS(Tab_000.Trial[OUTUBRO],Tab_000.Trial[DC],$B19)</f>
        <v>-74065.13</v>
      </c>
      <c r="O19" s="4">
        <f>-SUMIFS(Tab_000.Trial[NOVEMBRO],Tab_000.Trial[DC],$B19)</f>
        <v>-83487.63</v>
      </c>
      <c r="P19" s="4">
        <f>-SUMIFS(Tab_000.Trial[DEZEMBRO],Tab_000.Trial[DC],$B19)</f>
        <v>-73706.45</v>
      </c>
    </row>
    <row r="20" spans="2:16" x14ac:dyDescent="0.3">
      <c r="B20" s="3" t="s">
        <v>107</v>
      </c>
      <c r="C20" s="3" t="s">
        <v>148</v>
      </c>
      <c r="D20" s="7">
        <f t="shared" si="5"/>
        <v>0</v>
      </c>
      <c r="E20" s="4">
        <f>-SUMIFS(Tab_000.Trial[JANEIRO],Tab_000.Trial[DC],$B20)</f>
        <v>0</v>
      </c>
      <c r="F20" s="4">
        <f>-SUMIFS(Tab_000.Trial[FEVEREIRO],Tab_000.Trial[DC],$B20)</f>
        <v>0</v>
      </c>
      <c r="G20" s="4">
        <f>-SUMIFS(Tab_000.Trial[MARÇO],Tab_000.Trial[DC],$B20)</f>
        <v>0</v>
      </c>
      <c r="H20" s="4">
        <f>-SUMIFS(Tab_000.Trial[ABRIL],Tab_000.Trial[DC],$B20)</f>
        <v>0</v>
      </c>
      <c r="I20" s="4">
        <f>-SUMIFS(Tab_000.Trial[MAIO],Tab_000.Trial[DC],$B20)</f>
        <v>0</v>
      </c>
      <c r="J20" s="4">
        <f>-SUMIFS(Tab_000.Trial[JUNHO],Tab_000.Trial[DC],$B20)</f>
        <v>0</v>
      </c>
      <c r="K20" s="4">
        <f>-SUMIFS(Tab_000.Trial[JULHO],Tab_000.Trial[DC],$B20)</f>
        <v>0</v>
      </c>
      <c r="L20" s="4">
        <f>-SUMIFS(Tab_000.Trial[AGOSTO],Tab_000.Trial[DC],$B20)</f>
        <v>0</v>
      </c>
      <c r="M20" s="4">
        <f>-SUMIFS(Tab_000.Trial[SETEMBRO],Tab_000.Trial[DC],$B20)</f>
        <v>0</v>
      </c>
      <c r="N20" s="4">
        <f>-SUMIFS(Tab_000.Trial[OUTUBRO],Tab_000.Trial[DC],$B20)</f>
        <v>0</v>
      </c>
      <c r="O20" s="4">
        <f>-SUMIFS(Tab_000.Trial[NOVEMBRO],Tab_000.Trial[DC],$B20)</f>
        <v>0</v>
      </c>
      <c r="P20" s="4">
        <f>-SUMIFS(Tab_000.Trial[DEZEMBRO],Tab_000.Trial[DC],$B20)</f>
        <v>0</v>
      </c>
    </row>
    <row r="21" spans="2:16" x14ac:dyDescent="0.3">
      <c r="B21" s="3" t="s">
        <v>108</v>
      </c>
      <c r="C21" s="3" t="s">
        <v>149</v>
      </c>
      <c r="D21" s="7">
        <f t="shared" si="5"/>
        <v>-16854.34</v>
      </c>
      <c r="E21" s="4">
        <f>-SUMIFS(Tab_000.Trial[JANEIRO],Tab_000.Trial[DC],$B21)</f>
        <v>-1075.6099999999999</v>
      </c>
      <c r="F21" s="4">
        <f>-SUMIFS(Tab_000.Trial[FEVEREIRO],Tab_000.Trial[DC],$B21)</f>
        <v>-1328.97</v>
      </c>
      <c r="G21" s="4">
        <f>-SUMIFS(Tab_000.Trial[MARÇO],Tab_000.Trial[DC],$B21)</f>
        <v>-13007.66</v>
      </c>
      <c r="H21" s="4">
        <f>-SUMIFS(Tab_000.Trial[ABRIL],Tab_000.Trial[DC],$B21)</f>
        <v>0</v>
      </c>
      <c r="I21" s="4">
        <f>-SUMIFS(Tab_000.Trial[MAIO],Tab_000.Trial[DC],$B21)</f>
        <v>-115.5</v>
      </c>
      <c r="J21" s="4">
        <f>-SUMIFS(Tab_000.Trial[JUNHO],Tab_000.Trial[DC],$B21)</f>
        <v>0</v>
      </c>
      <c r="K21" s="4">
        <f>-SUMIFS(Tab_000.Trial[JULHO],Tab_000.Trial[DC],$B21)</f>
        <v>0</v>
      </c>
      <c r="L21" s="4">
        <f>-SUMIFS(Tab_000.Trial[AGOSTO],Tab_000.Trial[DC],$B21)</f>
        <v>0</v>
      </c>
      <c r="M21" s="4">
        <f>-SUMIFS(Tab_000.Trial[SETEMBRO],Tab_000.Trial[DC],$B21)</f>
        <v>0</v>
      </c>
      <c r="N21" s="4">
        <f>-SUMIFS(Tab_000.Trial[OUTUBRO],Tab_000.Trial[DC],$B21)</f>
        <v>0</v>
      </c>
      <c r="O21" s="4">
        <f>-SUMIFS(Tab_000.Trial[NOVEMBRO],Tab_000.Trial[DC],$B21)</f>
        <v>-1326.6</v>
      </c>
      <c r="P21" s="4">
        <f>-SUMIFS(Tab_000.Trial[DEZEMBRO],Tab_000.Trial[DC],$B21)</f>
        <v>0</v>
      </c>
    </row>
    <row r="22" spans="2:16" x14ac:dyDescent="0.3">
      <c r="B22" s="3" t="s">
        <v>66</v>
      </c>
      <c r="C22" s="3" t="s">
        <v>123</v>
      </c>
      <c r="D22" s="7">
        <f t="shared" si="5"/>
        <v>-50117.5</v>
      </c>
      <c r="E22" s="4">
        <f>-SUMIFS(Tab_000.Trial[JANEIRO],Tab_000.Trial[DC],$B22)</f>
        <v>189</v>
      </c>
      <c r="F22" s="4">
        <f>-SUMIFS(Tab_000.Trial[FEVEREIRO],Tab_000.Trial[DC],$B22)</f>
        <v>-270</v>
      </c>
      <c r="G22" s="4">
        <f>-SUMIFS(Tab_000.Trial[MARÇO],Tab_000.Trial[DC],$B22)</f>
        <v>0</v>
      </c>
      <c r="H22" s="4">
        <f>-SUMIFS(Tab_000.Trial[ABRIL],Tab_000.Trial[DC],$B22)</f>
        <v>0</v>
      </c>
      <c r="I22" s="4">
        <f>-SUMIFS(Tab_000.Trial[MAIO],Tab_000.Trial[DC],$B22)</f>
        <v>0</v>
      </c>
      <c r="J22" s="4">
        <f>-SUMIFS(Tab_000.Trial[JUNHO],Tab_000.Trial[DC],$B22)</f>
        <v>-135</v>
      </c>
      <c r="K22" s="4">
        <f>-SUMIFS(Tab_000.Trial[JULHO],Tab_000.Trial[DC],$B22)</f>
        <v>0</v>
      </c>
      <c r="L22" s="4">
        <f>-SUMIFS(Tab_000.Trial[AGOSTO],Tab_000.Trial[DC],$B22)</f>
        <v>0</v>
      </c>
      <c r="M22" s="4">
        <f>-SUMIFS(Tab_000.Trial[SETEMBRO],Tab_000.Trial[DC],$B22)</f>
        <v>-49901.5</v>
      </c>
      <c r="N22" s="4">
        <f>-SUMIFS(Tab_000.Trial[OUTUBRO],Tab_000.Trial[DC],$B22)</f>
        <v>0</v>
      </c>
      <c r="O22" s="4">
        <f>-SUMIFS(Tab_000.Trial[NOVEMBRO],Tab_000.Trial[DC],$B22)</f>
        <v>0</v>
      </c>
      <c r="P22" s="4">
        <f>-SUMIFS(Tab_000.Trial[DEZEMBRO],Tab_000.Trial[DC],$B22)</f>
        <v>0</v>
      </c>
    </row>
    <row r="23" spans="2:16" ht="5.0999999999999996" customHeight="1" x14ac:dyDescent="0.3"/>
    <row r="24" spans="2:16" x14ac:dyDescent="0.3">
      <c r="C24" s="17" t="s">
        <v>112</v>
      </c>
      <c r="D24" s="16">
        <f t="shared" ref="D24:P24" si="6">SUBTOTAL(9,D$5:D$23)</f>
        <v>-799303.94</v>
      </c>
      <c r="E24" s="16">
        <f t="shared" si="6"/>
        <v>-308267.32</v>
      </c>
      <c r="F24" s="16">
        <f t="shared" si="6"/>
        <v>-709121.1</v>
      </c>
      <c r="G24" s="16">
        <f t="shared" si="6"/>
        <v>232932.55</v>
      </c>
      <c r="H24" s="16">
        <f t="shared" si="6"/>
        <v>31739.05</v>
      </c>
      <c r="I24" s="16">
        <f t="shared" si="6"/>
        <v>140394.51</v>
      </c>
      <c r="J24" s="16">
        <f t="shared" si="6"/>
        <v>152430.85</v>
      </c>
      <c r="K24" s="16">
        <f t="shared" si="6"/>
        <v>-22321.63</v>
      </c>
      <c r="L24" s="16">
        <f t="shared" si="6"/>
        <v>-34841.35</v>
      </c>
      <c r="M24" s="16">
        <f t="shared" si="6"/>
        <v>-85651.41</v>
      </c>
      <c r="N24" s="16">
        <f t="shared" si="6"/>
        <v>19987.849999999999</v>
      </c>
      <c r="O24" s="16">
        <f t="shared" si="6"/>
        <v>174584.95999999999</v>
      </c>
      <c r="P24" s="16">
        <f t="shared" si="6"/>
        <v>-391170.9</v>
      </c>
    </row>
    <row r="25" spans="2:16" ht="5.0999999999999996" customHeight="1" x14ac:dyDescent="0.3"/>
    <row r="26" spans="2:16" ht="15" customHeight="1" x14ac:dyDescent="0.3">
      <c r="C26" s="96" t="s">
        <v>115</v>
      </c>
      <c r="D26" s="97">
        <f>IFERROR(D$24/D$9,0)</f>
        <v>-6.1400000000000003E-2</v>
      </c>
      <c r="E26" s="97">
        <f t="shared" ref="E26:P26" si="7">IFERROR(E$24/E$9,0)</f>
        <v>-0.32450000000000001</v>
      </c>
      <c r="F26" s="97">
        <f t="shared" si="7"/>
        <v>-0.72709999999999997</v>
      </c>
      <c r="G26" s="97">
        <f t="shared" si="7"/>
        <v>0.22170000000000001</v>
      </c>
      <c r="H26" s="97">
        <f t="shared" si="7"/>
        <v>2.87E-2</v>
      </c>
      <c r="I26" s="97">
        <f t="shared" si="7"/>
        <v>0.1158</v>
      </c>
      <c r="J26" s="97">
        <f t="shared" si="7"/>
        <v>0.1512</v>
      </c>
      <c r="K26" s="97">
        <f t="shared" si="7"/>
        <v>-2.0799999999999999E-2</v>
      </c>
      <c r="L26" s="97">
        <f t="shared" si="7"/>
        <v>-3.3399999999999999E-2</v>
      </c>
      <c r="M26" s="97">
        <f t="shared" si="7"/>
        <v>-8.8999999999999996E-2</v>
      </c>
      <c r="N26" s="97">
        <f t="shared" si="7"/>
        <v>1.61E-2</v>
      </c>
      <c r="O26" s="97">
        <f t="shared" si="7"/>
        <v>0.19059999999999999</v>
      </c>
      <c r="P26" s="97">
        <f t="shared" si="7"/>
        <v>-0.2636</v>
      </c>
    </row>
    <row r="27" spans="2:16" ht="5.0999999999999996" customHeight="1" x14ac:dyDescent="0.3"/>
    <row r="28" spans="2:16" x14ac:dyDescent="0.3">
      <c r="B28" s="3" t="s">
        <v>109</v>
      </c>
      <c r="C28" s="3" t="s">
        <v>150</v>
      </c>
      <c r="D28" s="7">
        <f t="shared" ref="D28" si="8">SUM($E28:$P28)</f>
        <v>-47282.239999999998</v>
      </c>
      <c r="E28" s="4">
        <f>-SUMIFS(Tab_000.Trial[JANEIRO],Tab_000.Trial[DC],$B28)</f>
        <v>-5364.1</v>
      </c>
      <c r="F28" s="4">
        <f>-SUMIFS(Tab_000.Trial[FEVEREIRO],Tab_000.Trial[DC],$B28)</f>
        <v>-5249.74</v>
      </c>
      <c r="G28" s="4">
        <f>-SUMIFS(Tab_000.Trial[MARÇO],Tab_000.Trial[DC],$B28)</f>
        <v>-3667.05</v>
      </c>
      <c r="H28" s="4">
        <f>-SUMIFS(Tab_000.Trial[ABRIL],Tab_000.Trial[DC],$B28)</f>
        <v>-3667.05</v>
      </c>
      <c r="I28" s="4">
        <f>-SUMIFS(Tab_000.Trial[MAIO],Tab_000.Trial[DC],$B28)</f>
        <v>-3667.05</v>
      </c>
      <c r="J28" s="4">
        <f>-SUMIFS(Tab_000.Trial[JUNHO],Tab_000.Trial[DC],$B28)</f>
        <v>-3666.75</v>
      </c>
      <c r="K28" s="4">
        <f>-SUMIFS(Tab_000.Trial[JULHO],Tab_000.Trial[DC],$B28)</f>
        <v>-3666.75</v>
      </c>
      <c r="L28" s="4">
        <f>-SUMIFS(Tab_000.Trial[AGOSTO],Tab_000.Trial[DC],$B28)</f>
        <v>-3666.75</v>
      </c>
      <c r="M28" s="4">
        <f>-SUMIFS(Tab_000.Trial[SETEMBRO],Tab_000.Trial[DC],$B28)</f>
        <v>-3666.75</v>
      </c>
      <c r="N28" s="4">
        <f>-SUMIFS(Tab_000.Trial[OUTUBRO],Tab_000.Trial[DC],$B28)</f>
        <v>-3666.75</v>
      </c>
      <c r="O28" s="4">
        <f>-SUMIFS(Tab_000.Trial[NOVEMBRO],Tab_000.Trial[DC],$B28)</f>
        <v>-3666.75</v>
      </c>
      <c r="P28" s="4">
        <f>-SUMIFS(Tab_000.Trial[DEZEMBRO],Tab_000.Trial[DC],$B28)</f>
        <v>-3666.75</v>
      </c>
    </row>
    <row r="29" spans="2:16" ht="5.0999999999999996" customHeight="1" x14ac:dyDescent="0.3"/>
    <row r="30" spans="2:16" x14ac:dyDescent="0.3">
      <c r="C30" s="17" t="s">
        <v>84</v>
      </c>
      <c r="D30" s="16">
        <f>SUBTOTAL(9,D$5:D$29)-D$26</f>
        <v>-846586.18</v>
      </c>
      <c r="E30" s="16">
        <f t="shared" ref="E30:P30" si="9">SUBTOTAL(9,E$5:E$29)-E$26</f>
        <v>-313631.42</v>
      </c>
      <c r="F30" s="16">
        <f t="shared" si="9"/>
        <v>-714370.84</v>
      </c>
      <c r="G30" s="16">
        <f t="shared" si="9"/>
        <v>229265.5</v>
      </c>
      <c r="H30" s="16">
        <f t="shared" si="9"/>
        <v>28072</v>
      </c>
      <c r="I30" s="16">
        <f t="shared" si="9"/>
        <v>136727.46</v>
      </c>
      <c r="J30" s="16">
        <f t="shared" si="9"/>
        <v>148764.1</v>
      </c>
      <c r="K30" s="16">
        <f t="shared" si="9"/>
        <v>-25988.38</v>
      </c>
      <c r="L30" s="16">
        <f t="shared" si="9"/>
        <v>-38508.1</v>
      </c>
      <c r="M30" s="16">
        <f t="shared" si="9"/>
        <v>-89318.16</v>
      </c>
      <c r="N30" s="16">
        <f t="shared" si="9"/>
        <v>16321.1</v>
      </c>
      <c r="O30" s="16">
        <f t="shared" si="9"/>
        <v>170918.21</v>
      </c>
      <c r="P30" s="16">
        <f t="shared" si="9"/>
        <v>-394837.65</v>
      </c>
    </row>
    <row r="31" spans="2:16" ht="5.0999999999999996" customHeight="1" x14ac:dyDescent="0.3"/>
    <row r="32" spans="2:16" x14ac:dyDescent="0.3">
      <c r="C32" s="17" t="s">
        <v>68</v>
      </c>
      <c r="D32" s="126">
        <f>SUBTOTAL(9,D$33:D$35)</f>
        <v>2635927.7599999998</v>
      </c>
      <c r="E32" s="126">
        <f t="shared" ref="E32:P32" si="10">SUBTOTAL(9,E$33:E$35)</f>
        <v>202366.66</v>
      </c>
      <c r="F32" s="126">
        <f t="shared" si="10"/>
        <v>217970.95</v>
      </c>
      <c r="G32" s="126">
        <f t="shared" si="10"/>
        <v>306050.37</v>
      </c>
      <c r="H32" s="126">
        <f t="shared" si="10"/>
        <v>-25793.8</v>
      </c>
      <c r="I32" s="126">
        <f t="shared" si="10"/>
        <v>325778.43</v>
      </c>
      <c r="J32" s="126">
        <f t="shared" si="10"/>
        <v>202799.9</v>
      </c>
      <c r="K32" s="126">
        <f t="shared" si="10"/>
        <v>435068.33</v>
      </c>
      <c r="L32" s="126">
        <f t="shared" si="10"/>
        <v>374894.05</v>
      </c>
      <c r="M32" s="126">
        <f t="shared" si="10"/>
        <v>151946.22</v>
      </c>
      <c r="N32" s="126">
        <f t="shared" si="10"/>
        <v>210610.08</v>
      </c>
      <c r="O32" s="126">
        <f t="shared" si="10"/>
        <v>330440.71999999997</v>
      </c>
      <c r="P32" s="126">
        <f t="shared" si="10"/>
        <v>-96204.15</v>
      </c>
    </row>
    <row r="33" spans="2:16" x14ac:dyDescent="0.3">
      <c r="B33" s="3" t="s">
        <v>67</v>
      </c>
      <c r="C33" s="3" t="s">
        <v>70</v>
      </c>
      <c r="D33" s="7">
        <f t="shared" ref="D33:D34" si="11">SUM($E33:$P33)</f>
        <v>-18976.77</v>
      </c>
      <c r="E33" s="4">
        <f>-SUMIFS(Tab_000.Trial[JANEIRO],Tab_000.Trial[DC],$B33)</f>
        <v>-662.87</v>
      </c>
      <c r="F33" s="4">
        <f>-SUMIFS(Tab_000.Trial[FEVEREIRO],Tab_000.Trial[DC],$B33)</f>
        <v>-629.97</v>
      </c>
      <c r="G33" s="4">
        <f>-SUMIFS(Tab_000.Trial[MARÇO],Tab_000.Trial[DC],$B33)</f>
        <v>-604.34</v>
      </c>
      <c r="H33" s="4">
        <f>-SUMIFS(Tab_000.Trial[ABRIL],Tab_000.Trial[DC],$B33)</f>
        <v>-1066.56</v>
      </c>
      <c r="I33" s="4">
        <f>-SUMIFS(Tab_000.Trial[MAIO],Tab_000.Trial[DC],$B33)</f>
        <v>-456.61</v>
      </c>
      <c r="J33" s="4">
        <f>-SUMIFS(Tab_000.Trial[JUNHO],Tab_000.Trial[DC],$B33)</f>
        <v>-357.04</v>
      </c>
      <c r="K33" s="4">
        <f>-SUMIFS(Tab_000.Trial[JULHO],Tab_000.Trial[DC],$B33)</f>
        <v>-475.61</v>
      </c>
      <c r="L33" s="4">
        <f>-SUMIFS(Tab_000.Trial[AGOSTO],Tab_000.Trial[DC],$B33)</f>
        <v>-3067.38</v>
      </c>
      <c r="M33" s="4">
        <f>-SUMIFS(Tab_000.Trial[SETEMBRO],Tab_000.Trial[DC],$B33)</f>
        <v>-2899.73</v>
      </c>
      <c r="N33" s="4">
        <f>-SUMIFS(Tab_000.Trial[OUTUBRO],Tab_000.Trial[DC],$B33)</f>
        <v>-3016.68</v>
      </c>
      <c r="O33" s="4">
        <f>-SUMIFS(Tab_000.Trial[NOVEMBRO],Tab_000.Trial[DC],$B33)</f>
        <v>-2923.09</v>
      </c>
      <c r="P33" s="4">
        <f>-SUMIFS(Tab_000.Trial[DEZEMBRO],Tab_000.Trial[DC],$B33)</f>
        <v>-2816.89</v>
      </c>
    </row>
    <row r="34" spans="2:16" x14ac:dyDescent="0.3">
      <c r="B34" s="3" t="s">
        <v>71</v>
      </c>
      <c r="C34" s="3" t="s">
        <v>69</v>
      </c>
      <c r="D34" s="7">
        <f t="shared" si="11"/>
        <v>2654904.5299999998</v>
      </c>
      <c r="E34" s="4">
        <f>-SUMIFS(Tab_000.Trial[JANEIRO],Tab_000.Trial[DC],$B34)</f>
        <v>203029.53</v>
      </c>
      <c r="F34" s="4">
        <f>-SUMIFS(Tab_000.Trial[FEVEREIRO],Tab_000.Trial[DC],$B34)</f>
        <v>218600.92</v>
      </c>
      <c r="G34" s="4">
        <f>-SUMIFS(Tab_000.Trial[MARÇO],Tab_000.Trial[DC],$B34)</f>
        <v>306654.71000000002</v>
      </c>
      <c r="H34" s="4">
        <f>-SUMIFS(Tab_000.Trial[ABRIL],Tab_000.Trial[DC],$B34)</f>
        <v>-24727.24</v>
      </c>
      <c r="I34" s="4">
        <f>-SUMIFS(Tab_000.Trial[MAIO],Tab_000.Trial[DC],$B34)</f>
        <v>326235.03999999998</v>
      </c>
      <c r="J34" s="4">
        <f>-SUMIFS(Tab_000.Trial[JUNHO],Tab_000.Trial[DC],$B34)</f>
        <v>203156.94</v>
      </c>
      <c r="K34" s="4">
        <f>-SUMIFS(Tab_000.Trial[JULHO],Tab_000.Trial[DC],$B34)</f>
        <v>435543.94</v>
      </c>
      <c r="L34" s="4">
        <f>-SUMIFS(Tab_000.Trial[AGOSTO],Tab_000.Trial[DC],$B34)</f>
        <v>377961.43</v>
      </c>
      <c r="M34" s="4">
        <f>-SUMIFS(Tab_000.Trial[SETEMBRO],Tab_000.Trial[DC],$B34)</f>
        <v>154845.95000000001</v>
      </c>
      <c r="N34" s="4">
        <f>-SUMIFS(Tab_000.Trial[OUTUBRO],Tab_000.Trial[DC],$B34)</f>
        <v>213626.76</v>
      </c>
      <c r="O34" s="4">
        <f>-SUMIFS(Tab_000.Trial[NOVEMBRO],Tab_000.Trial[DC],$B34)</f>
        <v>333363.81</v>
      </c>
      <c r="P34" s="4">
        <f>-SUMIFS(Tab_000.Trial[DEZEMBRO],Tab_000.Trial[DC],$B34)</f>
        <v>-93387.26</v>
      </c>
    </row>
    <row r="35" spans="2:16" ht="5.0999999999999996" customHeight="1" x14ac:dyDescent="0.3"/>
    <row r="36" spans="2:16" x14ac:dyDescent="0.3">
      <c r="C36" s="17" t="s">
        <v>157</v>
      </c>
      <c r="D36" s="126">
        <f>SUBTOTAL(9,D$37:D$39)</f>
        <v>0</v>
      </c>
      <c r="E36" s="126">
        <f t="shared" ref="E36:P36" si="12">SUBTOTAL(9,E$37:E$39)</f>
        <v>0</v>
      </c>
      <c r="F36" s="126">
        <f t="shared" si="12"/>
        <v>0</v>
      </c>
      <c r="G36" s="126">
        <f t="shared" si="12"/>
        <v>0</v>
      </c>
      <c r="H36" s="126">
        <f t="shared" si="12"/>
        <v>0</v>
      </c>
      <c r="I36" s="126">
        <f t="shared" si="12"/>
        <v>0</v>
      </c>
      <c r="J36" s="126">
        <f t="shared" si="12"/>
        <v>0</v>
      </c>
      <c r="K36" s="126">
        <f t="shared" si="12"/>
        <v>0</v>
      </c>
      <c r="L36" s="126">
        <f t="shared" si="12"/>
        <v>0</v>
      </c>
      <c r="M36" s="126">
        <f t="shared" si="12"/>
        <v>0</v>
      </c>
      <c r="N36" s="126">
        <f t="shared" si="12"/>
        <v>0</v>
      </c>
      <c r="O36" s="126">
        <f t="shared" si="12"/>
        <v>0</v>
      </c>
      <c r="P36" s="126">
        <f t="shared" si="12"/>
        <v>0</v>
      </c>
    </row>
    <row r="37" spans="2:16" x14ac:dyDescent="0.3">
      <c r="B37" s="3" t="s">
        <v>72</v>
      </c>
      <c r="C37" s="3" t="s">
        <v>158</v>
      </c>
      <c r="D37" s="7">
        <f t="shared" ref="D37:D38" si="13">SUM($E37:$P37)</f>
        <v>0</v>
      </c>
      <c r="E37" s="4">
        <f>-SUMIFS(Tab_000.Trial[JANEIRO],Tab_000.Trial[DC],$B37)</f>
        <v>0</v>
      </c>
      <c r="F37" s="4">
        <f>-SUMIFS(Tab_000.Trial[FEVEREIRO],Tab_000.Trial[DC],$B37)</f>
        <v>0</v>
      </c>
      <c r="G37" s="4">
        <f>-SUMIFS(Tab_000.Trial[MARÇO],Tab_000.Trial[DC],$B37)</f>
        <v>0</v>
      </c>
      <c r="H37" s="4">
        <f>-SUMIFS(Tab_000.Trial[ABRIL],Tab_000.Trial[DC],$B37)</f>
        <v>0</v>
      </c>
      <c r="I37" s="4">
        <f>-SUMIFS(Tab_000.Trial[MAIO],Tab_000.Trial[DC],$B37)</f>
        <v>0</v>
      </c>
      <c r="J37" s="4">
        <f>-SUMIFS(Tab_000.Trial[JUNHO],Tab_000.Trial[DC],$B37)</f>
        <v>0</v>
      </c>
      <c r="K37" s="4">
        <f>-SUMIFS(Tab_000.Trial[JULHO],Tab_000.Trial[DC],$B37)</f>
        <v>0</v>
      </c>
      <c r="L37" s="4">
        <f>-SUMIFS(Tab_000.Trial[AGOSTO],Tab_000.Trial[DC],$B37)</f>
        <v>0</v>
      </c>
      <c r="M37" s="4">
        <f>-SUMIFS(Tab_000.Trial[SETEMBRO],Tab_000.Trial[DC],$B37)</f>
        <v>0</v>
      </c>
      <c r="N37" s="4">
        <f>-SUMIFS(Tab_000.Trial[OUTUBRO],Tab_000.Trial[DC],$B37)</f>
        <v>0</v>
      </c>
      <c r="O37" s="4">
        <f>-SUMIFS(Tab_000.Trial[NOVEMBRO],Tab_000.Trial[DC],$B37)</f>
        <v>0</v>
      </c>
      <c r="P37" s="4">
        <f>-SUMIFS(Tab_000.Trial[DEZEMBRO],Tab_000.Trial[DC],$B37)</f>
        <v>0</v>
      </c>
    </row>
    <row r="38" spans="2:16" x14ac:dyDescent="0.3">
      <c r="B38" s="3" t="s">
        <v>160</v>
      </c>
      <c r="C38" s="3" t="s">
        <v>159</v>
      </c>
      <c r="D38" s="7">
        <f t="shared" si="13"/>
        <v>0</v>
      </c>
      <c r="E38" s="4">
        <f>-SUMIFS(Tab_000.Trial[JANEIRO],Tab_000.Trial[DC],$B38)</f>
        <v>0</v>
      </c>
      <c r="F38" s="4">
        <f>-SUMIFS(Tab_000.Trial[FEVEREIRO],Tab_000.Trial[DC],$B38)</f>
        <v>0</v>
      </c>
      <c r="G38" s="4">
        <f>-SUMIFS(Tab_000.Trial[MARÇO],Tab_000.Trial[DC],$B38)</f>
        <v>0</v>
      </c>
      <c r="H38" s="4">
        <f>-SUMIFS(Tab_000.Trial[ABRIL],Tab_000.Trial[DC],$B38)</f>
        <v>0</v>
      </c>
      <c r="I38" s="4">
        <f>-SUMIFS(Tab_000.Trial[MAIO],Tab_000.Trial[DC],$B38)</f>
        <v>0</v>
      </c>
      <c r="J38" s="4">
        <f>-SUMIFS(Tab_000.Trial[JUNHO],Tab_000.Trial[DC],$B38)</f>
        <v>0</v>
      </c>
      <c r="K38" s="4">
        <f>-SUMIFS(Tab_000.Trial[JULHO],Tab_000.Trial[DC],$B38)</f>
        <v>0</v>
      </c>
      <c r="L38" s="4">
        <f>-SUMIFS(Tab_000.Trial[AGOSTO],Tab_000.Trial[DC],$B38)</f>
        <v>0</v>
      </c>
      <c r="M38" s="4">
        <f>-SUMIFS(Tab_000.Trial[SETEMBRO],Tab_000.Trial[DC],$B38)</f>
        <v>0</v>
      </c>
      <c r="N38" s="4">
        <f>-SUMIFS(Tab_000.Trial[OUTUBRO],Tab_000.Trial[DC],$B38)</f>
        <v>0</v>
      </c>
      <c r="O38" s="4">
        <f>-SUMIFS(Tab_000.Trial[NOVEMBRO],Tab_000.Trial[DC],$B38)</f>
        <v>0</v>
      </c>
      <c r="P38" s="4">
        <f>-SUMIFS(Tab_000.Trial[DEZEMBRO],Tab_000.Trial[DC],$B38)</f>
        <v>0</v>
      </c>
    </row>
    <row r="39" spans="2:16" ht="5.0999999999999996" customHeight="1" x14ac:dyDescent="0.3"/>
    <row r="40" spans="2:16" ht="14.4" thickBot="1" x14ac:dyDescent="0.35">
      <c r="C40" s="17" t="s">
        <v>98</v>
      </c>
      <c r="D40" s="18">
        <f>SUBTOTAL(9,D$5:D$39)-D$26</f>
        <v>1789341.58</v>
      </c>
      <c r="E40" s="18">
        <f t="shared" ref="E40:P40" si="14">SUBTOTAL(9,E$5:E$39)-E$26</f>
        <v>-111264.76</v>
      </c>
      <c r="F40" s="18">
        <f t="shared" si="14"/>
        <v>-496399.89</v>
      </c>
      <c r="G40" s="18">
        <f t="shared" si="14"/>
        <v>535315.87</v>
      </c>
      <c r="H40" s="18">
        <f t="shared" si="14"/>
        <v>2278.1999999999998</v>
      </c>
      <c r="I40" s="18">
        <f t="shared" si="14"/>
        <v>462505.89</v>
      </c>
      <c r="J40" s="18">
        <f t="shared" si="14"/>
        <v>351564</v>
      </c>
      <c r="K40" s="18">
        <f t="shared" si="14"/>
        <v>409079.95</v>
      </c>
      <c r="L40" s="18">
        <f t="shared" si="14"/>
        <v>336385.95</v>
      </c>
      <c r="M40" s="18">
        <f t="shared" si="14"/>
        <v>62628.06</v>
      </c>
      <c r="N40" s="18">
        <f t="shared" si="14"/>
        <v>226931.18</v>
      </c>
      <c r="O40" s="18">
        <f t="shared" si="14"/>
        <v>501358.93</v>
      </c>
      <c r="P40" s="18">
        <f t="shared" si="14"/>
        <v>-491041.8</v>
      </c>
    </row>
    <row r="41" spans="2:16" ht="14.4" thickTop="1" x14ac:dyDescent="0.3"/>
  </sheetData>
  <sheetProtection sheet="1" objects="1" scenarios="1" autoFilter="0"/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CD4CA-0B41-4F49-BB5A-04F8B6EE32A0}">
  <sheetPr codeName="Planilha4">
    <outlinePr summaryBelow="0" summaryRight="0"/>
  </sheetPr>
  <dimension ref="B2:AR162"/>
  <sheetViews>
    <sheetView showGridLines="0" zoomScaleNormal="100" workbookViewId="0">
      <pane xSplit="3" ySplit="4" topLeftCell="W64" activePane="bottomRight" state="frozen"/>
      <selection activeCell="D5" sqref="D5"/>
      <selection pane="topRight" activeCell="D5" sqref="D5"/>
      <selection pane="bottomLeft" activeCell="D5" sqref="D5"/>
      <selection pane="bottomRight" activeCell="AD162" sqref="AD162"/>
    </sheetView>
  </sheetViews>
  <sheetFormatPr defaultColWidth="8.88671875" defaultRowHeight="13.2" customHeight="1" outlineLevelRow="1" x14ac:dyDescent="0.3"/>
  <cols>
    <col min="1" max="1" width="2.6640625" style="1" customWidth="1"/>
    <col min="2" max="2" width="20.6640625" style="3" customWidth="1"/>
    <col min="3" max="3" width="50.6640625" style="1" customWidth="1"/>
    <col min="4" max="4" width="15.6640625" style="4" customWidth="1"/>
    <col min="5" max="5" width="8.6640625" style="78" customWidth="1"/>
    <col min="6" max="6" width="15.6640625" style="4" customWidth="1"/>
    <col min="7" max="7" width="8.6640625" style="78" customWidth="1"/>
    <col min="8" max="8" width="5.77734375" style="78" bestFit="1" customWidth="1"/>
    <col min="9" max="9" width="15.6640625" style="4" customWidth="1"/>
    <col min="10" max="11" width="8.6640625" style="78" customWidth="1"/>
    <col min="12" max="12" width="15.6640625" style="4" customWidth="1"/>
    <col min="13" max="14" width="8.6640625" style="78" customWidth="1"/>
    <col min="15" max="15" width="15.6640625" style="4" customWidth="1"/>
    <col min="16" max="17" width="8.6640625" style="78" customWidth="1"/>
    <col min="18" max="18" width="15.6640625" style="4" customWidth="1"/>
    <col min="19" max="20" width="8.6640625" style="78" customWidth="1"/>
    <col min="21" max="21" width="15.6640625" style="4" customWidth="1"/>
    <col min="22" max="23" width="8.6640625" style="78" customWidth="1"/>
    <col min="24" max="24" width="15.6640625" style="4" customWidth="1"/>
    <col min="25" max="26" width="8.6640625" style="78" customWidth="1"/>
    <col min="27" max="27" width="15.6640625" style="4" customWidth="1"/>
    <col min="28" max="29" width="8.6640625" style="78" customWidth="1"/>
    <col min="30" max="30" width="15.6640625" style="4" customWidth="1"/>
    <col min="31" max="32" width="8.6640625" style="78" customWidth="1"/>
    <col min="33" max="33" width="15.6640625" style="4" customWidth="1"/>
    <col min="34" max="35" width="8.6640625" style="78" customWidth="1"/>
    <col min="36" max="36" width="15.6640625" style="4" customWidth="1"/>
    <col min="37" max="38" width="8.6640625" style="78" customWidth="1"/>
    <col min="39" max="39" width="15.6640625" style="4" customWidth="1"/>
    <col min="40" max="41" width="8.6640625" style="22" customWidth="1"/>
    <col min="42" max="42" width="12.44140625" style="1" bestFit="1" customWidth="1"/>
    <col min="43" max="44" width="13.5546875" style="1" bestFit="1" customWidth="1"/>
    <col min="45" max="16384" width="8.88671875" style="1"/>
  </cols>
  <sheetData>
    <row r="2" spans="2:42" ht="13.8" x14ac:dyDescent="0.3">
      <c r="C2" s="17" t="s">
        <v>30</v>
      </c>
    </row>
    <row r="3" spans="2:42" ht="13.2" customHeight="1" x14ac:dyDescent="0.3">
      <c r="H3" s="78" t="s">
        <v>270</v>
      </c>
    </row>
    <row r="4" spans="2:42" ht="24.9" customHeight="1" x14ac:dyDescent="0.3">
      <c r="B4" s="10"/>
      <c r="D4" s="20" t="s">
        <v>36</v>
      </c>
      <c r="E4" s="84" t="s">
        <v>47</v>
      </c>
      <c r="F4" s="20" t="s">
        <v>3</v>
      </c>
      <c r="G4" s="84" t="s">
        <v>47</v>
      </c>
      <c r="H4" s="84" t="s">
        <v>48</v>
      </c>
      <c r="I4" s="20" t="s">
        <v>4</v>
      </c>
      <c r="J4" s="84" t="s">
        <v>47</v>
      </c>
      <c r="K4" s="84" t="s">
        <v>48</v>
      </c>
      <c r="L4" s="20" t="s">
        <v>5</v>
      </c>
      <c r="M4" s="84" t="s">
        <v>47</v>
      </c>
      <c r="N4" s="84" t="s">
        <v>48</v>
      </c>
      <c r="O4" s="20" t="s">
        <v>6</v>
      </c>
      <c r="P4" s="84" t="s">
        <v>47</v>
      </c>
      <c r="Q4" s="84" t="s">
        <v>48</v>
      </c>
      <c r="R4" s="20" t="s">
        <v>7</v>
      </c>
      <c r="S4" s="84" t="s">
        <v>47</v>
      </c>
      <c r="T4" s="84" t="s">
        <v>48</v>
      </c>
      <c r="U4" s="20" t="s">
        <v>8</v>
      </c>
      <c r="V4" s="84" t="s">
        <v>47</v>
      </c>
      <c r="W4" s="84" t="s">
        <v>48</v>
      </c>
      <c r="X4" s="20" t="s">
        <v>9</v>
      </c>
      <c r="Y4" s="84" t="s">
        <v>47</v>
      </c>
      <c r="Z4" s="84" t="s">
        <v>48</v>
      </c>
      <c r="AA4" s="20" t="s">
        <v>10</v>
      </c>
      <c r="AB4" s="84" t="s">
        <v>47</v>
      </c>
      <c r="AC4" s="84" t="s">
        <v>48</v>
      </c>
      <c r="AD4" s="20" t="s">
        <v>11</v>
      </c>
      <c r="AE4" s="84" t="s">
        <v>47</v>
      </c>
      <c r="AF4" s="84" t="s">
        <v>48</v>
      </c>
      <c r="AG4" s="20" t="s">
        <v>12</v>
      </c>
      <c r="AH4" s="84" t="s">
        <v>47</v>
      </c>
      <c r="AI4" s="84" t="s">
        <v>48</v>
      </c>
      <c r="AJ4" s="20" t="s">
        <v>13</v>
      </c>
      <c r="AK4" s="84" t="s">
        <v>47</v>
      </c>
      <c r="AL4" s="84" t="s">
        <v>48</v>
      </c>
      <c r="AM4" s="20" t="s">
        <v>14</v>
      </c>
      <c r="AN4" s="85" t="s">
        <v>47</v>
      </c>
      <c r="AO4" s="85" t="s">
        <v>48</v>
      </c>
    </row>
    <row r="5" spans="2:42" ht="20.100000000000001" customHeight="1" x14ac:dyDescent="0.3">
      <c r="C5" s="21" t="s">
        <v>15</v>
      </c>
    </row>
    <row r="6" spans="2:42" ht="15" customHeight="1" x14ac:dyDescent="0.3">
      <c r="C6" s="9" t="s">
        <v>31</v>
      </c>
      <c r="D6" s="7"/>
      <c r="E6" s="79"/>
      <c r="F6" s="7"/>
      <c r="G6" s="79"/>
      <c r="H6" s="79"/>
      <c r="I6" s="7"/>
      <c r="J6" s="79"/>
      <c r="K6" s="79"/>
      <c r="L6" s="7"/>
      <c r="M6" s="79"/>
      <c r="N6" s="79"/>
      <c r="O6" s="7"/>
      <c r="P6" s="79"/>
      <c r="Q6" s="79"/>
      <c r="R6" s="7"/>
      <c r="S6" s="79"/>
      <c r="T6" s="79"/>
      <c r="U6" s="7"/>
      <c r="V6" s="79"/>
      <c r="W6" s="79"/>
      <c r="X6" s="7"/>
      <c r="Y6" s="79"/>
      <c r="Z6" s="79"/>
      <c r="AA6" s="7"/>
      <c r="AB6" s="79"/>
      <c r="AC6" s="79"/>
      <c r="AD6" s="7"/>
      <c r="AE6" s="79"/>
      <c r="AF6" s="79"/>
      <c r="AG6" s="7"/>
      <c r="AH6" s="79"/>
      <c r="AI6" s="79"/>
      <c r="AJ6" s="7"/>
      <c r="AK6" s="79"/>
      <c r="AL6" s="79"/>
      <c r="AM6" s="7"/>
      <c r="AN6" s="82"/>
      <c r="AO6" s="82"/>
    </row>
    <row r="7" spans="2:42" ht="15" customHeight="1" collapsed="1" x14ac:dyDescent="0.3">
      <c r="B7" s="3" t="s">
        <v>38</v>
      </c>
      <c r="C7" s="14" t="s">
        <v>32</v>
      </c>
      <c r="D7" s="4">
        <f>SUBTOTAL(9,D$8:D$18)</f>
        <v>0</v>
      </c>
      <c r="E7" s="78">
        <f t="shared" ref="E7:E17" si="0">IFERROR($D7/$D$160,0)</f>
        <v>0</v>
      </c>
      <c r="F7" s="4">
        <f ca="1">SUBTOTAL(9,F$8:F$18)</f>
        <v>30834.63</v>
      </c>
      <c r="G7" s="78">
        <f t="shared" ref="G7:G17" ca="1" si="1">IFERROR($F7/$F$160,0)</f>
        <v>4.0000000000000002E-4</v>
      </c>
      <c r="H7" s="78">
        <f ca="1">IFERROR(($F7-$D7)/ABS($D7),0)</f>
        <v>0</v>
      </c>
      <c r="I7" s="4">
        <f ca="1">SUBTOTAL(9,I$8:I$18)</f>
        <v>35997.870000000003</v>
      </c>
      <c r="J7" s="78">
        <f t="shared" ref="J7:J17" ca="1" si="2">IFERROR($I7/$I$160,0)</f>
        <v>4.0000000000000002E-4</v>
      </c>
      <c r="K7" s="78">
        <f ca="1">IFERROR(($I7-$F7)/ABS($F7),0)</f>
        <v>0.16739999999999999</v>
      </c>
      <c r="L7" s="4">
        <f ca="1">SUBTOTAL(9,L$8:L$18)</f>
        <v>33041.07</v>
      </c>
      <c r="M7" s="78">
        <f t="shared" ref="M7:M17" ca="1" si="3">IFERROR($L7/$L$160,0)</f>
        <v>4.0000000000000002E-4</v>
      </c>
      <c r="N7" s="78">
        <f ca="1">IFERROR(($L7-$I7)/ABS($I7),0)</f>
        <v>-8.2100000000000006E-2</v>
      </c>
      <c r="O7" s="4">
        <f ca="1">SUBTOTAL(9,O$8:O$18)</f>
        <v>19594.89</v>
      </c>
      <c r="P7" s="78">
        <f t="shared" ref="P7:P17" ca="1" si="4">IFERROR($O7/$O$160,0)</f>
        <v>2.0000000000000001E-4</v>
      </c>
      <c r="Q7" s="78">
        <f ca="1">IFERROR(($O7-$L7)/ABS($L7),0)</f>
        <v>-0.40699999999999997</v>
      </c>
      <c r="R7" s="4">
        <f ca="1">SUBTOTAL(9,R$8:R$18)</f>
        <v>10967.81</v>
      </c>
      <c r="S7" s="78">
        <f t="shared" ref="S7:S17" ca="1" si="5">IFERROR($R7/$R$160,0)</f>
        <v>1E-4</v>
      </c>
      <c r="T7" s="78">
        <f ca="1">IFERROR(($R7-$O7)/ABS($O7),0)</f>
        <v>-0.44030000000000002</v>
      </c>
      <c r="U7" s="4">
        <f ca="1">SUBTOTAL(9,U$8:U$18)</f>
        <v>27861.35</v>
      </c>
      <c r="V7" s="78">
        <f t="shared" ref="V7:V17" ca="1" si="6">IFERROR($U7/$U$160,0)</f>
        <v>2.9999999999999997E-4</v>
      </c>
      <c r="W7" s="78">
        <f ca="1">IFERROR(($U7-$R7)/ABS($R7),0)</f>
        <v>1.5403</v>
      </c>
      <c r="X7" s="4">
        <f ca="1">SUBTOTAL(9,X$8:X$18)</f>
        <v>23750.959999999999</v>
      </c>
      <c r="Y7" s="78">
        <f t="shared" ref="Y7:Y17" ca="1" si="7">IFERROR($X7/$X$160,0)</f>
        <v>2.9999999999999997E-4</v>
      </c>
      <c r="Z7" s="78">
        <f ca="1">IFERROR(($X7-$U7)/ABS($U7),0)</f>
        <v>-0.14749999999999999</v>
      </c>
      <c r="AA7" s="4">
        <f ca="1">SUBTOTAL(9,AA$8:AA$18)</f>
        <v>40377.58</v>
      </c>
      <c r="AB7" s="78">
        <f t="shared" ref="AB7:AB17" ca="1" si="8">IFERROR($AA7/$AA$160,0)</f>
        <v>5.0000000000000001E-4</v>
      </c>
      <c r="AC7" s="78">
        <f ca="1">IFERROR(($AA7-$X7)/ABS($X7),0)</f>
        <v>0.7</v>
      </c>
      <c r="AD7" s="4">
        <f ca="1">SUBTOTAL(9,AD$8:AD$18)</f>
        <v>47961.4</v>
      </c>
      <c r="AE7" s="78">
        <f t="shared" ref="AE7:AE17" ca="1" si="9">IFERROR($AD7/$AD$160,0)</f>
        <v>5.9999999999999995E-4</v>
      </c>
      <c r="AF7" s="78">
        <f ca="1">IFERROR(($AD7-$AA7)/ABS($AA7),0)</f>
        <v>0.18779999999999999</v>
      </c>
      <c r="AG7" s="4">
        <f ca="1">SUBTOTAL(9,AG$8:AG$18)</f>
        <v>28835.22</v>
      </c>
      <c r="AH7" s="78">
        <f t="shared" ref="AH7:AH17" ca="1" si="10">IFERROR($AG7/$AG$160,0)</f>
        <v>2.9999999999999997E-4</v>
      </c>
      <c r="AI7" s="78">
        <f ca="1">IFERROR(($AG7-$AD7)/ABS($AD7),0)</f>
        <v>-0.39879999999999999</v>
      </c>
      <c r="AJ7" s="4">
        <f ca="1">SUBTOTAL(9,AJ$8:AJ$18)</f>
        <v>54710.67</v>
      </c>
      <c r="AK7" s="78">
        <f t="shared" ref="AK7:AK17" ca="1" si="11">IFERROR($AJ7/$AJ$160,0)</f>
        <v>5.9999999999999995E-4</v>
      </c>
      <c r="AL7" s="78">
        <f ca="1">IFERROR(($AJ7-$AG7)/ABS($AG7),0)</f>
        <v>0.89739999999999998</v>
      </c>
      <c r="AM7" s="4">
        <f ca="1">SUBTOTAL(9,AM$8:AM$18)</f>
        <v>179814.8</v>
      </c>
      <c r="AN7" s="78">
        <f t="shared" ref="AN7:AN17" ca="1" si="12">IFERROR(AM7/AM$160,0)</f>
        <v>2.0999999999999999E-3</v>
      </c>
      <c r="AO7" s="78">
        <f ca="1">IFERROR(($AM7-$AJ7)/ABS($AJ7),0)</f>
        <v>2.2866</v>
      </c>
    </row>
    <row r="8" spans="2:42" ht="15" hidden="1" customHeight="1" outlineLevel="1" x14ac:dyDescent="0.3">
      <c r="B8" s="14" t="s">
        <v>175</v>
      </c>
      <c r="C8" s="15" t="s">
        <v>273</v>
      </c>
      <c r="D8" s="4">
        <f>SUMIFS(Tab_99.Trial[DEZEMBRO],Tab_99.Trial[CONTA],$B8)</f>
        <v>0</v>
      </c>
      <c r="E8" s="78">
        <f t="shared" si="0"/>
        <v>0</v>
      </c>
      <c r="F8" s="4">
        <f ca="1">SUMIFS(INDIRECT("Tab_00.Trial["&amp;F$4&amp;"]"),Tab_00.Trial[CONTA],$B8)</f>
        <v>0</v>
      </c>
      <c r="G8" s="78">
        <f t="shared" ca="1" si="1"/>
        <v>0</v>
      </c>
      <c r="H8" s="78">
        <f t="shared" ref="H8:H17" ca="1" si="13">IFERROR(($F8-$D8)/ABS($D8),0)</f>
        <v>0</v>
      </c>
      <c r="I8" s="4">
        <f ca="1">SUMIFS(INDIRECT("Tab_00.Trial["&amp;I$4&amp;"]"),Tab_00.Trial[CONTA],$B8)</f>
        <v>0</v>
      </c>
      <c r="J8" s="78">
        <f t="shared" ca="1" si="2"/>
        <v>0</v>
      </c>
      <c r="K8" s="78">
        <f ca="1">IFERROR(($I8-$F8)/ABS($F8),0)</f>
        <v>0</v>
      </c>
      <c r="L8" s="4">
        <f ca="1">SUMIFS(INDIRECT("Tab_00.Trial["&amp;L$4&amp;"]"),Tab_00.Trial[CONTA],$B8)</f>
        <v>0</v>
      </c>
      <c r="M8" s="78">
        <f t="shared" ca="1" si="3"/>
        <v>0</v>
      </c>
      <c r="N8" s="78">
        <f ca="1">IFERROR(($L8-$I8)/ABS($I8),0)</f>
        <v>0</v>
      </c>
      <c r="O8" s="4">
        <f ca="1">SUMIFS(INDIRECT("Tab_00.Trial["&amp;O$4&amp;"]"),Tab_00.Trial[CONTA],$B8)</f>
        <v>0</v>
      </c>
      <c r="P8" s="78">
        <f t="shared" ca="1" si="4"/>
        <v>0</v>
      </c>
      <c r="Q8" s="78">
        <f ca="1">IFERROR(($O8-$L8)/ABS($L8),0)</f>
        <v>0</v>
      </c>
      <c r="R8" s="4">
        <f ca="1">SUMIFS(INDIRECT("Tab_00.Trial["&amp;R$4&amp;"]"),Tab_00.Trial[CONTA],$B8)</f>
        <v>0</v>
      </c>
      <c r="S8" s="78">
        <f t="shared" ca="1" si="5"/>
        <v>0</v>
      </c>
      <c r="T8" s="78">
        <f ca="1">IFERROR(($R8-$O8)/ABS($O8),0)</f>
        <v>0</v>
      </c>
      <c r="U8" s="4">
        <f ca="1">SUMIFS(INDIRECT("Tab_00.Trial["&amp;U$4&amp;"]"),Tab_00.Trial[CONTA],$B8)</f>
        <v>0</v>
      </c>
      <c r="V8" s="78">
        <f t="shared" ca="1" si="6"/>
        <v>0</v>
      </c>
      <c r="W8" s="78">
        <f ca="1">IFERROR(($U8-$R8)/ABS($R8),0)</f>
        <v>0</v>
      </c>
      <c r="X8" s="4">
        <f ca="1">SUMIFS(INDIRECT("Tab_00.Trial["&amp;X$4&amp;"]"),Tab_00.Trial[CONTA],$B8)</f>
        <v>0</v>
      </c>
      <c r="Y8" s="78">
        <f t="shared" ca="1" si="7"/>
        <v>0</v>
      </c>
      <c r="Z8" s="78">
        <f ca="1">IFERROR(($X8-$U8)/ABS($U8),0)</f>
        <v>0</v>
      </c>
      <c r="AA8" s="4">
        <f ca="1">SUMIFS(INDIRECT("Tab_00.Trial["&amp;AA$4&amp;"]"),Tab_00.Trial[CONTA],$B8)</f>
        <v>0</v>
      </c>
      <c r="AB8" s="78">
        <f t="shared" ca="1" si="8"/>
        <v>0</v>
      </c>
      <c r="AC8" s="78">
        <f ca="1">IFERROR(($AA8-$X8)/ABS($X8),0)</f>
        <v>0</v>
      </c>
      <c r="AD8" s="4">
        <f ca="1">SUMIFS(INDIRECT("Tab_00.Trial["&amp;AD$4&amp;"]"),Tab_00.Trial[CONTA],$B8)</f>
        <v>0</v>
      </c>
      <c r="AE8" s="78">
        <f t="shared" ca="1" si="9"/>
        <v>0</v>
      </c>
      <c r="AF8" s="78">
        <f ca="1">IFERROR(($AD8-$AA8)/ABS($AA8),0)</f>
        <v>0</v>
      </c>
      <c r="AG8" s="4">
        <f ca="1">SUMIFS(INDIRECT("Tab_00.Trial["&amp;AG$4&amp;"]"),Tab_00.Trial[CONTA],$B8)</f>
        <v>0</v>
      </c>
      <c r="AH8" s="78">
        <f t="shared" ca="1" si="10"/>
        <v>0</v>
      </c>
      <c r="AI8" s="78">
        <f ca="1">IFERROR(($AG8-$AD8)/ABS($AD8),0)</f>
        <v>0</v>
      </c>
      <c r="AJ8" s="4">
        <f ca="1">SUMIFS(INDIRECT("Tab_00.Trial["&amp;AJ$4&amp;"]"),Tab_00.Trial[CONTA],$B8)</f>
        <v>0</v>
      </c>
      <c r="AK8" s="78">
        <f t="shared" ca="1" si="11"/>
        <v>0</v>
      </c>
      <c r="AL8" s="78">
        <f ca="1">IFERROR(($AJ8-$AG8)/ABS($AG8),0)</f>
        <v>0</v>
      </c>
      <c r="AM8" s="4">
        <f ca="1">SUMIFS(INDIRECT("Tab_00.Trial["&amp;AM$4&amp;"]"),Tab_00.Trial[CONTA],$B8)</f>
        <v>0</v>
      </c>
      <c r="AN8" s="78">
        <f t="shared" ca="1" si="12"/>
        <v>0</v>
      </c>
      <c r="AO8" s="78">
        <f ca="1">IFERROR(($AM8-$AJ8)/ABS($AJ8),0)</f>
        <v>0</v>
      </c>
      <c r="AP8" s="1" t="s">
        <v>244</v>
      </c>
    </row>
    <row r="9" spans="2:42" ht="15" hidden="1" customHeight="1" outlineLevel="1" x14ac:dyDescent="0.3">
      <c r="B9" s="14" t="s">
        <v>176</v>
      </c>
      <c r="C9" s="15" t="s">
        <v>274</v>
      </c>
      <c r="D9" s="4">
        <f>SUMIFS(Tab_99.Trial[DEZEMBRO],Tab_99.Trial[CONTA],$B9)</f>
        <v>0</v>
      </c>
      <c r="E9" s="78">
        <f t="shared" si="0"/>
        <v>0</v>
      </c>
      <c r="F9" s="4">
        <f ca="1">SUMIFS(INDIRECT("Tab_00.Trial["&amp;F$4&amp;"]"),Tab_00.Trial[CONTA],$B9)</f>
        <v>3918.73</v>
      </c>
      <c r="G9" s="78">
        <f t="shared" ca="1" si="1"/>
        <v>0</v>
      </c>
      <c r="H9" s="78">
        <f t="shared" ca="1" si="13"/>
        <v>0</v>
      </c>
      <c r="I9" s="4">
        <f ca="1">SUMIFS(INDIRECT("Tab_00.Trial["&amp;I$4&amp;"]"),Tab_00.Trial[CONTA],$B9)</f>
        <v>3805.89</v>
      </c>
      <c r="J9" s="78">
        <f t="shared" ca="1" si="2"/>
        <v>0</v>
      </c>
      <c r="K9" s="78">
        <f t="shared" ref="K9:K17" ca="1" si="14">IFERROR(($I9-$F9)/ABS($F9),0)</f>
        <v>-2.8799999999999999E-2</v>
      </c>
      <c r="L9" s="4">
        <f ca="1">SUMIFS(INDIRECT("Tab_00.Trial["&amp;L$4&amp;"]"),Tab_00.Trial[CONTA],$B9)</f>
        <v>3411.67</v>
      </c>
      <c r="M9" s="78">
        <f t="shared" ca="1" si="3"/>
        <v>0</v>
      </c>
      <c r="N9" s="78">
        <f t="shared" ref="N9:N17" ca="1" si="15">IFERROR(($L9-$I9)/ABS($I9),0)</f>
        <v>-0.1036</v>
      </c>
      <c r="O9" s="4">
        <f ca="1">SUMIFS(INDIRECT("Tab_00.Trial["&amp;O$4&amp;"]"),Tab_00.Trial[CONTA],$B9)</f>
        <v>2993.41</v>
      </c>
      <c r="P9" s="78">
        <f t="shared" ca="1" si="4"/>
        <v>0</v>
      </c>
      <c r="Q9" s="78">
        <f t="shared" ref="Q9:Q17" ca="1" si="16">IFERROR(($O9-$L9)/ABS($L9),0)</f>
        <v>-0.1226</v>
      </c>
      <c r="R9" s="4">
        <f ca="1">SUMIFS(INDIRECT("Tab_00.Trial["&amp;R$4&amp;"]"),Tab_00.Trial[CONTA],$B9)</f>
        <v>2541.83</v>
      </c>
      <c r="S9" s="78">
        <f t="shared" ca="1" si="5"/>
        <v>0</v>
      </c>
      <c r="T9" s="78">
        <f t="shared" ref="T9:T17" ca="1" si="17">IFERROR(($R9-$O9)/ABS($O9),0)</f>
        <v>-0.15090000000000001</v>
      </c>
      <c r="U9" s="4">
        <f ca="1">SUMIFS(INDIRECT("Tab_00.Trial["&amp;U$4&amp;"]"),Tab_00.Trial[CONTA],$B9)</f>
        <v>2150.56</v>
      </c>
      <c r="V9" s="78">
        <f t="shared" ca="1" si="6"/>
        <v>0</v>
      </c>
      <c r="W9" s="78">
        <f t="shared" ref="W9:W17" ca="1" si="18">IFERROR(($U9-$R9)/ABS($R9),0)</f>
        <v>-0.15390000000000001</v>
      </c>
      <c r="X9" s="4">
        <f ca="1">SUMIFS(INDIRECT("Tab_00.Trial["&amp;X$4&amp;"]"),Tab_00.Trial[CONTA],$B9)</f>
        <v>1243.94</v>
      </c>
      <c r="Y9" s="78">
        <f t="shared" ca="1" si="7"/>
        <v>0</v>
      </c>
      <c r="Z9" s="78">
        <f t="shared" ref="Z9:Z17" ca="1" si="19">IFERROR(($X9-$U9)/ABS($U9),0)</f>
        <v>-0.42159999999999997</v>
      </c>
      <c r="AA9" s="4">
        <f ca="1">SUMIFS(INDIRECT("Tab_00.Trial["&amp;AA$4&amp;"]"),Tab_00.Trial[CONTA],$B9)</f>
        <v>1928.97</v>
      </c>
      <c r="AB9" s="78">
        <f t="shared" ca="1" si="8"/>
        <v>0</v>
      </c>
      <c r="AC9" s="78">
        <f t="shared" ref="AC9:AC17" ca="1" si="20">IFERROR(($AA9-$X9)/ABS($X9),0)</f>
        <v>0.55069999999999997</v>
      </c>
      <c r="AD9" s="4">
        <f ca="1">SUMIFS(INDIRECT("Tab_00.Trial["&amp;AD$4&amp;"]"),Tab_00.Trial[CONTA],$B9)</f>
        <v>1328.63</v>
      </c>
      <c r="AE9" s="78">
        <f t="shared" ca="1" si="9"/>
        <v>0</v>
      </c>
      <c r="AF9" s="78">
        <f t="shared" ref="AF9:AF17" ca="1" si="21">IFERROR(($AD9-$AA9)/ABS($AA9),0)</f>
        <v>-0.31119999999999998</v>
      </c>
      <c r="AG9" s="4">
        <f ca="1">SUMIFS(INDIRECT("Tab_00.Trial["&amp;AG$4&amp;"]"),Tab_00.Trial[CONTA],$B9)</f>
        <v>547.73</v>
      </c>
      <c r="AH9" s="78">
        <f t="shared" ca="1" si="10"/>
        <v>0</v>
      </c>
      <c r="AI9" s="78">
        <f t="shared" ref="AI9:AI17" ca="1" si="22">IFERROR(($AG9-$AD9)/ABS($AD9),0)</f>
        <v>-0.5877</v>
      </c>
      <c r="AJ9" s="4">
        <f ca="1">SUMIFS(INDIRECT("Tab_00.Trial["&amp;AJ$4&amp;"]"),Tab_00.Trial[CONTA],$B9)</f>
        <v>474.45</v>
      </c>
      <c r="AK9" s="78">
        <f t="shared" ca="1" si="11"/>
        <v>0</v>
      </c>
      <c r="AL9" s="78">
        <f t="shared" ref="AL9:AL17" ca="1" si="23">IFERROR(($AJ9-$AG9)/ABS($AG9),0)</f>
        <v>-0.1338</v>
      </c>
      <c r="AM9" s="4">
        <f ca="1">SUMIFS(INDIRECT("Tab_00.Trial["&amp;AM$4&amp;"]"),Tab_00.Trial[CONTA],$B9)</f>
        <v>1428.62</v>
      </c>
      <c r="AN9" s="78">
        <f t="shared" ca="1" si="12"/>
        <v>0</v>
      </c>
      <c r="AO9" s="78">
        <f t="shared" ref="AO9:AO17" ca="1" si="24">IFERROR(($AM9-$AJ9)/ABS($AJ9),0)</f>
        <v>2.0110999999999999</v>
      </c>
      <c r="AP9" s="1" t="s">
        <v>244</v>
      </c>
    </row>
    <row r="10" spans="2:42" ht="15" hidden="1" customHeight="1" outlineLevel="1" x14ac:dyDescent="0.3">
      <c r="B10" s="14" t="s">
        <v>275</v>
      </c>
      <c r="C10" s="15" t="s">
        <v>276</v>
      </c>
      <c r="D10" s="4">
        <f>SUMIFS(Tab_99.Trial[DEZEMBRO],Tab_99.Trial[CONTA],$B10)</f>
        <v>0</v>
      </c>
      <c r="E10" s="78">
        <f t="shared" si="0"/>
        <v>0</v>
      </c>
      <c r="F10" s="4">
        <f ca="1">SUMIFS(INDIRECT("Tab_00.Trial["&amp;F$4&amp;"]"),Tab_00.Trial[CONTA],$B10)</f>
        <v>0</v>
      </c>
      <c r="G10" s="78">
        <f t="shared" ca="1" si="1"/>
        <v>0</v>
      </c>
      <c r="H10" s="78">
        <f t="shared" ca="1" si="13"/>
        <v>0</v>
      </c>
      <c r="I10" s="4">
        <f ca="1">SUMIFS(INDIRECT("Tab_00.Trial["&amp;I$4&amp;"]"),Tab_00.Trial[CONTA],$B10)</f>
        <v>0</v>
      </c>
      <c r="J10" s="78">
        <f t="shared" ca="1" si="2"/>
        <v>0</v>
      </c>
      <c r="K10" s="78">
        <f t="shared" ca="1" si="14"/>
        <v>0</v>
      </c>
      <c r="L10" s="4">
        <f ca="1">SUMIFS(INDIRECT("Tab_00.Trial["&amp;L$4&amp;"]"),Tab_00.Trial[CONTA],$B10)</f>
        <v>0</v>
      </c>
      <c r="M10" s="78">
        <f t="shared" ca="1" si="3"/>
        <v>0</v>
      </c>
      <c r="N10" s="78">
        <f t="shared" ca="1" si="15"/>
        <v>0</v>
      </c>
      <c r="O10" s="4">
        <f ca="1">SUMIFS(INDIRECT("Tab_00.Trial["&amp;O$4&amp;"]"),Tab_00.Trial[CONTA],$B10)</f>
        <v>0</v>
      </c>
      <c r="P10" s="78">
        <f t="shared" ca="1" si="4"/>
        <v>0</v>
      </c>
      <c r="Q10" s="78">
        <f t="shared" ca="1" si="16"/>
        <v>0</v>
      </c>
      <c r="R10" s="4">
        <f ca="1">SUMIFS(INDIRECT("Tab_00.Trial["&amp;R$4&amp;"]"),Tab_00.Trial[CONTA],$B10)</f>
        <v>0</v>
      </c>
      <c r="S10" s="78">
        <f t="shared" ca="1" si="5"/>
        <v>0</v>
      </c>
      <c r="T10" s="78">
        <f t="shared" ca="1" si="17"/>
        <v>0</v>
      </c>
      <c r="U10" s="4">
        <f ca="1">SUMIFS(INDIRECT("Tab_00.Trial["&amp;U$4&amp;"]"),Tab_00.Trial[CONTA],$B10)</f>
        <v>0</v>
      </c>
      <c r="V10" s="78">
        <f t="shared" ca="1" si="6"/>
        <v>0</v>
      </c>
      <c r="W10" s="78">
        <f t="shared" ca="1" si="18"/>
        <v>0</v>
      </c>
      <c r="X10" s="4">
        <f ca="1">SUMIFS(INDIRECT("Tab_00.Trial["&amp;X$4&amp;"]"),Tab_00.Trial[CONTA],$B10)</f>
        <v>0</v>
      </c>
      <c r="Y10" s="78">
        <f t="shared" ca="1" si="7"/>
        <v>0</v>
      </c>
      <c r="Z10" s="78">
        <f t="shared" ca="1" si="19"/>
        <v>0</v>
      </c>
      <c r="AA10" s="4">
        <f ca="1">SUMIFS(INDIRECT("Tab_00.Trial["&amp;AA$4&amp;"]"),Tab_00.Trial[CONTA],$B10)</f>
        <v>0</v>
      </c>
      <c r="AB10" s="78">
        <f t="shared" ca="1" si="8"/>
        <v>0</v>
      </c>
      <c r="AC10" s="78">
        <f t="shared" ca="1" si="20"/>
        <v>0</v>
      </c>
      <c r="AD10" s="4">
        <f ca="1">SUMIFS(INDIRECT("Tab_00.Trial["&amp;AD$4&amp;"]"),Tab_00.Trial[CONTA],$B10)</f>
        <v>0</v>
      </c>
      <c r="AE10" s="78">
        <f t="shared" ca="1" si="9"/>
        <v>0</v>
      </c>
      <c r="AF10" s="78">
        <f t="shared" ca="1" si="21"/>
        <v>0</v>
      </c>
      <c r="AG10" s="4">
        <f ca="1">SUMIFS(INDIRECT("Tab_00.Trial["&amp;AG$4&amp;"]"),Tab_00.Trial[CONTA],$B10)</f>
        <v>0</v>
      </c>
      <c r="AH10" s="78">
        <f t="shared" ca="1" si="10"/>
        <v>0</v>
      </c>
      <c r="AI10" s="78">
        <f t="shared" ca="1" si="22"/>
        <v>0</v>
      </c>
      <c r="AJ10" s="4">
        <f ca="1">SUMIFS(INDIRECT("Tab_00.Trial["&amp;AJ$4&amp;"]"),Tab_00.Trial[CONTA],$B10)</f>
        <v>0</v>
      </c>
      <c r="AK10" s="78">
        <f t="shared" ca="1" si="11"/>
        <v>0</v>
      </c>
      <c r="AL10" s="78">
        <f t="shared" ca="1" si="23"/>
        <v>0</v>
      </c>
      <c r="AM10" s="4">
        <f ca="1">SUMIFS(INDIRECT("Tab_00.Trial["&amp;AM$4&amp;"]"),Tab_00.Trial[CONTA],$B10)</f>
        <v>0</v>
      </c>
      <c r="AN10" s="78">
        <f t="shared" ca="1" si="12"/>
        <v>0</v>
      </c>
      <c r="AO10" s="78">
        <f t="shared" ca="1" si="24"/>
        <v>0</v>
      </c>
    </row>
    <row r="11" spans="2:42" ht="15" hidden="1" customHeight="1" outlineLevel="1" x14ac:dyDescent="0.3">
      <c r="B11" s="14" t="s">
        <v>277</v>
      </c>
      <c r="C11" s="15" t="s">
        <v>278</v>
      </c>
      <c r="D11" s="4">
        <f>SUMIFS(Tab_99.Trial[DEZEMBRO],Tab_99.Trial[CONTA],$B11)</f>
        <v>0</v>
      </c>
      <c r="E11" s="78">
        <f t="shared" si="0"/>
        <v>0</v>
      </c>
      <c r="F11" s="4">
        <f ca="1">SUMIFS(INDIRECT("Tab_00.Trial["&amp;F$4&amp;"]"),Tab_00.Trial[CONTA],$B11)</f>
        <v>1</v>
      </c>
      <c r="G11" s="78">
        <f t="shared" ca="1" si="1"/>
        <v>0</v>
      </c>
      <c r="H11" s="78">
        <f t="shared" ca="1" si="13"/>
        <v>0</v>
      </c>
      <c r="I11" s="4">
        <f ca="1">SUMIFS(INDIRECT("Tab_00.Trial["&amp;I$4&amp;"]"),Tab_00.Trial[CONTA],$B11)</f>
        <v>1</v>
      </c>
      <c r="J11" s="78">
        <f t="shared" ca="1" si="2"/>
        <v>0</v>
      </c>
      <c r="K11" s="78">
        <f t="shared" ca="1" si="14"/>
        <v>0</v>
      </c>
      <c r="L11" s="4">
        <f ca="1">SUMIFS(INDIRECT("Tab_00.Trial["&amp;L$4&amp;"]"),Tab_00.Trial[CONTA],$B11)</f>
        <v>0.99</v>
      </c>
      <c r="M11" s="78">
        <f t="shared" ca="1" si="3"/>
        <v>0</v>
      </c>
      <c r="N11" s="78">
        <f t="shared" ca="1" si="15"/>
        <v>-0.01</v>
      </c>
      <c r="O11" s="4">
        <f ca="1">SUMIFS(INDIRECT("Tab_00.Trial["&amp;O$4&amp;"]"),Tab_00.Trial[CONTA],$B11)</f>
        <v>1</v>
      </c>
      <c r="P11" s="78">
        <f t="shared" ca="1" si="4"/>
        <v>0</v>
      </c>
      <c r="Q11" s="78">
        <f t="shared" ca="1" si="16"/>
        <v>1.01E-2</v>
      </c>
      <c r="R11" s="4">
        <f ca="1">SUMIFS(INDIRECT("Tab_00.Trial["&amp;R$4&amp;"]"),Tab_00.Trial[CONTA],$B11)</f>
        <v>1</v>
      </c>
      <c r="S11" s="78">
        <f t="shared" ca="1" si="5"/>
        <v>0</v>
      </c>
      <c r="T11" s="78">
        <f t="shared" ca="1" si="17"/>
        <v>0</v>
      </c>
      <c r="U11" s="4">
        <f ca="1">SUMIFS(INDIRECT("Tab_00.Trial["&amp;U$4&amp;"]"),Tab_00.Trial[CONTA],$B11)</f>
        <v>1.01</v>
      </c>
      <c r="V11" s="78">
        <f t="shared" ca="1" si="6"/>
        <v>0</v>
      </c>
      <c r="W11" s="78">
        <f t="shared" ca="1" si="18"/>
        <v>0.01</v>
      </c>
      <c r="X11" s="4">
        <f ca="1">SUMIFS(INDIRECT("Tab_00.Trial["&amp;X$4&amp;"]"),Tab_00.Trial[CONTA],$B11)</f>
        <v>1.01</v>
      </c>
      <c r="Y11" s="78">
        <f t="shared" ca="1" si="7"/>
        <v>0</v>
      </c>
      <c r="Z11" s="78">
        <f t="shared" ca="1" si="19"/>
        <v>0</v>
      </c>
      <c r="AA11" s="4">
        <f ca="1">SUMIFS(INDIRECT("Tab_00.Trial["&amp;AA$4&amp;"]"),Tab_00.Trial[CONTA],$B11)</f>
        <v>1.02</v>
      </c>
      <c r="AB11" s="78">
        <f t="shared" ca="1" si="8"/>
        <v>0</v>
      </c>
      <c r="AC11" s="78">
        <f t="shared" ca="1" si="20"/>
        <v>9.9000000000000008E-3</v>
      </c>
      <c r="AD11" s="4">
        <f ca="1">SUMIFS(INDIRECT("Tab_00.Trial["&amp;AD$4&amp;"]"),Tab_00.Trial[CONTA],$B11)</f>
        <v>1.02</v>
      </c>
      <c r="AE11" s="78">
        <f t="shared" ca="1" si="9"/>
        <v>0</v>
      </c>
      <c r="AF11" s="78">
        <f t="shared" ca="1" si="21"/>
        <v>0</v>
      </c>
      <c r="AG11" s="4">
        <f ca="1">SUMIFS(INDIRECT("Tab_00.Trial["&amp;AG$4&amp;"]"),Tab_00.Trial[CONTA],$B11)</f>
        <v>1.02</v>
      </c>
      <c r="AH11" s="78">
        <f t="shared" ca="1" si="10"/>
        <v>0</v>
      </c>
      <c r="AI11" s="78">
        <f t="shared" ca="1" si="22"/>
        <v>0</v>
      </c>
      <c r="AJ11" s="4">
        <f ca="1">SUMIFS(INDIRECT("Tab_00.Trial["&amp;AJ$4&amp;"]"),Tab_00.Trial[CONTA],$B11)</f>
        <v>1.02</v>
      </c>
      <c r="AK11" s="78">
        <f t="shared" ca="1" si="11"/>
        <v>0</v>
      </c>
      <c r="AL11" s="78">
        <f t="shared" ca="1" si="23"/>
        <v>0</v>
      </c>
      <c r="AM11" s="4">
        <f ca="1">SUMIFS(INDIRECT("Tab_00.Trial["&amp;AM$4&amp;"]"),Tab_00.Trial[CONTA],$B11)</f>
        <v>163718.88</v>
      </c>
      <c r="AN11" s="78">
        <f t="shared" ca="1" si="12"/>
        <v>1.9E-3</v>
      </c>
      <c r="AO11" s="78">
        <f t="shared" ca="1" si="24"/>
        <v>160507.7059</v>
      </c>
    </row>
    <row r="12" spans="2:42" ht="15" hidden="1" customHeight="1" outlineLevel="1" x14ac:dyDescent="0.3">
      <c r="B12" s="14" t="s">
        <v>177</v>
      </c>
      <c r="C12" s="15" t="s">
        <v>279</v>
      </c>
      <c r="D12" s="4">
        <f>SUMIFS(Tab_99.Trial[DEZEMBRO],Tab_99.Trial[CONTA],$B12)</f>
        <v>0</v>
      </c>
      <c r="E12" s="78">
        <f t="shared" si="0"/>
        <v>0</v>
      </c>
      <c r="F12" s="4">
        <f ca="1">SUMIFS(INDIRECT("Tab_00.Trial["&amp;F$4&amp;"]"),Tab_00.Trial[CONTA],$B12)</f>
        <v>17189.240000000002</v>
      </c>
      <c r="G12" s="78">
        <f t="shared" ca="1" si="1"/>
        <v>2.0000000000000001E-4</v>
      </c>
      <c r="H12" s="78">
        <f t="shared" ca="1" si="13"/>
        <v>0</v>
      </c>
      <c r="I12" s="4">
        <f ca="1">SUMIFS(INDIRECT("Tab_00.Trial["&amp;I$4&amp;"]"),Tab_00.Trial[CONTA],$B12)</f>
        <v>22873.22</v>
      </c>
      <c r="J12" s="78">
        <f t="shared" ca="1" si="2"/>
        <v>2.9999999999999997E-4</v>
      </c>
      <c r="K12" s="78">
        <f t="shared" ca="1" si="14"/>
        <v>0.33069999999999999</v>
      </c>
      <c r="L12" s="4">
        <f ca="1">SUMIFS(INDIRECT("Tab_00.Trial["&amp;L$4&amp;"]"),Tab_00.Trial[CONTA],$B12)</f>
        <v>20718.55</v>
      </c>
      <c r="M12" s="78">
        <f t="shared" ca="1" si="3"/>
        <v>2.0000000000000001E-4</v>
      </c>
      <c r="N12" s="78">
        <f t="shared" ca="1" si="15"/>
        <v>-9.4200000000000006E-2</v>
      </c>
      <c r="O12" s="4">
        <f ca="1">SUMIFS(INDIRECT("Tab_00.Trial["&amp;O$4&amp;"]"),Tab_00.Trial[CONTA],$B12)</f>
        <v>8590.7000000000007</v>
      </c>
      <c r="P12" s="78">
        <f t="shared" ca="1" si="4"/>
        <v>1E-4</v>
      </c>
      <c r="Q12" s="78">
        <f t="shared" ca="1" si="16"/>
        <v>-0.58540000000000003</v>
      </c>
      <c r="R12" s="4">
        <f ca="1">SUMIFS(INDIRECT("Tab_00.Trial["&amp;R$4&amp;"]"),Tab_00.Trial[CONTA],$B12)</f>
        <v>681.2</v>
      </c>
      <c r="S12" s="78">
        <f t="shared" ca="1" si="5"/>
        <v>0</v>
      </c>
      <c r="T12" s="78">
        <f t="shared" ca="1" si="17"/>
        <v>-0.92069999999999996</v>
      </c>
      <c r="U12" s="4">
        <f ca="1">SUMIFS(INDIRECT("Tab_00.Trial["&amp;U$4&amp;"]"),Tab_00.Trial[CONTA],$B12)</f>
        <v>18232</v>
      </c>
      <c r="V12" s="78">
        <f t="shared" ca="1" si="6"/>
        <v>2.0000000000000001E-4</v>
      </c>
      <c r="W12" s="78">
        <f t="shared" ca="1" si="18"/>
        <v>25.764500000000002</v>
      </c>
      <c r="X12" s="4">
        <f ca="1">SUMIFS(INDIRECT("Tab_00.Trial["&amp;X$4&amp;"]"),Tab_00.Trial[CONTA],$B12)</f>
        <v>18084.73</v>
      </c>
      <c r="Y12" s="78">
        <f t="shared" ca="1" si="7"/>
        <v>2.0000000000000001E-4</v>
      </c>
      <c r="Z12" s="78">
        <f t="shared" ca="1" si="19"/>
        <v>-8.0999999999999996E-3</v>
      </c>
      <c r="AA12" s="4">
        <f ca="1">SUMIFS(INDIRECT("Tab_00.Trial["&amp;AA$4&amp;"]"),Tab_00.Trial[CONTA],$B12)</f>
        <v>34147.730000000003</v>
      </c>
      <c r="AB12" s="78">
        <f t="shared" ca="1" si="8"/>
        <v>4.0000000000000002E-4</v>
      </c>
      <c r="AC12" s="78">
        <f t="shared" ca="1" si="20"/>
        <v>0.88819999999999999</v>
      </c>
      <c r="AD12" s="4">
        <f ca="1">SUMIFS(INDIRECT("Tab_00.Trial["&amp;AD$4&amp;"]"),Tab_00.Trial[CONTA],$B12)</f>
        <v>37452.89</v>
      </c>
      <c r="AE12" s="78">
        <f t="shared" ca="1" si="9"/>
        <v>4.0000000000000002E-4</v>
      </c>
      <c r="AF12" s="78">
        <f t="shared" ca="1" si="21"/>
        <v>9.6799999999999997E-2</v>
      </c>
      <c r="AG12" s="4">
        <f ca="1">SUMIFS(INDIRECT("Tab_00.Trial["&amp;AG$4&amp;"]"),Tab_00.Trial[CONTA],$B12)</f>
        <v>17101.68</v>
      </c>
      <c r="AH12" s="78">
        <f t="shared" ca="1" si="10"/>
        <v>2.0000000000000001E-4</v>
      </c>
      <c r="AI12" s="78">
        <f t="shared" ca="1" si="22"/>
        <v>-0.54339999999999999</v>
      </c>
      <c r="AJ12" s="4">
        <f ca="1">SUMIFS(INDIRECT("Tab_00.Trial["&amp;AJ$4&amp;"]"),Tab_00.Trial[CONTA],$B12)</f>
        <v>41613.589999999997</v>
      </c>
      <c r="AK12" s="78">
        <f t="shared" ca="1" si="11"/>
        <v>5.0000000000000001E-4</v>
      </c>
      <c r="AL12" s="78">
        <f t="shared" ca="1" si="23"/>
        <v>1.4333</v>
      </c>
      <c r="AM12" s="4">
        <f ca="1">SUMIFS(INDIRECT("Tab_00.Trial["&amp;AM$4&amp;"]"),Tab_00.Trial[CONTA],$B12)</f>
        <v>2746.84</v>
      </c>
      <c r="AN12" s="78">
        <f t="shared" ca="1" si="12"/>
        <v>0</v>
      </c>
      <c r="AO12" s="78">
        <f t="shared" ca="1" si="24"/>
        <v>-0.93400000000000005</v>
      </c>
    </row>
    <row r="13" spans="2:42" ht="15" hidden="1" customHeight="1" outlineLevel="1" x14ac:dyDescent="0.3">
      <c r="B13" s="14" t="s">
        <v>280</v>
      </c>
      <c r="C13" s="15" t="s">
        <v>281</v>
      </c>
      <c r="D13" s="4">
        <f>SUMIFS(Tab_99.Trial[DEZEMBRO],Tab_99.Trial[CONTA],$B13)</f>
        <v>0</v>
      </c>
      <c r="E13" s="78">
        <f t="shared" si="0"/>
        <v>0</v>
      </c>
      <c r="F13" s="4">
        <f ca="1">SUMIFS(INDIRECT("Tab_00.Trial["&amp;F$4&amp;"]"),Tab_00.Trial[CONTA],$B13)</f>
        <v>4246.91</v>
      </c>
      <c r="G13" s="78">
        <f t="shared" ca="1" si="1"/>
        <v>1E-4</v>
      </c>
      <c r="H13" s="78">
        <f t="shared" ca="1" si="13"/>
        <v>0</v>
      </c>
      <c r="I13" s="4">
        <f ca="1">SUMIFS(INDIRECT("Tab_00.Trial["&amp;I$4&amp;"]"),Tab_00.Trial[CONTA],$B13)</f>
        <v>4246.91</v>
      </c>
      <c r="J13" s="78">
        <f t="shared" ca="1" si="2"/>
        <v>1E-4</v>
      </c>
      <c r="K13" s="78">
        <f t="shared" ca="1" si="14"/>
        <v>0</v>
      </c>
      <c r="L13" s="4">
        <f ca="1">SUMIFS(INDIRECT("Tab_00.Trial["&amp;L$4&amp;"]"),Tab_00.Trial[CONTA],$B13)</f>
        <v>4246.91</v>
      </c>
      <c r="M13" s="78">
        <f t="shared" ca="1" si="3"/>
        <v>1E-4</v>
      </c>
      <c r="N13" s="78">
        <f t="shared" ca="1" si="15"/>
        <v>0</v>
      </c>
      <c r="O13" s="4">
        <f ca="1">SUMIFS(INDIRECT("Tab_00.Trial["&amp;O$4&amp;"]"),Tab_00.Trial[CONTA],$B13)</f>
        <v>8009.78</v>
      </c>
      <c r="P13" s="78">
        <f t="shared" ca="1" si="4"/>
        <v>1E-4</v>
      </c>
      <c r="Q13" s="78">
        <f t="shared" ca="1" si="16"/>
        <v>0.88600000000000001</v>
      </c>
      <c r="R13" s="4">
        <f ca="1">SUMIFS(INDIRECT("Tab_00.Trial["&amp;R$4&amp;"]"),Tab_00.Trial[CONTA],$B13)</f>
        <v>7743.78</v>
      </c>
      <c r="S13" s="78">
        <f t="shared" ca="1" si="5"/>
        <v>1E-4</v>
      </c>
      <c r="T13" s="78">
        <f t="shared" ca="1" si="17"/>
        <v>-3.32E-2</v>
      </c>
      <c r="U13" s="4">
        <f ca="1">SUMIFS(INDIRECT("Tab_00.Trial["&amp;U$4&amp;"]"),Tab_00.Trial[CONTA],$B13)</f>
        <v>7477.78</v>
      </c>
      <c r="V13" s="78">
        <f t="shared" ca="1" si="6"/>
        <v>1E-4</v>
      </c>
      <c r="W13" s="78">
        <f t="shared" ca="1" si="18"/>
        <v>-3.44E-2</v>
      </c>
      <c r="X13" s="4">
        <f ca="1">SUMIFS(INDIRECT("Tab_00.Trial["&amp;X$4&amp;"]"),Tab_00.Trial[CONTA],$B13)</f>
        <v>4421.28</v>
      </c>
      <c r="Y13" s="78">
        <f t="shared" ca="1" si="7"/>
        <v>1E-4</v>
      </c>
      <c r="Z13" s="78">
        <f t="shared" ca="1" si="19"/>
        <v>-0.40870000000000001</v>
      </c>
      <c r="AA13" s="4">
        <f ca="1">SUMIFS(INDIRECT("Tab_00.Trial["&amp;AA$4&amp;"]"),Tab_00.Trial[CONTA],$B13)</f>
        <v>4299.8599999999997</v>
      </c>
      <c r="AB13" s="78">
        <f t="shared" ca="1" si="8"/>
        <v>1E-4</v>
      </c>
      <c r="AC13" s="78">
        <f t="shared" ca="1" si="20"/>
        <v>-2.75E-2</v>
      </c>
      <c r="AD13" s="4">
        <f ca="1">SUMIFS(INDIRECT("Tab_00.Trial["&amp;AD$4&amp;"]"),Tab_00.Trial[CONTA],$B13)</f>
        <v>9178.86</v>
      </c>
      <c r="AE13" s="78">
        <f t="shared" ca="1" si="9"/>
        <v>1E-4</v>
      </c>
      <c r="AF13" s="78">
        <f t="shared" ca="1" si="21"/>
        <v>1.1347</v>
      </c>
      <c r="AG13" s="4">
        <f ca="1">SUMIFS(INDIRECT("Tab_00.Trial["&amp;AG$4&amp;"]"),Tab_00.Trial[CONTA],$B13)</f>
        <v>11184.79</v>
      </c>
      <c r="AH13" s="78">
        <f t="shared" ca="1" si="10"/>
        <v>1E-4</v>
      </c>
      <c r="AI13" s="78">
        <f t="shared" ca="1" si="22"/>
        <v>0.2185</v>
      </c>
      <c r="AJ13" s="4">
        <f ca="1">SUMIFS(INDIRECT("Tab_00.Trial["&amp;AJ$4&amp;"]"),Tab_00.Trial[CONTA],$B13)</f>
        <v>12621.61</v>
      </c>
      <c r="AK13" s="78">
        <f t="shared" ca="1" si="11"/>
        <v>1E-4</v>
      </c>
      <c r="AL13" s="78">
        <f t="shared" ca="1" si="23"/>
        <v>0.1285</v>
      </c>
      <c r="AM13" s="4">
        <f ca="1">SUMIFS(INDIRECT("Tab_00.Trial["&amp;AM$4&amp;"]"),Tab_00.Trial[CONTA],$B13)</f>
        <v>11920.46</v>
      </c>
      <c r="AN13" s="78">
        <f t="shared" ca="1" si="12"/>
        <v>1E-4</v>
      </c>
      <c r="AO13" s="78">
        <f t="shared" ca="1" si="24"/>
        <v>-5.5599999999999997E-2</v>
      </c>
    </row>
    <row r="14" spans="2:42" ht="15" hidden="1" customHeight="1" outlineLevel="1" x14ac:dyDescent="0.3">
      <c r="B14" s="14" t="s">
        <v>282</v>
      </c>
      <c r="C14" s="15" t="s">
        <v>283</v>
      </c>
      <c r="D14" s="4">
        <f>SUMIFS(Tab_99.Trial[DEZEMBRO],Tab_99.Trial[CONTA],$B14)</f>
        <v>0</v>
      </c>
      <c r="E14" s="78">
        <f t="shared" si="0"/>
        <v>0</v>
      </c>
      <c r="F14" s="4">
        <f ca="1">SUMIFS(INDIRECT("Tab_00.Trial["&amp;F$4&amp;"]"),Tab_00.Trial[CONTA],$B14)</f>
        <v>5478.75</v>
      </c>
      <c r="G14" s="78">
        <f t="shared" ca="1" si="1"/>
        <v>1E-4</v>
      </c>
      <c r="H14" s="78">
        <f t="shared" ca="1" si="13"/>
        <v>0</v>
      </c>
      <c r="I14" s="4">
        <f ca="1">SUMIFS(INDIRECT("Tab_00.Trial["&amp;I$4&amp;"]"),Tab_00.Trial[CONTA],$B14)</f>
        <v>5070.8500000000004</v>
      </c>
      <c r="J14" s="78">
        <f t="shared" ca="1" si="2"/>
        <v>1E-4</v>
      </c>
      <c r="K14" s="78">
        <f t="shared" ca="1" si="14"/>
        <v>-7.4499999999999997E-2</v>
      </c>
      <c r="L14" s="4">
        <f ca="1">SUMIFS(INDIRECT("Tab_00.Trial["&amp;L$4&amp;"]"),Tab_00.Trial[CONTA],$B14)</f>
        <v>4662.95</v>
      </c>
      <c r="M14" s="78">
        <f t="shared" ca="1" si="3"/>
        <v>1E-4</v>
      </c>
      <c r="N14" s="78">
        <f t="shared" ca="1" si="15"/>
        <v>-8.0399999999999999E-2</v>
      </c>
      <c r="O14" s="4">
        <f ca="1">SUMIFS(INDIRECT("Tab_00.Trial["&amp;O$4&amp;"]"),Tab_00.Trial[CONTA],$B14)</f>
        <v>0</v>
      </c>
      <c r="P14" s="78">
        <f t="shared" ca="1" si="4"/>
        <v>0</v>
      </c>
      <c r="Q14" s="78">
        <f t="shared" ca="1" si="16"/>
        <v>-1</v>
      </c>
      <c r="R14" s="4">
        <f ca="1">SUMIFS(INDIRECT("Tab_00.Trial["&amp;R$4&amp;"]"),Tab_00.Trial[CONTA],$B14)</f>
        <v>0</v>
      </c>
      <c r="S14" s="78">
        <f t="shared" ca="1" si="5"/>
        <v>0</v>
      </c>
      <c r="T14" s="78">
        <f t="shared" ca="1" si="17"/>
        <v>0</v>
      </c>
      <c r="U14" s="4">
        <f ca="1">SUMIFS(INDIRECT("Tab_00.Trial["&amp;U$4&amp;"]"),Tab_00.Trial[CONTA],$B14)</f>
        <v>0</v>
      </c>
      <c r="V14" s="78">
        <f t="shared" ca="1" si="6"/>
        <v>0</v>
      </c>
      <c r="W14" s="78">
        <f t="shared" ca="1" si="18"/>
        <v>0</v>
      </c>
      <c r="X14" s="4">
        <f ca="1">SUMIFS(INDIRECT("Tab_00.Trial["&amp;X$4&amp;"]"),Tab_00.Trial[CONTA],$B14)</f>
        <v>0</v>
      </c>
      <c r="Y14" s="78">
        <f t="shared" ca="1" si="7"/>
        <v>0</v>
      </c>
      <c r="Z14" s="78">
        <f t="shared" ca="1" si="19"/>
        <v>0</v>
      </c>
      <c r="AA14" s="4">
        <f ca="1">SUMIFS(INDIRECT("Tab_00.Trial["&amp;AA$4&amp;"]"),Tab_00.Trial[CONTA],$B14)</f>
        <v>0</v>
      </c>
      <c r="AB14" s="78">
        <f t="shared" ca="1" si="8"/>
        <v>0</v>
      </c>
      <c r="AC14" s="78">
        <f t="shared" ca="1" si="20"/>
        <v>0</v>
      </c>
      <c r="AD14" s="4">
        <f ca="1">SUMIFS(INDIRECT("Tab_00.Trial["&amp;AD$4&amp;"]"),Tab_00.Trial[CONTA],$B14)</f>
        <v>0</v>
      </c>
      <c r="AE14" s="78">
        <f t="shared" ca="1" si="9"/>
        <v>0</v>
      </c>
      <c r="AF14" s="78">
        <f t="shared" ca="1" si="21"/>
        <v>0</v>
      </c>
      <c r="AG14" s="4">
        <f ca="1">SUMIFS(INDIRECT("Tab_00.Trial["&amp;AG$4&amp;"]"),Tab_00.Trial[CONTA],$B14)</f>
        <v>0</v>
      </c>
      <c r="AH14" s="78">
        <f t="shared" ca="1" si="10"/>
        <v>0</v>
      </c>
      <c r="AI14" s="78">
        <f t="shared" ca="1" si="22"/>
        <v>0</v>
      </c>
      <c r="AJ14" s="4">
        <f ca="1">SUMIFS(INDIRECT("Tab_00.Trial["&amp;AJ$4&amp;"]"),Tab_00.Trial[CONTA],$B14)</f>
        <v>0</v>
      </c>
      <c r="AK14" s="78">
        <f t="shared" ca="1" si="11"/>
        <v>0</v>
      </c>
      <c r="AL14" s="78">
        <f t="shared" ca="1" si="23"/>
        <v>0</v>
      </c>
      <c r="AM14" s="4">
        <f ca="1">SUMIFS(INDIRECT("Tab_00.Trial["&amp;AM$4&amp;"]"),Tab_00.Trial[CONTA],$B14)</f>
        <v>0</v>
      </c>
      <c r="AN14" s="78">
        <f t="shared" ca="1" si="12"/>
        <v>0</v>
      </c>
      <c r="AO14" s="78">
        <f t="shared" ca="1" si="24"/>
        <v>0</v>
      </c>
    </row>
    <row r="15" spans="2:42" ht="15" hidden="1" customHeight="1" outlineLevel="1" x14ac:dyDescent="0.3">
      <c r="B15" s="14"/>
      <c r="C15" s="15"/>
      <c r="D15" s="4">
        <f>SUMIFS(Tab_99.Trial[DEZEMBRO],Tab_99.Trial[CONTA],$B15)</f>
        <v>0</v>
      </c>
      <c r="E15" s="78">
        <f t="shared" si="0"/>
        <v>0</v>
      </c>
      <c r="F15" s="4">
        <f ca="1">SUMIFS(INDIRECT("Tab_00.Trial["&amp;F$4&amp;"]"),Tab_00.Trial[CONTA],$B15)</f>
        <v>0</v>
      </c>
      <c r="G15" s="78">
        <f t="shared" ca="1" si="1"/>
        <v>0</v>
      </c>
      <c r="H15" s="78">
        <f t="shared" ca="1" si="13"/>
        <v>0</v>
      </c>
      <c r="I15" s="4">
        <f ca="1">SUMIFS(INDIRECT("Tab_00.Trial["&amp;I$4&amp;"]"),Tab_00.Trial[CONTA],$B15)</f>
        <v>0</v>
      </c>
      <c r="J15" s="78">
        <f t="shared" ca="1" si="2"/>
        <v>0</v>
      </c>
      <c r="K15" s="78">
        <f t="shared" ca="1" si="14"/>
        <v>0</v>
      </c>
      <c r="L15" s="4">
        <f ca="1">SUMIFS(INDIRECT("Tab_00.Trial["&amp;L$4&amp;"]"),Tab_00.Trial[CONTA],$B15)</f>
        <v>0</v>
      </c>
      <c r="M15" s="78">
        <f t="shared" ca="1" si="3"/>
        <v>0</v>
      </c>
      <c r="N15" s="78">
        <f t="shared" ca="1" si="15"/>
        <v>0</v>
      </c>
      <c r="O15" s="4">
        <f ca="1">SUMIFS(INDIRECT("Tab_00.Trial["&amp;O$4&amp;"]"),Tab_00.Trial[CONTA],$B15)</f>
        <v>0</v>
      </c>
      <c r="P15" s="78">
        <f t="shared" ca="1" si="4"/>
        <v>0</v>
      </c>
      <c r="Q15" s="78">
        <f t="shared" ca="1" si="16"/>
        <v>0</v>
      </c>
      <c r="R15" s="4">
        <f ca="1">SUMIFS(INDIRECT("Tab_00.Trial["&amp;R$4&amp;"]"),Tab_00.Trial[CONTA],$B15)</f>
        <v>0</v>
      </c>
      <c r="S15" s="78">
        <f t="shared" ca="1" si="5"/>
        <v>0</v>
      </c>
      <c r="T15" s="78">
        <f t="shared" ca="1" si="17"/>
        <v>0</v>
      </c>
      <c r="U15" s="4">
        <f ca="1">SUMIFS(INDIRECT("Tab_00.Trial["&amp;U$4&amp;"]"),Tab_00.Trial[CONTA],$B15)</f>
        <v>0</v>
      </c>
      <c r="V15" s="78">
        <f t="shared" ca="1" si="6"/>
        <v>0</v>
      </c>
      <c r="W15" s="78">
        <f t="shared" ca="1" si="18"/>
        <v>0</v>
      </c>
      <c r="X15" s="4">
        <f ca="1">SUMIFS(INDIRECT("Tab_00.Trial["&amp;X$4&amp;"]"),Tab_00.Trial[CONTA],$B15)</f>
        <v>0</v>
      </c>
      <c r="Y15" s="78">
        <f t="shared" ca="1" si="7"/>
        <v>0</v>
      </c>
      <c r="Z15" s="78">
        <f t="shared" ca="1" si="19"/>
        <v>0</v>
      </c>
      <c r="AA15" s="4">
        <f ca="1">SUMIFS(INDIRECT("Tab_00.Trial["&amp;AA$4&amp;"]"),Tab_00.Trial[CONTA],$B15)</f>
        <v>0</v>
      </c>
      <c r="AB15" s="78">
        <f t="shared" ca="1" si="8"/>
        <v>0</v>
      </c>
      <c r="AC15" s="78">
        <f t="shared" ca="1" si="20"/>
        <v>0</v>
      </c>
      <c r="AD15" s="4">
        <f ca="1">SUMIFS(INDIRECT("Tab_00.Trial["&amp;AD$4&amp;"]"),Tab_00.Trial[CONTA],$B15)</f>
        <v>0</v>
      </c>
      <c r="AE15" s="78">
        <f t="shared" ca="1" si="9"/>
        <v>0</v>
      </c>
      <c r="AF15" s="78">
        <f t="shared" ca="1" si="21"/>
        <v>0</v>
      </c>
      <c r="AG15" s="4">
        <f ca="1">SUMIFS(INDIRECT("Tab_00.Trial["&amp;AG$4&amp;"]"),Tab_00.Trial[CONTA],$B15)</f>
        <v>0</v>
      </c>
      <c r="AH15" s="78">
        <f t="shared" ca="1" si="10"/>
        <v>0</v>
      </c>
      <c r="AI15" s="78">
        <f t="shared" ca="1" si="22"/>
        <v>0</v>
      </c>
      <c r="AJ15" s="4">
        <f ca="1">SUMIFS(INDIRECT("Tab_00.Trial["&amp;AJ$4&amp;"]"),Tab_00.Trial[CONTA],$B15)</f>
        <v>0</v>
      </c>
      <c r="AK15" s="78">
        <f t="shared" ca="1" si="11"/>
        <v>0</v>
      </c>
      <c r="AL15" s="78">
        <f t="shared" ca="1" si="23"/>
        <v>0</v>
      </c>
      <c r="AM15" s="4">
        <f ca="1">SUMIFS(INDIRECT("Tab_00.Trial["&amp;AM$4&amp;"]"),Tab_00.Trial[CONTA],$B15)</f>
        <v>0</v>
      </c>
      <c r="AN15" s="78">
        <f t="shared" ca="1" si="12"/>
        <v>0</v>
      </c>
      <c r="AO15" s="78">
        <f t="shared" ca="1" si="24"/>
        <v>0</v>
      </c>
    </row>
    <row r="16" spans="2:42" ht="15" hidden="1" customHeight="1" outlineLevel="1" x14ac:dyDescent="0.3">
      <c r="B16" s="14"/>
      <c r="C16" s="15"/>
      <c r="D16" s="4">
        <f>SUMIFS(Tab_99.Trial[DEZEMBRO],Tab_99.Trial[CONTA],$B16)</f>
        <v>0</v>
      </c>
      <c r="E16" s="78">
        <f t="shared" si="0"/>
        <v>0</v>
      </c>
      <c r="F16" s="4">
        <f ca="1">SUMIFS(INDIRECT("Tab_00.Trial["&amp;F$4&amp;"]"),Tab_00.Trial[CONTA],$B16)</f>
        <v>0</v>
      </c>
      <c r="G16" s="78">
        <f t="shared" ca="1" si="1"/>
        <v>0</v>
      </c>
      <c r="H16" s="78">
        <f t="shared" ca="1" si="13"/>
        <v>0</v>
      </c>
      <c r="I16" s="4">
        <f ca="1">SUMIFS(INDIRECT("Tab_00.Trial["&amp;I$4&amp;"]"),Tab_00.Trial[CONTA],$B16)</f>
        <v>0</v>
      </c>
      <c r="J16" s="78">
        <f t="shared" ca="1" si="2"/>
        <v>0</v>
      </c>
      <c r="K16" s="78">
        <f t="shared" ca="1" si="14"/>
        <v>0</v>
      </c>
      <c r="L16" s="4">
        <f ca="1">SUMIFS(INDIRECT("Tab_00.Trial["&amp;L$4&amp;"]"),Tab_00.Trial[CONTA],$B16)</f>
        <v>0</v>
      </c>
      <c r="M16" s="78">
        <f t="shared" ca="1" si="3"/>
        <v>0</v>
      </c>
      <c r="N16" s="78">
        <f t="shared" ca="1" si="15"/>
        <v>0</v>
      </c>
      <c r="O16" s="4">
        <f ca="1">SUMIFS(INDIRECT("Tab_00.Trial["&amp;O$4&amp;"]"),Tab_00.Trial[CONTA],$B16)</f>
        <v>0</v>
      </c>
      <c r="P16" s="78">
        <f t="shared" ca="1" si="4"/>
        <v>0</v>
      </c>
      <c r="Q16" s="78">
        <f t="shared" ca="1" si="16"/>
        <v>0</v>
      </c>
      <c r="R16" s="4">
        <f ca="1">SUMIFS(INDIRECT("Tab_00.Trial["&amp;R$4&amp;"]"),Tab_00.Trial[CONTA],$B16)</f>
        <v>0</v>
      </c>
      <c r="S16" s="78">
        <f t="shared" ca="1" si="5"/>
        <v>0</v>
      </c>
      <c r="T16" s="78">
        <f t="shared" ca="1" si="17"/>
        <v>0</v>
      </c>
      <c r="U16" s="4">
        <f ca="1">SUMIFS(INDIRECT("Tab_00.Trial["&amp;U$4&amp;"]"),Tab_00.Trial[CONTA],$B16)</f>
        <v>0</v>
      </c>
      <c r="V16" s="78">
        <f t="shared" ca="1" si="6"/>
        <v>0</v>
      </c>
      <c r="W16" s="78">
        <f t="shared" ca="1" si="18"/>
        <v>0</v>
      </c>
      <c r="X16" s="4">
        <f ca="1">SUMIFS(INDIRECT("Tab_00.Trial["&amp;X$4&amp;"]"),Tab_00.Trial[CONTA],$B16)</f>
        <v>0</v>
      </c>
      <c r="Y16" s="78">
        <f t="shared" ca="1" si="7"/>
        <v>0</v>
      </c>
      <c r="Z16" s="78">
        <f t="shared" ca="1" si="19"/>
        <v>0</v>
      </c>
      <c r="AA16" s="4">
        <f ca="1">SUMIFS(INDIRECT("Tab_00.Trial["&amp;AA$4&amp;"]"),Tab_00.Trial[CONTA],$B16)</f>
        <v>0</v>
      </c>
      <c r="AB16" s="78">
        <f t="shared" ca="1" si="8"/>
        <v>0</v>
      </c>
      <c r="AC16" s="78">
        <f t="shared" ca="1" si="20"/>
        <v>0</v>
      </c>
      <c r="AD16" s="4">
        <f ca="1">SUMIFS(INDIRECT("Tab_00.Trial["&amp;AD$4&amp;"]"),Tab_00.Trial[CONTA],$B16)</f>
        <v>0</v>
      </c>
      <c r="AE16" s="78">
        <f t="shared" ca="1" si="9"/>
        <v>0</v>
      </c>
      <c r="AF16" s="78">
        <f t="shared" ca="1" si="21"/>
        <v>0</v>
      </c>
      <c r="AG16" s="4">
        <f ca="1">SUMIFS(INDIRECT("Tab_00.Trial["&amp;AG$4&amp;"]"),Tab_00.Trial[CONTA],$B16)</f>
        <v>0</v>
      </c>
      <c r="AH16" s="78">
        <f t="shared" ca="1" si="10"/>
        <v>0</v>
      </c>
      <c r="AI16" s="78">
        <f t="shared" ca="1" si="22"/>
        <v>0</v>
      </c>
      <c r="AJ16" s="4">
        <f ca="1">SUMIFS(INDIRECT("Tab_00.Trial["&amp;AJ$4&amp;"]"),Tab_00.Trial[CONTA],$B16)</f>
        <v>0</v>
      </c>
      <c r="AK16" s="78">
        <f t="shared" ca="1" si="11"/>
        <v>0</v>
      </c>
      <c r="AL16" s="78">
        <f t="shared" ca="1" si="23"/>
        <v>0</v>
      </c>
      <c r="AM16" s="4">
        <f ca="1">SUMIFS(INDIRECT("Tab_00.Trial["&amp;AM$4&amp;"]"),Tab_00.Trial[CONTA],$B16)</f>
        <v>0</v>
      </c>
      <c r="AN16" s="78">
        <f t="shared" ca="1" si="12"/>
        <v>0</v>
      </c>
      <c r="AO16" s="78">
        <f t="shared" ca="1" si="24"/>
        <v>0</v>
      </c>
    </row>
    <row r="17" spans="2:41" ht="15" hidden="1" customHeight="1" outlineLevel="1" x14ac:dyDescent="0.3">
      <c r="B17" s="14"/>
      <c r="C17" s="15"/>
      <c r="D17" s="4">
        <f>SUMIFS(Tab_99.Trial[DEZEMBRO],Tab_99.Trial[CONTA],$B17)</f>
        <v>0</v>
      </c>
      <c r="E17" s="78">
        <f t="shared" si="0"/>
        <v>0</v>
      </c>
      <c r="F17" s="4">
        <f ca="1">SUMIFS(INDIRECT("Tab_00.Trial["&amp;F$4&amp;"]"),Tab_00.Trial[CONTA],$B17)</f>
        <v>0</v>
      </c>
      <c r="G17" s="78">
        <f t="shared" ca="1" si="1"/>
        <v>0</v>
      </c>
      <c r="H17" s="78">
        <f t="shared" ca="1" si="13"/>
        <v>0</v>
      </c>
      <c r="I17" s="4">
        <f ca="1">SUMIFS(INDIRECT("Tab_00.Trial["&amp;I$4&amp;"]"),Tab_00.Trial[CONTA],$B17)</f>
        <v>0</v>
      </c>
      <c r="J17" s="78">
        <f t="shared" ca="1" si="2"/>
        <v>0</v>
      </c>
      <c r="K17" s="78">
        <f t="shared" ca="1" si="14"/>
        <v>0</v>
      </c>
      <c r="L17" s="4">
        <f ca="1">SUMIFS(INDIRECT("Tab_00.Trial["&amp;L$4&amp;"]"),Tab_00.Trial[CONTA],$B17)</f>
        <v>0</v>
      </c>
      <c r="M17" s="78">
        <f t="shared" ca="1" si="3"/>
        <v>0</v>
      </c>
      <c r="N17" s="78">
        <f t="shared" ca="1" si="15"/>
        <v>0</v>
      </c>
      <c r="O17" s="4">
        <f ca="1">SUMIFS(INDIRECT("Tab_00.Trial["&amp;O$4&amp;"]"),Tab_00.Trial[CONTA],$B17)</f>
        <v>0</v>
      </c>
      <c r="P17" s="78">
        <f t="shared" ca="1" si="4"/>
        <v>0</v>
      </c>
      <c r="Q17" s="78">
        <f t="shared" ca="1" si="16"/>
        <v>0</v>
      </c>
      <c r="R17" s="4">
        <f ca="1">SUMIFS(INDIRECT("Tab_00.Trial["&amp;R$4&amp;"]"),Tab_00.Trial[CONTA],$B17)</f>
        <v>0</v>
      </c>
      <c r="S17" s="78">
        <f t="shared" ca="1" si="5"/>
        <v>0</v>
      </c>
      <c r="T17" s="78">
        <f t="shared" ca="1" si="17"/>
        <v>0</v>
      </c>
      <c r="U17" s="4">
        <f ca="1">SUMIFS(INDIRECT("Tab_00.Trial["&amp;U$4&amp;"]"),Tab_00.Trial[CONTA],$B17)</f>
        <v>0</v>
      </c>
      <c r="V17" s="78">
        <f t="shared" ca="1" si="6"/>
        <v>0</v>
      </c>
      <c r="W17" s="78">
        <f t="shared" ca="1" si="18"/>
        <v>0</v>
      </c>
      <c r="X17" s="4">
        <f ca="1">SUMIFS(INDIRECT("Tab_00.Trial["&amp;X$4&amp;"]"),Tab_00.Trial[CONTA],$B17)</f>
        <v>0</v>
      </c>
      <c r="Y17" s="78">
        <f t="shared" ca="1" si="7"/>
        <v>0</v>
      </c>
      <c r="Z17" s="78">
        <f t="shared" ca="1" si="19"/>
        <v>0</v>
      </c>
      <c r="AA17" s="4">
        <f ca="1">SUMIFS(INDIRECT("Tab_00.Trial["&amp;AA$4&amp;"]"),Tab_00.Trial[CONTA],$B17)</f>
        <v>0</v>
      </c>
      <c r="AB17" s="78">
        <f t="shared" ca="1" si="8"/>
        <v>0</v>
      </c>
      <c r="AC17" s="78">
        <f t="shared" ca="1" si="20"/>
        <v>0</v>
      </c>
      <c r="AD17" s="4">
        <f ca="1">SUMIFS(INDIRECT("Tab_00.Trial["&amp;AD$4&amp;"]"),Tab_00.Trial[CONTA],$B17)</f>
        <v>0</v>
      </c>
      <c r="AE17" s="78">
        <f t="shared" ca="1" si="9"/>
        <v>0</v>
      </c>
      <c r="AF17" s="78">
        <f t="shared" ca="1" si="21"/>
        <v>0</v>
      </c>
      <c r="AG17" s="4">
        <f ca="1">SUMIFS(INDIRECT("Tab_00.Trial["&amp;AG$4&amp;"]"),Tab_00.Trial[CONTA],$B17)</f>
        <v>0</v>
      </c>
      <c r="AH17" s="78">
        <f t="shared" ca="1" si="10"/>
        <v>0</v>
      </c>
      <c r="AI17" s="78">
        <f t="shared" ca="1" si="22"/>
        <v>0</v>
      </c>
      <c r="AJ17" s="4">
        <f ca="1">SUMIFS(INDIRECT("Tab_00.Trial["&amp;AJ$4&amp;"]"),Tab_00.Trial[CONTA],$B17)</f>
        <v>0</v>
      </c>
      <c r="AK17" s="78">
        <f t="shared" ca="1" si="11"/>
        <v>0</v>
      </c>
      <c r="AL17" s="78">
        <f t="shared" ca="1" si="23"/>
        <v>0</v>
      </c>
      <c r="AM17" s="4">
        <f ca="1">SUMIFS(INDIRECT("Tab_00.Trial["&amp;AM$4&amp;"]"),Tab_00.Trial[CONTA],$B17)</f>
        <v>0</v>
      </c>
      <c r="AN17" s="78">
        <f t="shared" ca="1" si="12"/>
        <v>0</v>
      </c>
      <c r="AO17" s="78">
        <f t="shared" ca="1" si="24"/>
        <v>0</v>
      </c>
    </row>
    <row r="18" spans="2:41" ht="5.0999999999999996" hidden="1" customHeight="1" outlineLevel="1" x14ac:dyDescent="0.3">
      <c r="B18" s="74"/>
      <c r="C18" s="75"/>
      <c r="D18" s="76"/>
      <c r="E18" s="77"/>
      <c r="F18" s="76"/>
      <c r="G18" s="77"/>
      <c r="H18" s="77"/>
      <c r="I18" s="76"/>
      <c r="J18" s="77"/>
      <c r="K18" s="77"/>
      <c r="L18" s="76"/>
      <c r="M18" s="77"/>
      <c r="N18" s="77"/>
      <c r="O18" s="76"/>
      <c r="P18" s="77"/>
      <c r="Q18" s="77"/>
      <c r="R18" s="76"/>
      <c r="S18" s="77"/>
      <c r="T18" s="77"/>
      <c r="U18" s="76"/>
      <c r="V18" s="77"/>
      <c r="W18" s="77"/>
      <c r="X18" s="76"/>
      <c r="Y18" s="77"/>
      <c r="Z18" s="77"/>
      <c r="AA18" s="76"/>
      <c r="AB18" s="77"/>
      <c r="AC18" s="77"/>
      <c r="AD18" s="76"/>
      <c r="AE18" s="77"/>
      <c r="AF18" s="77"/>
      <c r="AG18" s="76"/>
      <c r="AH18" s="77"/>
      <c r="AI18" s="77"/>
      <c r="AJ18" s="76"/>
      <c r="AK18" s="77"/>
      <c r="AL18" s="77"/>
      <c r="AM18" s="76"/>
      <c r="AN18" s="77"/>
      <c r="AO18" s="77"/>
    </row>
    <row r="19" spans="2:41" ht="15" customHeight="1" collapsed="1" x14ac:dyDescent="0.3">
      <c r="B19" s="3" t="s">
        <v>39</v>
      </c>
      <c r="C19" s="14" t="s">
        <v>138</v>
      </c>
      <c r="D19" s="4">
        <f>SUBTOTAL(9,D$20:D$29)</f>
        <v>0</v>
      </c>
      <c r="E19" s="78">
        <f t="shared" ref="E19:E28" si="25">IFERROR($D19/$D$160,0)</f>
        <v>0</v>
      </c>
      <c r="F19" s="4">
        <f ca="1">SUBTOTAL(9,F$20:F$29)</f>
        <v>10834658.6</v>
      </c>
      <c r="G19" s="78">
        <f t="shared" ref="G19:G28" ca="1" si="26">IFERROR($F19/$F$160,0)</f>
        <v>0.12920000000000001</v>
      </c>
      <c r="H19" s="78">
        <f t="shared" ref="H19:H91" ca="1" si="27">IFERROR(($F19-$D19)/ABS($D19),0)</f>
        <v>0</v>
      </c>
      <c r="I19" s="4">
        <f ca="1">SUBTOTAL(9,I$20:I$29)</f>
        <v>10051620.01</v>
      </c>
      <c r="J19" s="78">
        <f t="shared" ref="J19:J28" ca="1" si="28">IFERROR($I19/$I$160,0)</f>
        <v>0.1208</v>
      </c>
      <c r="K19" s="78">
        <f t="shared" ref="K19:K91" ca="1" si="29">IFERROR(($I19-$F19)/ABS($F19),0)</f>
        <v>-7.2300000000000003E-2</v>
      </c>
      <c r="L19" s="4">
        <f ca="1">SUBTOTAL(9,L$20:L$29)</f>
        <v>9904475.8300000001</v>
      </c>
      <c r="M19" s="78">
        <f t="shared" ref="M19:M28" ca="1" si="30">IFERROR($L19/$L$160,0)</f>
        <v>0.11890000000000001</v>
      </c>
      <c r="N19" s="78">
        <f t="shared" ref="N19:N91" ca="1" si="31">IFERROR(($L19-$I19)/ABS($I19),0)</f>
        <v>-1.46E-2</v>
      </c>
      <c r="O19" s="4">
        <f ca="1">SUBTOTAL(9,O$20:O$29)</f>
        <v>10276096.369999999</v>
      </c>
      <c r="P19" s="78">
        <f t="shared" ref="P19:P28" ca="1" si="32">IFERROR($O19/$O$160,0)</f>
        <v>0.1229</v>
      </c>
      <c r="Q19" s="78">
        <f t="shared" ref="Q19:Q91" ca="1" si="33">IFERROR(($O19-$L19)/ABS($L19),0)</f>
        <v>3.7499999999999999E-2</v>
      </c>
      <c r="R19" s="4">
        <f ca="1">SUBTOTAL(9,R$20:R$29)</f>
        <v>10364035.359999999</v>
      </c>
      <c r="S19" s="78">
        <f t="shared" ref="S19:S28" ca="1" si="34">IFERROR($R19/$R$160,0)</f>
        <v>0.1235</v>
      </c>
      <c r="T19" s="78">
        <f t="shared" ref="T19:T91" ca="1" si="35">IFERROR(($R19-$O19)/ABS($O19),0)</f>
        <v>8.6E-3</v>
      </c>
      <c r="U19" s="4">
        <f ca="1">SUBTOTAL(9,U$20:U$29)</f>
        <v>10451660.779999999</v>
      </c>
      <c r="V19" s="78">
        <f t="shared" ref="V19:V28" ca="1" si="36">IFERROR($U19/$U$160,0)</f>
        <v>0.1241</v>
      </c>
      <c r="W19" s="78">
        <f t="shared" ref="W19:W91" ca="1" si="37">IFERROR(($U19-$R19)/ABS($R19),0)</f>
        <v>8.5000000000000006E-3</v>
      </c>
      <c r="X19" s="4">
        <f ca="1">SUBTOTAL(9,X$20:X$29)</f>
        <v>10684976.390000001</v>
      </c>
      <c r="Y19" s="78">
        <f t="shared" ref="Y19:Y28" ca="1" si="38">IFERROR($X19/$X$160,0)</f>
        <v>0.12609999999999999</v>
      </c>
      <c r="Z19" s="78">
        <f t="shared" ref="Z19:Z91" ca="1" si="39">IFERROR(($X19-$U19)/ABS($U19),0)</f>
        <v>2.23E-2</v>
      </c>
      <c r="AA19" s="4">
        <f ca="1">SUBTOTAL(9,AA$20:AA$29)</f>
        <v>10759589.32</v>
      </c>
      <c r="AB19" s="78">
        <f t="shared" ref="AB19:AB28" ca="1" si="40">IFERROR($AA19/$AA$160,0)</f>
        <v>0.12640000000000001</v>
      </c>
      <c r="AC19" s="78">
        <f t="shared" ref="AC19:AC91" ca="1" si="41">IFERROR(($AA19-$X19)/ABS($X19),0)</f>
        <v>7.0000000000000001E-3</v>
      </c>
      <c r="AD19" s="4">
        <f ca="1">SUBTOTAL(9,AD$20:AD$29)</f>
        <v>10784798.77</v>
      </c>
      <c r="AE19" s="78">
        <f t="shared" ref="AE19:AE28" ca="1" si="42">IFERROR($AD19/$AD$160,0)</f>
        <v>0.12670000000000001</v>
      </c>
      <c r="AF19" s="78">
        <f t="shared" ref="AF19:AF91" ca="1" si="43">IFERROR(($AD19-$AA19)/ABS($AA19),0)</f>
        <v>2.3E-3</v>
      </c>
      <c r="AG19" s="4">
        <f ca="1">SUBTOTAL(9,AG$20:AG$29)</f>
        <v>10912749.26</v>
      </c>
      <c r="AH19" s="78">
        <f t="shared" ref="AH19:AH28" ca="1" si="44">IFERROR($AG19/$AG$160,0)</f>
        <v>0.12790000000000001</v>
      </c>
      <c r="AI19" s="78">
        <f t="shared" ref="AI19:AI91" ca="1" si="45">IFERROR(($AG19-$AD19)/ABS($AD19),0)</f>
        <v>1.1900000000000001E-2</v>
      </c>
      <c r="AJ19" s="4">
        <f ca="1">SUBTOTAL(9,AJ$20:AJ$29)</f>
        <v>10885256.710000001</v>
      </c>
      <c r="AK19" s="78">
        <f t="shared" ref="AK19:AK28" ca="1" si="46">IFERROR($AJ19/$AJ$160,0)</f>
        <v>0.12709999999999999</v>
      </c>
      <c r="AL19" s="78">
        <f t="shared" ref="AL19:AL91" ca="1" si="47">IFERROR(($AJ19-$AG19)/ABS($AG19),0)</f>
        <v>-2.5000000000000001E-3</v>
      </c>
      <c r="AM19" s="4">
        <f ca="1">SUBTOTAL(9,AM$20:AM$29)</f>
        <v>10969820.439999999</v>
      </c>
      <c r="AN19" s="78">
        <f t="shared" ref="AN19:AN28" ca="1" si="48">IFERROR(AM19/AM$160,0)</f>
        <v>0.12820000000000001</v>
      </c>
      <c r="AO19" s="78">
        <f t="shared" ref="AO19:AO91" ca="1" si="49">IFERROR(($AM19-$AJ19)/ABS($AJ19),0)</f>
        <v>7.7999999999999996E-3</v>
      </c>
    </row>
    <row r="20" spans="2:41" ht="15" hidden="1" customHeight="1" outlineLevel="1" x14ac:dyDescent="0.3">
      <c r="B20" s="14" t="s">
        <v>178</v>
      </c>
      <c r="C20" s="15" t="s">
        <v>284</v>
      </c>
      <c r="D20" s="4">
        <f>SUMIFS(Tab_99.Trial[DEZEMBRO],Tab_99.Trial[CONTA],$B20)</f>
        <v>0</v>
      </c>
      <c r="E20" s="78">
        <f t="shared" si="25"/>
        <v>0</v>
      </c>
      <c r="F20" s="4">
        <f ca="1">SUMIFS(INDIRECT("Tab_00.Trial["&amp;F$4&amp;"]"),Tab_00.Trial[CONTA],$B20)</f>
        <v>5399871.7999999998</v>
      </c>
      <c r="G20" s="78">
        <f t="shared" ca="1" si="26"/>
        <v>6.4399999999999999E-2</v>
      </c>
      <c r="H20" s="78">
        <f t="shared" ca="1" si="27"/>
        <v>0</v>
      </c>
      <c r="I20" s="4">
        <f ca="1">SUMIFS(INDIRECT("Tab_00.Trial["&amp;I$4&amp;"]"),Tab_00.Trial[CONTA],$B20)</f>
        <v>4573765.12</v>
      </c>
      <c r="J20" s="78">
        <f t="shared" ca="1" si="28"/>
        <v>5.5E-2</v>
      </c>
      <c r="K20" s="78">
        <f t="shared" ca="1" si="29"/>
        <v>-0.153</v>
      </c>
      <c r="L20" s="4">
        <f ca="1">SUMIFS(INDIRECT("Tab_00.Trial["&amp;L$4&amp;"]"),Tab_00.Trial[CONTA],$B20)</f>
        <v>4381434.88</v>
      </c>
      <c r="M20" s="78">
        <f t="shared" ca="1" si="30"/>
        <v>5.2600000000000001E-2</v>
      </c>
      <c r="N20" s="78">
        <f t="shared" ca="1" si="31"/>
        <v>-4.2099999999999999E-2</v>
      </c>
      <c r="O20" s="4">
        <f ca="1">SUMIFS(INDIRECT("Tab_00.Trial["&amp;O$4&amp;"]"),Tab_00.Trial[CONTA],$B20)</f>
        <v>4704925.87</v>
      </c>
      <c r="P20" s="78">
        <f t="shared" ca="1" si="32"/>
        <v>5.6300000000000003E-2</v>
      </c>
      <c r="Q20" s="78">
        <f t="shared" ca="1" si="33"/>
        <v>7.3800000000000004E-2</v>
      </c>
      <c r="R20" s="4">
        <f ca="1">SUMIFS(INDIRECT("Tab_00.Trial["&amp;R$4&amp;"]"),Tab_00.Trial[CONTA],$B20)</f>
        <v>4747498.4400000004</v>
      </c>
      <c r="S20" s="78">
        <f t="shared" ca="1" si="34"/>
        <v>5.6599999999999998E-2</v>
      </c>
      <c r="T20" s="78">
        <f t="shared" ca="1" si="35"/>
        <v>8.9999999999999993E-3</v>
      </c>
      <c r="U20" s="4">
        <f ca="1">SUMIFS(INDIRECT("Tab_00.Trial["&amp;U$4&amp;"]"),Tab_00.Trial[CONTA],$B20)</f>
        <v>4751351.43</v>
      </c>
      <c r="V20" s="78">
        <f t="shared" ca="1" si="36"/>
        <v>5.6399999999999999E-2</v>
      </c>
      <c r="W20" s="78">
        <f t="shared" ca="1" si="37"/>
        <v>8.0000000000000004E-4</v>
      </c>
      <c r="X20" s="4">
        <f ca="1">SUMIFS(INDIRECT("Tab_00.Trial["&amp;X$4&amp;"]"),Tab_00.Trial[CONTA],$B20)</f>
        <v>4933795.4400000004</v>
      </c>
      <c r="Y20" s="78">
        <f t="shared" ca="1" si="38"/>
        <v>5.8200000000000002E-2</v>
      </c>
      <c r="Z20" s="78">
        <f t="shared" ca="1" si="39"/>
        <v>3.8399999999999997E-2</v>
      </c>
      <c r="AA20" s="4">
        <f ca="1">SUMIFS(INDIRECT("Tab_00.Trial["&amp;AA$4&amp;"]"),Tab_00.Trial[CONTA],$B20)</f>
        <v>4958969.7300000004</v>
      </c>
      <c r="AB20" s="78">
        <f t="shared" ca="1" si="40"/>
        <v>5.8299999999999998E-2</v>
      </c>
      <c r="AC20" s="78">
        <f t="shared" ca="1" si="41"/>
        <v>5.1000000000000004E-3</v>
      </c>
      <c r="AD20" s="4">
        <f ca="1">SUMIFS(INDIRECT("Tab_00.Trial["&amp;AD$4&amp;"]"),Tab_00.Trial[CONTA],$B20)</f>
        <v>4936496.26</v>
      </c>
      <c r="AE20" s="78">
        <f t="shared" ca="1" si="42"/>
        <v>5.8000000000000003E-2</v>
      </c>
      <c r="AF20" s="78">
        <f t="shared" ca="1" si="43"/>
        <v>-4.4999999999999997E-3</v>
      </c>
      <c r="AG20" s="4">
        <f ca="1">SUMIFS(INDIRECT("Tab_00.Trial["&amp;AG$4&amp;"]"),Tab_00.Trial[CONTA],$B20)</f>
        <v>5010937.84</v>
      </c>
      <c r="AH20" s="78">
        <f t="shared" ca="1" si="44"/>
        <v>5.8700000000000002E-2</v>
      </c>
      <c r="AI20" s="78">
        <f t="shared" ca="1" si="45"/>
        <v>1.5100000000000001E-2</v>
      </c>
      <c r="AJ20" s="4">
        <f ca="1">SUMIFS(INDIRECT("Tab_00.Trial["&amp;AJ$4&amp;"]"),Tab_00.Trial[CONTA],$B20)</f>
        <v>5001987.17</v>
      </c>
      <c r="AK20" s="78">
        <f t="shared" ca="1" si="46"/>
        <v>5.8400000000000001E-2</v>
      </c>
      <c r="AL20" s="78">
        <f t="shared" ca="1" si="47"/>
        <v>-1.8E-3</v>
      </c>
      <c r="AM20" s="4">
        <f ca="1">SUMIFS(INDIRECT("Tab_00.Trial["&amp;AM$4&amp;"]"),Tab_00.Trial[CONTA],$B20)</f>
        <v>5042964.2300000004</v>
      </c>
      <c r="AN20" s="78">
        <f t="shared" ca="1" si="48"/>
        <v>5.8900000000000001E-2</v>
      </c>
      <c r="AO20" s="78">
        <f t="shared" ca="1" si="49"/>
        <v>8.2000000000000007E-3</v>
      </c>
    </row>
    <row r="21" spans="2:41" ht="15" hidden="1" customHeight="1" outlineLevel="1" x14ac:dyDescent="0.3">
      <c r="B21" s="14" t="s">
        <v>285</v>
      </c>
      <c r="C21" s="15" t="s">
        <v>286</v>
      </c>
      <c r="D21" s="4">
        <f>SUMIFS(Tab_99.Trial[DEZEMBRO],Tab_99.Trial[CONTA],$B21)</f>
        <v>0</v>
      </c>
      <c r="E21" s="78">
        <f t="shared" si="25"/>
        <v>0</v>
      </c>
      <c r="F21" s="4">
        <f ca="1">SUMIFS(INDIRECT("Tab_00.Trial["&amp;F$4&amp;"]"),Tab_00.Trial[CONTA],$B21)</f>
        <v>0</v>
      </c>
      <c r="G21" s="78">
        <f t="shared" ca="1" si="26"/>
        <v>0</v>
      </c>
      <c r="H21" s="78">
        <f t="shared" ca="1" si="27"/>
        <v>0</v>
      </c>
      <c r="I21" s="4">
        <f ca="1">SUMIFS(INDIRECT("Tab_00.Trial["&amp;I$4&amp;"]"),Tab_00.Trial[CONTA],$B21)</f>
        <v>0</v>
      </c>
      <c r="J21" s="78">
        <f t="shared" ca="1" si="28"/>
        <v>0</v>
      </c>
      <c r="K21" s="78">
        <f t="shared" ca="1" si="29"/>
        <v>0</v>
      </c>
      <c r="L21" s="4">
        <f ca="1">SUMIFS(INDIRECT("Tab_00.Trial["&amp;L$4&amp;"]"),Tab_00.Trial[CONTA],$B21)</f>
        <v>0</v>
      </c>
      <c r="M21" s="78">
        <f t="shared" ca="1" si="30"/>
        <v>0</v>
      </c>
      <c r="N21" s="78">
        <f t="shared" ca="1" si="31"/>
        <v>0</v>
      </c>
      <c r="O21" s="4">
        <f ca="1">SUMIFS(INDIRECT("Tab_00.Trial["&amp;O$4&amp;"]"),Tab_00.Trial[CONTA],$B21)</f>
        <v>0</v>
      </c>
      <c r="P21" s="78">
        <f t="shared" ca="1" si="32"/>
        <v>0</v>
      </c>
      <c r="Q21" s="78">
        <f t="shared" ca="1" si="33"/>
        <v>0</v>
      </c>
      <c r="R21" s="4">
        <f ca="1">SUMIFS(INDIRECT("Tab_00.Trial["&amp;R$4&amp;"]"),Tab_00.Trial[CONTA],$B21)</f>
        <v>0</v>
      </c>
      <c r="S21" s="78">
        <f t="shared" ca="1" si="34"/>
        <v>0</v>
      </c>
      <c r="T21" s="78">
        <f t="shared" ca="1" si="35"/>
        <v>0</v>
      </c>
      <c r="U21" s="4">
        <f ca="1">SUMIFS(INDIRECT("Tab_00.Trial["&amp;U$4&amp;"]"),Tab_00.Trial[CONTA],$B21)</f>
        <v>0</v>
      </c>
      <c r="V21" s="78">
        <f t="shared" ca="1" si="36"/>
        <v>0</v>
      </c>
      <c r="W21" s="78">
        <f t="shared" ca="1" si="37"/>
        <v>0</v>
      </c>
      <c r="X21" s="4">
        <f ca="1">SUMIFS(INDIRECT("Tab_00.Trial["&amp;X$4&amp;"]"),Tab_00.Trial[CONTA],$B21)</f>
        <v>0</v>
      </c>
      <c r="Y21" s="78">
        <f t="shared" ca="1" si="38"/>
        <v>0</v>
      </c>
      <c r="Z21" s="78">
        <f t="shared" ca="1" si="39"/>
        <v>0</v>
      </c>
      <c r="AA21" s="4">
        <f ca="1">SUMIFS(INDIRECT("Tab_00.Trial["&amp;AA$4&amp;"]"),Tab_00.Trial[CONTA],$B21)</f>
        <v>0</v>
      </c>
      <c r="AB21" s="78">
        <f t="shared" ca="1" si="40"/>
        <v>0</v>
      </c>
      <c r="AC21" s="78">
        <f t="shared" ca="1" si="41"/>
        <v>0</v>
      </c>
      <c r="AD21" s="4">
        <f ca="1">SUMIFS(INDIRECT("Tab_00.Trial["&amp;AD$4&amp;"]"),Tab_00.Trial[CONTA],$B21)</f>
        <v>0</v>
      </c>
      <c r="AE21" s="78">
        <f t="shared" ca="1" si="42"/>
        <v>0</v>
      </c>
      <c r="AF21" s="78">
        <f t="shared" ca="1" si="43"/>
        <v>0</v>
      </c>
      <c r="AG21" s="4">
        <f ca="1">SUMIFS(INDIRECT("Tab_00.Trial["&amp;AG$4&amp;"]"),Tab_00.Trial[CONTA],$B21)</f>
        <v>0</v>
      </c>
      <c r="AH21" s="78">
        <f t="shared" ca="1" si="44"/>
        <v>0</v>
      </c>
      <c r="AI21" s="78">
        <f t="shared" ca="1" si="45"/>
        <v>0</v>
      </c>
      <c r="AJ21" s="4">
        <f ca="1">SUMIFS(INDIRECT("Tab_00.Trial["&amp;AJ$4&amp;"]"),Tab_00.Trial[CONTA],$B21)</f>
        <v>0</v>
      </c>
      <c r="AK21" s="78">
        <f t="shared" ca="1" si="46"/>
        <v>0</v>
      </c>
      <c r="AL21" s="78">
        <f t="shared" ca="1" si="47"/>
        <v>0</v>
      </c>
      <c r="AM21" s="4">
        <f ca="1">SUMIFS(INDIRECT("Tab_00.Trial["&amp;AM$4&amp;"]"),Tab_00.Trial[CONTA],$B21)</f>
        <v>0</v>
      </c>
      <c r="AN21" s="78">
        <f t="shared" ca="1" si="48"/>
        <v>0</v>
      </c>
      <c r="AO21" s="78">
        <f t="shared" ca="1" si="49"/>
        <v>0</v>
      </c>
    </row>
    <row r="22" spans="2:41" ht="15" hidden="1" customHeight="1" outlineLevel="1" x14ac:dyDescent="0.3">
      <c r="B22" s="14" t="s">
        <v>287</v>
      </c>
      <c r="C22" s="15" t="s">
        <v>288</v>
      </c>
      <c r="D22" s="4">
        <f>SUMIFS(Tab_99.Trial[DEZEMBRO],Tab_99.Trial[CONTA],$B22)</f>
        <v>0</v>
      </c>
      <c r="E22" s="78">
        <f t="shared" si="25"/>
        <v>0</v>
      </c>
      <c r="F22" s="4">
        <f ca="1">SUMIFS(INDIRECT("Tab_00.Trial["&amp;F$4&amp;"]"),Tab_00.Trial[CONTA],$B22)</f>
        <v>5434786.7999999998</v>
      </c>
      <c r="G22" s="78">
        <f t="shared" ca="1" si="26"/>
        <v>6.4799999999999996E-2</v>
      </c>
      <c r="H22" s="78">
        <f t="shared" ca="1" si="27"/>
        <v>0</v>
      </c>
      <c r="I22" s="4">
        <f ca="1">SUMIFS(INDIRECT("Tab_00.Trial["&amp;I$4&amp;"]"),Tab_00.Trial[CONTA],$B22)</f>
        <v>5477854.8899999997</v>
      </c>
      <c r="J22" s="78">
        <f t="shared" ca="1" si="28"/>
        <v>6.59E-2</v>
      </c>
      <c r="K22" s="78">
        <f t="shared" ca="1" si="29"/>
        <v>7.9000000000000008E-3</v>
      </c>
      <c r="L22" s="4">
        <f ca="1">SUMIFS(INDIRECT("Tab_00.Trial["&amp;L$4&amp;"]"),Tab_00.Trial[CONTA],$B22)</f>
        <v>5523040.9500000002</v>
      </c>
      <c r="M22" s="78">
        <f t="shared" ca="1" si="30"/>
        <v>6.6299999999999998E-2</v>
      </c>
      <c r="N22" s="78">
        <f t="shared" ca="1" si="31"/>
        <v>8.2000000000000007E-3</v>
      </c>
      <c r="O22" s="4">
        <f ca="1">SUMIFS(INDIRECT("Tab_00.Trial["&amp;O$4&amp;"]"),Tab_00.Trial[CONTA],$B22)</f>
        <v>5571170.5</v>
      </c>
      <c r="P22" s="78">
        <f t="shared" ca="1" si="32"/>
        <v>6.6600000000000006E-2</v>
      </c>
      <c r="Q22" s="78">
        <f t="shared" ca="1" si="33"/>
        <v>8.6999999999999994E-3</v>
      </c>
      <c r="R22" s="4">
        <f ca="1">SUMIFS(INDIRECT("Tab_00.Trial["&amp;R$4&amp;"]"),Tab_00.Trial[CONTA],$B22)</f>
        <v>5616536.9199999999</v>
      </c>
      <c r="S22" s="78">
        <f t="shared" ca="1" si="34"/>
        <v>6.6900000000000001E-2</v>
      </c>
      <c r="T22" s="78">
        <f t="shared" ca="1" si="35"/>
        <v>8.0999999999999996E-3</v>
      </c>
      <c r="U22" s="4">
        <f ca="1">SUMIFS(INDIRECT("Tab_00.Trial["&amp;U$4&amp;"]"),Tab_00.Trial[CONTA],$B22)</f>
        <v>5700309.3499999996</v>
      </c>
      <c r="V22" s="78">
        <f t="shared" ca="1" si="36"/>
        <v>6.7699999999999996E-2</v>
      </c>
      <c r="W22" s="78">
        <f t="shared" ca="1" si="37"/>
        <v>1.49E-2</v>
      </c>
      <c r="X22" s="4">
        <f ca="1">SUMIFS(INDIRECT("Tab_00.Trial["&amp;X$4&amp;"]"),Tab_00.Trial[CONTA],$B22)</f>
        <v>5751180.9500000002</v>
      </c>
      <c r="Y22" s="78">
        <f t="shared" ca="1" si="38"/>
        <v>6.7900000000000002E-2</v>
      </c>
      <c r="Z22" s="78">
        <f t="shared" ca="1" si="39"/>
        <v>8.8999999999999999E-3</v>
      </c>
      <c r="AA22" s="4">
        <f ca="1">SUMIFS(INDIRECT("Tab_00.Trial["&amp;AA$4&amp;"]"),Tab_00.Trial[CONTA],$B22)</f>
        <v>5800619.5899999999</v>
      </c>
      <c r="AB22" s="78">
        <f t="shared" ca="1" si="40"/>
        <v>6.8099999999999994E-2</v>
      </c>
      <c r="AC22" s="78">
        <f t="shared" ca="1" si="41"/>
        <v>8.6E-3</v>
      </c>
      <c r="AD22" s="4">
        <f ca="1">SUMIFS(INDIRECT("Tab_00.Trial["&amp;AD$4&amp;"]"),Tab_00.Trial[CONTA],$B22)</f>
        <v>5848302.5099999998</v>
      </c>
      <c r="AE22" s="78">
        <f t="shared" ca="1" si="42"/>
        <v>6.8699999999999997E-2</v>
      </c>
      <c r="AF22" s="78">
        <f t="shared" ca="1" si="43"/>
        <v>8.2000000000000007E-3</v>
      </c>
      <c r="AG22" s="4">
        <f ca="1">SUMIFS(INDIRECT("Tab_00.Trial["&amp;AG$4&amp;"]"),Tab_00.Trial[CONTA],$B22)</f>
        <v>5901811.4199999999</v>
      </c>
      <c r="AH22" s="78">
        <f t="shared" ca="1" si="44"/>
        <v>6.9099999999999995E-2</v>
      </c>
      <c r="AI22" s="78">
        <f t="shared" ca="1" si="45"/>
        <v>9.1000000000000004E-3</v>
      </c>
      <c r="AJ22" s="4">
        <f ca="1">SUMIFS(INDIRECT("Tab_00.Trial["&amp;AJ$4&amp;"]"),Tab_00.Trial[CONTA],$B22)</f>
        <v>5883269.54</v>
      </c>
      <c r="AK22" s="78">
        <f t="shared" ca="1" si="46"/>
        <v>6.8699999999999997E-2</v>
      </c>
      <c r="AL22" s="78">
        <f t="shared" ca="1" si="47"/>
        <v>-3.0999999999999999E-3</v>
      </c>
      <c r="AM22" s="4">
        <f ca="1">SUMIFS(INDIRECT("Tab_00.Trial["&amp;AM$4&amp;"]"),Tab_00.Trial[CONTA],$B22)</f>
        <v>5588853.7599999998</v>
      </c>
      <c r="AN22" s="78">
        <f t="shared" ca="1" si="48"/>
        <v>6.5299999999999997E-2</v>
      </c>
      <c r="AO22" s="78">
        <f t="shared" ca="1" si="49"/>
        <v>-0.05</v>
      </c>
    </row>
    <row r="23" spans="2:41" ht="15" hidden="1" customHeight="1" outlineLevel="1" x14ac:dyDescent="0.3">
      <c r="B23" s="14" t="s">
        <v>289</v>
      </c>
      <c r="C23" s="15" t="s">
        <v>290</v>
      </c>
      <c r="D23" s="4">
        <f>SUMIFS(Tab_99.Trial[DEZEMBRO],Tab_99.Trial[CONTA],$B23)</f>
        <v>0</v>
      </c>
      <c r="E23" s="78">
        <f t="shared" si="25"/>
        <v>0</v>
      </c>
      <c r="F23" s="4">
        <f ca="1">SUMIFS(INDIRECT("Tab_00.Trial["&amp;F$4&amp;"]"),Tab_00.Trial[CONTA],$B23)</f>
        <v>0</v>
      </c>
      <c r="G23" s="78">
        <f t="shared" ca="1" si="26"/>
        <v>0</v>
      </c>
      <c r="H23" s="78">
        <f t="shared" ca="1" si="27"/>
        <v>0</v>
      </c>
      <c r="I23" s="4">
        <f ca="1">SUMIFS(INDIRECT("Tab_00.Trial["&amp;I$4&amp;"]"),Tab_00.Trial[CONTA],$B23)</f>
        <v>0</v>
      </c>
      <c r="J23" s="78">
        <f t="shared" ca="1" si="28"/>
        <v>0</v>
      </c>
      <c r="K23" s="78">
        <f t="shared" ca="1" si="29"/>
        <v>0</v>
      </c>
      <c r="L23" s="4">
        <f ca="1">SUMIFS(INDIRECT("Tab_00.Trial["&amp;L$4&amp;"]"),Tab_00.Trial[CONTA],$B23)</f>
        <v>0</v>
      </c>
      <c r="M23" s="78">
        <f t="shared" ca="1" si="30"/>
        <v>0</v>
      </c>
      <c r="N23" s="78">
        <f t="shared" ca="1" si="31"/>
        <v>0</v>
      </c>
      <c r="O23" s="4">
        <f ca="1">SUMIFS(INDIRECT("Tab_00.Trial["&amp;O$4&amp;"]"),Tab_00.Trial[CONTA],$B23)</f>
        <v>0</v>
      </c>
      <c r="P23" s="78">
        <f t="shared" ca="1" si="32"/>
        <v>0</v>
      </c>
      <c r="Q23" s="78">
        <f t="shared" ca="1" si="33"/>
        <v>0</v>
      </c>
      <c r="R23" s="4">
        <f ca="1">SUMIFS(INDIRECT("Tab_00.Trial["&amp;R$4&amp;"]"),Tab_00.Trial[CONTA],$B23)</f>
        <v>0</v>
      </c>
      <c r="S23" s="78">
        <f t="shared" ca="1" si="34"/>
        <v>0</v>
      </c>
      <c r="T23" s="78">
        <f t="shared" ca="1" si="35"/>
        <v>0</v>
      </c>
      <c r="U23" s="4">
        <f ca="1">SUMIFS(INDIRECT("Tab_00.Trial["&amp;U$4&amp;"]"),Tab_00.Trial[CONTA],$B23)</f>
        <v>0</v>
      </c>
      <c r="V23" s="78">
        <f t="shared" ca="1" si="36"/>
        <v>0</v>
      </c>
      <c r="W23" s="78">
        <f t="shared" ca="1" si="37"/>
        <v>0</v>
      </c>
      <c r="X23" s="4">
        <f ca="1">SUMIFS(INDIRECT("Tab_00.Trial["&amp;X$4&amp;"]"),Tab_00.Trial[CONTA],$B23)</f>
        <v>0</v>
      </c>
      <c r="Y23" s="78">
        <f t="shared" ca="1" si="38"/>
        <v>0</v>
      </c>
      <c r="Z23" s="78">
        <f t="shared" ca="1" si="39"/>
        <v>0</v>
      </c>
      <c r="AA23" s="4">
        <f ca="1">SUMIFS(INDIRECT("Tab_00.Trial["&amp;AA$4&amp;"]"),Tab_00.Trial[CONTA],$B23)</f>
        <v>0</v>
      </c>
      <c r="AB23" s="78">
        <f t="shared" ca="1" si="40"/>
        <v>0</v>
      </c>
      <c r="AC23" s="78">
        <f t="shared" ca="1" si="41"/>
        <v>0</v>
      </c>
      <c r="AD23" s="4">
        <f ca="1">SUMIFS(INDIRECT("Tab_00.Trial["&amp;AD$4&amp;"]"),Tab_00.Trial[CONTA],$B23)</f>
        <v>0</v>
      </c>
      <c r="AE23" s="78">
        <f t="shared" ca="1" si="42"/>
        <v>0</v>
      </c>
      <c r="AF23" s="78">
        <f t="shared" ca="1" si="43"/>
        <v>0</v>
      </c>
      <c r="AG23" s="4">
        <f ca="1">SUMIFS(INDIRECT("Tab_00.Trial["&amp;AG$4&amp;"]"),Tab_00.Trial[CONTA],$B23)</f>
        <v>0</v>
      </c>
      <c r="AH23" s="78">
        <f t="shared" ca="1" si="44"/>
        <v>0</v>
      </c>
      <c r="AI23" s="78">
        <f t="shared" ca="1" si="45"/>
        <v>0</v>
      </c>
      <c r="AJ23" s="4">
        <f ca="1">SUMIFS(INDIRECT("Tab_00.Trial["&amp;AJ$4&amp;"]"),Tab_00.Trial[CONTA],$B23)</f>
        <v>0</v>
      </c>
      <c r="AK23" s="78">
        <f t="shared" ca="1" si="46"/>
        <v>0</v>
      </c>
      <c r="AL23" s="78">
        <f t="shared" ca="1" si="47"/>
        <v>0</v>
      </c>
      <c r="AM23" s="4">
        <f ca="1">SUMIFS(INDIRECT("Tab_00.Trial["&amp;AM$4&amp;"]"),Tab_00.Trial[CONTA],$B23)</f>
        <v>0</v>
      </c>
      <c r="AN23" s="78">
        <f t="shared" ca="1" si="48"/>
        <v>0</v>
      </c>
      <c r="AO23" s="78">
        <f t="shared" ca="1" si="49"/>
        <v>0</v>
      </c>
    </row>
    <row r="24" spans="2:41" ht="15" hidden="1" customHeight="1" outlineLevel="1" x14ac:dyDescent="0.3">
      <c r="B24" s="14" t="s">
        <v>808</v>
      </c>
      <c r="C24" s="15" t="s">
        <v>809</v>
      </c>
      <c r="D24" s="4">
        <f>SUMIFS(Tab_99.Trial[DEZEMBRO],Tab_99.Trial[CONTA],$B24)</f>
        <v>0</v>
      </c>
      <c r="E24" s="78">
        <f t="shared" si="25"/>
        <v>0</v>
      </c>
      <c r="F24" s="4">
        <f ca="1">SUMIFS(INDIRECT("Tab_00.Trial["&amp;F$4&amp;"]"),Tab_00.Trial[CONTA],$B24)</f>
        <v>0</v>
      </c>
      <c r="G24" s="78">
        <f t="shared" ca="1" si="26"/>
        <v>0</v>
      </c>
      <c r="H24" s="78">
        <f t="shared" ca="1" si="27"/>
        <v>0</v>
      </c>
      <c r="I24" s="4">
        <f ca="1">SUMIFS(INDIRECT("Tab_00.Trial["&amp;I$4&amp;"]"),Tab_00.Trial[CONTA],$B24)</f>
        <v>0</v>
      </c>
      <c r="J24" s="78">
        <f t="shared" ca="1" si="28"/>
        <v>0</v>
      </c>
      <c r="K24" s="78">
        <f t="shared" ca="1" si="29"/>
        <v>0</v>
      </c>
      <c r="L24" s="4">
        <f ca="1">SUMIFS(INDIRECT("Tab_00.Trial["&amp;L$4&amp;"]"),Tab_00.Trial[CONTA],$B24)</f>
        <v>0</v>
      </c>
      <c r="M24" s="78">
        <f t="shared" ca="1" si="30"/>
        <v>0</v>
      </c>
      <c r="N24" s="78">
        <f t="shared" ca="1" si="31"/>
        <v>0</v>
      </c>
      <c r="O24" s="4">
        <f ca="1">SUMIFS(INDIRECT("Tab_00.Trial["&amp;O$4&amp;"]"),Tab_00.Trial[CONTA],$B24)</f>
        <v>0</v>
      </c>
      <c r="P24" s="78">
        <f t="shared" ca="1" si="32"/>
        <v>0</v>
      </c>
      <c r="Q24" s="78">
        <f t="shared" ca="1" si="33"/>
        <v>0</v>
      </c>
      <c r="R24" s="4">
        <f ca="1">SUMIFS(INDIRECT("Tab_00.Trial["&amp;R$4&amp;"]"),Tab_00.Trial[CONTA],$B24)</f>
        <v>0</v>
      </c>
      <c r="S24" s="78">
        <f t="shared" ca="1" si="34"/>
        <v>0</v>
      </c>
      <c r="T24" s="78">
        <f t="shared" ca="1" si="35"/>
        <v>0</v>
      </c>
      <c r="U24" s="4">
        <f ca="1">SUMIFS(INDIRECT("Tab_00.Trial["&amp;U$4&amp;"]"),Tab_00.Trial[CONTA],$B24)</f>
        <v>0</v>
      </c>
      <c r="V24" s="78">
        <f t="shared" ca="1" si="36"/>
        <v>0</v>
      </c>
      <c r="W24" s="78">
        <f t="shared" ca="1" si="37"/>
        <v>0</v>
      </c>
      <c r="X24" s="4">
        <f ca="1">SUMIFS(INDIRECT("Tab_00.Trial["&amp;X$4&amp;"]"),Tab_00.Trial[CONTA],$B24)</f>
        <v>0</v>
      </c>
      <c r="Y24" s="78">
        <f t="shared" ca="1" si="38"/>
        <v>0</v>
      </c>
      <c r="Z24" s="78">
        <f t="shared" ca="1" si="39"/>
        <v>0</v>
      </c>
      <c r="AA24" s="4">
        <f ca="1">SUMIFS(INDIRECT("Tab_00.Trial["&amp;AA$4&amp;"]"),Tab_00.Trial[CONTA],$B24)</f>
        <v>0</v>
      </c>
      <c r="AB24" s="78">
        <f t="shared" ca="1" si="40"/>
        <v>0</v>
      </c>
      <c r="AC24" s="78">
        <f t="shared" ca="1" si="41"/>
        <v>0</v>
      </c>
      <c r="AD24" s="4">
        <f ca="1">SUMIFS(INDIRECT("Tab_00.Trial["&amp;AD$4&amp;"]"),Tab_00.Trial[CONTA],$B24)</f>
        <v>0</v>
      </c>
      <c r="AE24" s="78">
        <f t="shared" ca="1" si="42"/>
        <v>0</v>
      </c>
      <c r="AF24" s="78">
        <f t="shared" ca="1" si="43"/>
        <v>0</v>
      </c>
      <c r="AG24" s="4">
        <f ca="1">SUMIFS(INDIRECT("Tab_00.Trial["&amp;AG$4&amp;"]"),Tab_00.Trial[CONTA],$B24)</f>
        <v>0</v>
      </c>
      <c r="AH24" s="78">
        <f t="shared" ca="1" si="44"/>
        <v>0</v>
      </c>
      <c r="AI24" s="78">
        <f t="shared" ca="1" si="45"/>
        <v>0</v>
      </c>
      <c r="AJ24" s="4">
        <f ca="1">SUMIFS(INDIRECT("Tab_00.Trial["&amp;AJ$4&amp;"]"),Tab_00.Trial[CONTA],$B24)</f>
        <v>0</v>
      </c>
      <c r="AK24" s="78">
        <f t="shared" ca="1" si="46"/>
        <v>0</v>
      </c>
      <c r="AL24" s="78">
        <f t="shared" ca="1" si="47"/>
        <v>0</v>
      </c>
      <c r="AM24" s="4">
        <f ca="1">SUMIFS(INDIRECT("Tab_00.Trial["&amp;AM$4&amp;"]"),Tab_00.Trial[CONTA],$B24)</f>
        <v>338002.45</v>
      </c>
      <c r="AN24" s="78">
        <f t="shared" ca="1" si="48"/>
        <v>4.0000000000000001E-3</v>
      </c>
      <c r="AO24" s="78">
        <f t="shared" ca="1" si="49"/>
        <v>0</v>
      </c>
    </row>
    <row r="25" spans="2:41" ht="15" hidden="1" customHeight="1" outlineLevel="1" x14ac:dyDescent="0.3">
      <c r="B25" s="14"/>
      <c r="C25" s="15"/>
      <c r="D25" s="4">
        <f>SUMIFS(Tab_99.Trial[DEZEMBRO],Tab_99.Trial[CONTA],$B25)</f>
        <v>0</v>
      </c>
      <c r="E25" s="78">
        <f t="shared" si="25"/>
        <v>0</v>
      </c>
      <c r="F25" s="4">
        <f ca="1">SUMIFS(INDIRECT("Tab_00.Trial["&amp;F$4&amp;"]"),Tab_00.Trial[CONTA],$B25)</f>
        <v>0</v>
      </c>
      <c r="G25" s="78">
        <f t="shared" ca="1" si="26"/>
        <v>0</v>
      </c>
      <c r="H25" s="78">
        <f t="shared" ca="1" si="27"/>
        <v>0</v>
      </c>
      <c r="I25" s="4">
        <f ca="1">SUMIFS(INDIRECT("Tab_00.Trial["&amp;I$4&amp;"]"),Tab_00.Trial[CONTA],$B25)</f>
        <v>0</v>
      </c>
      <c r="J25" s="78">
        <f t="shared" ca="1" si="28"/>
        <v>0</v>
      </c>
      <c r="K25" s="78">
        <f t="shared" ca="1" si="29"/>
        <v>0</v>
      </c>
      <c r="L25" s="4">
        <f ca="1">SUMIFS(INDIRECT("Tab_00.Trial["&amp;L$4&amp;"]"),Tab_00.Trial[CONTA],$B25)</f>
        <v>0</v>
      </c>
      <c r="M25" s="78">
        <f t="shared" ca="1" si="30"/>
        <v>0</v>
      </c>
      <c r="N25" s="78">
        <f t="shared" ca="1" si="31"/>
        <v>0</v>
      </c>
      <c r="O25" s="4">
        <f ca="1">SUMIFS(INDIRECT("Tab_00.Trial["&amp;O$4&amp;"]"),Tab_00.Trial[CONTA],$B25)</f>
        <v>0</v>
      </c>
      <c r="P25" s="78">
        <f t="shared" ca="1" si="32"/>
        <v>0</v>
      </c>
      <c r="Q25" s="78">
        <f t="shared" ca="1" si="33"/>
        <v>0</v>
      </c>
      <c r="R25" s="4">
        <f ca="1">SUMIFS(INDIRECT("Tab_00.Trial["&amp;R$4&amp;"]"),Tab_00.Trial[CONTA],$B25)</f>
        <v>0</v>
      </c>
      <c r="S25" s="78">
        <f t="shared" ca="1" si="34"/>
        <v>0</v>
      </c>
      <c r="T25" s="78">
        <f t="shared" ca="1" si="35"/>
        <v>0</v>
      </c>
      <c r="U25" s="4">
        <f ca="1">SUMIFS(INDIRECT("Tab_00.Trial["&amp;U$4&amp;"]"),Tab_00.Trial[CONTA],$B25)</f>
        <v>0</v>
      </c>
      <c r="V25" s="78">
        <f t="shared" ca="1" si="36"/>
        <v>0</v>
      </c>
      <c r="W25" s="78">
        <f t="shared" ca="1" si="37"/>
        <v>0</v>
      </c>
      <c r="X25" s="4">
        <f ca="1">SUMIFS(INDIRECT("Tab_00.Trial["&amp;X$4&amp;"]"),Tab_00.Trial[CONTA],$B25)</f>
        <v>0</v>
      </c>
      <c r="Y25" s="78">
        <f t="shared" ca="1" si="38"/>
        <v>0</v>
      </c>
      <c r="Z25" s="78">
        <f t="shared" ca="1" si="39"/>
        <v>0</v>
      </c>
      <c r="AA25" s="4">
        <f ca="1">SUMIFS(INDIRECT("Tab_00.Trial["&amp;AA$4&amp;"]"),Tab_00.Trial[CONTA],$B25)</f>
        <v>0</v>
      </c>
      <c r="AB25" s="78">
        <f t="shared" ca="1" si="40"/>
        <v>0</v>
      </c>
      <c r="AC25" s="78">
        <f t="shared" ca="1" si="41"/>
        <v>0</v>
      </c>
      <c r="AD25" s="4">
        <f ca="1">SUMIFS(INDIRECT("Tab_00.Trial["&amp;AD$4&amp;"]"),Tab_00.Trial[CONTA],$B25)</f>
        <v>0</v>
      </c>
      <c r="AE25" s="78">
        <f t="shared" ca="1" si="42"/>
        <v>0</v>
      </c>
      <c r="AF25" s="78">
        <f t="shared" ca="1" si="43"/>
        <v>0</v>
      </c>
      <c r="AG25" s="4">
        <f ca="1">SUMIFS(INDIRECT("Tab_00.Trial["&amp;AG$4&amp;"]"),Tab_00.Trial[CONTA],$B25)</f>
        <v>0</v>
      </c>
      <c r="AH25" s="78">
        <f t="shared" ca="1" si="44"/>
        <v>0</v>
      </c>
      <c r="AI25" s="78">
        <f t="shared" ca="1" si="45"/>
        <v>0</v>
      </c>
      <c r="AJ25" s="4">
        <f ca="1">SUMIFS(INDIRECT("Tab_00.Trial["&amp;AJ$4&amp;"]"),Tab_00.Trial[CONTA],$B25)</f>
        <v>0</v>
      </c>
      <c r="AK25" s="78">
        <f t="shared" ca="1" si="46"/>
        <v>0</v>
      </c>
      <c r="AL25" s="78">
        <f t="shared" ca="1" si="47"/>
        <v>0</v>
      </c>
      <c r="AM25" s="4">
        <f ca="1">SUMIFS(INDIRECT("Tab_00.Trial["&amp;AM$4&amp;"]"),Tab_00.Trial[CONTA],$B25)</f>
        <v>0</v>
      </c>
      <c r="AN25" s="78">
        <f t="shared" ca="1" si="48"/>
        <v>0</v>
      </c>
      <c r="AO25" s="78">
        <f t="shared" ca="1" si="49"/>
        <v>0</v>
      </c>
    </row>
    <row r="26" spans="2:41" ht="15" hidden="1" customHeight="1" outlineLevel="1" x14ac:dyDescent="0.3">
      <c r="B26" s="14"/>
      <c r="C26" s="15"/>
      <c r="D26" s="4">
        <f>SUMIFS(Tab_99.Trial[DEZEMBRO],Tab_99.Trial[CONTA],$B26)</f>
        <v>0</v>
      </c>
      <c r="E26" s="78">
        <f t="shared" si="25"/>
        <v>0</v>
      </c>
      <c r="F26" s="4">
        <f ca="1">SUMIFS(INDIRECT("Tab_00.Trial["&amp;F$4&amp;"]"),Tab_00.Trial[CONTA],$B26)</f>
        <v>0</v>
      </c>
      <c r="G26" s="78">
        <f t="shared" ca="1" si="26"/>
        <v>0</v>
      </c>
      <c r="H26" s="78">
        <f t="shared" ca="1" si="27"/>
        <v>0</v>
      </c>
      <c r="I26" s="4">
        <f ca="1">SUMIFS(INDIRECT("Tab_00.Trial["&amp;I$4&amp;"]"),Tab_00.Trial[CONTA],$B26)</f>
        <v>0</v>
      </c>
      <c r="J26" s="78">
        <f t="shared" ca="1" si="28"/>
        <v>0</v>
      </c>
      <c r="K26" s="78">
        <f t="shared" ca="1" si="29"/>
        <v>0</v>
      </c>
      <c r="L26" s="4">
        <f ca="1">SUMIFS(INDIRECT("Tab_00.Trial["&amp;L$4&amp;"]"),Tab_00.Trial[CONTA],$B26)</f>
        <v>0</v>
      </c>
      <c r="M26" s="78">
        <f t="shared" ca="1" si="30"/>
        <v>0</v>
      </c>
      <c r="N26" s="78">
        <f t="shared" ca="1" si="31"/>
        <v>0</v>
      </c>
      <c r="O26" s="4">
        <f ca="1">SUMIFS(INDIRECT("Tab_00.Trial["&amp;O$4&amp;"]"),Tab_00.Trial[CONTA],$B26)</f>
        <v>0</v>
      </c>
      <c r="P26" s="78">
        <f t="shared" ca="1" si="32"/>
        <v>0</v>
      </c>
      <c r="Q26" s="78">
        <f t="shared" ca="1" si="33"/>
        <v>0</v>
      </c>
      <c r="R26" s="4">
        <f ca="1">SUMIFS(INDIRECT("Tab_00.Trial["&amp;R$4&amp;"]"),Tab_00.Trial[CONTA],$B26)</f>
        <v>0</v>
      </c>
      <c r="S26" s="78">
        <f t="shared" ca="1" si="34"/>
        <v>0</v>
      </c>
      <c r="T26" s="78">
        <f t="shared" ca="1" si="35"/>
        <v>0</v>
      </c>
      <c r="U26" s="4">
        <f ca="1">SUMIFS(INDIRECT("Tab_00.Trial["&amp;U$4&amp;"]"),Tab_00.Trial[CONTA],$B26)</f>
        <v>0</v>
      </c>
      <c r="V26" s="78">
        <f t="shared" ca="1" si="36"/>
        <v>0</v>
      </c>
      <c r="W26" s="78">
        <f t="shared" ca="1" si="37"/>
        <v>0</v>
      </c>
      <c r="X26" s="4">
        <f ca="1">SUMIFS(INDIRECT("Tab_00.Trial["&amp;X$4&amp;"]"),Tab_00.Trial[CONTA],$B26)</f>
        <v>0</v>
      </c>
      <c r="Y26" s="78">
        <f t="shared" ca="1" si="38"/>
        <v>0</v>
      </c>
      <c r="Z26" s="78">
        <f t="shared" ca="1" si="39"/>
        <v>0</v>
      </c>
      <c r="AA26" s="4">
        <f ca="1">SUMIFS(INDIRECT("Tab_00.Trial["&amp;AA$4&amp;"]"),Tab_00.Trial[CONTA],$B26)</f>
        <v>0</v>
      </c>
      <c r="AB26" s="78">
        <f t="shared" ca="1" si="40"/>
        <v>0</v>
      </c>
      <c r="AC26" s="78">
        <f t="shared" ca="1" si="41"/>
        <v>0</v>
      </c>
      <c r="AD26" s="4">
        <f ca="1">SUMIFS(INDIRECT("Tab_00.Trial["&amp;AD$4&amp;"]"),Tab_00.Trial[CONTA],$B26)</f>
        <v>0</v>
      </c>
      <c r="AE26" s="78">
        <f t="shared" ca="1" si="42"/>
        <v>0</v>
      </c>
      <c r="AF26" s="78">
        <f t="shared" ca="1" si="43"/>
        <v>0</v>
      </c>
      <c r="AG26" s="4">
        <f ca="1">SUMIFS(INDIRECT("Tab_00.Trial["&amp;AG$4&amp;"]"),Tab_00.Trial[CONTA],$B26)</f>
        <v>0</v>
      </c>
      <c r="AH26" s="78">
        <f t="shared" ca="1" si="44"/>
        <v>0</v>
      </c>
      <c r="AI26" s="78">
        <f t="shared" ca="1" si="45"/>
        <v>0</v>
      </c>
      <c r="AJ26" s="4">
        <f ca="1">SUMIFS(INDIRECT("Tab_00.Trial["&amp;AJ$4&amp;"]"),Tab_00.Trial[CONTA],$B26)</f>
        <v>0</v>
      </c>
      <c r="AK26" s="78">
        <f t="shared" ca="1" si="46"/>
        <v>0</v>
      </c>
      <c r="AL26" s="78">
        <f t="shared" ca="1" si="47"/>
        <v>0</v>
      </c>
      <c r="AM26" s="4">
        <f ca="1">SUMIFS(INDIRECT("Tab_00.Trial["&amp;AM$4&amp;"]"),Tab_00.Trial[CONTA],$B26)</f>
        <v>0</v>
      </c>
      <c r="AN26" s="78">
        <f t="shared" ca="1" si="48"/>
        <v>0</v>
      </c>
      <c r="AO26" s="78">
        <f t="shared" ca="1" si="49"/>
        <v>0</v>
      </c>
    </row>
    <row r="27" spans="2:41" ht="15" hidden="1" customHeight="1" outlineLevel="1" x14ac:dyDescent="0.3">
      <c r="B27" s="14"/>
      <c r="C27" s="15"/>
      <c r="D27" s="4">
        <f>SUMIFS(Tab_99.Trial[DEZEMBRO],Tab_99.Trial[CONTA],$B27)</f>
        <v>0</v>
      </c>
      <c r="E27" s="78">
        <f t="shared" si="25"/>
        <v>0</v>
      </c>
      <c r="F27" s="4">
        <f ca="1">SUMIFS(INDIRECT("Tab_00.Trial["&amp;F$4&amp;"]"),Tab_00.Trial[CONTA],$B27)</f>
        <v>0</v>
      </c>
      <c r="G27" s="78">
        <f t="shared" ca="1" si="26"/>
        <v>0</v>
      </c>
      <c r="H27" s="78">
        <f t="shared" ca="1" si="27"/>
        <v>0</v>
      </c>
      <c r="I27" s="4">
        <f ca="1">SUMIFS(INDIRECT("Tab_00.Trial["&amp;I$4&amp;"]"),Tab_00.Trial[CONTA],$B27)</f>
        <v>0</v>
      </c>
      <c r="J27" s="78">
        <f t="shared" ca="1" si="28"/>
        <v>0</v>
      </c>
      <c r="K27" s="78">
        <f t="shared" ca="1" si="29"/>
        <v>0</v>
      </c>
      <c r="L27" s="4">
        <f ca="1">SUMIFS(INDIRECT("Tab_00.Trial["&amp;L$4&amp;"]"),Tab_00.Trial[CONTA],$B27)</f>
        <v>0</v>
      </c>
      <c r="M27" s="78">
        <f t="shared" ca="1" si="30"/>
        <v>0</v>
      </c>
      <c r="N27" s="78">
        <f t="shared" ca="1" si="31"/>
        <v>0</v>
      </c>
      <c r="O27" s="4">
        <f ca="1">SUMIFS(INDIRECT("Tab_00.Trial["&amp;O$4&amp;"]"),Tab_00.Trial[CONTA],$B27)</f>
        <v>0</v>
      </c>
      <c r="P27" s="78">
        <f t="shared" ca="1" si="32"/>
        <v>0</v>
      </c>
      <c r="Q27" s="78">
        <f t="shared" ca="1" si="33"/>
        <v>0</v>
      </c>
      <c r="R27" s="4">
        <f ca="1">SUMIFS(INDIRECT("Tab_00.Trial["&amp;R$4&amp;"]"),Tab_00.Trial[CONTA],$B27)</f>
        <v>0</v>
      </c>
      <c r="S27" s="78">
        <f t="shared" ca="1" si="34"/>
        <v>0</v>
      </c>
      <c r="T27" s="78">
        <f t="shared" ca="1" si="35"/>
        <v>0</v>
      </c>
      <c r="U27" s="4">
        <f ca="1">SUMIFS(INDIRECT("Tab_00.Trial["&amp;U$4&amp;"]"),Tab_00.Trial[CONTA],$B27)</f>
        <v>0</v>
      </c>
      <c r="V27" s="78">
        <f t="shared" ca="1" si="36"/>
        <v>0</v>
      </c>
      <c r="W27" s="78">
        <f t="shared" ca="1" si="37"/>
        <v>0</v>
      </c>
      <c r="X27" s="4">
        <f ca="1">SUMIFS(INDIRECT("Tab_00.Trial["&amp;X$4&amp;"]"),Tab_00.Trial[CONTA],$B27)</f>
        <v>0</v>
      </c>
      <c r="Y27" s="78">
        <f t="shared" ca="1" si="38"/>
        <v>0</v>
      </c>
      <c r="Z27" s="78">
        <f t="shared" ca="1" si="39"/>
        <v>0</v>
      </c>
      <c r="AA27" s="4">
        <f ca="1">SUMIFS(INDIRECT("Tab_00.Trial["&amp;AA$4&amp;"]"),Tab_00.Trial[CONTA],$B27)</f>
        <v>0</v>
      </c>
      <c r="AB27" s="78">
        <f t="shared" ca="1" si="40"/>
        <v>0</v>
      </c>
      <c r="AC27" s="78">
        <f t="shared" ca="1" si="41"/>
        <v>0</v>
      </c>
      <c r="AD27" s="4">
        <f ca="1">SUMIFS(INDIRECT("Tab_00.Trial["&amp;AD$4&amp;"]"),Tab_00.Trial[CONTA],$B27)</f>
        <v>0</v>
      </c>
      <c r="AE27" s="78">
        <f t="shared" ca="1" si="42"/>
        <v>0</v>
      </c>
      <c r="AF27" s="78">
        <f t="shared" ca="1" si="43"/>
        <v>0</v>
      </c>
      <c r="AG27" s="4">
        <f ca="1">SUMIFS(INDIRECT("Tab_00.Trial["&amp;AG$4&amp;"]"),Tab_00.Trial[CONTA],$B27)</f>
        <v>0</v>
      </c>
      <c r="AH27" s="78">
        <f t="shared" ca="1" si="44"/>
        <v>0</v>
      </c>
      <c r="AI27" s="78">
        <f t="shared" ca="1" si="45"/>
        <v>0</v>
      </c>
      <c r="AJ27" s="4">
        <f ca="1">SUMIFS(INDIRECT("Tab_00.Trial["&amp;AJ$4&amp;"]"),Tab_00.Trial[CONTA],$B27)</f>
        <v>0</v>
      </c>
      <c r="AK27" s="78">
        <f t="shared" ca="1" si="46"/>
        <v>0</v>
      </c>
      <c r="AL27" s="78">
        <f t="shared" ca="1" si="47"/>
        <v>0</v>
      </c>
      <c r="AM27" s="4">
        <f ca="1">SUMIFS(INDIRECT("Tab_00.Trial["&amp;AM$4&amp;"]"),Tab_00.Trial[CONTA],$B27)</f>
        <v>0</v>
      </c>
      <c r="AN27" s="78">
        <f t="shared" ca="1" si="48"/>
        <v>0</v>
      </c>
      <c r="AO27" s="78">
        <f t="shared" ca="1" si="49"/>
        <v>0</v>
      </c>
    </row>
    <row r="28" spans="2:41" ht="15" hidden="1" customHeight="1" outlineLevel="1" x14ac:dyDescent="0.3">
      <c r="B28" s="14"/>
      <c r="C28" s="15"/>
      <c r="D28" s="4">
        <f>SUMIFS(Tab_99.Trial[DEZEMBRO],Tab_99.Trial[CONTA],$B28)</f>
        <v>0</v>
      </c>
      <c r="E28" s="78">
        <f t="shared" si="25"/>
        <v>0</v>
      </c>
      <c r="F28" s="4">
        <f ca="1">SUMIFS(INDIRECT("Tab_00.Trial["&amp;F$4&amp;"]"),Tab_00.Trial[CONTA],$B28)</f>
        <v>0</v>
      </c>
      <c r="G28" s="78">
        <f t="shared" ca="1" si="26"/>
        <v>0</v>
      </c>
      <c r="H28" s="78">
        <f t="shared" ca="1" si="27"/>
        <v>0</v>
      </c>
      <c r="I28" s="4">
        <f ca="1">SUMIFS(INDIRECT("Tab_00.Trial["&amp;I$4&amp;"]"),Tab_00.Trial[CONTA],$B28)</f>
        <v>0</v>
      </c>
      <c r="J28" s="78">
        <f t="shared" ca="1" si="28"/>
        <v>0</v>
      </c>
      <c r="K28" s="78">
        <f t="shared" ca="1" si="29"/>
        <v>0</v>
      </c>
      <c r="L28" s="4">
        <f ca="1">SUMIFS(INDIRECT("Tab_00.Trial["&amp;L$4&amp;"]"),Tab_00.Trial[CONTA],$B28)</f>
        <v>0</v>
      </c>
      <c r="M28" s="78">
        <f t="shared" ca="1" si="30"/>
        <v>0</v>
      </c>
      <c r="N28" s="78">
        <f t="shared" ca="1" si="31"/>
        <v>0</v>
      </c>
      <c r="O28" s="4">
        <f ca="1">SUMIFS(INDIRECT("Tab_00.Trial["&amp;O$4&amp;"]"),Tab_00.Trial[CONTA],$B28)</f>
        <v>0</v>
      </c>
      <c r="P28" s="78">
        <f t="shared" ca="1" si="32"/>
        <v>0</v>
      </c>
      <c r="Q28" s="78">
        <f t="shared" ca="1" si="33"/>
        <v>0</v>
      </c>
      <c r="R28" s="4">
        <f ca="1">SUMIFS(INDIRECT("Tab_00.Trial["&amp;R$4&amp;"]"),Tab_00.Trial[CONTA],$B28)</f>
        <v>0</v>
      </c>
      <c r="S28" s="78">
        <f t="shared" ca="1" si="34"/>
        <v>0</v>
      </c>
      <c r="T28" s="78">
        <f t="shared" ca="1" si="35"/>
        <v>0</v>
      </c>
      <c r="U28" s="4">
        <f ca="1">SUMIFS(INDIRECT("Tab_00.Trial["&amp;U$4&amp;"]"),Tab_00.Trial[CONTA],$B28)</f>
        <v>0</v>
      </c>
      <c r="V28" s="78">
        <f t="shared" ca="1" si="36"/>
        <v>0</v>
      </c>
      <c r="W28" s="78">
        <f t="shared" ca="1" si="37"/>
        <v>0</v>
      </c>
      <c r="X28" s="4">
        <f ca="1">SUMIFS(INDIRECT("Tab_00.Trial["&amp;X$4&amp;"]"),Tab_00.Trial[CONTA],$B28)</f>
        <v>0</v>
      </c>
      <c r="Y28" s="78">
        <f t="shared" ca="1" si="38"/>
        <v>0</v>
      </c>
      <c r="Z28" s="78">
        <f t="shared" ca="1" si="39"/>
        <v>0</v>
      </c>
      <c r="AA28" s="4">
        <f ca="1">SUMIFS(INDIRECT("Tab_00.Trial["&amp;AA$4&amp;"]"),Tab_00.Trial[CONTA],$B28)</f>
        <v>0</v>
      </c>
      <c r="AB28" s="78">
        <f t="shared" ca="1" si="40"/>
        <v>0</v>
      </c>
      <c r="AC28" s="78">
        <f t="shared" ca="1" si="41"/>
        <v>0</v>
      </c>
      <c r="AD28" s="4">
        <f ca="1">SUMIFS(INDIRECT("Tab_00.Trial["&amp;AD$4&amp;"]"),Tab_00.Trial[CONTA],$B28)</f>
        <v>0</v>
      </c>
      <c r="AE28" s="78">
        <f t="shared" ca="1" si="42"/>
        <v>0</v>
      </c>
      <c r="AF28" s="78">
        <f t="shared" ca="1" si="43"/>
        <v>0</v>
      </c>
      <c r="AG28" s="4">
        <f ca="1">SUMIFS(INDIRECT("Tab_00.Trial["&amp;AG$4&amp;"]"),Tab_00.Trial[CONTA],$B28)</f>
        <v>0</v>
      </c>
      <c r="AH28" s="78">
        <f t="shared" ca="1" si="44"/>
        <v>0</v>
      </c>
      <c r="AI28" s="78">
        <f t="shared" ca="1" si="45"/>
        <v>0</v>
      </c>
      <c r="AJ28" s="4">
        <f ca="1">SUMIFS(INDIRECT("Tab_00.Trial["&amp;AJ$4&amp;"]"),Tab_00.Trial[CONTA],$B28)</f>
        <v>0</v>
      </c>
      <c r="AK28" s="78">
        <f t="shared" ca="1" si="46"/>
        <v>0</v>
      </c>
      <c r="AL28" s="78">
        <f t="shared" ca="1" si="47"/>
        <v>0</v>
      </c>
      <c r="AM28" s="4">
        <f ca="1">SUMIFS(INDIRECT("Tab_00.Trial["&amp;AM$4&amp;"]"),Tab_00.Trial[CONTA],$B28)</f>
        <v>0</v>
      </c>
      <c r="AN28" s="78">
        <f t="shared" ca="1" si="48"/>
        <v>0</v>
      </c>
      <c r="AO28" s="78">
        <f t="shared" ca="1" si="49"/>
        <v>0</v>
      </c>
    </row>
    <row r="29" spans="2:41" ht="5.0999999999999996" hidden="1" customHeight="1" outlineLevel="1" x14ac:dyDescent="0.3">
      <c r="B29" s="74"/>
      <c r="C29" s="75"/>
      <c r="D29" s="76"/>
      <c r="E29" s="77"/>
      <c r="F29" s="76"/>
      <c r="G29" s="77"/>
      <c r="H29" s="77"/>
      <c r="I29" s="76"/>
      <c r="J29" s="77"/>
      <c r="K29" s="77"/>
      <c r="L29" s="76"/>
      <c r="M29" s="77"/>
      <c r="N29" s="77"/>
      <c r="O29" s="76"/>
      <c r="P29" s="77"/>
      <c r="Q29" s="77"/>
      <c r="R29" s="76"/>
      <c r="S29" s="77"/>
      <c r="T29" s="77"/>
      <c r="U29" s="76"/>
      <c r="V29" s="77"/>
      <c r="W29" s="77"/>
      <c r="X29" s="76"/>
      <c r="Y29" s="77"/>
      <c r="Z29" s="77"/>
      <c r="AA29" s="76"/>
      <c r="AB29" s="77"/>
      <c r="AC29" s="77"/>
      <c r="AD29" s="76"/>
      <c r="AE29" s="77"/>
      <c r="AF29" s="77"/>
      <c r="AG29" s="76"/>
      <c r="AH29" s="77"/>
      <c r="AI29" s="77"/>
      <c r="AJ29" s="76"/>
      <c r="AK29" s="77"/>
      <c r="AL29" s="77"/>
      <c r="AM29" s="76"/>
      <c r="AN29" s="77"/>
      <c r="AO29" s="77"/>
    </row>
    <row r="30" spans="2:41" ht="15" customHeight="1" x14ac:dyDescent="0.3">
      <c r="B30" s="3" t="s">
        <v>40</v>
      </c>
      <c r="C30" s="14" t="s">
        <v>99</v>
      </c>
      <c r="D30" s="4">
        <f>SUBTOTAL(9,D$31:D$34)</f>
        <v>0</v>
      </c>
      <c r="E30" s="78">
        <f>IFERROR($D30/$D$160,0)</f>
        <v>0</v>
      </c>
      <c r="F30" s="4">
        <f ca="1">SUBTOTAL(9,F$31:F$34)</f>
        <v>99274.97</v>
      </c>
      <c r="G30" s="78">
        <f ca="1">IFERROR($F30/$F$160,0)</f>
        <v>1.1999999999999999E-3</v>
      </c>
      <c r="H30" s="78">
        <f t="shared" ca="1" si="27"/>
        <v>0</v>
      </c>
      <c r="I30" s="4">
        <f ca="1">SUBTOTAL(9,I$31:I$34)</f>
        <v>99274.97</v>
      </c>
      <c r="J30" s="78">
        <f ca="1">IFERROR($I30/$I$160,0)</f>
        <v>1.1999999999999999E-3</v>
      </c>
      <c r="K30" s="78">
        <f t="shared" ca="1" si="29"/>
        <v>0</v>
      </c>
      <c r="L30" s="4">
        <f ca="1">SUBTOTAL(9,L$31:L$34)</f>
        <v>99274.97</v>
      </c>
      <c r="M30" s="78">
        <f ca="1">IFERROR($L30/$L$160,0)</f>
        <v>1.1999999999999999E-3</v>
      </c>
      <c r="N30" s="78">
        <f t="shared" ca="1" si="31"/>
        <v>0</v>
      </c>
      <c r="O30" s="4">
        <f ca="1">SUBTOTAL(9,O$31:O$34)</f>
        <v>99274.97</v>
      </c>
      <c r="P30" s="78">
        <f ca="1">IFERROR($O30/$O$160,0)</f>
        <v>1.1999999999999999E-3</v>
      </c>
      <c r="Q30" s="78">
        <f t="shared" ca="1" si="33"/>
        <v>0</v>
      </c>
      <c r="R30" s="4">
        <f ca="1">SUBTOTAL(9,R$31:R$34)</f>
        <v>99274.97</v>
      </c>
      <c r="S30" s="78">
        <f ca="1">IFERROR($R30/$R$160,0)</f>
        <v>1.1999999999999999E-3</v>
      </c>
      <c r="T30" s="78">
        <f t="shared" ca="1" si="35"/>
        <v>0</v>
      </c>
      <c r="U30" s="4">
        <f ca="1">SUBTOTAL(9,U$31:U$34)</f>
        <v>99274.97</v>
      </c>
      <c r="V30" s="78">
        <f ca="1">IFERROR($U30/$U$160,0)</f>
        <v>1.1999999999999999E-3</v>
      </c>
      <c r="W30" s="78">
        <f t="shared" ca="1" si="37"/>
        <v>0</v>
      </c>
      <c r="X30" s="4">
        <f ca="1">SUBTOTAL(9,X$31:X$34)</f>
        <v>99274.97</v>
      </c>
      <c r="Y30" s="78">
        <f ca="1">IFERROR($X30/$X$160,0)</f>
        <v>1.1999999999999999E-3</v>
      </c>
      <c r="Z30" s="78">
        <f t="shared" ca="1" si="39"/>
        <v>0</v>
      </c>
      <c r="AA30" s="4">
        <f ca="1">SUBTOTAL(9,AA$31:AA$34)</f>
        <v>99274.97</v>
      </c>
      <c r="AB30" s="78">
        <f ca="1">IFERROR($AA30/$AA$160,0)</f>
        <v>1.1999999999999999E-3</v>
      </c>
      <c r="AC30" s="78">
        <f t="shared" ca="1" si="41"/>
        <v>0</v>
      </c>
      <c r="AD30" s="4">
        <f ca="1">SUBTOTAL(9,AD$31:AD$34)</f>
        <v>99274.97</v>
      </c>
      <c r="AE30" s="78">
        <f ca="1">IFERROR($AD30/$AD$160,0)</f>
        <v>1.1999999999999999E-3</v>
      </c>
      <c r="AF30" s="78">
        <f t="shared" ca="1" si="43"/>
        <v>0</v>
      </c>
      <c r="AG30" s="4">
        <f ca="1">SUBTOTAL(9,AG$31:AG$34)</f>
        <v>99324.97</v>
      </c>
      <c r="AH30" s="78">
        <f ca="1">IFERROR($AG30/$AG$160,0)</f>
        <v>1.1999999999999999E-3</v>
      </c>
      <c r="AI30" s="78">
        <f t="shared" ca="1" si="45"/>
        <v>5.0000000000000001E-4</v>
      </c>
      <c r="AJ30" s="4">
        <f ca="1">SUBTOTAL(9,AJ$31:AJ$34)</f>
        <v>104030.92</v>
      </c>
      <c r="AK30" s="78">
        <f ca="1">IFERROR($AJ30/$AJ$160,0)</f>
        <v>1.1999999999999999E-3</v>
      </c>
      <c r="AL30" s="78">
        <f t="shared" ca="1" si="47"/>
        <v>4.7399999999999998E-2</v>
      </c>
      <c r="AM30" s="4">
        <f ca="1">SUBTOTAL(9,AM$31:AM$34)</f>
        <v>4705.95</v>
      </c>
      <c r="AN30" s="78">
        <f ca="1">IFERROR(AM30/AM$160,0)</f>
        <v>1E-4</v>
      </c>
      <c r="AO30" s="78">
        <f t="shared" ca="1" si="49"/>
        <v>-0.95479999999999998</v>
      </c>
    </row>
    <row r="31" spans="2:41" ht="15" customHeight="1" outlineLevel="1" x14ac:dyDescent="0.3">
      <c r="B31" s="14" t="s">
        <v>291</v>
      </c>
      <c r="C31" s="15" t="s">
        <v>292</v>
      </c>
      <c r="D31" s="4">
        <f>SUMIFS(Tab_99.Trial[DEZEMBRO],Tab_99.Trial[CONTA],$B31)</f>
        <v>0</v>
      </c>
      <c r="E31" s="78">
        <f>IFERROR($D31/$D$160,0)</f>
        <v>0</v>
      </c>
      <c r="F31" s="4">
        <f ca="1">SUMIFS(INDIRECT("Tab_00.Trial["&amp;F$4&amp;"]"),Tab_00.Trial[CONTA],$B31)</f>
        <v>99274.97</v>
      </c>
      <c r="G31" s="78">
        <f ca="1">IFERROR($F31/$F$160,0)</f>
        <v>1.1999999999999999E-3</v>
      </c>
      <c r="H31" s="78">
        <f t="shared" ca="1" si="27"/>
        <v>0</v>
      </c>
      <c r="I31" s="4">
        <f ca="1">SUMIFS(INDIRECT("Tab_00.Trial["&amp;I$4&amp;"]"),Tab_00.Trial[CONTA],$B31)</f>
        <v>99274.97</v>
      </c>
      <c r="J31" s="78">
        <f ca="1">IFERROR($I31/$I$160,0)</f>
        <v>1.1999999999999999E-3</v>
      </c>
      <c r="K31" s="78">
        <f t="shared" ca="1" si="29"/>
        <v>0</v>
      </c>
      <c r="L31" s="4">
        <f ca="1">SUMIFS(INDIRECT("Tab_00.Trial["&amp;L$4&amp;"]"),Tab_00.Trial[CONTA],$B31)</f>
        <v>99274.97</v>
      </c>
      <c r="M31" s="78">
        <f ca="1">IFERROR($L31/$L$160,0)</f>
        <v>1.1999999999999999E-3</v>
      </c>
      <c r="N31" s="78">
        <f t="shared" ca="1" si="31"/>
        <v>0</v>
      </c>
      <c r="O31" s="4">
        <f ca="1">SUMIFS(INDIRECT("Tab_00.Trial["&amp;O$4&amp;"]"),Tab_00.Trial[CONTA],$B31)</f>
        <v>99274.97</v>
      </c>
      <c r="P31" s="78">
        <f ca="1">IFERROR($O31/$O$160,0)</f>
        <v>1.1999999999999999E-3</v>
      </c>
      <c r="Q31" s="78">
        <f t="shared" ca="1" si="33"/>
        <v>0</v>
      </c>
      <c r="R31" s="4">
        <f ca="1">SUMIFS(INDIRECT("Tab_00.Trial["&amp;R$4&amp;"]"),Tab_00.Trial[CONTA],$B31)</f>
        <v>99274.97</v>
      </c>
      <c r="S31" s="78">
        <f ca="1">IFERROR($R31/$R$160,0)</f>
        <v>1.1999999999999999E-3</v>
      </c>
      <c r="T31" s="78">
        <f t="shared" ca="1" si="35"/>
        <v>0</v>
      </c>
      <c r="U31" s="4">
        <f ca="1">SUMIFS(INDIRECT("Tab_00.Trial["&amp;U$4&amp;"]"),Tab_00.Trial[CONTA],$B31)</f>
        <v>99274.97</v>
      </c>
      <c r="V31" s="78">
        <f ca="1">IFERROR($U31/$U$160,0)</f>
        <v>1.1999999999999999E-3</v>
      </c>
      <c r="W31" s="78">
        <f t="shared" ca="1" si="37"/>
        <v>0</v>
      </c>
      <c r="X31" s="4">
        <f ca="1">SUMIFS(INDIRECT("Tab_00.Trial["&amp;X$4&amp;"]"),Tab_00.Trial[CONTA],$B31)</f>
        <v>99274.97</v>
      </c>
      <c r="Y31" s="78">
        <f ca="1">IFERROR($X31/$X$160,0)</f>
        <v>1.1999999999999999E-3</v>
      </c>
      <c r="Z31" s="78">
        <f t="shared" ca="1" si="39"/>
        <v>0</v>
      </c>
      <c r="AA31" s="4">
        <f ca="1">SUMIFS(INDIRECT("Tab_00.Trial["&amp;AA$4&amp;"]"),Tab_00.Trial[CONTA],$B31)</f>
        <v>99274.97</v>
      </c>
      <c r="AB31" s="78">
        <f ca="1">IFERROR($AA31/$AA$160,0)</f>
        <v>1.1999999999999999E-3</v>
      </c>
      <c r="AC31" s="78">
        <f t="shared" ca="1" si="41"/>
        <v>0</v>
      </c>
      <c r="AD31" s="4">
        <f ca="1">SUMIFS(INDIRECT("Tab_00.Trial["&amp;AD$4&amp;"]"),Tab_00.Trial[CONTA],$B31)</f>
        <v>99274.97</v>
      </c>
      <c r="AE31" s="78">
        <f ca="1">IFERROR($AD31/$AD$160,0)</f>
        <v>1.1999999999999999E-3</v>
      </c>
      <c r="AF31" s="78">
        <f t="shared" ca="1" si="43"/>
        <v>0</v>
      </c>
      <c r="AG31" s="4">
        <f ca="1">SUMIFS(INDIRECT("Tab_00.Trial["&amp;AG$4&amp;"]"),Tab_00.Trial[CONTA],$B31)</f>
        <v>99324.97</v>
      </c>
      <c r="AH31" s="78">
        <f ca="1">IFERROR($AG31/$AG$160,0)</f>
        <v>1.1999999999999999E-3</v>
      </c>
      <c r="AI31" s="78">
        <f t="shared" ca="1" si="45"/>
        <v>5.0000000000000001E-4</v>
      </c>
      <c r="AJ31" s="4">
        <f ca="1">SUMIFS(INDIRECT("Tab_00.Trial["&amp;AJ$4&amp;"]"),Tab_00.Trial[CONTA],$B31)</f>
        <v>99324.97</v>
      </c>
      <c r="AK31" s="78">
        <f ca="1">IFERROR($AJ31/$AJ$160,0)</f>
        <v>1.1999999999999999E-3</v>
      </c>
      <c r="AL31" s="78">
        <f t="shared" ca="1" si="47"/>
        <v>0</v>
      </c>
      <c r="AM31" s="4">
        <f ca="1">SUMIFS(INDIRECT("Tab_00.Trial["&amp;AM$4&amp;"]"),Tab_00.Trial[CONTA],$B31)</f>
        <v>0</v>
      </c>
      <c r="AN31" s="78">
        <f ca="1">IFERROR(AM31/AM$160,0)</f>
        <v>0</v>
      </c>
      <c r="AO31" s="78">
        <f t="shared" ca="1" si="49"/>
        <v>-1</v>
      </c>
    </row>
    <row r="32" spans="2:41" ht="15" customHeight="1" outlineLevel="1" x14ac:dyDescent="0.3">
      <c r="B32" s="14" t="s">
        <v>837</v>
      </c>
      <c r="C32" s="15" t="s">
        <v>836</v>
      </c>
      <c r="D32" s="4">
        <f>SUMIFS(Tab_99.Trial[DEZEMBRO],Tab_99.Trial[CONTA],$B32)</f>
        <v>0</v>
      </c>
      <c r="E32" s="78">
        <f>IFERROR($D32/$D$160,0)</f>
        <v>0</v>
      </c>
      <c r="F32" s="4">
        <f ca="1">SUMIFS(INDIRECT("Tab_00.Trial["&amp;F$4&amp;"]"),Tab_00.Trial[CONTA],$B32)</f>
        <v>0</v>
      </c>
      <c r="G32" s="78">
        <f ca="1">IFERROR($F32/$F$160,0)</f>
        <v>0</v>
      </c>
      <c r="H32" s="78">
        <f t="shared" ca="1" si="27"/>
        <v>0</v>
      </c>
      <c r="I32" s="4">
        <f ca="1">SUMIFS(INDIRECT("Tab_00.Trial["&amp;I$4&amp;"]"),Tab_00.Trial[CONTA],$B32)</f>
        <v>0</v>
      </c>
      <c r="J32" s="78">
        <f ca="1">IFERROR($I32/$I$160,0)</f>
        <v>0</v>
      </c>
      <c r="K32" s="78">
        <f t="shared" ca="1" si="29"/>
        <v>0</v>
      </c>
      <c r="L32" s="4">
        <f ca="1">SUMIFS(INDIRECT("Tab_00.Trial["&amp;L$4&amp;"]"),Tab_00.Trial[CONTA],$B32)</f>
        <v>0</v>
      </c>
      <c r="M32" s="78">
        <f ca="1">IFERROR($L32/$L$160,0)</f>
        <v>0</v>
      </c>
      <c r="N32" s="78">
        <f t="shared" ca="1" si="31"/>
        <v>0</v>
      </c>
      <c r="O32" s="4">
        <f ca="1">SUMIFS(INDIRECT("Tab_00.Trial["&amp;O$4&amp;"]"),Tab_00.Trial[CONTA],$B32)</f>
        <v>0</v>
      </c>
      <c r="P32" s="78">
        <f ca="1">IFERROR($O32/$O$160,0)</f>
        <v>0</v>
      </c>
      <c r="Q32" s="78">
        <f t="shared" ca="1" si="33"/>
        <v>0</v>
      </c>
      <c r="R32" s="4">
        <f ca="1">SUMIFS(INDIRECT("Tab_00.Trial["&amp;R$4&amp;"]"),Tab_00.Trial[CONTA],$B32)</f>
        <v>0</v>
      </c>
      <c r="S32" s="78">
        <f ca="1">IFERROR($R32/$R$160,0)</f>
        <v>0</v>
      </c>
      <c r="T32" s="78">
        <f t="shared" ca="1" si="35"/>
        <v>0</v>
      </c>
      <c r="U32" s="4">
        <f ca="1">SUMIFS(INDIRECT("Tab_00.Trial["&amp;U$4&amp;"]"),Tab_00.Trial[CONTA],$B32)</f>
        <v>0</v>
      </c>
      <c r="V32" s="78">
        <f ca="1">IFERROR($U32/$U$160,0)</f>
        <v>0</v>
      </c>
      <c r="W32" s="78">
        <f t="shared" ca="1" si="37"/>
        <v>0</v>
      </c>
      <c r="X32" s="4">
        <f ca="1">SUMIFS(INDIRECT("Tab_00.Trial["&amp;X$4&amp;"]"),Tab_00.Trial[CONTA],$B32)</f>
        <v>0</v>
      </c>
      <c r="Y32" s="78">
        <f ca="1">IFERROR($X32/$X$160,0)</f>
        <v>0</v>
      </c>
      <c r="Z32" s="78">
        <f t="shared" ca="1" si="39"/>
        <v>0</v>
      </c>
      <c r="AA32" s="4">
        <f ca="1">SUMIFS(INDIRECT("Tab_00.Trial["&amp;AA$4&amp;"]"),Tab_00.Trial[CONTA],$B32)</f>
        <v>0</v>
      </c>
      <c r="AB32" s="78">
        <f ca="1">IFERROR($AA32/$AA$160,0)</f>
        <v>0</v>
      </c>
      <c r="AC32" s="78">
        <f t="shared" ca="1" si="41"/>
        <v>0</v>
      </c>
      <c r="AD32" s="4">
        <f ca="1">SUMIFS(INDIRECT("Tab_00.Trial["&amp;AD$4&amp;"]"),Tab_00.Trial[CONTA],$B32)</f>
        <v>0</v>
      </c>
      <c r="AE32" s="78">
        <f ca="1">IFERROR($AD32/$AD$160,0)</f>
        <v>0</v>
      </c>
      <c r="AF32" s="78">
        <f t="shared" ca="1" si="43"/>
        <v>0</v>
      </c>
      <c r="AG32" s="4">
        <f ca="1">SUMIFS(INDIRECT("Tab_00.Trial["&amp;AG$4&amp;"]"),Tab_00.Trial[CONTA],$B32)</f>
        <v>0</v>
      </c>
      <c r="AH32" s="78">
        <f ca="1">IFERROR($AG32/$AG$160,0)</f>
        <v>0</v>
      </c>
      <c r="AI32" s="78">
        <f t="shared" ca="1" si="45"/>
        <v>0</v>
      </c>
      <c r="AJ32" s="4">
        <f ca="1">SUMIFS(INDIRECT("Tab_00.Trial["&amp;AJ$4&amp;"]"),Tab_00.Trial[CONTA],$B32)</f>
        <v>4705.95</v>
      </c>
      <c r="AK32" s="78">
        <f ca="1">IFERROR($AJ32/$AJ$160,0)</f>
        <v>1E-4</v>
      </c>
      <c r="AL32" s="78">
        <f t="shared" ca="1" si="47"/>
        <v>0</v>
      </c>
      <c r="AM32" s="4">
        <f ca="1">SUMIFS(INDIRECT("Tab_00.Trial["&amp;AM$4&amp;"]"),Tab_00.Trial[CONTA],$B32)</f>
        <v>4705.95</v>
      </c>
      <c r="AN32" s="78">
        <f ca="1">IFERROR(AM32/AM$160,0)</f>
        <v>1E-4</v>
      </c>
      <c r="AO32" s="78">
        <f t="shared" ca="1" si="49"/>
        <v>0</v>
      </c>
    </row>
    <row r="33" spans="2:44" ht="15" customHeight="1" outlineLevel="1" x14ac:dyDescent="0.3">
      <c r="B33" s="14"/>
      <c r="C33" s="15"/>
      <c r="D33" s="4">
        <f>SUMIFS(Tab_99.Trial[DEZEMBRO],Tab_99.Trial[CONTA],$B33)</f>
        <v>0</v>
      </c>
      <c r="E33" s="78">
        <f>IFERROR($D33/$D$160,0)</f>
        <v>0</v>
      </c>
      <c r="F33" s="4">
        <f ca="1">SUMIFS(INDIRECT("Tab_00.Trial["&amp;F$4&amp;"]"),Tab_00.Trial[CONTA],$B33)</f>
        <v>0</v>
      </c>
      <c r="G33" s="78">
        <f ca="1">IFERROR($F33/$F$160,0)</f>
        <v>0</v>
      </c>
      <c r="H33" s="78">
        <f t="shared" ca="1" si="27"/>
        <v>0</v>
      </c>
      <c r="I33" s="4">
        <f ca="1">SUMIFS(INDIRECT("Tab_00.Trial["&amp;I$4&amp;"]"),Tab_00.Trial[CONTA],$B33)</f>
        <v>0</v>
      </c>
      <c r="J33" s="78">
        <f ca="1">IFERROR($I33/$I$160,0)</f>
        <v>0</v>
      </c>
      <c r="K33" s="78">
        <f t="shared" ca="1" si="29"/>
        <v>0</v>
      </c>
      <c r="L33" s="4">
        <f ca="1">SUMIFS(INDIRECT("Tab_00.Trial["&amp;L$4&amp;"]"),Tab_00.Trial[CONTA],$B33)</f>
        <v>0</v>
      </c>
      <c r="M33" s="78">
        <f ca="1">IFERROR($L33/$L$160,0)</f>
        <v>0</v>
      </c>
      <c r="N33" s="78">
        <f t="shared" ca="1" si="31"/>
        <v>0</v>
      </c>
      <c r="O33" s="4">
        <f ca="1">SUMIFS(INDIRECT("Tab_00.Trial["&amp;O$4&amp;"]"),Tab_00.Trial[CONTA],$B33)</f>
        <v>0</v>
      </c>
      <c r="P33" s="78">
        <f ca="1">IFERROR($O33/$O$160,0)</f>
        <v>0</v>
      </c>
      <c r="Q33" s="78">
        <f t="shared" ca="1" si="33"/>
        <v>0</v>
      </c>
      <c r="R33" s="4">
        <f ca="1">SUMIFS(INDIRECT("Tab_00.Trial["&amp;R$4&amp;"]"),Tab_00.Trial[CONTA],$B33)</f>
        <v>0</v>
      </c>
      <c r="S33" s="78">
        <f ca="1">IFERROR($R33/$R$160,0)</f>
        <v>0</v>
      </c>
      <c r="T33" s="78">
        <f t="shared" ca="1" si="35"/>
        <v>0</v>
      </c>
      <c r="U33" s="4">
        <f ca="1">SUMIFS(INDIRECT("Tab_00.Trial["&amp;U$4&amp;"]"),Tab_00.Trial[CONTA],$B33)</f>
        <v>0</v>
      </c>
      <c r="V33" s="78">
        <f ca="1">IFERROR($U33/$U$160,0)</f>
        <v>0</v>
      </c>
      <c r="W33" s="78">
        <f t="shared" ca="1" si="37"/>
        <v>0</v>
      </c>
      <c r="X33" s="4">
        <f ca="1">SUMIFS(INDIRECT("Tab_00.Trial["&amp;X$4&amp;"]"),Tab_00.Trial[CONTA],$B33)</f>
        <v>0</v>
      </c>
      <c r="Y33" s="78">
        <f ca="1">IFERROR($X33/$X$160,0)</f>
        <v>0</v>
      </c>
      <c r="Z33" s="78">
        <f t="shared" ca="1" si="39"/>
        <v>0</v>
      </c>
      <c r="AA33" s="4">
        <f ca="1">SUMIFS(INDIRECT("Tab_00.Trial["&amp;AA$4&amp;"]"),Tab_00.Trial[CONTA],$B33)</f>
        <v>0</v>
      </c>
      <c r="AB33" s="78">
        <f ca="1">IFERROR($AA33/$AA$160,0)</f>
        <v>0</v>
      </c>
      <c r="AC33" s="78">
        <f t="shared" ca="1" si="41"/>
        <v>0</v>
      </c>
      <c r="AD33" s="4">
        <f ca="1">SUMIFS(INDIRECT("Tab_00.Trial["&amp;AD$4&amp;"]"),Tab_00.Trial[CONTA],$B33)</f>
        <v>0</v>
      </c>
      <c r="AE33" s="78">
        <f ca="1">IFERROR($AD33/$AD$160,0)</f>
        <v>0</v>
      </c>
      <c r="AF33" s="78">
        <f t="shared" ca="1" si="43"/>
        <v>0</v>
      </c>
      <c r="AG33" s="4">
        <f ca="1">SUMIFS(INDIRECT("Tab_00.Trial["&amp;AG$4&amp;"]"),Tab_00.Trial[CONTA],$B33)</f>
        <v>0</v>
      </c>
      <c r="AH33" s="78">
        <f ca="1">IFERROR($AG33/$AG$160,0)</f>
        <v>0</v>
      </c>
      <c r="AI33" s="78">
        <f t="shared" ca="1" si="45"/>
        <v>0</v>
      </c>
      <c r="AJ33" s="4">
        <f ca="1">SUMIFS(INDIRECT("Tab_00.Trial["&amp;AJ$4&amp;"]"),Tab_00.Trial[CONTA],$B33)</f>
        <v>0</v>
      </c>
      <c r="AK33" s="78">
        <f ca="1">IFERROR($AJ33/$AJ$160,0)</f>
        <v>0</v>
      </c>
      <c r="AL33" s="78">
        <f t="shared" ca="1" si="47"/>
        <v>0</v>
      </c>
      <c r="AM33" s="4">
        <f ca="1">SUMIFS(INDIRECT("Tab_00.Trial["&amp;AM$4&amp;"]"),Tab_00.Trial[CONTA],$B33)</f>
        <v>0</v>
      </c>
      <c r="AN33" s="78">
        <f ca="1">IFERROR(AM33/AM$160,0)</f>
        <v>0</v>
      </c>
      <c r="AO33" s="78">
        <f t="shared" ca="1" si="49"/>
        <v>0</v>
      </c>
    </row>
    <row r="34" spans="2:44" ht="5.0999999999999996" customHeight="1" outlineLevel="1" x14ac:dyDescent="0.3">
      <c r="B34" s="74"/>
      <c r="C34" s="75"/>
      <c r="D34" s="76"/>
      <c r="E34" s="77"/>
      <c r="F34" s="76"/>
      <c r="G34" s="77"/>
      <c r="H34" s="77"/>
      <c r="I34" s="76"/>
      <c r="J34" s="77"/>
      <c r="K34" s="77"/>
      <c r="L34" s="76"/>
      <c r="M34" s="77"/>
      <c r="N34" s="77"/>
      <c r="O34" s="76"/>
      <c r="P34" s="77"/>
      <c r="Q34" s="77"/>
      <c r="R34" s="76"/>
      <c r="S34" s="77"/>
      <c r="T34" s="77"/>
      <c r="U34" s="76"/>
      <c r="V34" s="77"/>
      <c r="W34" s="77"/>
      <c r="X34" s="76"/>
      <c r="Y34" s="77"/>
      <c r="Z34" s="77"/>
      <c r="AA34" s="76"/>
      <c r="AB34" s="77"/>
      <c r="AC34" s="77"/>
      <c r="AD34" s="76"/>
      <c r="AE34" s="77"/>
      <c r="AF34" s="77"/>
      <c r="AG34" s="76"/>
      <c r="AH34" s="77"/>
      <c r="AI34" s="77"/>
      <c r="AJ34" s="76"/>
      <c r="AK34" s="77"/>
      <c r="AL34" s="77"/>
      <c r="AM34" s="76"/>
      <c r="AN34" s="77"/>
      <c r="AO34" s="77"/>
    </row>
    <row r="35" spans="2:44" ht="15" customHeight="1" x14ac:dyDescent="0.3">
      <c r="B35" s="3" t="s">
        <v>41</v>
      </c>
      <c r="C35" s="14" t="s">
        <v>33</v>
      </c>
      <c r="D35" s="4">
        <f>SUBTOTAL(9,D$36:D$45)</f>
        <v>0</v>
      </c>
      <c r="E35" s="78">
        <f t="shared" ref="E35:E44" si="50">IFERROR($D35/$D$160,0)</f>
        <v>0</v>
      </c>
      <c r="F35" s="4">
        <f ca="1">SUBTOTAL(9,F$36:F$45)</f>
        <v>232437.24</v>
      </c>
      <c r="G35" s="78">
        <f t="shared" ref="G35:G44" ca="1" si="51">IFERROR($F35/$F$160,0)</f>
        <v>2.8E-3</v>
      </c>
      <c r="H35" s="78">
        <f t="shared" ca="1" si="27"/>
        <v>0</v>
      </c>
      <c r="I35" s="4">
        <f ca="1">SUBTOTAL(9,I$36:I$45)</f>
        <v>232437.24</v>
      </c>
      <c r="J35" s="78">
        <f t="shared" ref="J35:J44" ca="1" si="52">IFERROR($I35/$I$160,0)</f>
        <v>2.8E-3</v>
      </c>
      <c r="K35" s="78">
        <f t="shared" ca="1" si="29"/>
        <v>0</v>
      </c>
      <c r="L35" s="4">
        <f ca="1">SUBTOTAL(9,L$36:L$45)</f>
        <v>232437.24</v>
      </c>
      <c r="M35" s="78">
        <f t="shared" ref="M35:M44" ca="1" si="53">IFERROR($L35/$L$160,0)</f>
        <v>2.8E-3</v>
      </c>
      <c r="N35" s="78">
        <f t="shared" ca="1" si="31"/>
        <v>0</v>
      </c>
      <c r="O35" s="4">
        <f ca="1">SUBTOTAL(9,O$36:O$45)</f>
        <v>311218.78000000003</v>
      </c>
      <c r="P35" s="78">
        <f t="shared" ref="P35:P44" ca="1" si="54">IFERROR($O35/$O$160,0)</f>
        <v>3.7000000000000002E-3</v>
      </c>
      <c r="Q35" s="78">
        <f t="shared" ca="1" si="33"/>
        <v>0.33889999999999998</v>
      </c>
      <c r="R35" s="4">
        <f ca="1">SUBTOTAL(9,R$36:R$45)</f>
        <v>311218.78000000003</v>
      </c>
      <c r="S35" s="78">
        <f t="shared" ref="S35:S44" ca="1" si="55">IFERROR($R35/$R$160,0)</f>
        <v>3.7000000000000002E-3</v>
      </c>
      <c r="T35" s="78">
        <f t="shared" ca="1" si="35"/>
        <v>0</v>
      </c>
      <c r="U35" s="4">
        <f ca="1">SUBTOTAL(9,U$36:U$45)</f>
        <v>311218.78000000003</v>
      </c>
      <c r="V35" s="78">
        <f t="shared" ref="V35:V44" ca="1" si="56">IFERROR($U35/$U$160,0)</f>
        <v>3.7000000000000002E-3</v>
      </c>
      <c r="W35" s="78">
        <f t="shared" ca="1" si="37"/>
        <v>0</v>
      </c>
      <c r="X35" s="4">
        <f ca="1">SUBTOTAL(9,X$36:X$45)</f>
        <v>311202.61</v>
      </c>
      <c r="Y35" s="78">
        <f t="shared" ref="Y35:Y44" ca="1" si="57">IFERROR($X35/$X$160,0)</f>
        <v>3.7000000000000002E-3</v>
      </c>
      <c r="Z35" s="78">
        <f t="shared" ca="1" si="39"/>
        <v>-1E-4</v>
      </c>
      <c r="AA35" s="4">
        <f ca="1">SUBTOTAL(9,AA$36:AA$45)</f>
        <v>311276.59999999998</v>
      </c>
      <c r="AB35" s="78">
        <f t="shared" ref="AB35:AB44" ca="1" si="58">IFERROR($AA35/$AA$160,0)</f>
        <v>3.7000000000000002E-3</v>
      </c>
      <c r="AC35" s="78">
        <f t="shared" ca="1" si="41"/>
        <v>2.0000000000000001E-4</v>
      </c>
      <c r="AD35" s="4">
        <f ca="1">SUBTOTAL(9,AD$36:AD$45)</f>
        <v>255576.45</v>
      </c>
      <c r="AE35" s="78">
        <f t="shared" ref="AE35:AE44" ca="1" si="59">IFERROR($AD35/$AD$160,0)</f>
        <v>3.0000000000000001E-3</v>
      </c>
      <c r="AF35" s="78">
        <f t="shared" ca="1" si="43"/>
        <v>-0.1789</v>
      </c>
      <c r="AG35" s="4">
        <f ca="1">SUBTOTAL(9,AG$36:AG$45)</f>
        <v>255560.28</v>
      </c>
      <c r="AH35" s="78">
        <f t="shared" ref="AH35:AH44" ca="1" si="60">IFERROR($AG35/$AG$160,0)</f>
        <v>3.0000000000000001E-3</v>
      </c>
      <c r="AI35" s="78">
        <f t="shared" ca="1" si="45"/>
        <v>-1E-4</v>
      </c>
      <c r="AJ35" s="4">
        <f ca="1">SUBTOTAL(9,AJ$36:AJ$45)</f>
        <v>255130.12</v>
      </c>
      <c r="AK35" s="78">
        <f t="shared" ref="AK35:AK44" ca="1" si="61">IFERROR($AJ35/$AJ$160,0)</f>
        <v>3.0000000000000001E-3</v>
      </c>
      <c r="AL35" s="78">
        <f t="shared" ca="1" si="47"/>
        <v>-1.6999999999999999E-3</v>
      </c>
      <c r="AM35" s="4">
        <f ca="1">SUBTOTAL(9,AM$36:AM$45)</f>
        <v>255130.12</v>
      </c>
      <c r="AN35" s="78">
        <f t="shared" ref="AN35:AN44" ca="1" si="62">IFERROR(AM35/AM$160,0)</f>
        <v>3.0000000000000001E-3</v>
      </c>
      <c r="AO35" s="78">
        <f t="shared" ca="1" si="49"/>
        <v>0</v>
      </c>
    </row>
    <row r="36" spans="2:44" ht="15" customHeight="1" outlineLevel="1" x14ac:dyDescent="0.3">
      <c r="B36" s="14" t="s">
        <v>844</v>
      </c>
      <c r="C36" s="15" t="s">
        <v>843</v>
      </c>
      <c r="D36" s="4">
        <f>SUMIFS(Tab_99.Trial[DEZEMBRO],Tab_99.Trial[CONTA],$B36)</f>
        <v>0</v>
      </c>
      <c r="E36" s="78">
        <f t="shared" si="50"/>
        <v>0</v>
      </c>
      <c r="F36" s="4">
        <f ca="1">SUMIFS(INDIRECT("Tab_00.Trial["&amp;F$4&amp;"]"),Tab_00.Trial[CONTA],$B36)</f>
        <v>232437.24</v>
      </c>
      <c r="G36" s="78">
        <f t="shared" ca="1" si="51"/>
        <v>2.8E-3</v>
      </c>
      <c r="H36" s="78">
        <f t="shared" ca="1" si="27"/>
        <v>0</v>
      </c>
      <c r="I36" s="4">
        <f ca="1">SUMIFS(INDIRECT("Tab_00.Trial["&amp;I$4&amp;"]"),Tab_00.Trial[CONTA],$B36)</f>
        <v>232437.24</v>
      </c>
      <c r="J36" s="78">
        <f t="shared" ca="1" si="52"/>
        <v>2.8E-3</v>
      </c>
      <c r="K36" s="78">
        <f t="shared" ca="1" si="29"/>
        <v>0</v>
      </c>
      <c r="L36" s="4">
        <f ca="1">SUMIFS(INDIRECT("Tab_00.Trial["&amp;L$4&amp;"]"),Tab_00.Trial[CONTA],$B36)</f>
        <v>232437.24</v>
      </c>
      <c r="M36" s="78">
        <f t="shared" ca="1" si="53"/>
        <v>2.8E-3</v>
      </c>
      <c r="N36" s="78">
        <f t="shared" ca="1" si="31"/>
        <v>0</v>
      </c>
      <c r="O36" s="4">
        <f ca="1">SUMIFS(INDIRECT("Tab_00.Trial["&amp;O$4&amp;"]"),Tab_00.Trial[CONTA],$B36)</f>
        <v>311218.78000000003</v>
      </c>
      <c r="P36" s="78">
        <f t="shared" ca="1" si="54"/>
        <v>3.7000000000000002E-3</v>
      </c>
      <c r="Q36" s="78">
        <f t="shared" ca="1" si="33"/>
        <v>0.33889999999999998</v>
      </c>
      <c r="R36" s="4">
        <f ca="1">SUMIFS(INDIRECT("Tab_00.Trial["&amp;R$4&amp;"]"),Tab_00.Trial[CONTA],$B36)</f>
        <v>311218.78000000003</v>
      </c>
      <c r="S36" s="78">
        <f t="shared" ca="1" si="55"/>
        <v>3.7000000000000002E-3</v>
      </c>
      <c r="T36" s="78">
        <f t="shared" ca="1" si="35"/>
        <v>0</v>
      </c>
      <c r="U36" s="4">
        <f ca="1">SUMIFS(INDIRECT("Tab_00.Trial["&amp;U$4&amp;"]"),Tab_00.Trial[CONTA],$B36)</f>
        <v>311218.78000000003</v>
      </c>
      <c r="V36" s="78">
        <f t="shared" ca="1" si="56"/>
        <v>3.7000000000000002E-3</v>
      </c>
      <c r="W36" s="78">
        <f t="shared" ca="1" si="37"/>
        <v>0</v>
      </c>
      <c r="X36" s="4">
        <f ca="1">SUMIFS(INDIRECT("Tab_00.Trial["&amp;X$4&amp;"]"),Tab_00.Trial[CONTA],$B36)</f>
        <v>311202.61</v>
      </c>
      <c r="Y36" s="78">
        <f t="shared" ca="1" si="57"/>
        <v>3.7000000000000002E-3</v>
      </c>
      <c r="Z36" s="78">
        <f t="shared" ca="1" si="39"/>
        <v>-1E-4</v>
      </c>
      <c r="AA36" s="4">
        <f ca="1">SUMIFS(INDIRECT("Tab_00.Trial["&amp;AA$4&amp;"]"),Tab_00.Trial[CONTA],$B36)</f>
        <v>311276.59999999998</v>
      </c>
      <c r="AB36" s="78">
        <f t="shared" ca="1" si="58"/>
        <v>3.7000000000000002E-3</v>
      </c>
      <c r="AC36" s="78">
        <f t="shared" ca="1" si="41"/>
        <v>2.0000000000000001E-4</v>
      </c>
      <c r="AD36" s="4">
        <f ca="1">SUMIFS(INDIRECT("Tab_00.Trial["&amp;AD$4&amp;"]"),Tab_00.Trial[CONTA],$B36)</f>
        <v>255576.45</v>
      </c>
      <c r="AE36" s="78">
        <f t="shared" ca="1" si="59"/>
        <v>3.0000000000000001E-3</v>
      </c>
      <c r="AF36" s="78">
        <f t="shared" ca="1" si="43"/>
        <v>-0.1789</v>
      </c>
      <c r="AG36" s="4">
        <f ca="1">SUMIFS(INDIRECT("Tab_00.Trial["&amp;AG$4&amp;"]"),Tab_00.Trial[CONTA],$B36)</f>
        <v>255560.28</v>
      </c>
      <c r="AH36" s="78">
        <f t="shared" ca="1" si="60"/>
        <v>3.0000000000000001E-3</v>
      </c>
      <c r="AI36" s="78">
        <f t="shared" ca="1" si="45"/>
        <v>-1E-4</v>
      </c>
      <c r="AJ36" s="4">
        <f ca="1">SUMIFS(INDIRECT("Tab_00.Trial["&amp;AJ$4&amp;"]"),Tab_00.Trial[CONTA],$B36)</f>
        <v>255130.12</v>
      </c>
      <c r="AK36" s="78">
        <f t="shared" ca="1" si="61"/>
        <v>3.0000000000000001E-3</v>
      </c>
      <c r="AL36" s="78">
        <f t="shared" ca="1" si="47"/>
        <v>-1.6999999999999999E-3</v>
      </c>
      <c r="AM36" s="4">
        <f ca="1">SUMIFS(INDIRECT("Tab_00.Trial["&amp;AM$4&amp;"]"),Tab_00.Trial[CONTA],$B36)</f>
        <v>255130.12</v>
      </c>
      <c r="AN36" s="78">
        <f t="shared" ca="1" si="62"/>
        <v>3.0000000000000001E-3</v>
      </c>
      <c r="AO36" s="78">
        <f t="shared" ca="1" si="49"/>
        <v>0</v>
      </c>
      <c r="AP36" s="141"/>
      <c r="AQ36" s="142"/>
      <c r="AR36" s="142"/>
    </row>
    <row r="37" spans="2:44" ht="15" customHeight="1" outlineLevel="1" x14ac:dyDescent="0.3">
      <c r="B37" s="14" t="s">
        <v>867</v>
      </c>
      <c r="C37" s="15" t="s">
        <v>868</v>
      </c>
      <c r="D37" s="4">
        <f>SUMIFS(Tab_99.Trial[DEZEMBRO],Tab_99.Trial[CONTA],$B37)</f>
        <v>0</v>
      </c>
      <c r="E37" s="78">
        <f t="shared" si="50"/>
        <v>0</v>
      </c>
      <c r="F37" s="4">
        <f ca="1">SUMIFS(INDIRECT("Tab_00.Trial["&amp;F$4&amp;"]"),Tab_00.Trial[CONTA],$B37)</f>
        <v>0</v>
      </c>
      <c r="G37" s="78">
        <f t="shared" ca="1" si="51"/>
        <v>0</v>
      </c>
      <c r="H37" s="78">
        <f t="shared" ca="1" si="27"/>
        <v>0</v>
      </c>
      <c r="I37" s="4">
        <f ca="1">SUMIFS(INDIRECT("Tab_00.Trial["&amp;I$4&amp;"]"),Tab_00.Trial[CONTA],$B37)</f>
        <v>0</v>
      </c>
      <c r="J37" s="78">
        <f t="shared" ca="1" si="52"/>
        <v>0</v>
      </c>
      <c r="K37" s="78">
        <f t="shared" ca="1" si="29"/>
        <v>0</v>
      </c>
      <c r="L37" s="4">
        <f ca="1">SUMIFS(INDIRECT("Tab_00.Trial["&amp;L$4&amp;"]"),Tab_00.Trial[CONTA],$B37)</f>
        <v>0</v>
      </c>
      <c r="M37" s="78">
        <f t="shared" ca="1" si="53"/>
        <v>0</v>
      </c>
      <c r="N37" s="78">
        <f t="shared" ca="1" si="31"/>
        <v>0</v>
      </c>
      <c r="O37" s="4">
        <f ca="1">SUMIFS(INDIRECT("Tab_00.Trial["&amp;O$4&amp;"]"),Tab_00.Trial[CONTA],$B37)</f>
        <v>0</v>
      </c>
      <c r="P37" s="78">
        <f t="shared" ca="1" si="54"/>
        <v>0</v>
      </c>
      <c r="Q37" s="78">
        <f t="shared" ca="1" si="33"/>
        <v>0</v>
      </c>
      <c r="R37" s="4">
        <f ca="1">SUMIFS(INDIRECT("Tab_00.Trial["&amp;R$4&amp;"]"),Tab_00.Trial[CONTA],$B37)</f>
        <v>0</v>
      </c>
      <c r="S37" s="78">
        <f t="shared" ca="1" si="55"/>
        <v>0</v>
      </c>
      <c r="T37" s="78">
        <f t="shared" ca="1" si="35"/>
        <v>0</v>
      </c>
      <c r="U37" s="4">
        <f ca="1">SUMIFS(INDIRECT("Tab_00.Trial["&amp;U$4&amp;"]"),Tab_00.Trial[CONTA],$B37)</f>
        <v>0</v>
      </c>
      <c r="V37" s="78">
        <f t="shared" ca="1" si="56"/>
        <v>0</v>
      </c>
      <c r="W37" s="78">
        <f t="shared" ca="1" si="37"/>
        <v>0</v>
      </c>
      <c r="X37" s="4">
        <f ca="1">SUMIFS(INDIRECT("Tab_00.Trial["&amp;X$4&amp;"]"),Tab_00.Trial[CONTA],$B37)</f>
        <v>0</v>
      </c>
      <c r="Y37" s="78">
        <f t="shared" ca="1" si="57"/>
        <v>0</v>
      </c>
      <c r="Z37" s="78">
        <f t="shared" ca="1" si="39"/>
        <v>0</v>
      </c>
      <c r="AA37" s="4">
        <f ca="1">SUMIFS(INDIRECT("Tab_00.Trial["&amp;AA$4&amp;"]"),Tab_00.Trial[CONTA],$B37)</f>
        <v>0</v>
      </c>
      <c r="AB37" s="78">
        <f t="shared" ca="1" si="58"/>
        <v>0</v>
      </c>
      <c r="AC37" s="78">
        <f t="shared" ca="1" si="41"/>
        <v>0</v>
      </c>
      <c r="AD37" s="4">
        <f ca="1">SUMIFS(INDIRECT("Tab_00.Trial["&amp;AD$4&amp;"]"),Tab_00.Trial[CONTA],$B37)</f>
        <v>0</v>
      </c>
      <c r="AE37" s="78">
        <f t="shared" ca="1" si="59"/>
        <v>0</v>
      </c>
      <c r="AF37" s="78">
        <f t="shared" ca="1" si="43"/>
        <v>0</v>
      </c>
      <c r="AG37" s="4">
        <f ca="1">SUMIFS(INDIRECT("Tab_00.Trial["&amp;AG$4&amp;"]"),Tab_00.Trial[CONTA],$B37)</f>
        <v>0</v>
      </c>
      <c r="AH37" s="78">
        <f t="shared" ca="1" si="60"/>
        <v>0</v>
      </c>
      <c r="AI37" s="78">
        <f t="shared" ca="1" si="45"/>
        <v>0</v>
      </c>
      <c r="AJ37" s="4">
        <f ca="1">SUMIFS(INDIRECT("Tab_00.Trial["&amp;AJ$4&amp;"]"),Tab_00.Trial[CONTA],$B37)</f>
        <v>0</v>
      </c>
      <c r="AK37" s="78">
        <f t="shared" ca="1" si="61"/>
        <v>0</v>
      </c>
      <c r="AL37" s="78">
        <f t="shared" ca="1" si="47"/>
        <v>0</v>
      </c>
      <c r="AM37" s="4">
        <f ca="1">SUMIFS(INDIRECT("Tab_00.Trial["&amp;AM$4&amp;"]"),Tab_00.Trial[CONTA],$B37)</f>
        <v>0</v>
      </c>
      <c r="AN37" s="78">
        <f t="shared" ca="1" si="62"/>
        <v>0</v>
      </c>
      <c r="AO37" s="78">
        <f t="shared" ca="1" si="49"/>
        <v>0</v>
      </c>
      <c r="AP37" s="141"/>
      <c r="AQ37" s="142"/>
      <c r="AR37" s="142"/>
    </row>
    <row r="38" spans="2:44" ht="15" customHeight="1" outlineLevel="1" x14ac:dyDescent="0.3">
      <c r="B38" s="14"/>
      <c r="C38" s="15"/>
      <c r="D38" s="4">
        <f>SUMIFS(Tab_99.Trial[DEZEMBRO],Tab_99.Trial[CONTA],$B38)</f>
        <v>0</v>
      </c>
      <c r="E38" s="78">
        <f t="shared" si="50"/>
        <v>0</v>
      </c>
      <c r="F38" s="4">
        <f ca="1">SUMIFS(INDIRECT("Tab_00.Trial["&amp;F$4&amp;"]"),Tab_00.Trial[CONTA],$B38)</f>
        <v>0</v>
      </c>
      <c r="G38" s="78">
        <f t="shared" ca="1" si="51"/>
        <v>0</v>
      </c>
      <c r="H38" s="78">
        <f t="shared" ca="1" si="27"/>
        <v>0</v>
      </c>
      <c r="I38" s="4">
        <f ca="1">SUMIFS(INDIRECT("Tab_00.Trial["&amp;I$4&amp;"]"),Tab_00.Trial[CONTA],$B38)</f>
        <v>0</v>
      </c>
      <c r="J38" s="78">
        <f t="shared" ca="1" si="52"/>
        <v>0</v>
      </c>
      <c r="K38" s="78">
        <f t="shared" ca="1" si="29"/>
        <v>0</v>
      </c>
      <c r="L38" s="4">
        <f ca="1">SUMIFS(INDIRECT("Tab_00.Trial["&amp;L$4&amp;"]"),Tab_00.Trial[CONTA],$B38)</f>
        <v>0</v>
      </c>
      <c r="M38" s="78">
        <f t="shared" ca="1" si="53"/>
        <v>0</v>
      </c>
      <c r="N38" s="78">
        <f t="shared" ca="1" si="31"/>
        <v>0</v>
      </c>
      <c r="O38" s="4">
        <f ca="1">SUMIFS(INDIRECT("Tab_00.Trial["&amp;O$4&amp;"]"),Tab_00.Trial[CONTA],$B38)</f>
        <v>0</v>
      </c>
      <c r="P38" s="78">
        <f t="shared" ca="1" si="54"/>
        <v>0</v>
      </c>
      <c r="Q38" s="78">
        <f t="shared" ca="1" si="33"/>
        <v>0</v>
      </c>
      <c r="R38" s="4">
        <f ca="1">SUMIFS(INDIRECT("Tab_00.Trial["&amp;R$4&amp;"]"),Tab_00.Trial[CONTA],$B38)</f>
        <v>0</v>
      </c>
      <c r="S38" s="78">
        <f t="shared" ca="1" si="55"/>
        <v>0</v>
      </c>
      <c r="T38" s="78">
        <f t="shared" ca="1" si="35"/>
        <v>0</v>
      </c>
      <c r="U38" s="4">
        <f ca="1">SUMIFS(INDIRECT("Tab_00.Trial["&amp;U$4&amp;"]"),Tab_00.Trial[CONTA],$B38)</f>
        <v>0</v>
      </c>
      <c r="V38" s="78">
        <f t="shared" ca="1" si="56"/>
        <v>0</v>
      </c>
      <c r="W38" s="78">
        <f t="shared" ca="1" si="37"/>
        <v>0</v>
      </c>
      <c r="X38" s="4">
        <f ca="1">SUMIFS(INDIRECT("Tab_00.Trial["&amp;X$4&amp;"]"),Tab_00.Trial[CONTA],$B38)</f>
        <v>0</v>
      </c>
      <c r="Y38" s="78">
        <f t="shared" ca="1" si="57"/>
        <v>0</v>
      </c>
      <c r="Z38" s="78">
        <f t="shared" ca="1" si="39"/>
        <v>0</v>
      </c>
      <c r="AA38" s="4">
        <f ca="1">SUMIFS(INDIRECT("Tab_00.Trial["&amp;AA$4&amp;"]"),Tab_00.Trial[CONTA],$B38)</f>
        <v>0</v>
      </c>
      <c r="AB38" s="78">
        <f t="shared" ca="1" si="58"/>
        <v>0</v>
      </c>
      <c r="AC38" s="78">
        <f t="shared" ca="1" si="41"/>
        <v>0</v>
      </c>
      <c r="AD38" s="4">
        <f ca="1">SUMIFS(INDIRECT("Tab_00.Trial["&amp;AD$4&amp;"]"),Tab_00.Trial[CONTA],$B38)</f>
        <v>0</v>
      </c>
      <c r="AE38" s="78">
        <f t="shared" ca="1" si="59"/>
        <v>0</v>
      </c>
      <c r="AF38" s="78">
        <f t="shared" ca="1" si="43"/>
        <v>0</v>
      </c>
      <c r="AG38" s="4">
        <f ca="1">SUMIFS(INDIRECT("Tab_00.Trial["&amp;AG$4&amp;"]"),Tab_00.Trial[CONTA],$B38)</f>
        <v>0</v>
      </c>
      <c r="AH38" s="78">
        <f t="shared" ca="1" si="60"/>
        <v>0</v>
      </c>
      <c r="AI38" s="78">
        <f t="shared" ca="1" si="45"/>
        <v>0</v>
      </c>
      <c r="AJ38" s="4">
        <f ca="1">SUMIFS(INDIRECT("Tab_00.Trial["&amp;AJ$4&amp;"]"),Tab_00.Trial[CONTA],$B38)</f>
        <v>0</v>
      </c>
      <c r="AK38" s="78">
        <f t="shared" ca="1" si="61"/>
        <v>0</v>
      </c>
      <c r="AL38" s="78">
        <f t="shared" ca="1" si="47"/>
        <v>0</v>
      </c>
      <c r="AM38" s="4">
        <f ca="1">SUMIFS(INDIRECT("Tab_00.Trial["&amp;AM$4&amp;"]"),Tab_00.Trial[CONTA],$B38)</f>
        <v>0</v>
      </c>
      <c r="AN38" s="78">
        <f t="shared" ca="1" si="62"/>
        <v>0</v>
      </c>
      <c r="AO38" s="78">
        <f t="shared" ca="1" si="49"/>
        <v>0</v>
      </c>
      <c r="AP38" s="141"/>
      <c r="AQ38" s="142"/>
      <c r="AR38" s="142"/>
    </row>
    <row r="39" spans="2:44" ht="15" customHeight="1" outlineLevel="1" x14ac:dyDescent="0.3">
      <c r="B39" s="14"/>
      <c r="C39" s="15"/>
      <c r="D39" s="4">
        <f>SUMIFS(Tab_99.Trial[DEZEMBRO],Tab_99.Trial[CONTA],$B39)</f>
        <v>0</v>
      </c>
      <c r="E39" s="78">
        <f t="shared" si="50"/>
        <v>0</v>
      </c>
      <c r="F39" s="4">
        <f ca="1">SUMIFS(INDIRECT("Tab_00.Trial["&amp;F$4&amp;"]"),Tab_00.Trial[CONTA],$B39)</f>
        <v>0</v>
      </c>
      <c r="G39" s="78">
        <f t="shared" ca="1" si="51"/>
        <v>0</v>
      </c>
      <c r="H39" s="78">
        <f t="shared" ca="1" si="27"/>
        <v>0</v>
      </c>
      <c r="I39" s="4">
        <f ca="1">SUMIFS(INDIRECT("Tab_00.Trial["&amp;I$4&amp;"]"),Tab_00.Trial[CONTA],$B39)</f>
        <v>0</v>
      </c>
      <c r="J39" s="78">
        <f t="shared" ca="1" si="52"/>
        <v>0</v>
      </c>
      <c r="K39" s="78">
        <f t="shared" ca="1" si="29"/>
        <v>0</v>
      </c>
      <c r="L39" s="4">
        <f ca="1">SUMIFS(INDIRECT("Tab_00.Trial["&amp;L$4&amp;"]"),Tab_00.Trial[CONTA],$B39)</f>
        <v>0</v>
      </c>
      <c r="M39" s="78">
        <f t="shared" ca="1" si="53"/>
        <v>0</v>
      </c>
      <c r="N39" s="78">
        <f t="shared" ca="1" si="31"/>
        <v>0</v>
      </c>
      <c r="O39" s="4">
        <f ca="1">SUMIFS(INDIRECT("Tab_00.Trial["&amp;O$4&amp;"]"),Tab_00.Trial[CONTA],$B39)</f>
        <v>0</v>
      </c>
      <c r="P39" s="78">
        <f t="shared" ca="1" si="54"/>
        <v>0</v>
      </c>
      <c r="Q39" s="78">
        <f t="shared" ca="1" si="33"/>
        <v>0</v>
      </c>
      <c r="R39" s="4">
        <f ca="1">SUMIFS(INDIRECT("Tab_00.Trial["&amp;R$4&amp;"]"),Tab_00.Trial[CONTA],$B39)</f>
        <v>0</v>
      </c>
      <c r="S39" s="78">
        <f t="shared" ca="1" si="55"/>
        <v>0</v>
      </c>
      <c r="T39" s="78">
        <f t="shared" ca="1" si="35"/>
        <v>0</v>
      </c>
      <c r="U39" s="4">
        <f ca="1">SUMIFS(INDIRECT("Tab_00.Trial["&amp;U$4&amp;"]"),Tab_00.Trial[CONTA],$B39)</f>
        <v>0</v>
      </c>
      <c r="V39" s="78">
        <f t="shared" ca="1" si="56"/>
        <v>0</v>
      </c>
      <c r="W39" s="78">
        <f t="shared" ca="1" si="37"/>
        <v>0</v>
      </c>
      <c r="X39" s="4">
        <f ca="1">SUMIFS(INDIRECT("Tab_00.Trial["&amp;X$4&amp;"]"),Tab_00.Trial[CONTA],$B39)</f>
        <v>0</v>
      </c>
      <c r="Y39" s="78">
        <f t="shared" ca="1" si="57"/>
        <v>0</v>
      </c>
      <c r="Z39" s="78">
        <f t="shared" ca="1" si="39"/>
        <v>0</v>
      </c>
      <c r="AA39" s="4">
        <f ca="1">SUMIFS(INDIRECT("Tab_00.Trial["&amp;AA$4&amp;"]"),Tab_00.Trial[CONTA],$B39)</f>
        <v>0</v>
      </c>
      <c r="AB39" s="78">
        <f t="shared" ca="1" si="58"/>
        <v>0</v>
      </c>
      <c r="AC39" s="78">
        <f t="shared" ca="1" si="41"/>
        <v>0</v>
      </c>
      <c r="AD39" s="4">
        <f ca="1">SUMIFS(INDIRECT("Tab_00.Trial["&amp;AD$4&amp;"]"),Tab_00.Trial[CONTA],$B39)</f>
        <v>0</v>
      </c>
      <c r="AE39" s="78">
        <f t="shared" ca="1" si="59"/>
        <v>0</v>
      </c>
      <c r="AF39" s="78">
        <f t="shared" ca="1" si="43"/>
        <v>0</v>
      </c>
      <c r="AG39" s="4">
        <f ca="1">SUMIFS(INDIRECT("Tab_00.Trial["&amp;AG$4&amp;"]"),Tab_00.Trial[CONTA],$B39)</f>
        <v>0</v>
      </c>
      <c r="AH39" s="78">
        <f t="shared" ca="1" si="60"/>
        <v>0</v>
      </c>
      <c r="AI39" s="78">
        <f t="shared" ca="1" si="45"/>
        <v>0</v>
      </c>
      <c r="AJ39" s="4">
        <f ca="1">SUMIFS(INDIRECT("Tab_00.Trial["&amp;AJ$4&amp;"]"),Tab_00.Trial[CONTA],$B39)</f>
        <v>0</v>
      </c>
      <c r="AK39" s="78">
        <f t="shared" ca="1" si="61"/>
        <v>0</v>
      </c>
      <c r="AL39" s="78">
        <f t="shared" ca="1" si="47"/>
        <v>0</v>
      </c>
      <c r="AM39" s="4">
        <f ca="1">SUMIFS(INDIRECT("Tab_00.Trial["&amp;AM$4&amp;"]"),Tab_00.Trial[CONTA],$B39)</f>
        <v>0</v>
      </c>
      <c r="AN39" s="78">
        <f t="shared" ca="1" si="62"/>
        <v>0</v>
      </c>
      <c r="AO39" s="78">
        <f t="shared" ca="1" si="49"/>
        <v>0</v>
      </c>
      <c r="AP39" s="141"/>
      <c r="AQ39" s="142"/>
      <c r="AR39" s="142"/>
    </row>
    <row r="40" spans="2:44" ht="15" customHeight="1" outlineLevel="1" x14ac:dyDescent="0.3">
      <c r="B40" s="14"/>
      <c r="C40" s="15"/>
      <c r="D40" s="4">
        <f>SUMIFS(Tab_99.Trial[DEZEMBRO],Tab_99.Trial[CONTA],$B40)</f>
        <v>0</v>
      </c>
      <c r="E40" s="78">
        <f t="shared" si="50"/>
        <v>0</v>
      </c>
      <c r="F40" s="4">
        <f ca="1">SUMIFS(INDIRECT("Tab_00.Trial["&amp;F$4&amp;"]"),Tab_00.Trial[CONTA],$B40)</f>
        <v>0</v>
      </c>
      <c r="G40" s="78">
        <f t="shared" ca="1" si="51"/>
        <v>0</v>
      </c>
      <c r="H40" s="78">
        <f t="shared" ca="1" si="27"/>
        <v>0</v>
      </c>
      <c r="I40" s="4">
        <f ca="1">SUMIFS(INDIRECT("Tab_00.Trial["&amp;I$4&amp;"]"),Tab_00.Trial[CONTA],$B40)</f>
        <v>0</v>
      </c>
      <c r="J40" s="78">
        <f t="shared" ca="1" si="52"/>
        <v>0</v>
      </c>
      <c r="K40" s="78">
        <f t="shared" ca="1" si="29"/>
        <v>0</v>
      </c>
      <c r="L40" s="4">
        <f ca="1">SUMIFS(INDIRECT("Tab_00.Trial["&amp;L$4&amp;"]"),Tab_00.Trial[CONTA],$B40)</f>
        <v>0</v>
      </c>
      <c r="M40" s="78">
        <f t="shared" ca="1" si="53"/>
        <v>0</v>
      </c>
      <c r="N40" s="78">
        <f t="shared" ca="1" si="31"/>
        <v>0</v>
      </c>
      <c r="O40" s="4">
        <f ca="1">SUMIFS(INDIRECT("Tab_00.Trial["&amp;O$4&amp;"]"),Tab_00.Trial[CONTA],$B40)</f>
        <v>0</v>
      </c>
      <c r="P40" s="78">
        <f t="shared" ca="1" si="54"/>
        <v>0</v>
      </c>
      <c r="Q40" s="78">
        <f t="shared" ca="1" si="33"/>
        <v>0</v>
      </c>
      <c r="R40" s="4">
        <f ca="1">SUMIFS(INDIRECT("Tab_00.Trial["&amp;R$4&amp;"]"),Tab_00.Trial[CONTA],$B40)</f>
        <v>0</v>
      </c>
      <c r="S40" s="78">
        <f t="shared" ca="1" si="55"/>
        <v>0</v>
      </c>
      <c r="T40" s="78">
        <f t="shared" ca="1" si="35"/>
        <v>0</v>
      </c>
      <c r="U40" s="4">
        <f ca="1">SUMIFS(INDIRECT("Tab_00.Trial["&amp;U$4&amp;"]"),Tab_00.Trial[CONTA],$B40)</f>
        <v>0</v>
      </c>
      <c r="V40" s="78">
        <f t="shared" ca="1" si="56"/>
        <v>0</v>
      </c>
      <c r="W40" s="78">
        <f t="shared" ca="1" si="37"/>
        <v>0</v>
      </c>
      <c r="X40" s="4">
        <f ca="1">SUMIFS(INDIRECT("Tab_00.Trial["&amp;X$4&amp;"]"),Tab_00.Trial[CONTA],$B40)</f>
        <v>0</v>
      </c>
      <c r="Y40" s="78">
        <f t="shared" ca="1" si="57"/>
        <v>0</v>
      </c>
      <c r="Z40" s="78">
        <f t="shared" ca="1" si="39"/>
        <v>0</v>
      </c>
      <c r="AA40" s="4">
        <f ca="1">SUMIFS(INDIRECT("Tab_00.Trial["&amp;AA$4&amp;"]"),Tab_00.Trial[CONTA],$B40)</f>
        <v>0</v>
      </c>
      <c r="AB40" s="78">
        <f t="shared" ca="1" si="58"/>
        <v>0</v>
      </c>
      <c r="AC40" s="78">
        <f t="shared" ca="1" si="41"/>
        <v>0</v>
      </c>
      <c r="AD40" s="4">
        <f ca="1">SUMIFS(INDIRECT("Tab_00.Trial["&amp;AD$4&amp;"]"),Tab_00.Trial[CONTA],$B40)</f>
        <v>0</v>
      </c>
      <c r="AE40" s="78">
        <f t="shared" ca="1" si="59"/>
        <v>0</v>
      </c>
      <c r="AF40" s="78">
        <f t="shared" ca="1" si="43"/>
        <v>0</v>
      </c>
      <c r="AG40" s="4">
        <f ca="1">SUMIFS(INDIRECT("Tab_00.Trial["&amp;AG$4&amp;"]"),Tab_00.Trial[CONTA],$B40)</f>
        <v>0</v>
      </c>
      <c r="AH40" s="78">
        <f t="shared" ca="1" si="60"/>
        <v>0</v>
      </c>
      <c r="AI40" s="78">
        <f t="shared" ca="1" si="45"/>
        <v>0</v>
      </c>
      <c r="AJ40" s="4">
        <f ca="1">SUMIFS(INDIRECT("Tab_00.Trial["&amp;AJ$4&amp;"]"),Tab_00.Trial[CONTA],$B40)</f>
        <v>0</v>
      </c>
      <c r="AK40" s="78">
        <f t="shared" ca="1" si="61"/>
        <v>0</v>
      </c>
      <c r="AL40" s="78">
        <f t="shared" ca="1" si="47"/>
        <v>0</v>
      </c>
      <c r="AM40" s="4">
        <f ca="1">SUMIFS(INDIRECT("Tab_00.Trial["&amp;AM$4&amp;"]"),Tab_00.Trial[CONTA],$B40)</f>
        <v>0</v>
      </c>
      <c r="AN40" s="78">
        <f t="shared" ca="1" si="62"/>
        <v>0</v>
      </c>
      <c r="AO40" s="78">
        <f t="shared" ca="1" si="49"/>
        <v>0</v>
      </c>
      <c r="AP40" s="141"/>
      <c r="AQ40" s="142"/>
      <c r="AR40" s="142"/>
    </row>
    <row r="41" spans="2:44" ht="15" customHeight="1" outlineLevel="1" x14ac:dyDescent="0.3">
      <c r="B41" s="14"/>
      <c r="C41" s="15"/>
      <c r="D41" s="4">
        <f>SUMIFS(Tab_99.Trial[DEZEMBRO],Tab_99.Trial[CONTA],$B41)</f>
        <v>0</v>
      </c>
      <c r="E41" s="78">
        <f t="shared" si="50"/>
        <v>0</v>
      </c>
      <c r="F41" s="4">
        <f ca="1">SUMIFS(INDIRECT("Tab_00.Trial["&amp;F$4&amp;"]"),Tab_00.Trial[CONTA],$B41)</f>
        <v>0</v>
      </c>
      <c r="G41" s="78">
        <f t="shared" ca="1" si="51"/>
        <v>0</v>
      </c>
      <c r="H41" s="78">
        <f t="shared" ca="1" si="27"/>
        <v>0</v>
      </c>
      <c r="I41" s="4">
        <f ca="1">SUMIFS(INDIRECT("Tab_00.Trial["&amp;I$4&amp;"]"),Tab_00.Trial[CONTA],$B41)</f>
        <v>0</v>
      </c>
      <c r="J41" s="78">
        <f t="shared" ca="1" si="52"/>
        <v>0</v>
      </c>
      <c r="K41" s="78">
        <f t="shared" ca="1" si="29"/>
        <v>0</v>
      </c>
      <c r="L41" s="4">
        <f ca="1">SUMIFS(INDIRECT("Tab_00.Trial["&amp;L$4&amp;"]"),Tab_00.Trial[CONTA],$B41)</f>
        <v>0</v>
      </c>
      <c r="M41" s="78">
        <f t="shared" ca="1" si="53"/>
        <v>0</v>
      </c>
      <c r="N41" s="78">
        <f t="shared" ca="1" si="31"/>
        <v>0</v>
      </c>
      <c r="O41" s="4">
        <f ca="1">SUMIFS(INDIRECT("Tab_00.Trial["&amp;O$4&amp;"]"),Tab_00.Trial[CONTA],$B41)</f>
        <v>0</v>
      </c>
      <c r="P41" s="78">
        <f t="shared" ca="1" si="54"/>
        <v>0</v>
      </c>
      <c r="Q41" s="78">
        <f t="shared" ca="1" si="33"/>
        <v>0</v>
      </c>
      <c r="R41" s="4">
        <f ca="1">SUMIFS(INDIRECT("Tab_00.Trial["&amp;R$4&amp;"]"),Tab_00.Trial[CONTA],$B41)</f>
        <v>0</v>
      </c>
      <c r="S41" s="78">
        <f t="shared" ca="1" si="55"/>
        <v>0</v>
      </c>
      <c r="T41" s="78">
        <f t="shared" ca="1" si="35"/>
        <v>0</v>
      </c>
      <c r="U41" s="4">
        <f ca="1">SUMIFS(INDIRECT("Tab_00.Trial["&amp;U$4&amp;"]"),Tab_00.Trial[CONTA],$B41)</f>
        <v>0</v>
      </c>
      <c r="V41" s="78">
        <f t="shared" ca="1" si="56"/>
        <v>0</v>
      </c>
      <c r="W41" s="78">
        <f t="shared" ca="1" si="37"/>
        <v>0</v>
      </c>
      <c r="X41" s="4">
        <f ca="1">SUMIFS(INDIRECT("Tab_00.Trial["&amp;X$4&amp;"]"),Tab_00.Trial[CONTA],$B41)</f>
        <v>0</v>
      </c>
      <c r="Y41" s="78">
        <f t="shared" ca="1" si="57"/>
        <v>0</v>
      </c>
      <c r="Z41" s="78">
        <f t="shared" ca="1" si="39"/>
        <v>0</v>
      </c>
      <c r="AA41" s="4">
        <f ca="1">SUMIFS(INDIRECT("Tab_00.Trial["&amp;AA$4&amp;"]"),Tab_00.Trial[CONTA],$B41)</f>
        <v>0</v>
      </c>
      <c r="AB41" s="78">
        <f t="shared" ca="1" si="58"/>
        <v>0</v>
      </c>
      <c r="AC41" s="78">
        <f t="shared" ca="1" si="41"/>
        <v>0</v>
      </c>
      <c r="AD41" s="4">
        <f ca="1">SUMIFS(INDIRECT("Tab_00.Trial["&amp;AD$4&amp;"]"),Tab_00.Trial[CONTA],$B41)</f>
        <v>0</v>
      </c>
      <c r="AE41" s="78">
        <f t="shared" ca="1" si="59"/>
        <v>0</v>
      </c>
      <c r="AF41" s="78">
        <f t="shared" ca="1" si="43"/>
        <v>0</v>
      </c>
      <c r="AG41" s="4">
        <f ca="1">SUMIFS(INDIRECT("Tab_00.Trial["&amp;AG$4&amp;"]"),Tab_00.Trial[CONTA],$B41)</f>
        <v>0</v>
      </c>
      <c r="AH41" s="78">
        <f t="shared" ca="1" si="60"/>
        <v>0</v>
      </c>
      <c r="AI41" s="78">
        <f t="shared" ca="1" si="45"/>
        <v>0</v>
      </c>
      <c r="AJ41" s="4">
        <f ca="1">SUMIFS(INDIRECT("Tab_00.Trial["&amp;AJ$4&amp;"]"),Tab_00.Trial[CONTA],$B41)</f>
        <v>0</v>
      </c>
      <c r="AK41" s="78">
        <f t="shared" ca="1" si="61"/>
        <v>0</v>
      </c>
      <c r="AL41" s="78">
        <f t="shared" ca="1" si="47"/>
        <v>0</v>
      </c>
      <c r="AM41" s="4">
        <f ca="1">SUMIFS(INDIRECT("Tab_00.Trial["&amp;AM$4&amp;"]"),Tab_00.Trial[CONTA],$B41)</f>
        <v>0</v>
      </c>
      <c r="AN41" s="78">
        <f t="shared" ca="1" si="62"/>
        <v>0</v>
      </c>
      <c r="AO41" s="78">
        <f t="shared" ca="1" si="49"/>
        <v>0</v>
      </c>
      <c r="AP41" s="141"/>
      <c r="AQ41" s="142"/>
      <c r="AR41" s="142"/>
    </row>
    <row r="42" spans="2:44" ht="15" customHeight="1" outlineLevel="1" x14ac:dyDescent="0.3">
      <c r="B42" s="14"/>
      <c r="C42" s="15"/>
      <c r="D42" s="4">
        <f>SUMIFS(Tab_99.Trial[DEZEMBRO],Tab_99.Trial[CONTA],$B42)</f>
        <v>0</v>
      </c>
      <c r="E42" s="78">
        <f t="shared" si="50"/>
        <v>0</v>
      </c>
      <c r="F42" s="4">
        <f ca="1">SUMIFS(INDIRECT("Tab_00.Trial["&amp;F$4&amp;"]"),Tab_00.Trial[CONTA],$B42)</f>
        <v>0</v>
      </c>
      <c r="G42" s="78">
        <f t="shared" ca="1" si="51"/>
        <v>0</v>
      </c>
      <c r="H42" s="78">
        <f t="shared" ca="1" si="27"/>
        <v>0</v>
      </c>
      <c r="I42" s="4">
        <f ca="1">SUMIFS(INDIRECT("Tab_00.Trial["&amp;I$4&amp;"]"),Tab_00.Trial[CONTA],$B42)</f>
        <v>0</v>
      </c>
      <c r="J42" s="78">
        <f t="shared" ca="1" si="52"/>
        <v>0</v>
      </c>
      <c r="K42" s="78">
        <f t="shared" ca="1" si="29"/>
        <v>0</v>
      </c>
      <c r="L42" s="4">
        <f ca="1">SUMIFS(INDIRECT("Tab_00.Trial["&amp;L$4&amp;"]"),Tab_00.Trial[CONTA],$B42)</f>
        <v>0</v>
      </c>
      <c r="M42" s="78">
        <f t="shared" ca="1" si="53"/>
        <v>0</v>
      </c>
      <c r="N42" s="78">
        <f t="shared" ca="1" si="31"/>
        <v>0</v>
      </c>
      <c r="O42" s="4">
        <f ca="1">SUMIFS(INDIRECT("Tab_00.Trial["&amp;O$4&amp;"]"),Tab_00.Trial[CONTA],$B42)</f>
        <v>0</v>
      </c>
      <c r="P42" s="78">
        <f t="shared" ca="1" si="54"/>
        <v>0</v>
      </c>
      <c r="Q42" s="78">
        <f t="shared" ca="1" si="33"/>
        <v>0</v>
      </c>
      <c r="R42" s="4">
        <f ca="1">SUMIFS(INDIRECT("Tab_00.Trial["&amp;R$4&amp;"]"),Tab_00.Trial[CONTA],$B42)</f>
        <v>0</v>
      </c>
      <c r="S42" s="78">
        <f t="shared" ca="1" si="55"/>
        <v>0</v>
      </c>
      <c r="T42" s="78">
        <f t="shared" ca="1" si="35"/>
        <v>0</v>
      </c>
      <c r="U42" s="4">
        <f ca="1">SUMIFS(INDIRECT("Tab_00.Trial["&amp;U$4&amp;"]"),Tab_00.Trial[CONTA],$B42)</f>
        <v>0</v>
      </c>
      <c r="V42" s="78">
        <f t="shared" ca="1" si="56"/>
        <v>0</v>
      </c>
      <c r="W42" s="78">
        <f t="shared" ca="1" si="37"/>
        <v>0</v>
      </c>
      <c r="X42" s="4">
        <f ca="1">SUMIFS(INDIRECT("Tab_00.Trial["&amp;X$4&amp;"]"),Tab_00.Trial[CONTA],$B42)</f>
        <v>0</v>
      </c>
      <c r="Y42" s="78">
        <f t="shared" ca="1" si="57"/>
        <v>0</v>
      </c>
      <c r="Z42" s="78">
        <f t="shared" ca="1" si="39"/>
        <v>0</v>
      </c>
      <c r="AA42" s="4">
        <f ca="1">SUMIFS(INDIRECT("Tab_00.Trial["&amp;AA$4&amp;"]"),Tab_00.Trial[CONTA],$B42)</f>
        <v>0</v>
      </c>
      <c r="AB42" s="78">
        <f t="shared" ca="1" si="58"/>
        <v>0</v>
      </c>
      <c r="AC42" s="78">
        <f t="shared" ca="1" si="41"/>
        <v>0</v>
      </c>
      <c r="AD42" s="4">
        <f ca="1">SUMIFS(INDIRECT("Tab_00.Trial["&amp;AD$4&amp;"]"),Tab_00.Trial[CONTA],$B42)</f>
        <v>0</v>
      </c>
      <c r="AE42" s="78">
        <f t="shared" ca="1" si="59"/>
        <v>0</v>
      </c>
      <c r="AF42" s="78">
        <f t="shared" ca="1" si="43"/>
        <v>0</v>
      </c>
      <c r="AG42" s="4">
        <f ca="1">SUMIFS(INDIRECT("Tab_00.Trial["&amp;AG$4&amp;"]"),Tab_00.Trial[CONTA],$B42)</f>
        <v>0</v>
      </c>
      <c r="AH42" s="78">
        <f t="shared" ca="1" si="60"/>
        <v>0</v>
      </c>
      <c r="AI42" s="78">
        <f t="shared" ca="1" si="45"/>
        <v>0</v>
      </c>
      <c r="AJ42" s="4">
        <f ca="1">SUMIFS(INDIRECT("Tab_00.Trial["&amp;AJ$4&amp;"]"),Tab_00.Trial[CONTA],$B42)</f>
        <v>0</v>
      </c>
      <c r="AK42" s="78">
        <f t="shared" ca="1" si="61"/>
        <v>0</v>
      </c>
      <c r="AL42" s="78">
        <f t="shared" ca="1" si="47"/>
        <v>0</v>
      </c>
      <c r="AM42" s="4">
        <f ca="1">SUMIFS(INDIRECT("Tab_00.Trial["&amp;AM$4&amp;"]"),Tab_00.Trial[CONTA],$B42)</f>
        <v>0</v>
      </c>
      <c r="AN42" s="78">
        <f t="shared" ca="1" si="62"/>
        <v>0</v>
      </c>
      <c r="AO42" s="78">
        <f t="shared" ca="1" si="49"/>
        <v>0</v>
      </c>
      <c r="AP42" s="141"/>
      <c r="AQ42" s="142"/>
      <c r="AR42" s="142"/>
    </row>
    <row r="43" spans="2:44" ht="15" customHeight="1" outlineLevel="1" x14ac:dyDescent="0.3">
      <c r="B43" s="14"/>
      <c r="C43" s="15"/>
      <c r="D43" s="4">
        <f>SUMIFS(Tab_99.Trial[DEZEMBRO],Tab_99.Trial[CONTA],$B43)</f>
        <v>0</v>
      </c>
      <c r="E43" s="78">
        <f t="shared" si="50"/>
        <v>0</v>
      </c>
      <c r="F43" s="4">
        <f ca="1">SUMIFS(INDIRECT("Tab_00.Trial["&amp;F$4&amp;"]"),Tab_00.Trial[CONTA],$B43)</f>
        <v>0</v>
      </c>
      <c r="G43" s="78">
        <f t="shared" ca="1" si="51"/>
        <v>0</v>
      </c>
      <c r="H43" s="78">
        <f t="shared" ca="1" si="27"/>
        <v>0</v>
      </c>
      <c r="I43" s="4">
        <f ca="1">SUMIFS(INDIRECT("Tab_00.Trial["&amp;I$4&amp;"]"),Tab_00.Trial[CONTA],$B43)</f>
        <v>0</v>
      </c>
      <c r="J43" s="78">
        <f t="shared" ca="1" si="52"/>
        <v>0</v>
      </c>
      <c r="K43" s="78">
        <f t="shared" ca="1" si="29"/>
        <v>0</v>
      </c>
      <c r="L43" s="4">
        <f ca="1">SUMIFS(INDIRECT("Tab_00.Trial["&amp;L$4&amp;"]"),Tab_00.Trial[CONTA],$B43)</f>
        <v>0</v>
      </c>
      <c r="M43" s="78">
        <f t="shared" ca="1" si="53"/>
        <v>0</v>
      </c>
      <c r="N43" s="78">
        <f t="shared" ca="1" si="31"/>
        <v>0</v>
      </c>
      <c r="O43" s="4">
        <f ca="1">SUMIFS(INDIRECT("Tab_00.Trial["&amp;O$4&amp;"]"),Tab_00.Trial[CONTA],$B43)</f>
        <v>0</v>
      </c>
      <c r="P43" s="78">
        <f t="shared" ca="1" si="54"/>
        <v>0</v>
      </c>
      <c r="Q43" s="78">
        <f t="shared" ca="1" si="33"/>
        <v>0</v>
      </c>
      <c r="R43" s="4">
        <f ca="1">SUMIFS(INDIRECT("Tab_00.Trial["&amp;R$4&amp;"]"),Tab_00.Trial[CONTA],$B43)</f>
        <v>0</v>
      </c>
      <c r="S43" s="78">
        <f t="shared" ca="1" si="55"/>
        <v>0</v>
      </c>
      <c r="T43" s="78">
        <f t="shared" ca="1" si="35"/>
        <v>0</v>
      </c>
      <c r="U43" s="4">
        <f ca="1">SUMIFS(INDIRECT("Tab_00.Trial["&amp;U$4&amp;"]"),Tab_00.Trial[CONTA],$B43)</f>
        <v>0</v>
      </c>
      <c r="V43" s="78">
        <f t="shared" ca="1" si="56"/>
        <v>0</v>
      </c>
      <c r="W43" s="78">
        <f t="shared" ca="1" si="37"/>
        <v>0</v>
      </c>
      <c r="X43" s="4">
        <f ca="1">SUMIFS(INDIRECT("Tab_00.Trial["&amp;X$4&amp;"]"),Tab_00.Trial[CONTA],$B43)</f>
        <v>0</v>
      </c>
      <c r="Y43" s="78">
        <f t="shared" ca="1" si="57"/>
        <v>0</v>
      </c>
      <c r="Z43" s="78">
        <f t="shared" ca="1" si="39"/>
        <v>0</v>
      </c>
      <c r="AA43" s="4">
        <f ca="1">SUMIFS(INDIRECT("Tab_00.Trial["&amp;AA$4&amp;"]"),Tab_00.Trial[CONTA],$B43)</f>
        <v>0</v>
      </c>
      <c r="AB43" s="78">
        <f t="shared" ca="1" si="58"/>
        <v>0</v>
      </c>
      <c r="AC43" s="78">
        <f t="shared" ca="1" si="41"/>
        <v>0</v>
      </c>
      <c r="AD43" s="4">
        <f ca="1">SUMIFS(INDIRECT("Tab_00.Trial["&amp;AD$4&amp;"]"),Tab_00.Trial[CONTA],$B43)</f>
        <v>0</v>
      </c>
      <c r="AE43" s="78">
        <f t="shared" ca="1" si="59"/>
        <v>0</v>
      </c>
      <c r="AF43" s="78">
        <f t="shared" ca="1" si="43"/>
        <v>0</v>
      </c>
      <c r="AG43" s="4">
        <f ca="1">SUMIFS(INDIRECT("Tab_00.Trial["&amp;AG$4&amp;"]"),Tab_00.Trial[CONTA],$B43)</f>
        <v>0</v>
      </c>
      <c r="AH43" s="78">
        <f t="shared" ca="1" si="60"/>
        <v>0</v>
      </c>
      <c r="AI43" s="78">
        <f t="shared" ca="1" si="45"/>
        <v>0</v>
      </c>
      <c r="AJ43" s="4">
        <f ca="1">SUMIFS(INDIRECT("Tab_00.Trial["&amp;AJ$4&amp;"]"),Tab_00.Trial[CONTA],$B43)</f>
        <v>0</v>
      </c>
      <c r="AK43" s="78">
        <f t="shared" ca="1" si="61"/>
        <v>0</v>
      </c>
      <c r="AL43" s="78">
        <f t="shared" ca="1" si="47"/>
        <v>0</v>
      </c>
      <c r="AM43" s="4">
        <f ca="1">SUMIFS(INDIRECT("Tab_00.Trial["&amp;AM$4&amp;"]"),Tab_00.Trial[CONTA],$B43)</f>
        <v>0</v>
      </c>
      <c r="AN43" s="78">
        <f t="shared" ca="1" si="62"/>
        <v>0</v>
      </c>
      <c r="AO43" s="78">
        <f t="shared" ca="1" si="49"/>
        <v>0</v>
      </c>
      <c r="AP43" s="141"/>
      <c r="AQ43" s="142"/>
      <c r="AR43" s="142"/>
    </row>
    <row r="44" spans="2:44" ht="15" customHeight="1" outlineLevel="1" x14ac:dyDescent="0.3">
      <c r="B44" s="14"/>
      <c r="C44" s="15"/>
      <c r="D44" s="4">
        <f>SUMIFS(Tab_99.Trial[DEZEMBRO],Tab_99.Trial[CONTA],$B44)</f>
        <v>0</v>
      </c>
      <c r="E44" s="78">
        <f t="shared" si="50"/>
        <v>0</v>
      </c>
      <c r="F44" s="4">
        <f ca="1">SUMIFS(INDIRECT("Tab_00.Trial["&amp;F$4&amp;"]"),Tab_00.Trial[CONTA],$B44)</f>
        <v>0</v>
      </c>
      <c r="G44" s="78">
        <f t="shared" ca="1" si="51"/>
        <v>0</v>
      </c>
      <c r="H44" s="78">
        <f t="shared" ca="1" si="27"/>
        <v>0</v>
      </c>
      <c r="I44" s="4">
        <f ca="1">SUMIFS(INDIRECT("Tab_00.Trial["&amp;I$4&amp;"]"),Tab_00.Trial[CONTA],$B44)</f>
        <v>0</v>
      </c>
      <c r="J44" s="78">
        <f t="shared" ca="1" si="52"/>
        <v>0</v>
      </c>
      <c r="K44" s="78">
        <f t="shared" ca="1" si="29"/>
        <v>0</v>
      </c>
      <c r="L44" s="4">
        <f ca="1">SUMIFS(INDIRECT("Tab_00.Trial["&amp;L$4&amp;"]"),Tab_00.Trial[CONTA],$B44)</f>
        <v>0</v>
      </c>
      <c r="M44" s="78">
        <f t="shared" ca="1" si="53"/>
        <v>0</v>
      </c>
      <c r="N44" s="78">
        <f t="shared" ca="1" si="31"/>
        <v>0</v>
      </c>
      <c r="O44" s="4">
        <f ca="1">SUMIFS(INDIRECT("Tab_00.Trial["&amp;O$4&amp;"]"),Tab_00.Trial[CONTA],$B44)</f>
        <v>0</v>
      </c>
      <c r="P44" s="78">
        <f t="shared" ca="1" si="54"/>
        <v>0</v>
      </c>
      <c r="Q44" s="78">
        <f t="shared" ca="1" si="33"/>
        <v>0</v>
      </c>
      <c r="R44" s="4">
        <f ca="1">SUMIFS(INDIRECT("Tab_00.Trial["&amp;R$4&amp;"]"),Tab_00.Trial[CONTA],$B44)</f>
        <v>0</v>
      </c>
      <c r="S44" s="78">
        <f t="shared" ca="1" si="55"/>
        <v>0</v>
      </c>
      <c r="T44" s="78">
        <f t="shared" ca="1" si="35"/>
        <v>0</v>
      </c>
      <c r="U44" s="4">
        <f ca="1">SUMIFS(INDIRECT("Tab_00.Trial["&amp;U$4&amp;"]"),Tab_00.Trial[CONTA],$B44)</f>
        <v>0</v>
      </c>
      <c r="V44" s="78">
        <f t="shared" ca="1" si="56"/>
        <v>0</v>
      </c>
      <c r="W44" s="78">
        <f t="shared" ca="1" si="37"/>
        <v>0</v>
      </c>
      <c r="X44" s="4">
        <f ca="1">SUMIFS(INDIRECT("Tab_00.Trial["&amp;X$4&amp;"]"),Tab_00.Trial[CONTA],$B44)</f>
        <v>0</v>
      </c>
      <c r="Y44" s="78">
        <f t="shared" ca="1" si="57"/>
        <v>0</v>
      </c>
      <c r="Z44" s="78">
        <f t="shared" ca="1" si="39"/>
        <v>0</v>
      </c>
      <c r="AA44" s="4">
        <f ca="1">SUMIFS(INDIRECT("Tab_00.Trial["&amp;AA$4&amp;"]"),Tab_00.Trial[CONTA],$B44)</f>
        <v>0</v>
      </c>
      <c r="AB44" s="78">
        <f t="shared" ca="1" si="58"/>
        <v>0</v>
      </c>
      <c r="AC44" s="78">
        <f t="shared" ca="1" si="41"/>
        <v>0</v>
      </c>
      <c r="AD44" s="4">
        <f ca="1">SUMIFS(INDIRECT("Tab_00.Trial["&amp;AD$4&amp;"]"),Tab_00.Trial[CONTA],$B44)</f>
        <v>0</v>
      </c>
      <c r="AE44" s="78">
        <f t="shared" ca="1" si="59"/>
        <v>0</v>
      </c>
      <c r="AF44" s="78">
        <f t="shared" ca="1" si="43"/>
        <v>0</v>
      </c>
      <c r="AG44" s="4">
        <f ca="1">SUMIFS(INDIRECT("Tab_00.Trial["&amp;AG$4&amp;"]"),Tab_00.Trial[CONTA],$B44)</f>
        <v>0</v>
      </c>
      <c r="AH44" s="78">
        <f t="shared" ca="1" si="60"/>
        <v>0</v>
      </c>
      <c r="AI44" s="78">
        <f t="shared" ca="1" si="45"/>
        <v>0</v>
      </c>
      <c r="AJ44" s="4">
        <f ca="1">SUMIFS(INDIRECT("Tab_00.Trial["&amp;AJ$4&amp;"]"),Tab_00.Trial[CONTA],$B44)</f>
        <v>0</v>
      </c>
      <c r="AK44" s="78">
        <f t="shared" ca="1" si="61"/>
        <v>0</v>
      </c>
      <c r="AL44" s="78">
        <f t="shared" ca="1" si="47"/>
        <v>0</v>
      </c>
      <c r="AM44" s="4">
        <f ca="1">SUMIFS(INDIRECT("Tab_00.Trial["&amp;AM$4&amp;"]"),Tab_00.Trial[CONTA],$B44)</f>
        <v>0</v>
      </c>
      <c r="AN44" s="78">
        <f t="shared" ca="1" si="62"/>
        <v>0</v>
      </c>
      <c r="AO44" s="78">
        <f t="shared" ca="1" si="49"/>
        <v>0</v>
      </c>
      <c r="AP44" s="141"/>
      <c r="AQ44" s="142"/>
      <c r="AR44" s="142"/>
    </row>
    <row r="45" spans="2:44" ht="5.0999999999999996" customHeight="1" outlineLevel="1" x14ac:dyDescent="0.3">
      <c r="B45" s="74"/>
      <c r="C45" s="75"/>
      <c r="D45" s="76"/>
      <c r="E45" s="77"/>
      <c r="F45" s="76"/>
      <c r="G45" s="77"/>
      <c r="H45" s="77"/>
      <c r="I45" s="76"/>
      <c r="J45" s="77"/>
      <c r="K45" s="77"/>
      <c r="L45" s="76"/>
      <c r="M45" s="77"/>
      <c r="N45" s="77"/>
      <c r="O45" s="76"/>
      <c r="P45" s="77"/>
      <c r="Q45" s="77"/>
      <c r="R45" s="76"/>
      <c r="S45" s="77"/>
      <c r="T45" s="77"/>
      <c r="U45" s="76"/>
      <c r="V45" s="77"/>
      <c r="W45" s="77"/>
      <c r="X45" s="76"/>
      <c r="Y45" s="77"/>
      <c r="Z45" s="77"/>
      <c r="AA45" s="76"/>
      <c r="AB45" s="77"/>
      <c r="AC45" s="77"/>
      <c r="AD45" s="76"/>
      <c r="AE45" s="77"/>
      <c r="AF45" s="77"/>
      <c r="AG45" s="76"/>
      <c r="AH45" s="77"/>
      <c r="AI45" s="77"/>
      <c r="AJ45" s="76"/>
      <c r="AK45" s="77"/>
      <c r="AL45" s="77"/>
      <c r="AM45" s="76"/>
      <c r="AN45" s="77"/>
      <c r="AO45" s="77"/>
    </row>
    <row r="46" spans="2:44" ht="15" customHeight="1" x14ac:dyDescent="0.3">
      <c r="B46" s="3" t="s">
        <v>42</v>
      </c>
      <c r="C46" s="14" t="s">
        <v>87</v>
      </c>
      <c r="D46" s="4">
        <f>SUBTOTAL(9,D$47:D$59)</f>
        <v>0</v>
      </c>
      <c r="E46" s="78">
        <f t="shared" ref="E46:E58" si="63">IFERROR($D46/$D$160,0)</f>
        <v>0</v>
      </c>
      <c r="F46" s="4">
        <f ca="1">SUBTOTAL(9,F$47:F$59)</f>
        <v>4481.74</v>
      </c>
      <c r="G46" s="78">
        <f t="shared" ref="G46:G58" ca="1" si="64">IFERROR($F46/$F$160,0)</f>
        <v>1E-4</v>
      </c>
      <c r="H46" s="78">
        <f t="shared" ca="1" si="27"/>
        <v>0</v>
      </c>
      <c r="I46" s="4">
        <f ca="1">SUBTOTAL(9,I$47:I$59)</f>
        <v>4481.74</v>
      </c>
      <c r="J46" s="78">
        <f t="shared" ref="J46:J58" ca="1" si="65">IFERROR($I46/$I$160,0)</f>
        <v>1E-4</v>
      </c>
      <c r="K46" s="78">
        <f t="shared" ca="1" si="29"/>
        <v>0</v>
      </c>
      <c r="L46" s="4">
        <f ca="1">SUBTOTAL(9,L$47:L$59)</f>
        <v>4481.74</v>
      </c>
      <c r="M46" s="78">
        <f t="shared" ref="M46:M58" ca="1" si="66">IFERROR($L46/$L$160,0)</f>
        <v>1E-4</v>
      </c>
      <c r="N46" s="78">
        <f t="shared" ca="1" si="31"/>
        <v>0</v>
      </c>
      <c r="O46" s="4">
        <f ca="1">SUBTOTAL(9,O$47:O$59)</f>
        <v>15224.77</v>
      </c>
      <c r="P46" s="78">
        <f t="shared" ref="P46:P58" ca="1" si="67">IFERROR($O46/$O$160,0)</f>
        <v>2.0000000000000001E-4</v>
      </c>
      <c r="Q46" s="78">
        <f t="shared" ca="1" si="33"/>
        <v>2.3971</v>
      </c>
      <c r="R46" s="4">
        <f ca="1">SUBTOTAL(9,R$47:R$59)</f>
        <v>15224.77</v>
      </c>
      <c r="S46" s="78">
        <f t="shared" ref="S46:S58" ca="1" si="68">IFERROR($R46/$R$160,0)</f>
        <v>2.0000000000000001E-4</v>
      </c>
      <c r="T46" s="78">
        <f t="shared" ca="1" si="35"/>
        <v>0</v>
      </c>
      <c r="U46" s="4">
        <f ca="1">SUBTOTAL(9,U$47:U$59)</f>
        <v>15224.77</v>
      </c>
      <c r="V46" s="78">
        <f t="shared" ref="V46:V58" ca="1" si="69">IFERROR($U46/$U$160,0)</f>
        <v>2.0000000000000001E-4</v>
      </c>
      <c r="W46" s="78">
        <f t="shared" ca="1" si="37"/>
        <v>0</v>
      </c>
      <c r="X46" s="4">
        <f ca="1">SUBTOTAL(9,X$47:X$59)</f>
        <v>15213.77</v>
      </c>
      <c r="Y46" s="78">
        <f t="shared" ref="Y46:Y58" ca="1" si="70">IFERROR($X46/$X$160,0)</f>
        <v>2.0000000000000001E-4</v>
      </c>
      <c r="Z46" s="78">
        <f t="shared" ca="1" si="39"/>
        <v>-6.9999999999999999E-4</v>
      </c>
      <c r="AA46" s="4">
        <f ca="1">SUBTOTAL(9,AA$47:AA$59)</f>
        <v>15194.54</v>
      </c>
      <c r="AB46" s="78">
        <f t="shared" ref="AB46:AB58" ca="1" si="71">IFERROR($AA46/$AA$160,0)</f>
        <v>2.0000000000000001E-4</v>
      </c>
      <c r="AC46" s="78">
        <f t="shared" ca="1" si="41"/>
        <v>-1.2999999999999999E-3</v>
      </c>
      <c r="AD46" s="4">
        <f ca="1">SUBTOTAL(9,AD$47:AD$59)</f>
        <v>8106.36</v>
      </c>
      <c r="AE46" s="78">
        <f t="shared" ref="AE46:AE58" ca="1" si="72">IFERROR($AD46/$AD$160,0)</f>
        <v>1E-4</v>
      </c>
      <c r="AF46" s="78">
        <f t="shared" ca="1" si="43"/>
        <v>-0.46650000000000003</v>
      </c>
      <c r="AG46" s="4">
        <f ca="1">SUBTOTAL(9,AG$47:AG$59)</f>
        <v>8180.79</v>
      </c>
      <c r="AH46" s="78">
        <f t="shared" ref="AH46:AH58" ca="1" si="73">IFERROR($AG46/$AG$160,0)</f>
        <v>1E-4</v>
      </c>
      <c r="AI46" s="78">
        <f t="shared" ca="1" si="45"/>
        <v>9.1999999999999998E-3</v>
      </c>
      <c r="AJ46" s="4">
        <f ca="1">SUBTOTAL(9,AJ$47:AJ$59)</f>
        <v>6293.89</v>
      </c>
      <c r="AK46" s="78">
        <f t="shared" ref="AK46:AK58" ca="1" si="74">IFERROR($AJ46/$AJ$160,0)</f>
        <v>1E-4</v>
      </c>
      <c r="AL46" s="78">
        <f t="shared" ca="1" si="47"/>
        <v>-0.23069999999999999</v>
      </c>
      <c r="AM46" s="4">
        <f ca="1">SUBTOTAL(9,AM$47:AM$59)</f>
        <v>7927.27</v>
      </c>
      <c r="AN46" s="78">
        <f t="shared" ref="AN46:AN58" ca="1" si="75">IFERROR(AM46/AM$160,0)</f>
        <v>1E-4</v>
      </c>
      <c r="AO46" s="78">
        <f t="shared" ca="1" si="49"/>
        <v>0.25950000000000001</v>
      </c>
    </row>
    <row r="47" spans="2:44" ht="15" customHeight="1" outlineLevel="1" x14ac:dyDescent="0.3">
      <c r="B47" s="14" t="s">
        <v>296</v>
      </c>
      <c r="C47" s="15" t="s">
        <v>297</v>
      </c>
      <c r="D47" s="4">
        <f>SUMIFS(Tab_99.Trial[DEZEMBRO],Tab_99.Trial[CONTA],$B47)</f>
        <v>0</v>
      </c>
      <c r="E47" s="78">
        <f t="shared" si="63"/>
        <v>0</v>
      </c>
      <c r="F47" s="4">
        <f ca="1">SUMIFS(INDIRECT("Tab_00.Trial["&amp;F$4&amp;"]"),Tab_00.Trial[CONTA],$B47)</f>
        <v>0</v>
      </c>
      <c r="G47" s="78">
        <f t="shared" ca="1" si="64"/>
        <v>0</v>
      </c>
      <c r="H47" s="78">
        <f t="shared" ca="1" si="27"/>
        <v>0</v>
      </c>
      <c r="I47" s="4">
        <f ca="1">SUMIFS(INDIRECT("Tab_00.Trial["&amp;I$4&amp;"]"),Tab_00.Trial[CONTA],$B47)</f>
        <v>0</v>
      </c>
      <c r="J47" s="78">
        <f t="shared" ca="1" si="65"/>
        <v>0</v>
      </c>
      <c r="K47" s="78">
        <f t="shared" ca="1" si="29"/>
        <v>0</v>
      </c>
      <c r="L47" s="4">
        <f ca="1">SUMIFS(INDIRECT("Tab_00.Trial["&amp;L$4&amp;"]"),Tab_00.Trial[CONTA],$B47)</f>
        <v>0</v>
      </c>
      <c r="M47" s="78">
        <f t="shared" ca="1" si="66"/>
        <v>0</v>
      </c>
      <c r="N47" s="78">
        <f t="shared" ca="1" si="31"/>
        <v>0</v>
      </c>
      <c r="O47" s="4">
        <f ca="1">SUMIFS(INDIRECT("Tab_00.Trial["&amp;O$4&amp;"]"),Tab_00.Trial[CONTA],$B47)</f>
        <v>0</v>
      </c>
      <c r="P47" s="78">
        <f t="shared" ca="1" si="67"/>
        <v>0</v>
      </c>
      <c r="Q47" s="78">
        <f t="shared" ca="1" si="33"/>
        <v>0</v>
      </c>
      <c r="R47" s="4">
        <f ca="1">SUMIFS(INDIRECT("Tab_00.Trial["&amp;R$4&amp;"]"),Tab_00.Trial[CONTA],$B47)</f>
        <v>0</v>
      </c>
      <c r="S47" s="78">
        <f t="shared" ca="1" si="68"/>
        <v>0</v>
      </c>
      <c r="T47" s="78">
        <f t="shared" ca="1" si="35"/>
        <v>0</v>
      </c>
      <c r="U47" s="4">
        <f ca="1">SUMIFS(INDIRECT("Tab_00.Trial["&amp;U$4&amp;"]"),Tab_00.Trial[CONTA],$B47)</f>
        <v>0</v>
      </c>
      <c r="V47" s="78">
        <f t="shared" ca="1" si="69"/>
        <v>0</v>
      </c>
      <c r="W47" s="78">
        <f t="shared" ca="1" si="37"/>
        <v>0</v>
      </c>
      <c r="X47" s="4">
        <f ca="1">SUMIFS(INDIRECT("Tab_00.Trial["&amp;X$4&amp;"]"),Tab_00.Trial[CONTA],$B47)</f>
        <v>0</v>
      </c>
      <c r="Y47" s="78">
        <f t="shared" ca="1" si="70"/>
        <v>0</v>
      </c>
      <c r="Z47" s="78">
        <f t="shared" ca="1" si="39"/>
        <v>0</v>
      </c>
      <c r="AA47" s="4">
        <f ca="1">SUMIFS(INDIRECT("Tab_00.Trial["&amp;AA$4&amp;"]"),Tab_00.Trial[CONTA],$B47)</f>
        <v>0</v>
      </c>
      <c r="AB47" s="78">
        <f t="shared" ca="1" si="71"/>
        <v>0</v>
      </c>
      <c r="AC47" s="78">
        <f t="shared" ca="1" si="41"/>
        <v>0</v>
      </c>
      <c r="AD47" s="4">
        <f ca="1">SUMIFS(INDIRECT("Tab_00.Trial["&amp;AD$4&amp;"]"),Tab_00.Trial[CONTA],$B47)</f>
        <v>0</v>
      </c>
      <c r="AE47" s="78">
        <f t="shared" ca="1" si="72"/>
        <v>0</v>
      </c>
      <c r="AF47" s="78">
        <f t="shared" ca="1" si="43"/>
        <v>0</v>
      </c>
      <c r="AG47" s="4">
        <f ca="1">SUMIFS(INDIRECT("Tab_00.Trial["&amp;AG$4&amp;"]"),Tab_00.Trial[CONTA],$B47)</f>
        <v>0</v>
      </c>
      <c r="AH47" s="78">
        <f t="shared" ca="1" si="73"/>
        <v>0</v>
      </c>
      <c r="AI47" s="78">
        <f t="shared" ca="1" si="45"/>
        <v>0</v>
      </c>
      <c r="AJ47" s="4">
        <f ca="1">SUMIFS(INDIRECT("Tab_00.Trial["&amp;AJ$4&amp;"]"),Tab_00.Trial[CONTA],$B47)</f>
        <v>0</v>
      </c>
      <c r="AK47" s="78">
        <f t="shared" ca="1" si="74"/>
        <v>0</v>
      </c>
      <c r="AL47" s="78">
        <f t="shared" ca="1" si="47"/>
        <v>0</v>
      </c>
      <c r="AM47" s="4">
        <f ca="1">SUMIFS(INDIRECT("Tab_00.Trial["&amp;AM$4&amp;"]"),Tab_00.Trial[CONTA],$B47)</f>
        <v>0</v>
      </c>
      <c r="AN47" s="78">
        <f t="shared" ca="1" si="75"/>
        <v>0</v>
      </c>
      <c r="AO47" s="78">
        <f t="shared" ca="1" si="49"/>
        <v>0</v>
      </c>
    </row>
    <row r="48" spans="2:44" ht="15" customHeight="1" outlineLevel="1" x14ac:dyDescent="0.3">
      <c r="B48" s="181" t="s">
        <v>838</v>
      </c>
      <c r="C48" s="181" t="s">
        <v>839</v>
      </c>
      <c r="D48" s="4">
        <f>SUMIFS(Tab_99.Trial[DEZEMBRO],Tab_99.Trial[CONTA],$B48)</f>
        <v>0</v>
      </c>
      <c r="E48" s="78">
        <f t="shared" si="63"/>
        <v>0</v>
      </c>
      <c r="F48" s="4">
        <f ca="1">SUMIFS(INDIRECT("Tab_00.Trial["&amp;F$4&amp;"]"),Tab_00.Trial[CONTA],$B48)</f>
        <v>0</v>
      </c>
      <c r="G48" s="78">
        <f t="shared" ca="1" si="64"/>
        <v>0</v>
      </c>
      <c r="H48" s="78">
        <f t="shared" ca="1" si="27"/>
        <v>0</v>
      </c>
      <c r="I48" s="4">
        <f ca="1">SUMIFS(INDIRECT("Tab_00.Trial["&amp;I$4&amp;"]"),Tab_00.Trial[CONTA],$B48)</f>
        <v>0</v>
      </c>
      <c r="J48" s="78">
        <f t="shared" ca="1" si="65"/>
        <v>0</v>
      </c>
      <c r="K48" s="78">
        <f t="shared" ca="1" si="29"/>
        <v>0</v>
      </c>
      <c r="L48" s="4">
        <f ca="1">SUMIFS(INDIRECT("Tab_00.Trial["&amp;L$4&amp;"]"),Tab_00.Trial[CONTA],$B48)</f>
        <v>0</v>
      </c>
      <c r="M48" s="78">
        <f t="shared" ca="1" si="66"/>
        <v>0</v>
      </c>
      <c r="N48" s="78">
        <f t="shared" ca="1" si="31"/>
        <v>0</v>
      </c>
      <c r="O48" s="4">
        <f ca="1">SUMIFS(INDIRECT("Tab_00.Trial["&amp;O$4&amp;"]"),Tab_00.Trial[CONTA],$B48)</f>
        <v>0</v>
      </c>
      <c r="P48" s="78">
        <f t="shared" ca="1" si="67"/>
        <v>0</v>
      </c>
      <c r="Q48" s="78">
        <f t="shared" ca="1" si="33"/>
        <v>0</v>
      </c>
      <c r="R48" s="4">
        <f ca="1">SUMIFS(INDIRECT("Tab_00.Trial["&amp;R$4&amp;"]"),Tab_00.Trial[CONTA],$B48)</f>
        <v>0</v>
      </c>
      <c r="S48" s="78">
        <f t="shared" ca="1" si="68"/>
        <v>0</v>
      </c>
      <c r="T48" s="78">
        <f t="shared" ca="1" si="35"/>
        <v>0</v>
      </c>
      <c r="U48" s="4">
        <f ca="1">SUMIFS(INDIRECT("Tab_00.Trial["&amp;U$4&amp;"]"),Tab_00.Trial[CONTA],$B48)</f>
        <v>0</v>
      </c>
      <c r="V48" s="78">
        <f t="shared" ca="1" si="69"/>
        <v>0</v>
      </c>
      <c r="W48" s="78">
        <f t="shared" ca="1" si="37"/>
        <v>0</v>
      </c>
      <c r="X48" s="4">
        <f ca="1">SUMIFS(INDIRECT("Tab_00.Trial["&amp;X$4&amp;"]"),Tab_00.Trial[CONTA],$B48)</f>
        <v>0</v>
      </c>
      <c r="Y48" s="78">
        <f t="shared" ca="1" si="70"/>
        <v>0</v>
      </c>
      <c r="Z48" s="78">
        <f t="shared" ca="1" si="39"/>
        <v>0</v>
      </c>
      <c r="AA48" s="4">
        <f ca="1">SUMIFS(INDIRECT("Tab_00.Trial["&amp;AA$4&amp;"]"),Tab_00.Trial[CONTA],$B48)</f>
        <v>0</v>
      </c>
      <c r="AB48" s="78">
        <f t="shared" ca="1" si="71"/>
        <v>0</v>
      </c>
      <c r="AC48" s="78">
        <f t="shared" ca="1" si="41"/>
        <v>0</v>
      </c>
      <c r="AD48" s="4">
        <f ca="1">SUMIFS(INDIRECT("Tab_00.Trial["&amp;AD$4&amp;"]"),Tab_00.Trial[CONTA],$B48)</f>
        <v>0</v>
      </c>
      <c r="AE48" s="78">
        <f t="shared" ca="1" si="72"/>
        <v>0</v>
      </c>
      <c r="AF48" s="78">
        <f t="shared" ca="1" si="43"/>
        <v>0</v>
      </c>
      <c r="AG48" s="4">
        <f ca="1">SUMIFS(INDIRECT("Tab_00.Trial["&amp;AG$4&amp;"]"),Tab_00.Trial[CONTA],$B48)</f>
        <v>86.53</v>
      </c>
      <c r="AH48" s="78">
        <f t="shared" ca="1" si="73"/>
        <v>0</v>
      </c>
      <c r="AI48" s="78">
        <f t="shared" ca="1" si="45"/>
        <v>0</v>
      </c>
      <c r="AJ48" s="4">
        <f ca="1">SUMIFS(INDIRECT("Tab_00.Trial["&amp;AJ$4&amp;"]"),Tab_00.Trial[CONTA],$B48)</f>
        <v>98.63</v>
      </c>
      <c r="AK48" s="78">
        <f t="shared" ca="1" si="74"/>
        <v>0</v>
      </c>
      <c r="AL48" s="78">
        <f t="shared" ca="1" si="47"/>
        <v>0.13980000000000001</v>
      </c>
      <c r="AM48" s="4">
        <f ca="1">SUMIFS(INDIRECT("Tab_00.Trial["&amp;AM$4&amp;"]"),Tab_00.Trial[CONTA],$B48)</f>
        <v>1997.63</v>
      </c>
      <c r="AN48" s="78">
        <f t="shared" ca="1" si="75"/>
        <v>0</v>
      </c>
      <c r="AO48" s="78">
        <f t="shared" ca="1" si="49"/>
        <v>19.253799999999998</v>
      </c>
    </row>
    <row r="49" spans="2:41" ht="15" customHeight="1" outlineLevel="1" x14ac:dyDescent="0.3">
      <c r="B49" s="14" t="s">
        <v>831</v>
      </c>
      <c r="C49" s="15" t="s">
        <v>832</v>
      </c>
      <c r="D49" s="4">
        <f>SUMIFS(Tab_99.Trial[DEZEMBRO],Tab_99.Trial[CONTA],$B49)</f>
        <v>0</v>
      </c>
      <c r="E49" s="78">
        <f t="shared" si="63"/>
        <v>0</v>
      </c>
      <c r="F49" s="4">
        <f ca="1">SUMIFS(INDIRECT("Tab_00.Trial["&amp;F$4&amp;"]"),Tab_00.Trial[CONTA],$B49)</f>
        <v>4481.74</v>
      </c>
      <c r="G49" s="78">
        <f t="shared" ca="1" si="64"/>
        <v>1E-4</v>
      </c>
      <c r="H49" s="78">
        <f t="shared" ca="1" si="27"/>
        <v>0</v>
      </c>
      <c r="I49" s="4">
        <f ca="1">SUMIFS(INDIRECT("Tab_00.Trial["&amp;I$4&amp;"]"),Tab_00.Trial[CONTA],$B49)</f>
        <v>4481.74</v>
      </c>
      <c r="J49" s="78">
        <f t="shared" ca="1" si="65"/>
        <v>1E-4</v>
      </c>
      <c r="K49" s="78">
        <f t="shared" ca="1" si="29"/>
        <v>0</v>
      </c>
      <c r="L49" s="4">
        <f ca="1">SUMIFS(INDIRECT("Tab_00.Trial["&amp;L$4&amp;"]"),Tab_00.Trial[CONTA],$B49)</f>
        <v>4481.74</v>
      </c>
      <c r="M49" s="78">
        <f t="shared" ca="1" si="66"/>
        <v>1E-4</v>
      </c>
      <c r="N49" s="78">
        <f t="shared" ca="1" si="31"/>
        <v>0</v>
      </c>
      <c r="O49" s="4">
        <f ca="1">SUMIFS(INDIRECT("Tab_00.Trial["&amp;O$4&amp;"]"),Tab_00.Trial[CONTA],$B49)</f>
        <v>15224.77</v>
      </c>
      <c r="P49" s="78">
        <f t="shared" ca="1" si="67"/>
        <v>2.0000000000000001E-4</v>
      </c>
      <c r="Q49" s="78">
        <f t="shared" ca="1" si="33"/>
        <v>2.3971</v>
      </c>
      <c r="R49" s="4">
        <f ca="1">SUMIFS(INDIRECT("Tab_00.Trial["&amp;R$4&amp;"]"),Tab_00.Trial[CONTA],$B49)</f>
        <v>15224.77</v>
      </c>
      <c r="S49" s="78">
        <f t="shared" ca="1" si="68"/>
        <v>2.0000000000000001E-4</v>
      </c>
      <c r="T49" s="78">
        <f t="shared" ca="1" si="35"/>
        <v>0</v>
      </c>
      <c r="U49" s="4">
        <f ca="1">SUMIFS(INDIRECT("Tab_00.Trial["&amp;U$4&amp;"]"),Tab_00.Trial[CONTA],$B49)</f>
        <v>15224.77</v>
      </c>
      <c r="V49" s="78">
        <f t="shared" ca="1" si="69"/>
        <v>2.0000000000000001E-4</v>
      </c>
      <c r="W49" s="78">
        <f t="shared" ca="1" si="37"/>
        <v>0</v>
      </c>
      <c r="X49" s="4">
        <f ca="1">SUMIFS(INDIRECT("Tab_00.Trial["&amp;X$4&amp;"]"),Tab_00.Trial[CONTA],$B49)</f>
        <v>15213.77</v>
      </c>
      <c r="Y49" s="78">
        <f t="shared" ca="1" si="70"/>
        <v>2.0000000000000001E-4</v>
      </c>
      <c r="Z49" s="78">
        <f t="shared" ca="1" si="39"/>
        <v>-6.9999999999999999E-4</v>
      </c>
      <c r="AA49" s="4">
        <f ca="1">SUMIFS(INDIRECT("Tab_00.Trial["&amp;AA$4&amp;"]"),Tab_00.Trial[CONTA],$B49)</f>
        <v>15194.54</v>
      </c>
      <c r="AB49" s="78">
        <f t="shared" ca="1" si="71"/>
        <v>2.0000000000000001E-4</v>
      </c>
      <c r="AC49" s="78">
        <f t="shared" ca="1" si="41"/>
        <v>-1.2999999999999999E-3</v>
      </c>
      <c r="AD49" s="4">
        <f ca="1">SUMIFS(INDIRECT("Tab_00.Trial["&amp;AD$4&amp;"]"),Tab_00.Trial[CONTA],$B49)</f>
        <v>8106.36</v>
      </c>
      <c r="AE49" s="78">
        <f t="shared" ca="1" si="72"/>
        <v>1E-4</v>
      </c>
      <c r="AF49" s="78">
        <f t="shared" ca="1" si="43"/>
        <v>-0.46650000000000003</v>
      </c>
      <c r="AG49" s="4">
        <f ca="1">SUMIFS(INDIRECT("Tab_00.Trial["&amp;AG$4&amp;"]"),Tab_00.Trial[CONTA],$B49)</f>
        <v>8094.26</v>
      </c>
      <c r="AH49" s="78">
        <f t="shared" ca="1" si="73"/>
        <v>1E-4</v>
      </c>
      <c r="AI49" s="78">
        <f t="shared" ca="1" si="45"/>
        <v>-1.5E-3</v>
      </c>
      <c r="AJ49" s="4">
        <f ca="1">SUMIFS(INDIRECT("Tab_00.Trial["&amp;AJ$4&amp;"]"),Tab_00.Trial[CONTA],$B49)</f>
        <v>6195.26</v>
      </c>
      <c r="AK49" s="78">
        <f t="shared" ca="1" si="74"/>
        <v>1E-4</v>
      </c>
      <c r="AL49" s="78">
        <f t="shared" ca="1" si="47"/>
        <v>-0.2346</v>
      </c>
      <c r="AM49" s="4">
        <f ca="1">SUMIFS(INDIRECT("Tab_00.Trial["&amp;AM$4&amp;"]"),Tab_00.Trial[CONTA],$B49)</f>
        <v>5929.64</v>
      </c>
      <c r="AN49" s="78">
        <f t="shared" ca="1" si="75"/>
        <v>1E-4</v>
      </c>
      <c r="AO49" s="78">
        <f t="shared" ca="1" si="49"/>
        <v>-4.2900000000000001E-2</v>
      </c>
    </row>
    <row r="50" spans="2:41" ht="15" customHeight="1" outlineLevel="1" x14ac:dyDescent="0.3">
      <c r="B50" s="14"/>
      <c r="C50" s="15"/>
      <c r="D50" s="4">
        <f>SUMIFS(Tab_99.Trial[DEZEMBRO],Tab_99.Trial[CONTA],$B50)</f>
        <v>0</v>
      </c>
      <c r="E50" s="78">
        <f t="shared" si="63"/>
        <v>0</v>
      </c>
      <c r="F50" s="4">
        <f ca="1">SUMIFS(INDIRECT("Tab_00.Trial["&amp;F$4&amp;"]"),Tab_00.Trial[CONTA],$B50)</f>
        <v>0</v>
      </c>
      <c r="G50" s="78">
        <f t="shared" ca="1" si="64"/>
        <v>0</v>
      </c>
      <c r="H50" s="78">
        <f t="shared" ca="1" si="27"/>
        <v>0</v>
      </c>
      <c r="I50" s="4">
        <f ca="1">SUMIFS(INDIRECT("Tab_00.Trial["&amp;I$4&amp;"]"),Tab_00.Trial[CONTA],$B50)</f>
        <v>0</v>
      </c>
      <c r="J50" s="78">
        <f t="shared" ca="1" si="65"/>
        <v>0</v>
      </c>
      <c r="K50" s="78">
        <f t="shared" ca="1" si="29"/>
        <v>0</v>
      </c>
      <c r="L50" s="4">
        <f ca="1">SUMIFS(INDIRECT("Tab_00.Trial["&amp;L$4&amp;"]"),Tab_00.Trial[CONTA],$B50)</f>
        <v>0</v>
      </c>
      <c r="M50" s="78">
        <f t="shared" ca="1" si="66"/>
        <v>0</v>
      </c>
      <c r="N50" s="78">
        <f t="shared" ca="1" si="31"/>
        <v>0</v>
      </c>
      <c r="O50" s="4">
        <f ca="1">SUMIFS(INDIRECT("Tab_00.Trial["&amp;O$4&amp;"]"),Tab_00.Trial[CONTA],$B50)</f>
        <v>0</v>
      </c>
      <c r="P50" s="78">
        <f t="shared" ca="1" si="67"/>
        <v>0</v>
      </c>
      <c r="Q50" s="78">
        <f t="shared" ca="1" si="33"/>
        <v>0</v>
      </c>
      <c r="R50" s="4">
        <f ca="1">SUMIFS(INDIRECT("Tab_00.Trial["&amp;R$4&amp;"]"),Tab_00.Trial[CONTA],$B50)</f>
        <v>0</v>
      </c>
      <c r="S50" s="78">
        <f t="shared" ca="1" si="68"/>
        <v>0</v>
      </c>
      <c r="T50" s="78">
        <f t="shared" ca="1" si="35"/>
        <v>0</v>
      </c>
      <c r="U50" s="4">
        <f ca="1">SUMIFS(INDIRECT("Tab_00.Trial["&amp;U$4&amp;"]"),Tab_00.Trial[CONTA],$B50)</f>
        <v>0</v>
      </c>
      <c r="V50" s="78">
        <f t="shared" ca="1" si="69"/>
        <v>0</v>
      </c>
      <c r="W50" s="78">
        <f t="shared" ca="1" si="37"/>
        <v>0</v>
      </c>
      <c r="X50" s="4">
        <f ca="1">SUMIFS(INDIRECT("Tab_00.Trial["&amp;X$4&amp;"]"),Tab_00.Trial[CONTA],$B50)</f>
        <v>0</v>
      </c>
      <c r="Y50" s="78">
        <f t="shared" ca="1" si="70"/>
        <v>0</v>
      </c>
      <c r="Z50" s="78">
        <f t="shared" ca="1" si="39"/>
        <v>0</v>
      </c>
      <c r="AA50" s="4">
        <f ca="1">SUMIFS(INDIRECT("Tab_00.Trial["&amp;AA$4&amp;"]"),Tab_00.Trial[CONTA],$B50)</f>
        <v>0</v>
      </c>
      <c r="AB50" s="78">
        <f t="shared" ca="1" si="71"/>
        <v>0</v>
      </c>
      <c r="AC50" s="78">
        <f t="shared" ca="1" si="41"/>
        <v>0</v>
      </c>
      <c r="AD50" s="4">
        <f ca="1">SUMIFS(INDIRECT("Tab_00.Trial["&amp;AD$4&amp;"]"),Tab_00.Trial[CONTA],$B50)</f>
        <v>0</v>
      </c>
      <c r="AE50" s="78">
        <f t="shared" ca="1" si="72"/>
        <v>0</v>
      </c>
      <c r="AF50" s="78">
        <f t="shared" ca="1" si="43"/>
        <v>0</v>
      </c>
      <c r="AG50" s="4">
        <f ca="1">SUMIFS(INDIRECT("Tab_00.Trial["&amp;AG$4&amp;"]"),Tab_00.Trial[CONTA],$B50)</f>
        <v>0</v>
      </c>
      <c r="AH50" s="78">
        <f t="shared" ca="1" si="73"/>
        <v>0</v>
      </c>
      <c r="AI50" s="78">
        <f t="shared" ca="1" si="45"/>
        <v>0</v>
      </c>
      <c r="AJ50" s="4">
        <f ca="1">SUMIFS(INDIRECT("Tab_00.Trial["&amp;AJ$4&amp;"]"),Tab_00.Trial[CONTA],$B50)</f>
        <v>0</v>
      </c>
      <c r="AK50" s="78">
        <f t="shared" ca="1" si="74"/>
        <v>0</v>
      </c>
      <c r="AL50" s="78">
        <f t="shared" ca="1" si="47"/>
        <v>0</v>
      </c>
      <c r="AM50" s="4">
        <f ca="1">SUMIFS(INDIRECT("Tab_00.Trial["&amp;AM$4&amp;"]"),Tab_00.Trial[CONTA],$B50)</f>
        <v>0</v>
      </c>
      <c r="AN50" s="78">
        <f t="shared" ca="1" si="75"/>
        <v>0</v>
      </c>
      <c r="AO50" s="78">
        <f t="shared" ca="1" si="49"/>
        <v>0</v>
      </c>
    </row>
    <row r="51" spans="2:41" ht="15" customHeight="1" outlineLevel="1" x14ac:dyDescent="0.3">
      <c r="B51" s="14"/>
      <c r="C51" s="15"/>
      <c r="D51" s="4">
        <f>SUMIFS(Tab_99.Trial[DEZEMBRO],Tab_99.Trial[CONTA],$B51)</f>
        <v>0</v>
      </c>
      <c r="E51" s="78">
        <f t="shared" si="63"/>
        <v>0</v>
      </c>
      <c r="F51" s="4">
        <f ca="1">SUMIFS(INDIRECT("Tab_00.Trial["&amp;F$4&amp;"]"),Tab_00.Trial[CONTA],$B51)</f>
        <v>0</v>
      </c>
      <c r="G51" s="78">
        <f t="shared" ca="1" si="64"/>
        <v>0</v>
      </c>
      <c r="H51" s="78">
        <f t="shared" ca="1" si="27"/>
        <v>0</v>
      </c>
      <c r="I51" s="4">
        <f ca="1">SUMIFS(INDIRECT("Tab_00.Trial["&amp;I$4&amp;"]"),Tab_00.Trial[CONTA],$B51)</f>
        <v>0</v>
      </c>
      <c r="J51" s="78">
        <f t="shared" ca="1" si="65"/>
        <v>0</v>
      </c>
      <c r="K51" s="78">
        <f t="shared" ca="1" si="29"/>
        <v>0</v>
      </c>
      <c r="L51" s="4">
        <f ca="1">SUMIFS(INDIRECT("Tab_00.Trial["&amp;L$4&amp;"]"),Tab_00.Trial[CONTA],$B51)</f>
        <v>0</v>
      </c>
      <c r="M51" s="78">
        <f t="shared" ca="1" si="66"/>
        <v>0</v>
      </c>
      <c r="N51" s="78">
        <f t="shared" ca="1" si="31"/>
        <v>0</v>
      </c>
      <c r="O51" s="4">
        <f ca="1">SUMIFS(INDIRECT("Tab_00.Trial["&amp;O$4&amp;"]"),Tab_00.Trial[CONTA],$B51)</f>
        <v>0</v>
      </c>
      <c r="P51" s="78">
        <f t="shared" ca="1" si="67"/>
        <v>0</v>
      </c>
      <c r="Q51" s="78">
        <f t="shared" ca="1" si="33"/>
        <v>0</v>
      </c>
      <c r="R51" s="4">
        <f ca="1">SUMIFS(INDIRECT("Tab_00.Trial["&amp;R$4&amp;"]"),Tab_00.Trial[CONTA],$B51)</f>
        <v>0</v>
      </c>
      <c r="S51" s="78">
        <f t="shared" ca="1" si="68"/>
        <v>0</v>
      </c>
      <c r="T51" s="78">
        <f t="shared" ca="1" si="35"/>
        <v>0</v>
      </c>
      <c r="U51" s="4">
        <f ca="1">SUMIFS(INDIRECT("Tab_00.Trial["&amp;U$4&amp;"]"),Tab_00.Trial[CONTA],$B51)</f>
        <v>0</v>
      </c>
      <c r="V51" s="78">
        <f t="shared" ca="1" si="69"/>
        <v>0</v>
      </c>
      <c r="W51" s="78">
        <f t="shared" ca="1" si="37"/>
        <v>0</v>
      </c>
      <c r="X51" s="4">
        <f ca="1">SUMIFS(INDIRECT("Tab_00.Trial["&amp;X$4&amp;"]"),Tab_00.Trial[CONTA],$B51)</f>
        <v>0</v>
      </c>
      <c r="Y51" s="78">
        <f t="shared" ca="1" si="70"/>
        <v>0</v>
      </c>
      <c r="Z51" s="78">
        <f t="shared" ca="1" si="39"/>
        <v>0</v>
      </c>
      <c r="AA51" s="4">
        <f ca="1">SUMIFS(INDIRECT("Tab_00.Trial["&amp;AA$4&amp;"]"),Tab_00.Trial[CONTA],$B51)</f>
        <v>0</v>
      </c>
      <c r="AB51" s="78">
        <f t="shared" ca="1" si="71"/>
        <v>0</v>
      </c>
      <c r="AC51" s="78">
        <f t="shared" ca="1" si="41"/>
        <v>0</v>
      </c>
      <c r="AD51" s="4">
        <f ca="1">SUMIFS(INDIRECT("Tab_00.Trial["&amp;AD$4&amp;"]"),Tab_00.Trial[CONTA],$B51)</f>
        <v>0</v>
      </c>
      <c r="AE51" s="78">
        <f t="shared" ca="1" si="72"/>
        <v>0</v>
      </c>
      <c r="AF51" s="78">
        <f t="shared" ca="1" si="43"/>
        <v>0</v>
      </c>
      <c r="AG51" s="4">
        <f ca="1">SUMIFS(INDIRECT("Tab_00.Trial["&amp;AG$4&amp;"]"),Tab_00.Trial[CONTA],$B51)</f>
        <v>0</v>
      </c>
      <c r="AH51" s="78">
        <f t="shared" ca="1" si="73"/>
        <v>0</v>
      </c>
      <c r="AI51" s="78">
        <f t="shared" ca="1" si="45"/>
        <v>0</v>
      </c>
      <c r="AJ51" s="4">
        <f ca="1">SUMIFS(INDIRECT("Tab_00.Trial["&amp;AJ$4&amp;"]"),Tab_00.Trial[CONTA],$B51)</f>
        <v>0</v>
      </c>
      <c r="AK51" s="78">
        <f t="shared" ca="1" si="74"/>
        <v>0</v>
      </c>
      <c r="AL51" s="78">
        <f t="shared" ca="1" si="47"/>
        <v>0</v>
      </c>
      <c r="AM51" s="4">
        <f ca="1">SUMIFS(INDIRECT("Tab_00.Trial["&amp;AM$4&amp;"]"),Tab_00.Trial[CONTA],$B51)</f>
        <v>0</v>
      </c>
      <c r="AN51" s="78">
        <f t="shared" ca="1" si="75"/>
        <v>0</v>
      </c>
      <c r="AO51" s="78">
        <f t="shared" ca="1" si="49"/>
        <v>0</v>
      </c>
    </row>
    <row r="52" spans="2:41" ht="15" customHeight="1" outlineLevel="1" x14ac:dyDescent="0.3">
      <c r="B52" s="14"/>
      <c r="C52" s="15"/>
      <c r="D52" s="4">
        <f>SUMIFS(Tab_99.Trial[DEZEMBRO],Tab_99.Trial[CONTA],$B52)</f>
        <v>0</v>
      </c>
      <c r="E52" s="78">
        <f t="shared" si="63"/>
        <v>0</v>
      </c>
      <c r="F52" s="4">
        <f ca="1">SUMIFS(INDIRECT("Tab_00.Trial["&amp;F$4&amp;"]"),Tab_00.Trial[CONTA],$B52)</f>
        <v>0</v>
      </c>
      <c r="G52" s="78">
        <f t="shared" ca="1" si="64"/>
        <v>0</v>
      </c>
      <c r="H52" s="78">
        <f t="shared" ca="1" si="27"/>
        <v>0</v>
      </c>
      <c r="I52" s="4">
        <f ca="1">SUMIFS(INDIRECT("Tab_00.Trial["&amp;I$4&amp;"]"),Tab_00.Trial[CONTA],$B52)</f>
        <v>0</v>
      </c>
      <c r="J52" s="78">
        <f t="shared" ca="1" si="65"/>
        <v>0</v>
      </c>
      <c r="K52" s="78">
        <f t="shared" ca="1" si="29"/>
        <v>0</v>
      </c>
      <c r="L52" s="4">
        <f ca="1">SUMIFS(INDIRECT("Tab_00.Trial["&amp;L$4&amp;"]"),Tab_00.Trial[CONTA],$B52)</f>
        <v>0</v>
      </c>
      <c r="M52" s="78">
        <f t="shared" ca="1" si="66"/>
        <v>0</v>
      </c>
      <c r="N52" s="78">
        <f t="shared" ca="1" si="31"/>
        <v>0</v>
      </c>
      <c r="O52" s="4">
        <f ca="1">SUMIFS(INDIRECT("Tab_00.Trial["&amp;O$4&amp;"]"),Tab_00.Trial[CONTA],$B52)</f>
        <v>0</v>
      </c>
      <c r="P52" s="78">
        <f t="shared" ca="1" si="67"/>
        <v>0</v>
      </c>
      <c r="Q52" s="78">
        <f t="shared" ca="1" si="33"/>
        <v>0</v>
      </c>
      <c r="R52" s="4">
        <f ca="1">SUMIFS(INDIRECT("Tab_00.Trial["&amp;R$4&amp;"]"),Tab_00.Trial[CONTA],$B52)</f>
        <v>0</v>
      </c>
      <c r="S52" s="78">
        <f t="shared" ca="1" si="68"/>
        <v>0</v>
      </c>
      <c r="T52" s="78">
        <f t="shared" ca="1" si="35"/>
        <v>0</v>
      </c>
      <c r="U52" s="4">
        <f ca="1">SUMIFS(INDIRECT("Tab_00.Trial["&amp;U$4&amp;"]"),Tab_00.Trial[CONTA],$B52)</f>
        <v>0</v>
      </c>
      <c r="V52" s="78">
        <f t="shared" ca="1" si="69"/>
        <v>0</v>
      </c>
      <c r="W52" s="78">
        <f t="shared" ca="1" si="37"/>
        <v>0</v>
      </c>
      <c r="X52" s="4">
        <f ca="1">SUMIFS(INDIRECT("Tab_00.Trial["&amp;X$4&amp;"]"),Tab_00.Trial[CONTA],$B52)</f>
        <v>0</v>
      </c>
      <c r="Y52" s="78">
        <f t="shared" ca="1" si="70"/>
        <v>0</v>
      </c>
      <c r="Z52" s="78">
        <f t="shared" ca="1" si="39"/>
        <v>0</v>
      </c>
      <c r="AA52" s="4">
        <f ca="1">SUMIFS(INDIRECT("Tab_00.Trial["&amp;AA$4&amp;"]"),Tab_00.Trial[CONTA],$B52)</f>
        <v>0</v>
      </c>
      <c r="AB52" s="78">
        <f t="shared" ca="1" si="71"/>
        <v>0</v>
      </c>
      <c r="AC52" s="78">
        <f t="shared" ca="1" si="41"/>
        <v>0</v>
      </c>
      <c r="AD52" s="4">
        <f ca="1">SUMIFS(INDIRECT("Tab_00.Trial["&amp;AD$4&amp;"]"),Tab_00.Trial[CONTA],$B52)</f>
        <v>0</v>
      </c>
      <c r="AE52" s="78">
        <f t="shared" ca="1" si="72"/>
        <v>0</v>
      </c>
      <c r="AF52" s="78">
        <f t="shared" ca="1" si="43"/>
        <v>0</v>
      </c>
      <c r="AG52" s="4">
        <f ca="1">SUMIFS(INDIRECT("Tab_00.Trial["&amp;AG$4&amp;"]"),Tab_00.Trial[CONTA],$B52)</f>
        <v>0</v>
      </c>
      <c r="AH52" s="78">
        <f t="shared" ca="1" si="73"/>
        <v>0</v>
      </c>
      <c r="AI52" s="78">
        <f t="shared" ca="1" si="45"/>
        <v>0</v>
      </c>
      <c r="AJ52" s="4">
        <f ca="1">SUMIFS(INDIRECT("Tab_00.Trial["&amp;AJ$4&amp;"]"),Tab_00.Trial[CONTA],$B52)</f>
        <v>0</v>
      </c>
      <c r="AK52" s="78">
        <f t="shared" ca="1" si="74"/>
        <v>0</v>
      </c>
      <c r="AL52" s="78">
        <f t="shared" ca="1" si="47"/>
        <v>0</v>
      </c>
      <c r="AM52" s="4">
        <f ca="1">SUMIFS(INDIRECT("Tab_00.Trial["&amp;AM$4&amp;"]"),Tab_00.Trial[CONTA],$B52)</f>
        <v>0</v>
      </c>
      <c r="AN52" s="78">
        <f t="shared" ca="1" si="75"/>
        <v>0</v>
      </c>
      <c r="AO52" s="78">
        <f t="shared" ca="1" si="49"/>
        <v>0</v>
      </c>
    </row>
    <row r="53" spans="2:41" ht="15" customHeight="1" outlineLevel="1" x14ac:dyDescent="0.3">
      <c r="B53" s="14"/>
      <c r="C53" s="15"/>
      <c r="D53" s="4">
        <f>SUMIFS(Tab_99.Trial[DEZEMBRO],Tab_99.Trial[CONTA],$B53)</f>
        <v>0</v>
      </c>
      <c r="E53" s="78">
        <f t="shared" si="63"/>
        <v>0</v>
      </c>
      <c r="F53" s="4">
        <f ca="1">SUMIFS(INDIRECT("Tab_00.Trial["&amp;F$4&amp;"]"),Tab_00.Trial[CONTA],$B53)</f>
        <v>0</v>
      </c>
      <c r="G53" s="78">
        <f t="shared" ca="1" si="64"/>
        <v>0</v>
      </c>
      <c r="H53" s="78">
        <f t="shared" ca="1" si="27"/>
        <v>0</v>
      </c>
      <c r="I53" s="4">
        <f ca="1">SUMIFS(INDIRECT("Tab_00.Trial["&amp;I$4&amp;"]"),Tab_00.Trial[CONTA],$B53)</f>
        <v>0</v>
      </c>
      <c r="J53" s="78">
        <f t="shared" ca="1" si="65"/>
        <v>0</v>
      </c>
      <c r="K53" s="78">
        <f t="shared" ca="1" si="29"/>
        <v>0</v>
      </c>
      <c r="L53" s="4">
        <f ca="1">SUMIFS(INDIRECT("Tab_00.Trial["&amp;L$4&amp;"]"),Tab_00.Trial[CONTA],$B53)</f>
        <v>0</v>
      </c>
      <c r="M53" s="78">
        <f t="shared" ca="1" si="66"/>
        <v>0</v>
      </c>
      <c r="N53" s="78">
        <f t="shared" ca="1" si="31"/>
        <v>0</v>
      </c>
      <c r="O53" s="4">
        <f ca="1">SUMIFS(INDIRECT("Tab_00.Trial["&amp;O$4&amp;"]"),Tab_00.Trial[CONTA],$B53)</f>
        <v>0</v>
      </c>
      <c r="P53" s="78">
        <f t="shared" ca="1" si="67"/>
        <v>0</v>
      </c>
      <c r="Q53" s="78">
        <f t="shared" ca="1" si="33"/>
        <v>0</v>
      </c>
      <c r="R53" s="4">
        <f ca="1">SUMIFS(INDIRECT("Tab_00.Trial["&amp;R$4&amp;"]"),Tab_00.Trial[CONTA],$B53)</f>
        <v>0</v>
      </c>
      <c r="S53" s="78">
        <f t="shared" ca="1" si="68"/>
        <v>0</v>
      </c>
      <c r="T53" s="78">
        <f t="shared" ca="1" si="35"/>
        <v>0</v>
      </c>
      <c r="U53" s="4">
        <f ca="1">SUMIFS(INDIRECT("Tab_00.Trial["&amp;U$4&amp;"]"),Tab_00.Trial[CONTA],$B53)</f>
        <v>0</v>
      </c>
      <c r="V53" s="78">
        <f t="shared" ca="1" si="69"/>
        <v>0</v>
      </c>
      <c r="W53" s="78">
        <f t="shared" ca="1" si="37"/>
        <v>0</v>
      </c>
      <c r="X53" s="4">
        <f ca="1">SUMIFS(INDIRECT("Tab_00.Trial["&amp;X$4&amp;"]"),Tab_00.Trial[CONTA],$B53)</f>
        <v>0</v>
      </c>
      <c r="Y53" s="78">
        <f t="shared" ca="1" si="70"/>
        <v>0</v>
      </c>
      <c r="Z53" s="78">
        <f t="shared" ca="1" si="39"/>
        <v>0</v>
      </c>
      <c r="AA53" s="4">
        <f ca="1">SUMIFS(INDIRECT("Tab_00.Trial["&amp;AA$4&amp;"]"),Tab_00.Trial[CONTA],$B53)</f>
        <v>0</v>
      </c>
      <c r="AB53" s="78">
        <f t="shared" ca="1" si="71"/>
        <v>0</v>
      </c>
      <c r="AC53" s="78">
        <f t="shared" ca="1" si="41"/>
        <v>0</v>
      </c>
      <c r="AD53" s="4">
        <f ca="1">SUMIFS(INDIRECT("Tab_00.Trial["&amp;AD$4&amp;"]"),Tab_00.Trial[CONTA],$B53)</f>
        <v>0</v>
      </c>
      <c r="AE53" s="78">
        <f t="shared" ca="1" si="72"/>
        <v>0</v>
      </c>
      <c r="AF53" s="78">
        <f t="shared" ca="1" si="43"/>
        <v>0</v>
      </c>
      <c r="AG53" s="4">
        <f ca="1">SUMIFS(INDIRECT("Tab_00.Trial["&amp;AG$4&amp;"]"),Tab_00.Trial[CONTA],$B53)</f>
        <v>0</v>
      </c>
      <c r="AH53" s="78">
        <f t="shared" ca="1" si="73"/>
        <v>0</v>
      </c>
      <c r="AI53" s="78">
        <f t="shared" ca="1" si="45"/>
        <v>0</v>
      </c>
      <c r="AJ53" s="4">
        <f ca="1">SUMIFS(INDIRECT("Tab_00.Trial["&amp;AJ$4&amp;"]"),Tab_00.Trial[CONTA],$B53)</f>
        <v>0</v>
      </c>
      <c r="AK53" s="78">
        <f t="shared" ca="1" si="74"/>
        <v>0</v>
      </c>
      <c r="AL53" s="78">
        <f t="shared" ca="1" si="47"/>
        <v>0</v>
      </c>
      <c r="AM53" s="4">
        <f ca="1">SUMIFS(INDIRECT("Tab_00.Trial["&amp;AM$4&amp;"]"),Tab_00.Trial[CONTA],$B53)</f>
        <v>0</v>
      </c>
      <c r="AN53" s="78">
        <f t="shared" ca="1" si="75"/>
        <v>0</v>
      </c>
      <c r="AO53" s="78">
        <f t="shared" ca="1" si="49"/>
        <v>0</v>
      </c>
    </row>
    <row r="54" spans="2:41" ht="15" customHeight="1" outlineLevel="1" x14ac:dyDescent="0.3">
      <c r="B54" s="14"/>
      <c r="C54" s="15"/>
      <c r="D54" s="4">
        <f>SUMIFS(Tab_99.Trial[DEZEMBRO],Tab_99.Trial[CONTA],$B54)</f>
        <v>0</v>
      </c>
      <c r="E54" s="78">
        <f t="shared" si="63"/>
        <v>0</v>
      </c>
      <c r="F54" s="4">
        <f ca="1">SUMIFS(INDIRECT("Tab_00.Trial["&amp;F$4&amp;"]"),Tab_00.Trial[CONTA],$B54)</f>
        <v>0</v>
      </c>
      <c r="G54" s="78">
        <f t="shared" ca="1" si="64"/>
        <v>0</v>
      </c>
      <c r="H54" s="78">
        <f t="shared" ca="1" si="27"/>
        <v>0</v>
      </c>
      <c r="I54" s="4">
        <f ca="1">SUMIFS(INDIRECT("Tab_00.Trial["&amp;I$4&amp;"]"),Tab_00.Trial[CONTA],$B54)</f>
        <v>0</v>
      </c>
      <c r="J54" s="78">
        <f t="shared" ca="1" si="65"/>
        <v>0</v>
      </c>
      <c r="K54" s="78">
        <f t="shared" ca="1" si="29"/>
        <v>0</v>
      </c>
      <c r="L54" s="4">
        <f ca="1">SUMIFS(INDIRECT("Tab_00.Trial["&amp;L$4&amp;"]"),Tab_00.Trial[CONTA],$B54)</f>
        <v>0</v>
      </c>
      <c r="M54" s="78">
        <f t="shared" ca="1" si="66"/>
        <v>0</v>
      </c>
      <c r="N54" s="78">
        <f t="shared" ca="1" si="31"/>
        <v>0</v>
      </c>
      <c r="O54" s="4">
        <f ca="1">SUMIFS(INDIRECT("Tab_00.Trial["&amp;O$4&amp;"]"),Tab_00.Trial[CONTA],$B54)</f>
        <v>0</v>
      </c>
      <c r="P54" s="78">
        <f t="shared" ca="1" si="67"/>
        <v>0</v>
      </c>
      <c r="Q54" s="78">
        <f t="shared" ca="1" si="33"/>
        <v>0</v>
      </c>
      <c r="R54" s="4">
        <f ca="1">SUMIFS(INDIRECT("Tab_00.Trial["&amp;R$4&amp;"]"),Tab_00.Trial[CONTA],$B54)</f>
        <v>0</v>
      </c>
      <c r="S54" s="78">
        <f t="shared" ca="1" si="68"/>
        <v>0</v>
      </c>
      <c r="T54" s="78">
        <f t="shared" ca="1" si="35"/>
        <v>0</v>
      </c>
      <c r="U54" s="4">
        <f ca="1">SUMIFS(INDIRECT("Tab_00.Trial["&amp;U$4&amp;"]"),Tab_00.Trial[CONTA],$B54)</f>
        <v>0</v>
      </c>
      <c r="V54" s="78">
        <f t="shared" ca="1" si="69"/>
        <v>0</v>
      </c>
      <c r="W54" s="78">
        <f t="shared" ca="1" si="37"/>
        <v>0</v>
      </c>
      <c r="X54" s="4">
        <f ca="1">SUMIFS(INDIRECT("Tab_00.Trial["&amp;X$4&amp;"]"),Tab_00.Trial[CONTA],$B54)</f>
        <v>0</v>
      </c>
      <c r="Y54" s="78">
        <f t="shared" ca="1" si="70"/>
        <v>0</v>
      </c>
      <c r="Z54" s="78">
        <f t="shared" ca="1" si="39"/>
        <v>0</v>
      </c>
      <c r="AA54" s="4">
        <f ca="1">SUMIFS(INDIRECT("Tab_00.Trial["&amp;AA$4&amp;"]"),Tab_00.Trial[CONTA],$B54)</f>
        <v>0</v>
      </c>
      <c r="AB54" s="78">
        <f t="shared" ca="1" si="71"/>
        <v>0</v>
      </c>
      <c r="AC54" s="78">
        <f t="shared" ca="1" si="41"/>
        <v>0</v>
      </c>
      <c r="AD54" s="4">
        <f ca="1">SUMIFS(INDIRECT("Tab_00.Trial["&amp;AD$4&amp;"]"),Tab_00.Trial[CONTA],$B54)</f>
        <v>0</v>
      </c>
      <c r="AE54" s="78">
        <f t="shared" ca="1" si="72"/>
        <v>0</v>
      </c>
      <c r="AF54" s="78">
        <f t="shared" ca="1" si="43"/>
        <v>0</v>
      </c>
      <c r="AG54" s="4">
        <f ca="1">SUMIFS(INDIRECT("Tab_00.Trial["&amp;AG$4&amp;"]"),Tab_00.Trial[CONTA],$B54)</f>
        <v>0</v>
      </c>
      <c r="AH54" s="78">
        <f t="shared" ca="1" si="73"/>
        <v>0</v>
      </c>
      <c r="AI54" s="78">
        <f t="shared" ca="1" si="45"/>
        <v>0</v>
      </c>
      <c r="AJ54" s="4">
        <f ca="1">SUMIFS(INDIRECT("Tab_00.Trial["&amp;AJ$4&amp;"]"),Tab_00.Trial[CONTA],$B54)</f>
        <v>0</v>
      </c>
      <c r="AK54" s="78">
        <f t="shared" ca="1" si="74"/>
        <v>0</v>
      </c>
      <c r="AL54" s="78">
        <f t="shared" ca="1" si="47"/>
        <v>0</v>
      </c>
      <c r="AM54" s="4">
        <f ca="1">SUMIFS(INDIRECT("Tab_00.Trial["&amp;AM$4&amp;"]"),Tab_00.Trial[CONTA],$B54)</f>
        <v>0</v>
      </c>
      <c r="AN54" s="78">
        <f t="shared" ca="1" si="75"/>
        <v>0</v>
      </c>
      <c r="AO54" s="78">
        <f t="shared" ca="1" si="49"/>
        <v>0</v>
      </c>
    </row>
    <row r="55" spans="2:41" ht="15" customHeight="1" outlineLevel="1" x14ac:dyDescent="0.3">
      <c r="B55" s="14"/>
      <c r="C55" s="15"/>
      <c r="D55" s="4">
        <f>SUMIFS(Tab_99.Trial[DEZEMBRO],Tab_99.Trial[CONTA],$B55)</f>
        <v>0</v>
      </c>
      <c r="E55" s="78">
        <f t="shared" si="63"/>
        <v>0</v>
      </c>
      <c r="F55" s="4">
        <f ca="1">SUMIFS(INDIRECT("Tab_00.Trial["&amp;F$4&amp;"]"),Tab_00.Trial[CONTA],$B55)</f>
        <v>0</v>
      </c>
      <c r="G55" s="78">
        <f t="shared" ca="1" si="64"/>
        <v>0</v>
      </c>
      <c r="H55" s="78">
        <f t="shared" ca="1" si="27"/>
        <v>0</v>
      </c>
      <c r="I55" s="4">
        <f ca="1">SUMIFS(INDIRECT("Tab_00.Trial["&amp;I$4&amp;"]"),Tab_00.Trial[CONTA],$B55)</f>
        <v>0</v>
      </c>
      <c r="J55" s="78">
        <f t="shared" ca="1" si="65"/>
        <v>0</v>
      </c>
      <c r="K55" s="78">
        <f t="shared" ca="1" si="29"/>
        <v>0</v>
      </c>
      <c r="L55" s="4">
        <f ca="1">SUMIFS(INDIRECT("Tab_00.Trial["&amp;L$4&amp;"]"),Tab_00.Trial[CONTA],$B55)</f>
        <v>0</v>
      </c>
      <c r="M55" s="78">
        <f t="shared" ca="1" si="66"/>
        <v>0</v>
      </c>
      <c r="N55" s="78">
        <f t="shared" ca="1" si="31"/>
        <v>0</v>
      </c>
      <c r="O55" s="4">
        <f ca="1">SUMIFS(INDIRECT("Tab_00.Trial["&amp;O$4&amp;"]"),Tab_00.Trial[CONTA],$B55)</f>
        <v>0</v>
      </c>
      <c r="P55" s="78">
        <f t="shared" ca="1" si="67"/>
        <v>0</v>
      </c>
      <c r="Q55" s="78">
        <f t="shared" ca="1" si="33"/>
        <v>0</v>
      </c>
      <c r="R55" s="4">
        <f ca="1">SUMIFS(INDIRECT("Tab_00.Trial["&amp;R$4&amp;"]"),Tab_00.Trial[CONTA],$B55)</f>
        <v>0</v>
      </c>
      <c r="S55" s="78">
        <f t="shared" ca="1" si="68"/>
        <v>0</v>
      </c>
      <c r="T55" s="78">
        <f t="shared" ca="1" si="35"/>
        <v>0</v>
      </c>
      <c r="U55" s="4">
        <f ca="1">SUMIFS(INDIRECT("Tab_00.Trial["&amp;U$4&amp;"]"),Tab_00.Trial[CONTA],$B55)</f>
        <v>0</v>
      </c>
      <c r="V55" s="78">
        <f t="shared" ca="1" si="69"/>
        <v>0</v>
      </c>
      <c r="W55" s="78">
        <f t="shared" ca="1" si="37"/>
        <v>0</v>
      </c>
      <c r="X55" s="4">
        <f ca="1">SUMIFS(INDIRECT("Tab_00.Trial["&amp;X$4&amp;"]"),Tab_00.Trial[CONTA],$B55)</f>
        <v>0</v>
      </c>
      <c r="Y55" s="78">
        <f t="shared" ca="1" si="70"/>
        <v>0</v>
      </c>
      <c r="Z55" s="78">
        <f t="shared" ca="1" si="39"/>
        <v>0</v>
      </c>
      <c r="AA55" s="4">
        <f ca="1">SUMIFS(INDIRECT("Tab_00.Trial["&amp;AA$4&amp;"]"),Tab_00.Trial[CONTA],$B55)</f>
        <v>0</v>
      </c>
      <c r="AB55" s="78">
        <f t="shared" ca="1" si="71"/>
        <v>0</v>
      </c>
      <c r="AC55" s="78">
        <f t="shared" ca="1" si="41"/>
        <v>0</v>
      </c>
      <c r="AD55" s="4">
        <f ca="1">SUMIFS(INDIRECT("Tab_00.Trial["&amp;AD$4&amp;"]"),Tab_00.Trial[CONTA],$B55)</f>
        <v>0</v>
      </c>
      <c r="AE55" s="78">
        <f t="shared" ca="1" si="72"/>
        <v>0</v>
      </c>
      <c r="AF55" s="78">
        <f t="shared" ca="1" si="43"/>
        <v>0</v>
      </c>
      <c r="AG55" s="4">
        <f ca="1">SUMIFS(INDIRECT("Tab_00.Trial["&amp;AG$4&amp;"]"),Tab_00.Trial[CONTA],$B55)</f>
        <v>0</v>
      </c>
      <c r="AH55" s="78">
        <f t="shared" ca="1" si="73"/>
        <v>0</v>
      </c>
      <c r="AI55" s="78">
        <f t="shared" ca="1" si="45"/>
        <v>0</v>
      </c>
      <c r="AJ55" s="4">
        <f ca="1">SUMIFS(INDIRECT("Tab_00.Trial["&amp;AJ$4&amp;"]"),Tab_00.Trial[CONTA],$B55)</f>
        <v>0</v>
      </c>
      <c r="AK55" s="78">
        <f t="shared" ca="1" si="74"/>
        <v>0</v>
      </c>
      <c r="AL55" s="78">
        <f t="shared" ca="1" si="47"/>
        <v>0</v>
      </c>
      <c r="AM55" s="4">
        <f ca="1">SUMIFS(INDIRECT("Tab_00.Trial["&amp;AM$4&amp;"]"),Tab_00.Trial[CONTA],$B55)</f>
        <v>0</v>
      </c>
      <c r="AN55" s="78">
        <f t="shared" ca="1" si="75"/>
        <v>0</v>
      </c>
      <c r="AO55" s="78">
        <f t="shared" ca="1" si="49"/>
        <v>0</v>
      </c>
    </row>
    <row r="56" spans="2:41" ht="15" customHeight="1" outlineLevel="1" x14ac:dyDescent="0.3">
      <c r="B56" s="14"/>
      <c r="C56" s="15"/>
      <c r="D56" s="4">
        <f>SUMIFS(Tab_99.Trial[DEZEMBRO],Tab_99.Trial[CONTA],$B56)</f>
        <v>0</v>
      </c>
      <c r="E56" s="78">
        <f t="shared" si="63"/>
        <v>0</v>
      </c>
      <c r="F56" s="4">
        <f ca="1">SUMIFS(INDIRECT("Tab_00.Trial["&amp;F$4&amp;"]"),Tab_00.Trial[CONTA],$B56)</f>
        <v>0</v>
      </c>
      <c r="G56" s="78">
        <f t="shared" ca="1" si="64"/>
        <v>0</v>
      </c>
      <c r="H56" s="78">
        <f t="shared" ca="1" si="27"/>
        <v>0</v>
      </c>
      <c r="I56" s="4">
        <f ca="1">SUMIFS(INDIRECT("Tab_00.Trial["&amp;I$4&amp;"]"),Tab_00.Trial[CONTA],$B56)</f>
        <v>0</v>
      </c>
      <c r="J56" s="78">
        <f t="shared" ca="1" si="65"/>
        <v>0</v>
      </c>
      <c r="K56" s="78">
        <f t="shared" ca="1" si="29"/>
        <v>0</v>
      </c>
      <c r="L56" s="4">
        <f ca="1">SUMIFS(INDIRECT("Tab_00.Trial["&amp;L$4&amp;"]"),Tab_00.Trial[CONTA],$B56)</f>
        <v>0</v>
      </c>
      <c r="M56" s="78">
        <f t="shared" ca="1" si="66"/>
        <v>0</v>
      </c>
      <c r="N56" s="78">
        <f t="shared" ca="1" si="31"/>
        <v>0</v>
      </c>
      <c r="O56" s="4">
        <f ca="1">SUMIFS(INDIRECT("Tab_00.Trial["&amp;O$4&amp;"]"),Tab_00.Trial[CONTA],$B56)</f>
        <v>0</v>
      </c>
      <c r="P56" s="78">
        <f t="shared" ca="1" si="67"/>
        <v>0</v>
      </c>
      <c r="Q56" s="78">
        <f t="shared" ca="1" si="33"/>
        <v>0</v>
      </c>
      <c r="R56" s="4">
        <f ca="1">SUMIFS(INDIRECT("Tab_00.Trial["&amp;R$4&amp;"]"),Tab_00.Trial[CONTA],$B56)</f>
        <v>0</v>
      </c>
      <c r="S56" s="78">
        <f t="shared" ca="1" si="68"/>
        <v>0</v>
      </c>
      <c r="T56" s="78">
        <f t="shared" ca="1" si="35"/>
        <v>0</v>
      </c>
      <c r="U56" s="4">
        <f ca="1">SUMIFS(INDIRECT("Tab_00.Trial["&amp;U$4&amp;"]"),Tab_00.Trial[CONTA],$B56)</f>
        <v>0</v>
      </c>
      <c r="V56" s="78">
        <f t="shared" ca="1" si="69"/>
        <v>0</v>
      </c>
      <c r="W56" s="78">
        <f t="shared" ca="1" si="37"/>
        <v>0</v>
      </c>
      <c r="X56" s="4">
        <f ca="1">SUMIFS(INDIRECT("Tab_00.Trial["&amp;X$4&amp;"]"),Tab_00.Trial[CONTA],$B56)</f>
        <v>0</v>
      </c>
      <c r="Y56" s="78">
        <f t="shared" ca="1" si="70"/>
        <v>0</v>
      </c>
      <c r="Z56" s="78">
        <f t="shared" ca="1" si="39"/>
        <v>0</v>
      </c>
      <c r="AA56" s="4">
        <f ca="1">SUMIFS(INDIRECT("Tab_00.Trial["&amp;AA$4&amp;"]"),Tab_00.Trial[CONTA],$B56)</f>
        <v>0</v>
      </c>
      <c r="AB56" s="78">
        <f t="shared" ca="1" si="71"/>
        <v>0</v>
      </c>
      <c r="AC56" s="78">
        <f t="shared" ca="1" si="41"/>
        <v>0</v>
      </c>
      <c r="AD56" s="4">
        <f ca="1">SUMIFS(INDIRECT("Tab_00.Trial["&amp;AD$4&amp;"]"),Tab_00.Trial[CONTA],$B56)</f>
        <v>0</v>
      </c>
      <c r="AE56" s="78">
        <f t="shared" ca="1" si="72"/>
        <v>0</v>
      </c>
      <c r="AF56" s="78">
        <f t="shared" ca="1" si="43"/>
        <v>0</v>
      </c>
      <c r="AG56" s="4">
        <f ca="1">SUMIFS(INDIRECT("Tab_00.Trial["&amp;AG$4&amp;"]"),Tab_00.Trial[CONTA],$B56)</f>
        <v>0</v>
      </c>
      <c r="AH56" s="78">
        <f t="shared" ca="1" si="73"/>
        <v>0</v>
      </c>
      <c r="AI56" s="78">
        <f t="shared" ca="1" si="45"/>
        <v>0</v>
      </c>
      <c r="AJ56" s="4">
        <f ca="1">SUMIFS(INDIRECT("Tab_00.Trial["&amp;AJ$4&amp;"]"),Tab_00.Trial[CONTA],$B56)</f>
        <v>0</v>
      </c>
      <c r="AK56" s="78">
        <f t="shared" ca="1" si="74"/>
        <v>0</v>
      </c>
      <c r="AL56" s="78">
        <f t="shared" ca="1" si="47"/>
        <v>0</v>
      </c>
      <c r="AM56" s="4">
        <f ca="1">SUMIFS(INDIRECT("Tab_00.Trial["&amp;AM$4&amp;"]"),Tab_00.Trial[CONTA],$B56)</f>
        <v>0</v>
      </c>
      <c r="AN56" s="78">
        <f t="shared" ca="1" si="75"/>
        <v>0</v>
      </c>
      <c r="AO56" s="78">
        <f t="shared" ca="1" si="49"/>
        <v>0</v>
      </c>
    </row>
    <row r="57" spans="2:41" ht="15" customHeight="1" outlineLevel="1" x14ac:dyDescent="0.3">
      <c r="B57" s="14"/>
      <c r="C57" s="15"/>
      <c r="D57" s="4">
        <f>SUMIFS(Tab_99.Trial[DEZEMBRO],Tab_99.Trial[CONTA],$B57)</f>
        <v>0</v>
      </c>
      <c r="E57" s="78">
        <f t="shared" si="63"/>
        <v>0</v>
      </c>
      <c r="F57" s="4">
        <f ca="1">SUMIFS(INDIRECT("Tab_00.Trial["&amp;F$4&amp;"]"),Tab_00.Trial[CONTA],$B57)</f>
        <v>0</v>
      </c>
      <c r="G57" s="78">
        <f t="shared" ca="1" si="64"/>
        <v>0</v>
      </c>
      <c r="H57" s="78">
        <f t="shared" ca="1" si="27"/>
        <v>0</v>
      </c>
      <c r="I57" s="4">
        <f ca="1">SUMIFS(INDIRECT("Tab_00.Trial["&amp;I$4&amp;"]"),Tab_00.Trial[CONTA],$B57)</f>
        <v>0</v>
      </c>
      <c r="J57" s="78">
        <f t="shared" ca="1" si="65"/>
        <v>0</v>
      </c>
      <c r="K57" s="78">
        <f t="shared" ca="1" si="29"/>
        <v>0</v>
      </c>
      <c r="L57" s="4">
        <f ca="1">SUMIFS(INDIRECT("Tab_00.Trial["&amp;L$4&amp;"]"),Tab_00.Trial[CONTA],$B57)</f>
        <v>0</v>
      </c>
      <c r="M57" s="78">
        <f t="shared" ca="1" si="66"/>
        <v>0</v>
      </c>
      <c r="N57" s="78">
        <f t="shared" ca="1" si="31"/>
        <v>0</v>
      </c>
      <c r="O57" s="4">
        <f ca="1">SUMIFS(INDIRECT("Tab_00.Trial["&amp;O$4&amp;"]"),Tab_00.Trial[CONTA],$B57)</f>
        <v>0</v>
      </c>
      <c r="P57" s="78">
        <f t="shared" ca="1" si="67"/>
        <v>0</v>
      </c>
      <c r="Q57" s="78">
        <f t="shared" ca="1" si="33"/>
        <v>0</v>
      </c>
      <c r="R57" s="4">
        <f ca="1">SUMIFS(INDIRECT("Tab_00.Trial["&amp;R$4&amp;"]"),Tab_00.Trial[CONTA],$B57)</f>
        <v>0</v>
      </c>
      <c r="S57" s="78">
        <f t="shared" ca="1" si="68"/>
        <v>0</v>
      </c>
      <c r="T57" s="78">
        <f t="shared" ca="1" si="35"/>
        <v>0</v>
      </c>
      <c r="U57" s="4">
        <f ca="1">SUMIFS(INDIRECT("Tab_00.Trial["&amp;U$4&amp;"]"),Tab_00.Trial[CONTA],$B57)</f>
        <v>0</v>
      </c>
      <c r="V57" s="78">
        <f t="shared" ca="1" si="69"/>
        <v>0</v>
      </c>
      <c r="W57" s="78">
        <f t="shared" ca="1" si="37"/>
        <v>0</v>
      </c>
      <c r="X57" s="4">
        <f ca="1">SUMIFS(INDIRECT("Tab_00.Trial["&amp;X$4&amp;"]"),Tab_00.Trial[CONTA],$B57)</f>
        <v>0</v>
      </c>
      <c r="Y57" s="78">
        <f t="shared" ca="1" si="70"/>
        <v>0</v>
      </c>
      <c r="Z57" s="78">
        <f t="shared" ca="1" si="39"/>
        <v>0</v>
      </c>
      <c r="AA57" s="4">
        <f ca="1">SUMIFS(INDIRECT("Tab_00.Trial["&amp;AA$4&amp;"]"),Tab_00.Trial[CONTA],$B57)</f>
        <v>0</v>
      </c>
      <c r="AB57" s="78">
        <f t="shared" ca="1" si="71"/>
        <v>0</v>
      </c>
      <c r="AC57" s="78">
        <f t="shared" ca="1" si="41"/>
        <v>0</v>
      </c>
      <c r="AD57" s="4">
        <f ca="1">SUMIFS(INDIRECT("Tab_00.Trial["&amp;AD$4&amp;"]"),Tab_00.Trial[CONTA],$B57)</f>
        <v>0</v>
      </c>
      <c r="AE57" s="78">
        <f t="shared" ca="1" si="72"/>
        <v>0</v>
      </c>
      <c r="AF57" s="78">
        <f t="shared" ca="1" si="43"/>
        <v>0</v>
      </c>
      <c r="AG57" s="4">
        <f ca="1">SUMIFS(INDIRECT("Tab_00.Trial["&amp;AG$4&amp;"]"),Tab_00.Trial[CONTA],$B57)</f>
        <v>0</v>
      </c>
      <c r="AH57" s="78">
        <f t="shared" ca="1" si="73"/>
        <v>0</v>
      </c>
      <c r="AI57" s="78">
        <f t="shared" ca="1" si="45"/>
        <v>0</v>
      </c>
      <c r="AJ57" s="4">
        <f ca="1">SUMIFS(INDIRECT("Tab_00.Trial["&amp;AJ$4&amp;"]"),Tab_00.Trial[CONTA],$B57)</f>
        <v>0</v>
      </c>
      <c r="AK57" s="78">
        <f t="shared" ca="1" si="74"/>
        <v>0</v>
      </c>
      <c r="AL57" s="78">
        <f t="shared" ca="1" si="47"/>
        <v>0</v>
      </c>
      <c r="AM57" s="4">
        <f ca="1">SUMIFS(INDIRECT("Tab_00.Trial["&amp;AM$4&amp;"]"),Tab_00.Trial[CONTA],$B57)</f>
        <v>0</v>
      </c>
      <c r="AN57" s="78">
        <f t="shared" ca="1" si="75"/>
        <v>0</v>
      </c>
      <c r="AO57" s="78">
        <f t="shared" ca="1" si="49"/>
        <v>0</v>
      </c>
    </row>
    <row r="58" spans="2:41" ht="15" customHeight="1" outlineLevel="1" x14ac:dyDescent="0.3">
      <c r="B58" s="14"/>
      <c r="C58" s="15"/>
      <c r="D58" s="4">
        <f>SUMIFS(Tab_99.Trial[DEZEMBRO],Tab_99.Trial[CONTA],$B58)</f>
        <v>0</v>
      </c>
      <c r="E58" s="78">
        <f t="shared" si="63"/>
        <v>0</v>
      </c>
      <c r="F58" s="4">
        <f ca="1">SUMIFS(INDIRECT("Tab_00.Trial["&amp;F$4&amp;"]"),Tab_00.Trial[CONTA],$B58)</f>
        <v>0</v>
      </c>
      <c r="G58" s="78">
        <f t="shared" ca="1" si="64"/>
        <v>0</v>
      </c>
      <c r="H58" s="78">
        <f t="shared" ca="1" si="27"/>
        <v>0</v>
      </c>
      <c r="I58" s="4">
        <f ca="1">SUMIFS(INDIRECT("Tab_00.Trial["&amp;I$4&amp;"]"),Tab_00.Trial[CONTA],$B58)</f>
        <v>0</v>
      </c>
      <c r="J58" s="78">
        <f t="shared" ca="1" si="65"/>
        <v>0</v>
      </c>
      <c r="K58" s="78">
        <f t="shared" ca="1" si="29"/>
        <v>0</v>
      </c>
      <c r="L58" s="4">
        <f ca="1">SUMIFS(INDIRECT("Tab_00.Trial["&amp;L$4&amp;"]"),Tab_00.Trial[CONTA],$B58)</f>
        <v>0</v>
      </c>
      <c r="M58" s="78">
        <f t="shared" ca="1" si="66"/>
        <v>0</v>
      </c>
      <c r="N58" s="78">
        <f t="shared" ca="1" si="31"/>
        <v>0</v>
      </c>
      <c r="O58" s="4">
        <f ca="1">SUMIFS(INDIRECT("Tab_00.Trial["&amp;O$4&amp;"]"),Tab_00.Trial[CONTA],$B58)</f>
        <v>0</v>
      </c>
      <c r="P58" s="78">
        <f t="shared" ca="1" si="67"/>
        <v>0</v>
      </c>
      <c r="Q58" s="78">
        <f t="shared" ca="1" si="33"/>
        <v>0</v>
      </c>
      <c r="R58" s="4">
        <f ca="1">SUMIFS(INDIRECT("Tab_00.Trial["&amp;R$4&amp;"]"),Tab_00.Trial[CONTA],$B58)</f>
        <v>0</v>
      </c>
      <c r="S58" s="78">
        <f t="shared" ca="1" si="68"/>
        <v>0</v>
      </c>
      <c r="T58" s="78">
        <f t="shared" ca="1" si="35"/>
        <v>0</v>
      </c>
      <c r="U58" s="4">
        <f ca="1">SUMIFS(INDIRECT("Tab_00.Trial["&amp;U$4&amp;"]"),Tab_00.Trial[CONTA],$B58)</f>
        <v>0</v>
      </c>
      <c r="V58" s="78">
        <f t="shared" ca="1" si="69"/>
        <v>0</v>
      </c>
      <c r="W58" s="78">
        <f t="shared" ca="1" si="37"/>
        <v>0</v>
      </c>
      <c r="X58" s="4">
        <f ca="1">SUMIFS(INDIRECT("Tab_00.Trial["&amp;X$4&amp;"]"),Tab_00.Trial[CONTA],$B58)</f>
        <v>0</v>
      </c>
      <c r="Y58" s="78">
        <f t="shared" ca="1" si="70"/>
        <v>0</v>
      </c>
      <c r="Z58" s="78">
        <f t="shared" ca="1" si="39"/>
        <v>0</v>
      </c>
      <c r="AA58" s="4">
        <f ca="1">SUMIFS(INDIRECT("Tab_00.Trial["&amp;AA$4&amp;"]"),Tab_00.Trial[CONTA],$B58)</f>
        <v>0</v>
      </c>
      <c r="AB58" s="78">
        <f t="shared" ca="1" si="71"/>
        <v>0</v>
      </c>
      <c r="AC58" s="78">
        <f t="shared" ca="1" si="41"/>
        <v>0</v>
      </c>
      <c r="AD58" s="4">
        <f ca="1">SUMIFS(INDIRECT("Tab_00.Trial["&amp;AD$4&amp;"]"),Tab_00.Trial[CONTA],$B58)</f>
        <v>0</v>
      </c>
      <c r="AE58" s="78">
        <f t="shared" ca="1" si="72"/>
        <v>0</v>
      </c>
      <c r="AF58" s="78">
        <f t="shared" ca="1" si="43"/>
        <v>0</v>
      </c>
      <c r="AG58" s="4">
        <f ca="1">SUMIFS(INDIRECT("Tab_00.Trial["&amp;AG$4&amp;"]"),Tab_00.Trial[CONTA],$B58)</f>
        <v>0</v>
      </c>
      <c r="AH58" s="78">
        <f t="shared" ca="1" si="73"/>
        <v>0</v>
      </c>
      <c r="AI58" s="78">
        <f t="shared" ca="1" si="45"/>
        <v>0</v>
      </c>
      <c r="AJ58" s="4">
        <f ca="1">SUMIFS(INDIRECT("Tab_00.Trial["&amp;AJ$4&amp;"]"),Tab_00.Trial[CONTA],$B58)</f>
        <v>0</v>
      </c>
      <c r="AK58" s="78">
        <f t="shared" ca="1" si="74"/>
        <v>0</v>
      </c>
      <c r="AL58" s="78">
        <f t="shared" ca="1" si="47"/>
        <v>0</v>
      </c>
      <c r="AM58" s="4">
        <f ca="1">SUMIFS(INDIRECT("Tab_00.Trial["&amp;AM$4&amp;"]"),Tab_00.Trial[CONTA],$B58)</f>
        <v>0</v>
      </c>
      <c r="AN58" s="78">
        <f t="shared" ca="1" si="75"/>
        <v>0</v>
      </c>
      <c r="AO58" s="78">
        <f t="shared" ca="1" si="49"/>
        <v>0</v>
      </c>
    </row>
    <row r="59" spans="2:41" ht="5.0999999999999996" customHeight="1" outlineLevel="1" x14ac:dyDescent="0.3">
      <c r="B59" s="74"/>
      <c r="C59" s="75"/>
      <c r="D59" s="76"/>
      <c r="E59" s="77"/>
      <c r="F59" s="76"/>
      <c r="G59" s="77"/>
      <c r="H59" s="77"/>
      <c r="I59" s="76"/>
      <c r="J59" s="77"/>
      <c r="K59" s="77"/>
      <c r="L59" s="76"/>
      <c r="M59" s="77"/>
      <c r="N59" s="77"/>
      <c r="O59" s="76"/>
      <c r="P59" s="77"/>
      <c r="Q59" s="77"/>
      <c r="R59" s="76"/>
      <c r="S59" s="77"/>
      <c r="T59" s="77"/>
      <c r="U59" s="76"/>
      <c r="V59" s="77"/>
      <c r="W59" s="77"/>
      <c r="X59" s="76"/>
      <c r="Y59" s="77"/>
      <c r="Z59" s="77"/>
      <c r="AA59" s="76"/>
      <c r="AB59" s="77"/>
      <c r="AC59" s="77"/>
      <c r="AD59" s="76"/>
      <c r="AE59" s="77"/>
      <c r="AF59" s="77"/>
      <c r="AG59" s="76"/>
      <c r="AH59" s="77"/>
      <c r="AI59" s="77"/>
      <c r="AJ59" s="76"/>
      <c r="AK59" s="77"/>
      <c r="AL59" s="77"/>
      <c r="AM59" s="76"/>
      <c r="AN59" s="77"/>
      <c r="AO59" s="77"/>
    </row>
    <row r="60" spans="2:41" ht="15" customHeight="1" x14ac:dyDescent="0.3">
      <c r="B60" s="3" t="s">
        <v>43</v>
      </c>
      <c r="C60" s="14" t="s">
        <v>139</v>
      </c>
      <c r="D60" s="4">
        <f>SUBTOTAL(9,D$61:D$67)</f>
        <v>0</v>
      </c>
      <c r="E60" s="78">
        <f t="shared" ref="E60:E65" si="76">IFERROR($D60/$D$160,0)</f>
        <v>0</v>
      </c>
      <c r="F60" s="4">
        <f ca="1">SUBTOTAL(9,F$61:F$67)</f>
        <v>5256.5</v>
      </c>
      <c r="G60" s="78">
        <f t="shared" ref="G60:G66" ca="1" si="77">IFERROR($F60/$F$160,0)</f>
        <v>1E-4</v>
      </c>
      <c r="H60" s="78">
        <f t="shared" ca="1" si="27"/>
        <v>0</v>
      </c>
      <c r="I60" s="4">
        <f ca="1">SUBTOTAL(9,I$61:I$67)</f>
        <v>450.6</v>
      </c>
      <c r="J60" s="78">
        <f t="shared" ref="J60:J66" ca="1" si="78">IFERROR($I60/$I$160,0)</f>
        <v>0</v>
      </c>
      <c r="K60" s="78">
        <f t="shared" ca="1" si="29"/>
        <v>-0.9143</v>
      </c>
      <c r="L60" s="4">
        <f ca="1">SUBTOTAL(9,L$61:L$67)</f>
        <v>222.6</v>
      </c>
      <c r="M60" s="78">
        <f t="shared" ref="M60:M66" ca="1" si="79">IFERROR($L60/$L$160,0)</f>
        <v>0</v>
      </c>
      <c r="N60" s="78">
        <f t="shared" ca="1" si="31"/>
        <v>-0.50600000000000001</v>
      </c>
      <c r="O60" s="4">
        <f ca="1">SUBTOTAL(9,O$61:O$67)</f>
        <v>44.58</v>
      </c>
      <c r="P60" s="78">
        <f t="shared" ref="P60:P66" ca="1" si="80">IFERROR($O60/$O$160,0)</f>
        <v>0</v>
      </c>
      <c r="Q60" s="78">
        <f t="shared" ca="1" si="33"/>
        <v>-0.79969999999999997</v>
      </c>
      <c r="R60" s="4">
        <f ca="1">SUBTOTAL(9,R$61:R$67)</f>
        <v>0</v>
      </c>
      <c r="S60" s="78">
        <f t="shared" ref="S60:S66" ca="1" si="81">IFERROR($R60/$R$160,0)</f>
        <v>0</v>
      </c>
      <c r="T60" s="78">
        <f t="shared" ca="1" si="35"/>
        <v>-1</v>
      </c>
      <c r="U60" s="4">
        <f ca="1">SUBTOTAL(9,U$61:U$67)</f>
        <v>18930.36</v>
      </c>
      <c r="V60" s="78">
        <f t="shared" ref="V60:V66" ca="1" si="82">IFERROR($U60/$U$160,0)</f>
        <v>2.0000000000000001E-4</v>
      </c>
      <c r="W60" s="78">
        <f t="shared" ca="1" si="37"/>
        <v>0</v>
      </c>
      <c r="X60" s="4">
        <f ca="1">SUBTOTAL(9,X$61:X$67)</f>
        <v>0</v>
      </c>
      <c r="Y60" s="78">
        <f t="shared" ref="Y60:Y66" ca="1" si="83">IFERROR($X60/$X$160,0)</f>
        <v>0</v>
      </c>
      <c r="Z60" s="78">
        <f t="shared" ca="1" si="39"/>
        <v>-1</v>
      </c>
      <c r="AA60" s="4">
        <f ca="1">SUBTOTAL(9,AA$61:AA$67)</f>
        <v>26127.32</v>
      </c>
      <c r="AB60" s="78">
        <f t="shared" ref="AB60:AB66" ca="1" si="84">IFERROR($AA60/$AA$160,0)</f>
        <v>2.9999999999999997E-4</v>
      </c>
      <c r="AC60" s="78">
        <f t="shared" ca="1" si="41"/>
        <v>0</v>
      </c>
      <c r="AD60" s="4">
        <f ca="1">SUBTOTAL(9,AD$61:AD$67)</f>
        <v>306.7</v>
      </c>
      <c r="AE60" s="78">
        <f t="shared" ref="AE60:AE66" ca="1" si="85">IFERROR($AD60/$AD$160,0)</f>
        <v>0</v>
      </c>
      <c r="AF60" s="78">
        <f t="shared" ca="1" si="43"/>
        <v>-0.98829999999999996</v>
      </c>
      <c r="AG60" s="4">
        <f ca="1">SUBTOTAL(9,AG$61:AG$67)</f>
        <v>6872.45</v>
      </c>
      <c r="AH60" s="78">
        <f t="shared" ref="AH60:AH66" ca="1" si="86">IFERROR($AG60/$AG$160,0)</f>
        <v>1E-4</v>
      </c>
      <c r="AI60" s="78">
        <f t="shared" ca="1" si="45"/>
        <v>21.407699999999998</v>
      </c>
      <c r="AJ60" s="4">
        <f ca="1">SUBTOTAL(9,AJ$61:AJ$67)</f>
        <v>79463.289999999994</v>
      </c>
      <c r="AK60" s="78">
        <f t="shared" ref="AK60:AK66" ca="1" si="87">IFERROR($AJ60/$AJ$160,0)</f>
        <v>8.9999999999999998E-4</v>
      </c>
      <c r="AL60" s="78">
        <f t="shared" ca="1" si="47"/>
        <v>10.5626</v>
      </c>
      <c r="AM60" s="4">
        <f ca="1">SUBTOTAL(9,AM$61:AM$67)</f>
        <v>0</v>
      </c>
      <c r="AN60" s="78">
        <f t="shared" ref="AN60:AN65" ca="1" si="88">IFERROR(AM60/AM$160,0)</f>
        <v>0</v>
      </c>
      <c r="AO60" s="78">
        <f t="shared" ca="1" si="49"/>
        <v>-1</v>
      </c>
    </row>
    <row r="61" spans="2:41" ht="15" customHeight="1" outlineLevel="1" x14ac:dyDescent="0.3">
      <c r="B61" s="14" t="s">
        <v>179</v>
      </c>
      <c r="C61" s="15" t="s">
        <v>293</v>
      </c>
      <c r="D61" s="4">
        <f>SUMIFS(Tab_99.Trial[DEZEMBRO],Tab_99.Trial[CONTA],$B61)</f>
        <v>0</v>
      </c>
      <c r="E61" s="78">
        <f t="shared" si="76"/>
        <v>0</v>
      </c>
      <c r="F61" s="4">
        <f ca="1">SUMIFS(INDIRECT("Tab_00.Trial["&amp;F$4&amp;"]"),Tab_00.Trial[CONTA],$B61)</f>
        <v>44.58</v>
      </c>
      <c r="G61" s="78">
        <f t="shared" ca="1" si="77"/>
        <v>0</v>
      </c>
      <c r="H61" s="78">
        <f t="shared" ca="1" si="27"/>
        <v>0</v>
      </c>
      <c r="I61" s="4">
        <f ca="1">SUMIFS(INDIRECT("Tab_00.Trial["&amp;I$4&amp;"]"),Tab_00.Trial[CONTA],$B61)</f>
        <v>44.58</v>
      </c>
      <c r="J61" s="78">
        <f t="shared" ca="1" si="78"/>
        <v>0</v>
      </c>
      <c r="K61" s="78">
        <f t="shared" ca="1" si="29"/>
        <v>0</v>
      </c>
      <c r="L61" s="4">
        <f ca="1">SUMIFS(INDIRECT("Tab_00.Trial["&amp;L$4&amp;"]"),Tab_00.Trial[CONTA],$B61)</f>
        <v>44.58</v>
      </c>
      <c r="M61" s="78">
        <f t="shared" ca="1" si="79"/>
        <v>0</v>
      </c>
      <c r="N61" s="78">
        <f t="shared" ca="1" si="31"/>
        <v>0</v>
      </c>
      <c r="O61" s="4">
        <f ca="1">SUMIFS(INDIRECT("Tab_00.Trial["&amp;O$4&amp;"]"),Tab_00.Trial[CONTA],$B61)</f>
        <v>44.58</v>
      </c>
      <c r="P61" s="78">
        <f t="shared" ca="1" si="80"/>
        <v>0</v>
      </c>
      <c r="Q61" s="78">
        <f t="shared" ca="1" si="33"/>
        <v>0</v>
      </c>
      <c r="R61" s="4">
        <f ca="1">SUMIFS(INDIRECT("Tab_00.Trial["&amp;R$4&amp;"]"),Tab_00.Trial[CONTA],$B61)</f>
        <v>0</v>
      </c>
      <c r="S61" s="78">
        <f t="shared" ca="1" si="81"/>
        <v>0</v>
      </c>
      <c r="T61" s="78">
        <f t="shared" ca="1" si="35"/>
        <v>-1</v>
      </c>
      <c r="U61" s="4">
        <f ca="1">SUMIFS(INDIRECT("Tab_00.Trial["&amp;U$4&amp;"]"),Tab_00.Trial[CONTA],$B61)</f>
        <v>0</v>
      </c>
      <c r="V61" s="78">
        <f t="shared" ca="1" si="82"/>
        <v>0</v>
      </c>
      <c r="W61" s="78">
        <f t="shared" ca="1" si="37"/>
        <v>0</v>
      </c>
      <c r="X61" s="4">
        <f ca="1">SUMIFS(INDIRECT("Tab_00.Trial["&amp;X$4&amp;"]"),Tab_00.Trial[CONTA],$B61)</f>
        <v>0</v>
      </c>
      <c r="Y61" s="78">
        <f t="shared" ca="1" si="83"/>
        <v>0</v>
      </c>
      <c r="Z61" s="78">
        <f t="shared" ca="1" si="39"/>
        <v>0</v>
      </c>
      <c r="AA61" s="4">
        <f ca="1">SUMIFS(INDIRECT("Tab_00.Trial["&amp;AA$4&amp;"]"),Tab_00.Trial[CONTA],$B61)</f>
        <v>0</v>
      </c>
      <c r="AB61" s="78">
        <f t="shared" ca="1" si="84"/>
        <v>0</v>
      </c>
      <c r="AC61" s="78">
        <f t="shared" ca="1" si="41"/>
        <v>0</v>
      </c>
      <c r="AD61" s="4">
        <f ca="1">SUMIFS(INDIRECT("Tab_00.Trial["&amp;AD$4&amp;"]"),Tab_00.Trial[CONTA],$B61)</f>
        <v>0</v>
      </c>
      <c r="AE61" s="78">
        <f t="shared" ca="1" si="85"/>
        <v>0</v>
      </c>
      <c r="AF61" s="78">
        <f t="shared" ca="1" si="43"/>
        <v>0</v>
      </c>
      <c r="AG61" s="4">
        <f ca="1">SUMIFS(INDIRECT("Tab_00.Trial["&amp;AG$4&amp;"]"),Tab_00.Trial[CONTA],$B61)</f>
        <v>0</v>
      </c>
      <c r="AH61" s="78">
        <f t="shared" ca="1" si="86"/>
        <v>0</v>
      </c>
      <c r="AI61" s="78">
        <f t="shared" ca="1" si="45"/>
        <v>0</v>
      </c>
      <c r="AJ61" s="4">
        <f ca="1">SUMIFS(INDIRECT("Tab_00.Trial["&amp;AJ$4&amp;"]"),Tab_00.Trial[CONTA],$B61)</f>
        <v>0</v>
      </c>
      <c r="AK61" s="78">
        <f t="shared" ca="1" si="87"/>
        <v>0</v>
      </c>
      <c r="AL61" s="78">
        <f t="shared" ca="1" si="47"/>
        <v>0</v>
      </c>
      <c r="AM61" s="4">
        <f ca="1">SUMIFS(INDIRECT("Tab_00.Trial["&amp;AM$4&amp;"]"),Tab_00.Trial[CONTA],$B61)</f>
        <v>0</v>
      </c>
      <c r="AN61" s="78">
        <f t="shared" ca="1" si="88"/>
        <v>0</v>
      </c>
      <c r="AO61" s="78">
        <f t="shared" ca="1" si="49"/>
        <v>0</v>
      </c>
    </row>
    <row r="62" spans="2:41" ht="15" customHeight="1" outlineLevel="1" x14ac:dyDescent="0.3">
      <c r="B62" s="14" t="s">
        <v>294</v>
      </c>
      <c r="C62" s="15" t="s">
        <v>295</v>
      </c>
      <c r="D62" s="4">
        <f>SUMIFS(Tab_99.Trial[DEZEMBRO],Tab_99.Trial[CONTA],$B62)</f>
        <v>0</v>
      </c>
      <c r="E62" s="78">
        <f t="shared" si="76"/>
        <v>0</v>
      </c>
      <c r="F62" s="4">
        <f ca="1">SUMIFS(INDIRECT("Tab_00.Trial["&amp;F$4&amp;"]"),Tab_00.Trial[CONTA],$B62)</f>
        <v>5211.92</v>
      </c>
      <c r="G62" s="78">
        <f t="shared" ca="1" si="77"/>
        <v>1E-4</v>
      </c>
      <c r="H62" s="78">
        <f t="shared" ca="1" si="27"/>
        <v>0</v>
      </c>
      <c r="I62" s="4">
        <f ca="1">SUMIFS(INDIRECT("Tab_00.Trial["&amp;I$4&amp;"]"),Tab_00.Trial[CONTA],$B62)</f>
        <v>406.02</v>
      </c>
      <c r="J62" s="78">
        <f t="shared" ca="1" si="78"/>
        <v>0</v>
      </c>
      <c r="K62" s="78">
        <f t="shared" ca="1" si="29"/>
        <v>-0.92210000000000003</v>
      </c>
      <c r="L62" s="4">
        <f ca="1">SUMIFS(INDIRECT("Tab_00.Trial["&amp;L$4&amp;"]"),Tab_00.Trial[CONTA],$B62)</f>
        <v>178.02</v>
      </c>
      <c r="M62" s="78">
        <f t="shared" ca="1" si="79"/>
        <v>0</v>
      </c>
      <c r="N62" s="78">
        <f t="shared" ca="1" si="31"/>
        <v>-0.5615</v>
      </c>
      <c r="O62" s="4">
        <f ca="1">SUMIFS(INDIRECT("Tab_00.Trial["&amp;O$4&amp;"]"),Tab_00.Trial[CONTA],$B62)</f>
        <v>0</v>
      </c>
      <c r="P62" s="78">
        <f t="shared" ca="1" si="80"/>
        <v>0</v>
      </c>
      <c r="Q62" s="78">
        <f t="shared" ca="1" si="33"/>
        <v>-1</v>
      </c>
      <c r="R62" s="4">
        <f ca="1">SUMIFS(INDIRECT("Tab_00.Trial["&amp;R$4&amp;"]"),Tab_00.Trial[CONTA],$B62)</f>
        <v>0</v>
      </c>
      <c r="S62" s="78">
        <f t="shared" ca="1" si="81"/>
        <v>0</v>
      </c>
      <c r="T62" s="78">
        <f t="shared" ca="1" si="35"/>
        <v>0</v>
      </c>
      <c r="U62" s="4">
        <f ca="1">SUMIFS(INDIRECT("Tab_00.Trial["&amp;U$4&amp;"]"),Tab_00.Trial[CONTA],$B62)</f>
        <v>18930.36</v>
      </c>
      <c r="V62" s="78">
        <f t="shared" ca="1" si="82"/>
        <v>2.0000000000000001E-4</v>
      </c>
      <c r="W62" s="78">
        <f t="shared" ca="1" si="37"/>
        <v>0</v>
      </c>
      <c r="X62" s="4">
        <f ca="1">SUMIFS(INDIRECT("Tab_00.Trial["&amp;X$4&amp;"]"),Tab_00.Trial[CONTA],$B62)</f>
        <v>0</v>
      </c>
      <c r="Y62" s="78">
        <f t="shared" ca="1" si="83"/>
        <v>0</v>
      </c>
      <c r="Z62" s="78">
        <f t="shared" ca="1" si="39"/>
        <v>-1</v>
      </c>
      <c r="AA62" s="4">
        <f ca="1">SUMIFS(INDIRECT("Tab_00.Trial["&amp;AA$4&amp;"]"),Tab_00.Trial[CONTA],$B62)</f>
        <v>26127.32</v>
      </c>
      <c r="AB62" s="78">
        <f t="shared" ca="1" si="84"/>
        <v>2.9999999999999997E-4</v>
      </c>
      <c r="AC62" s="78">
        <f t="shared" ca="1" si="41"/>
        <v>0</v>
      </c>
      <c r="AD62" s="4">
        <f ca="1">SUMIFS(INDIRECT("Tab_00.Trial["&amp;AD$4&amp;"]"),Tab_00.Trial[CONTA],$B62)</f>
        <v>306.7</v>
      </c>
      <c r="AE62" s="78">
        <f t="shared" ca="1" si="85"/>
        <v>0</v>
      </c>
      <c r="AF62" s="78">
        <f t="shared" ca="1" si="43"/>
        <v>-0.98829999999999996</v>
      </c>
      <c r="AG62" s="4">
        <f ca="1">SUMIFS(INDIRECT("Tab_00.Trial["&amp;AG$4&amp;"]"),Tab_00.Trial[CONTA],$B62)</f>
        <v>4092.77</v>
      </c>
      <c r="AH62" s="78">
        <f t="shared" ca="1" si="86"/>
        <v>0</v>
      </c>
      <c r="AI62" s="78">
        <f t="shared" ca="1" si="45"/>
        <v>12.3445</v>
      </c>
      <c r="AJ62" s="4">
        <f ca="1">SUMIFS(INDIRECT("Tab_00.Trial["&amp;AJ$4&amp;"]"),Tab_00.Trial[CONTA],$B62)</f>
        <v>985.98</v>
      </c>
      <c r="AK62" s="78">
        <f t="shared" ca="1" si="87"/>
        <v>0</v>
      </c>
      <c r="AL62" s="78">
        <f t="shared" ca="1" si="47"/>
        <v>-0.7591</v>
      </c>
      <c r="AM62" s="4">
        <f ca="1">SUMIFS(INDIRECT("Tab_00.Trial["&amp;AM$4&amp;"]"),Tab_00.Trial[CONTA],$B62)</f>
        <v>0</v>
      </c>
      <c r="AN62" s="78">
        <f t="shared" ca="1" si="88"/>
        <v>0</v>
      </c>
      <c r="AO62" s="78">
        <f t="shared" ca="1" si="49"/>
        <v>-1</v>
      </c>
    </row>
    <row r="63" spans="2:41" ht="15" customHeight="1" outlineLevel="1" x14ac:dyDescent="0.3">
      <c r="B63" s="14" t="s">
        <v>812</v>
      </c>
      <c r="C63" s="15" t="s">
        <v>813</v>
      </c>
      <c r="D63" s="4">
        <f>SUMIFS(Tab_99.Trial[DEZEMBRO],Tab_99.Trial[CONTA],$B63)</f>
        <v>0</v>
      </c>
      <c r="E63" s="78">
        <f t="shared" si="76"/>
        <v>0</v>
      </c>
      <c r="F63" s="4">
        <f ca="1">SUMIFS(INDIRECT("Tab_00.Trial["&amp;F$4&amp;"]"),Tab_00.Trial[CONTA],$B63)</f>
        <v>0</v>
      </c>
      <c r="G63" s="78">
        <f t="shared" ca="1" si="77"/>
        <v>0</v>
      </c>
      <c r="H63" s="78">
        <f t="shared" ca="1" si="27"/>
        <v>0</v>
      </c>
      <c r="I63" s="4">
        <f ca="1">SUMIFS(INDIRECT("Tab_00.Trial["&amp;I$4&amp;"]"),Tab_00.Trial[CONTA],$B63)</f>
        <v>0</v>
      </c>
      <c r="J63" s="78">
        <f t="shared" ca="1" si="78"/>
        <v>0</v>
      </c>
      <c r="K63" s="78">
        <f t="shared" ca="1" si="29"/>
        <v>0</v>
      </c>
      <c r="L63" s="4">
        <f ca="1">SUMIFS(INDIRECT("Tab_00.Trial["&amp;L$4&amp;"]"),Tab_00.Trial[CONTA],$B63)</f>
        <v>0</v>
      </c>
      <c r="M63" s="78">
        <f t="shared" ca="1" si="79"/>
        <v>0</v>
      </c>
      <c r="N63" s="78">
        <f t="shared" ca="1" si="31"/>
        <v>0</v>
      </c>
      <c r="O63" s="4">
        <f ca="1">SUMIFS(INDIRECT("Tab_00.Trial["&amp;O$4&amp;"]"),Tab_00.Trial[CONTA],$B63)</f>
        <v>0</v>
      </c>
      <c r="P63" s="78">
        <f t="shared" ca="1" si="80"/>
        <v>0</v>
      </c>
      <c r="Q63" s="78">
        <f t="shared" ca="1" si="33"/>
        <v>0</v>
      </c>
      <c r="R63" s="4">
        <f ca="1">SUMIFS(INDIRECT("Tab_00.Trial["&amp;R$4&amp;"]"),Tab_00.Trial[CONTA],$B63)</f>
        <v>0</v>
      </c>
      <c r="S63" s="78">
        <f t="shared" ca="1" si="81"/>
        <v>0</v>
      </c>
      <c r="T63" s="78">
        <f t="shared" ca="1" si="35"/>
        <v>0</v>
      </c>
      <c r="U63" s="4">
        <f ca="1">SUMIFS(INDIRECT("Tab_00.Trial["&amp;U$4&amp;"]"),Tab_00.Trial[CONTA],$B63)</f>
        <v>0</v>
      </c>
      <c r="V63" s="78">
        <f t="shared" ca="1" si="82"/>
        <v>0</v>
      </c>
      <c r="W63" s="78">
        <f t="shared" ca="1" si="37"/>
        <v>0</v>
      </c>
      <c r="X63" s="4">
        <f ca="1">SUMIFS(INDIRECT("Tab_00.Trial["&amp;X$4&amp;"]"),Tab_00.Trial[CONTA],$B63)</f>
        <v>0</v>
      </c>
      <c r="Y63" s="78">
        <f t="shared" ca="1" si="83"/>
        <v>0</v>
      </c>
      <c r="Z63" s="78">
        <f t="shared" ca="1" si="39"/>
        <v>0</v>
      </c>
      <c r="AA63" s="4">
        <f ca="1">SUMIFS(INDIRECT("Tab_00.Trial["&amp;AA$4&amp;"]"),Tab_00.Trial[CONTA],$B63)</f>
        <v>0</v>
      </c>
      <c r="AB63" s="78">
        <f t="shared" ca="1" si="84"/>
        <v>0</v>
      </c>
      <c r="AC63" s="78">
        <f t="shared" ca="1" si="41"/>
        <v>0</v>
      </c>
      <c r="AD63" s="4">
        <f ca="1">SUMIFS(INDIRECT("Tab_00.Trial["&amp;AD$4&amp;"]"),Tab_00.Trial[CONTA],$B63)</f>
        <v>0</v>
      </c>
      <c r="AE63" s="78">
        <f t="shared" ca="1" si="85"/>
        <v>0</v>
      </c>
      <c r="AF63" s="78">
        <f t="shared" ca="1" si="43"/>
        <v>0</v>
      </c>
      <c r="AG63" s="4">
        <f ca="1">SUMIFS(INDIRECT("Tab_00.Trial["&amp;AG$4&amp;"]"),Tab_00.Trial[CONTA],$B63)</f>
        <v>2779.68</v>
      </c>
      <c r="AH63" s="78">
        <f t="shared" ca="1" si="86"/>
        <v>0</v>
      </c>
      <c r="AI63" s="78">
        <f t="shared" ca="1" si="45"/>
        <v>0</v>
      </c>
      <c r="AJ63" s="4">
        <f ca="1">SUMIFS(INDIRECT("Tab_00.Trial["&amp;AJ$4&amp;"]"),Tab_00.Trial[CONTA],$B63)</f>
        <v>78477.31</v>
      </c>
      <c r="AK63" s="78">
        <f t="shared" ca="1" si="87"/>
        <v>8.9999999999999998E-4</v>
      </c>
      <c r="AL63" s="78">
        <f t="shared" ca="1" si="47"/>
        <v>27.232500000000002</v>
      </c>
      <c r="AM63" s="4">
        <f ca="1">SUMIFS(INDIRECT("Tab_00.Trial["&amp;AM$4&amp;"]"),Tab_00.Trial[CONTA],$B63)</f>
        <v>0</v>
      </c>
      <c r="AN63" s="78">
        <f t="shared" ca="1" si="88"/>
        <v>0</v>
      </c>
      <c r="AO63" s="78">
        <f t="shared" ca="1" si="49"/>
        <v>-1</v>
      </c>
    </row>
    <row r="64" spans="2:41" ht="15" customHeight="1" outlineLevel="1" x14ac:dyDescent="0.3">
      <c r="B64" s="14" t="s">
        <v>810</v>
      </c>
      <c r="C64" s="15" t="s">
        <v>811</v>
      </c>
      <c r="D64" s="4">
        <f>SUMIFS(Tab_99.Trial[DEZEMBRO],Tab_99.Trial[CONTA],$B64)</f>
        <v>0</v>
      </c>
      <c r="E64" s="78">
        <f t="shared" si="76"/>
        <v>0</v>
      </c>
      <c r="F64" s="4">
        <f ca="1">SUMIFS(INDIRECT("Tab_00.Trial["&amp;F$4&amp;"]"),Tab_00.Trial[CONTA],$B64)</f>
        <v>0</v>
      </c>
      <c r="G64" s="78">
        <f t="shared" ca="1" si="77"/>
        <v>0</v>
      </c>
      <c r="H64" s="78">
        <f t="shared" ca="1" si="27"/>
        <v>0</v>
      </c>
      <c r="I64" s="4">
        <f ca="1">SUMIFS(INDIRECT("Tab_00.Trial["&amp;I$4&amp;"]"),Tab_00.Trial[CONTA],$B64)</f>
        <v>0</v>
      </c>
      <c r="J64" s="78">
        <f t="shared" ca="1" si="78"/>
        <v>0</v>
      </c>
      <c r="K64" s="78">
        <f t="shared" ca="1" si="29"/>
        <v>0</v>
      </c>
      <c r="L64" s="4">
        <f ca="1">SUMIFS(INDIRECT("Tab_00.Trial["&amp;L$4&amp;"]"),Tab_00.Trial[CONTA],$B64)</f>
        <v>0</v>
      </c>
      <c r="M64" s="78">
        <f t="shared" ca="1" si="79"/>
        <v>0</v>
      </c>
      <c r="N64" s="78">
        <f t="shared" ca="1" si="31"/>
        <v>0</v>
      </c>
      <c r="O64" s="4">
        <f ca="1">SUMIFS(INDIRECT("Tab_00.Trial["&amp;O$4&amp;"]"),Tab_00.Trial[CONTA],$B64)</f>
        <v>0</v>
      </c>
      <c r="P64" s="78">
        <f t="shared" ca="1" si="80"/>
        <v>0</v>
      </c>
      <c r="Q64" s="78">
        <f t="shared" ca="1" si="33"/>
        <v>0</v>
      </c>
      <c r="R64" s="4">
        <f ca="1">SUMIFS(INDIRECT("Tab_00.Trial["&amp;R$4&amp;"]"),Tab_00.Trial[CONTA],$B64)</f>
        <v>0</v>
      </c>
      <c r="S64" s="78">
        <f t="shared" ca="1" si="81"/>
        <v>0</v>
      </c>
      <c r="T64" s="78">
        <f t="shared" ca="1" si="35"/>
        <v>0</v>
      </c>
      <c r="U64" s="4">
        <f ca="1">SUMIFS(INDIRECT("Tab_00.Trial["&amp;U$4&amp;"]"),Tab_00.Trial[CONTA],$B64)</f>
        <v>0</v>
      </c>
      <c r="V64" s="78">
        <f t="shared" ca="1" si="82"/>
        <v>0</v>
      </c>
      <c r="W64" s="78">
        <f t="shared" ca="1" si="37"/>
        <v>0</v>
      </c>
      <c r="X64" s="4">
        <f ca="1">SUMIFS(INDIRECT("Tab_00.Trial["&amp;X$4&amp;"]"),Tab_00.Trial[CONTA],$B64)</f>
        <v>0</v>
      </c>
      <c r="Y64" s="78">
        <f t="shared" ca="1" si="83"/>
        <v>0</v>
      </c>
      <c r="Z64" s="78">
        <f t="shared" ca="1" si="39"/>
        <v>0</v>
      </c>
      <c r="AA64" s="4">
        <f ca="1">SUMIFS(INDIRECT("Tab_00.Trial["&amp;AA$4&amp;"]"),Tab_00.Trial[CONTA],$B64)</f>
        <v>0</v>
      </c>
      <c r="AB64" s="78">
        <f t="shared" ca="1" si="84"/>
        <v>0</v>
      </c>
      <c r="AC64" s="78">
        <f t="shared" ca="1" si="41"/>
        <v>0</v>
      </c>
      <c r="AD64" s="4">
        <f ca="1">SUMIFS(INDIRECT("Tab_00.Trial["&amp;AD$4&amp;"]"),Tab_00.Trial[CONTA],$B64)</f>
        <v>0</v>
      </c>
      <c r="AE64" s="78">
        <f t="shared" ca="1" si="85"/>
        <v>0</v>
      </c>
      <c r="AF64" s="78">
        <f t="shared" ca="1" si="43"/>
        <v>0</v>
      </c>
      <c r="AG64" s="4">
        <f ca="1">SUMIFS(INDIRECT("Tab_00.Trial["&amp;AG$4&amp;"]"),Tab_00.Trial[CONTA],$B64)</f>
        <v>0</v>
      </c>
      <c r="AH64" s="78">
        <f t="shared" ca="1" si="86"/>
        <v>0</v>
      </c>
      <c r="AI64" s="78">
        <f t="shared" ca="1" si="45"/>
        <v>0</v>
      </c>
      <c r="AJ64" s="4">
        <f ca="1">SUMIFS(INDIRECT("Tab_00.Trial["&amp;AJ$4&amp;"]"),Tab_00.Trial[CONTA],$B64)</f>
        <v>0</v>
      </c>
      <c r="AK64" s="78">
        <f t="shared" ca="1" si="87"/>
        <v>0</v>
      </c>
      <c r="AL64" s="78">
        <f t="shared" ca="1" si="47"/>
        <v>0</v>
      </c>
      <c r="AM64" s="4">
        <f ca="1">SUMIFS(INDIRECT("Tab_00.Trial["&amp;AM$4&amp;"]"),Tab_00.Trial[CONTA],$B64)</f>
        <v>0</v>
      </c>
      <c r="AN64" s="78">
        <f t="shared" ca="1" si="88"/>
        <v>0</v>
      </c>
      <c r="AO64" s="78">
        <f t="shared" ca="1" si="49"/>
        <v>0</v>
      </c>
    </row>
    <row r="65" spans="2:43" ht="15" customHeight="1" outlineLevel="1" x14ac:dyDescent="0.3">
      <c r="B65" s="14"/>
      <c r="C65" s="15"/>
      <c r="D65" s="4">
        <f>SUMIFS(Tab_99.Trial[DEZEMBRO],Tab_99.Trial[CONTA],$B65)</f>
        <v>0</v>
      </c>
      <c r="E65" s="78">
        <f t="shared" si="76"/>
        <v>0</v>
      </c>
      <c r="F65" s="4">
        <f ca="1">SUMIFS(INDIRECT("Tab_00.Trial["&amp;F$4&amp;"]"),Tab_00.Trial[CONTA],$B65)</f>
        <v>0</v>
      </c>
      <c r="G65" s="78">
        <f t="shared" ca="1" si="77"/>
        <v>0</v>
      </c>
      <c r="H65" s="78">
        <f t="shared" ca="1" si="27"/>
        <v>0</v>
      </c>
      <c r="I65" s="4">
        <f ca="1">SUMIFS(INDIRECT("Tab_00.Trial["&amp;I$4&amp;"]"),Tab_00.Trial[CONTA],$B65)</f>
        <v>0</v>
      </c>
      <c r="J65" s="78">
        <f t="shared" ca="1" si="78"/>
        <v>0</v>
      </c>
      <c r="K65" s="78">
        <f t="shared" ca="1" si="29"/>
        <v>0</v>
      </c>
      <c r="L65" s="4">
        <f ca="1">SUMIFS(INDIRECT("Tab_00.Trial["&amp;L$4&amp;"]"),Tab_00.Trial[CONTA],$B65)</f>
        <v>0</v>
      </c>
      <c r="M65" s="78">
        <f t="shared" ca="1" si="79"/>
        <v>0</v>
      </c>
      <c r="N65" s="78">
        <f t="shared" ca="1" si="31"/>
        <v>0</v>
      </c>
      <c r="O65" s="4">
        <f ca="1">SUMIFS(INDIRECT("Tab_00.Trial["&amp;O$4&amp;"]"),Tab_00.Trial[CONTA],$B65)</f>
        <v>0</v>
      </c>
      <c r="P65" s="78">
        <f t="shared" ca="1" si="80"/>
        <v>0</v>
      </c>
      <c r="Q65" s="78">
        <f t="shared" ca="1" si="33"/>
        <v>0</v>
      </c>
      <c r="R65" s="4">
        <f ca="1">SUMIFS(INDIRECT("Tab_00.Trial["&amp;R$4&amp;"]"),Tab_00.Trial[CONTA],$B65)</f>
        <v>0</v>
      </c>
      <c r="S65" s="78">
        <f t="shared" ca="1" si="81"/>
        <v>0</v>
      </c>
      <c r="T65" s="78">
        <f t="shared" ca="1" si="35"/>
        <v>0</v>
      </c>
      <c r="U65" s="4">
        <f ca="1">SUMIFS(INDIRECT("Tab_00.Trial["&amp;U$4&amp;"]"),Tab_00.Trial[CONTA],$B65)</f>
        <v>0</v>
      </c>
      <c r="V65" s="78">
        <f t="shared" ca="1" si="82"/>
        <v>0</v>
      </c>
      <c r="W65" s="78">
        <f t="shared" ca="1" si="37"/>
        <v>0</v>
      </c>
      <c r="X65" s="4">
        <f ca="1">SUMIFS(INDIRECT("Tab_00.Trial["&amp;X$4&amp;"]"),Tab_00.Trial[CONTA],$B65)</f>
        <v>0</v>
      </c>
      <c r="Y65" s="78">
        <f t="shared" ca="1" si="83"/>
        <v>0</v>
      </c>
      <c r="Z65" s="78">
        <f t="shared" ca="1" si="39"/>
        <v>0</v>
      </c>
      <c r="AA65" s="4">
        <f ca="1">SUMIFS(INDIRECT("Tab_00.Trial["&amp;AA$4&amp;"]"),Tab_00.Trial[CONTA],$B65)</f>
        <v>0</v>
      </c>
      <c r="AB65" s="78">
        <f t="shared" ca="1" si="84"/>
        <v>0</v>
      </c>
      <c r="AC65" s="78">
        <f t="shared" ca="1" si="41"/>
        <v>0</v>
      </c>
      <c r="AD65" s="4">
        <f ca="1">SUMIFS(INDIRECT("Tab_00.Trial["&amp;AD$4&amp;"]"),Tab_00.Trial[CONTA],$B65)</f>
        <v>0</v>
      </c>
      <c r="AE65" s="78">
        <f t="shared" ca="1" si="85"/>
        <v>0</v>
      </c>
      <c r="AF65" s="78">
        <f t="shared" ca="1" si="43"/>
        <v>0</v>
      </c>
      <c r="AG65" s="4">
        <f ca="1">SUMIFS(INDIRECT("Tab_00.Trial["&amp;AG$4&amp;"]"),Tab_00.Trial[CONTA],$B65)</f>
        <v>0</v>
      </c>
      <c r="AH65" s="78">
        <f t="shared" ca="1" si="86"/>
        <v>0</v>
      </c>
      <c r="AI65" s="78">
        <f t="shared" ca="1" si="45"/>
        <v>0</v>
      </c>
      <c r="AJ65" s="4">
        <f ca="1">SUMIFS(INDIRECT("Tab_00.Trial["&amp;AJ$4&amp;"]"),Tab_00.Trial[CONTA],$B65)</f>
        <v>0</v>
      </c>
      <c r="AK65" s="78">
        <f t="shared" ca="1" si="87"/>
        <v>0</v>
      </c>
      <c r="AL65" s="78">
        <f t="shared" ca="1" si="47"/>
        <v>0</v>
      </c>
      <c r="AM65" s="4">
        <f ca="1">SUMIFS(INDIRECT("Tab_00.Trial["&amp;AM$4&amp;"]"),Tab_00.Trial[CONTA],$B65)</f>
        <v>0</v>
      </c>
      <c r="AN65" s="78">
        <f t="shared" ca="1" si="88"/>
        <v>0</v>
      </c>
      <c r="AO65" s="78">
        <f t="shared" ca="1" si="49"/>
        <v>0</v>
      </c>
    </row>
    <row r="66" spans="2:43" ht="15" customHeight="1" outlineLevel="1" x14ac:dyDescent="0.3">
      <c r="B66" s="14"/>
      <c r="C66" s="15"/>
      <c r="F66" s="4">
        <f ca="1">SUMIFS(INDIRECT("Tab_00.Trial["&amp;F$4&amp;"]"),Tab_00.Trial[CONTA],$B66)</f>
        <v>0</v>
      </c>
      <c r="G66" s="78">
        <f t="shared" ca="1" si="77"/>
        <v>0</v>
      </c>
      <c r="H66" s="78">
        <f t="shared" ca="1" si="27"/>
        <v>0</v>
      </c>
      <c r="I66" s="4">
        <f ca="1">SUMIFS(INDIRECT("Tab_00.Trial["&amp;I$4&amp;"]"),Tab_00.Trial[CONTA],$B66)</f>
        <v>0</v>
      </c>
      <c r="J66" s="78">
        <f t="shared" ca="1" si="78"/>
        <v>0</v>
      </c>
      <c r="K66" s="78">
        <f t="shared" ca="1" si="29"/>
        <v>0</v>
      </c>
      <c r="L66" s="4">
        <f ca="1">SUMIFS(INDIRECT("Tab_00.Trial["&amp;L$4&amp;"]"),Tab_00.Trial[CONTA],$B66)</f>
        <v>0</v>
      </c>
      <c r="M66" s="78">
        <f t="shared" ca="1" si="79"/>
        <v>0</v>
      </c>
      <c r="N66" s="78">
        <f t="shared" ca="1" si="31"/>
        <v>0</v>
      </c>
      <c r="O66" s="4">
        <f ca="1">SUMIFS(INDIRECT("Tab_00.Trial["&amp;O$4&amp;"]"),Tab_00.Trial[CONTA],$B66)</f>
        <v>0</v>
      </c>
      <c r="P66" s="78">
        <f t="shared" ca="1" si="80"/>
        <v>0</v>
      </c>
      <c r="Q66" s="78">
        <f t="shared" ca="1" si="33"/>
        <v>0</v>
      </c>
      <c r="R66" s="4">
        <f ca="1">SUMIFS(INDIRECT("Tab_00.Trial["&amp;R$4&amp;"]"),Tab_00.Trial[CONTA],$B66)</f>
        <v>0</v>
      </c>
      <c r="S66" s="78">
        <f t="shared" ca="1" si="81"/>
        <v>0</v>
      </c>
      <c r="T66" s="78">
        <f t="shared" ca="1" si="35"/>
        <v>0</v>
      </c>
      <c r="U66" s="4">
        <f ca="1">SUMIFS(INDIRECT("Tab_00.Trial["&amp;U$4&amp;"]"),Tab_00.Trial[CONTA],$B66)</f>
        <v>0</v>
      </c>
      <c r="V66" s="78">
        <f t="shared" ca="1" si="82"/>
        <v>0</v>
      </c>
      <c r="W66" s="78">
        <f t="shared" ca="1" si="37"/>
        <v>0</v>
      </c>
      <c r="X66" s="4">
        <f ca="1">SUMIFS(INDIRECT("Tab_00.Trial["&amp;X$4&amp;"]"),Tab_00.Trial[CONTA],$B66)</f>
        <v>0</v>
      </c>
      <c r="Y66" s="78">
        <f t="shared" ca="1" si="83"/>
        <v>0</v>
      </c>
      <c r="Z66" s="78">
        <f t="shared" ca="1" si="39"/>
        <v>0</v>
      </c>
      <c r="AA66" s="4">
        <f ca="1">SUMIFS(INDIRECT("Tab_00.Trial["&amp;AA$4&amp;"]"),Tab_00.Trial[CONTA],$B66)</f>
        <v>0</v>
      </c>
      <c r="AB66" s="78">
        <f t="shared" ca="1" si="84"/>
        <v>0</v>
      </c>
      <c r="AC66" s="78">
        <f t="shared" ca="1" si="41"/>
        <v>0</v>
      </c>
      <c r="AD66" s="4">
        <f ca="1">SUMIFS(INDIRECT("Tab_00.Trial["&amp;AD$4&amp;"]"),Tab_00.Trial[CONTA],$B66)</f>
        <v>0</v>
      </c>
      <c r="AE66" s="78">
        <f t="shared" ca="1" si="85"/>
        <v>0</v>
      </c>
      <c r="AF66" s="78">
        <f t="shared" ca="1" si="43"/>
        <v>0</v>
      </c>
      <c r="AG66" s="4">
        <f ca="1">SUMIFS(INDIRECT("Tab_00.Trial["&amp;AG$4&amp;"]"),Tab_00.Trial[CONTA],$B66)</f>
        <v>0</v>
      </c>
      <c r="AH66" s="78">
        <f t="shared" ca="1" si="86"/>
        <v>0</v>
      </c>
      <c r="AI66" s="78">
        <f t="shared" ca="1" si="45"/>
        <v>0</v>
      </c>
      <c r="AJ66" s="4">
        <f ca="1">SUMIFS(INDIRECT("Tab_00.Trial["&amp;AJ$4&amp;"]"),Tab_00.Trial[CONTA],$B66)</f>
        <v>0</v>
      </c>
      <c r="AK66" s="78">
        <f t="shared" ca="1" si="87"/>
        <v>0</v>
      </c>
      <c r="AL66" s="78">
        <f t="shared" ca="1" si="47"/>
        <v>0</v>
      </c>
      <c r="AM66" s="4">
        <f ca="1">SUMIFS(INDIRECT("Tab_00.Trial["&amp;AM$4&amp;"]"),Tab_00.Trial[CONTA],$B66)</f>
        <v>0</v>
      </c>
      <c r="AN66" s="78">
        <f t="shared" ref="AN66" ca="1" si="89">IFERROR(AM66/AM$160,0)</f>
        <v>0</v>
      </c>
      <c r="AO66" s="78">
        <f t="shared" ca="1" si="49"/>
        <v>0</v>
      </c>
      <c r="AP66" s="142"/>
    </row>
    <row r="67" spans="2:43" ht="5.0999999999999996" customHeight="1" outlineLevel="1" x14ac:dyDescent="0.3">
      <c r="B67" s="74"/>
      <c r="C67" s="75"/>
      <c r="D67" s="76"/>
      <c r="E67" s="77"/>
      <c r="F67" s="76"/>
      <c r="G67" s="77"/>
      <c r="H67" s="77"/>
      <c r="I67" s="76"/>
      <c r="J67" s="77"/>
      <c r="K67" s="77"/>
      <c r="L67" s="76"/>
      <c r="M67" s="77"/>
      <c r="N67" s="77"/>
      <c r="O67" s="76"/>
      <c r="P67" s="77"/>
      <c r="Q67" s="77"/>
      <c r="R67" s="76"/>
      <c r="S67" s="77"/>
      <c r="T67" s="77"/>
      <c r="U67" s="76"/>
      <c r="V67" s="77"/>
      <c r="W67" s="77"/>
      <c r="X67" s="76"/>
      <c r="Y67" s="77"/>
      <c r="Z67" s="77"/>
      <c r="AA67" s="76"/>
      <c r="AB67" s="77"/>
      <c r="AC67" s="77"/>
      <c r="AD67" s="76"/>
      <c r="AE67" s="77"/>
      <c r="AF67" s="77"/>
      <c r="AG67" s="76"/>
      <c r="AH67" s="77"/>
      <c r="AI67" s="77"/>
      <c r="AJ67" s="76"/>
      <c r="AK67" s="77"/>
      <c r="AL67" s="77"/>
      <c r="AM67" s="76"/>
      <c r="AN67" s="77"/>
      <c r="AO67" s="77"/>
    </row>
    <row r="68" spans="2:43" ht="14.25" customHeight="1" collapsed="1" x14ac:dyDescent="0.3">
      <c r="B68" s="3" t="s">
        <v>141</v>
      </c>
      <c r="C68" s="14" t="s">
        <v>140</v>
      </c>
      <c r="D68" s="4">
        <f>SUBTOTAL(9,D$71:D$73)</f>
        <v>0</v>
      </c>
      <c r="E68" s="78">
        <f>IFERROR($D68/$D$160,0)</f>
        <v>0</v>
      </c>
      <c r="F68" s="4">
        <f ca="1">SUBTOTAL(9,F$71:F$73)</f>
        <v>0</v>
      </c>
      <c r="G68" s="78">
        <f ca="1">IFERROR($F68/$F$160,0)</f>
        <v>0</v>
      </c>
      <c r="H68" s="78">
        <f t="shared" ca="1" si="27"/>
        <v>0</v>
      </c>
      <c r="I68" s="4">
        <f ca="1">SUBTOTAL(9,I$71:I$73)</f>
        <v>0</v>
      </c>
      <c r="J68" s="78">
        <f ca="1">IFERROR($I68/$I$160,0)</f>
        <v>0</v>
      </c>
      <c r="K68" s="78">
        <f t="shared" ca="1" si="29"/>
        <v>0</v>
      </c>
      <c r="L68" s="4">
        <f ca="1">SUBTOTAL(9,L$71:L$73)</f>
        <v>0</v>
      </c>
      <c r="M68" s="78">
        <f ca="1">IFERROR($L68/$L$160,0)</f>
        <v>0</v>
      </c>
      <c r="N68" s="78">
        <f t="shared" ca="1" si="31"/>
        <v>0</v>
      </c>
      <c r="O68" s="4">
        <f ca="1">SUBTOTAL(9,O$71:O$73)</f>
        <v>0</v>
      </c>
      <c r="P68" s="78">
        <f ca="1">IFERROR($O68/$O$160,0)</f>
        <v>0</v>
      </c>
      <c r="Q68" s="78">
        <f t="shared" ca="1" si="33"/>
        <v>0</v>
      </c>
      <c r="R68" s="4">
        <f ca="1">SUBTOTAL(9,R$71:R$73)</f>
        <v>0</v>
      </c>
      <c r="S68" s="78">
        <f ca="1">IFERROR($R68/$R$160,0)</f>
        <v>0</v>
      </c>
      <c r="T68" s="78">
        <f t="shared" ca="1" si="35"/>
        <v>0</v>
      </c>
      <c r="U68" s="4">
        <f ca="1">SUBTOTAL(9,U$71:U$73)</f>
        <v>0</v>
      </c>
      <c r="V68" s="78">
        <f ca="1">IFERROR($U68/$U$160,0)</f>
        <v>0</v>
      </c>
      <c r="W68" s="78">
        <f t="shared" ca="1" si="37"/>
        <v>0</v>
      </c>
      <c r="X68" s="4">
        <f ca="1">SUBTOTAL(9,X$71:X$73)</f>
        <v>0</v>
      </c>
      <c r="Y68" s="78">
        <f ca="1">IFERROR($X68/$X$160,0)</f>
        <v>0</v>
      </c>
      <c r="Z68" s="78">
        <f t="shared" ca="1" si="39"/>
        <v>0</v>
      </c>
      <c r="AA68" s="4">
        <f ca="1">SUBTOTAL(9,AA$71:AA$73)</f>
        <v>0</v>
      </c>
      <c r="AB68" s="78">
        <f ca="1">IFERROR($AA68/$AA$160,0)</f>
        <v>0</v>
      </c>
      <c r="AC68" s="78">
        <f t="shared" ca="1" si="41"/>
        <v>0</v>
      </c>
      <c r="AD68" s="4">
        <f ca="1">SUBTOTAL(9,AD$71:AD$73)</f>
        <v>0</v>
      </c>
      <c r="AE68" s="78">
        <f ca="1">IFERROR($AD68/$AD$160,0)</f>
        <v>0</v>
      </c>
      <c r="AF68" s="78">
        <f t="shared" ca="1" si="43"/>
        <v>0</v>
      </c>
      <c r="AG68" s="4">
        <f ca="1">SUBTOTAL(9,AG$71:AG$73)</f>
        <v>0</v>
      </c>
      <c r="AH68" s="78">
        <f ca="1">IFERROR($AG68/$AG$160,0)</f>
        <v>0</v>
      </c>
      <c r="AI68" s="78">
        <f t="shared" ca="1" si="45"/>
        <v>0</v>
      </c>
      <c r="AJ68" s="4">
        <f ca="1">SUBTOTAL(9,AJ$71:AJ$73)</f>
        <v>0</v>
      </c>
      <c r="AK68" s="78">
        <f ca="1">IFERROR($AJ68/$AJ$160,0)</f>
        <v>0</v>
      </c>
      <c r="AL68" s="78">
        <f t="shared" ca="1" si="47"/>
        <v>0</v>
      </c>
      <c r="AM68" s="4">
        <f ca="1">SUBTOTAL(9,AM$71:AM$73)</f>
        <v>0</v>
      </c>
      <c r="AN68" s="78">
        <f ca="1">IFERROR(AM68/AM$160,0)</f>
        <v>0</v>
      </c>
      <c r="AO68" s="78">
        <f t="shared" ca="1" si="49"/>
        <v>0</v>
      </c>
    </row>
    <row r="69" spans="2:43" ht="15" hidden="1" customHeight="1" outlineLevel="1" x14ac:dyDescent="0.3">
      <c r="B69" s="3" t="s">
        <v>298</v>
      </c>
      <c r="C69" s="14" t="s">
        <v>299</v>
      </c>
      <c r="D69" s="4">
        <f>SUMIFS(Tab_99.Trial[DEZEMBRO],Tab_99.Trial[CONTA],$B69)</f>
        <v>0</v>
      </c>
      <c r="E69" s="78">
        <f>IFERROR($D69/$D$160,0)</f>
        <v>0</v>
      </c>
      <c r="F69" s="4">
        <f ca="1">SUMIFS(INDIRECT("Tab_00.Trial["&amp;F$4&amp;"]"),Tab_00.Trial[CONTA],$B69)</f>
        <v>2289.33</v>
      </c>
      <c r="G69" s="78">
        <f ca="1">IFERROR($F69/$F$160,0)</f>
        <v>0</v>
      </c>
      <c r="H69" s="78">
        <f t="shared" ca="1" si="27"/>
        <v>0</v>
      </c>
      <c r="I69" s="4">
        <f ca="1">SUMIFS(INDIRECT("Tab_00.Trial["&amp;I$4&amp;"]"),Tab_00.Trial[CONTA],$B69)</f>
        <v>2001.59</v>
      </c>
      <c r="J69" s="78">
        <f ca="1">IFERROR($I69/$I$160,0)</f>
        <v>0</v>
      </c>
      <c r="K69" s="78">
        <f t="shared" ca="1" si="29"/>
        <v>-0.12570000000000001</v>
      </c>
      <c r="L69" s="4">
        <f ca="1">SUMIFS(INDIRECT("Tab_00.Trial["&amp;L$4&amp;"]"),Tab_00.Trial[CONTA],$B69)</f>
        <v>1713.85</v>
      </c>
      <c r="M69" s="78">
        <f ca="1">IFERROR($L69/$L$160,0)</f>
        <v>0</v>
      </c>
      <c r="N69" s="78">
        <f t="shared" ca="1" si="31"/>
        <v>-0.14380000000000001</v>
      </c>
      <c r="O69" s="4">
        <f ca="1">SUMIFS(INDIRECT("Tab_00.Trial["&amp;O$4&amp;"]"),Tab_00.Trial[CONTA],$B69)</f>
        <v>1426.11</v>
      </c>
      <c r="P69" s="78">
        <f ca="1">IFERROR($O69/$O$160,0)</f>
        <v>0</v>
      </c>
      <c r="Q69" s="78">
        <f t="shared" ca="1" si="33"/>
        <v>-0.16789999999999999</v>
      </c>
      <c r="R69" s="4">
        <f ca="1">SUMIFS(INDIRECT("Tab_00.Trial["&amp;R$4&amp;"]"),Tab_00.Trial[CONTA],$B69)</f>
        <v>1138.3699999999999</v>
      </c>
      <c r="S69" s="78">
        <f ca="1">IFERROR($R69/$R$160,0)</f>
        <v>0</v>
      </c>
      <c r="T69" s="78">
        <f t="shared" ca="1" si="35"/>
        <v>-0.20180000000000001</v>
      </c>
      <c r="U69" s="4">
        <f ca="1">SUMIFS(INDIRECT("Tab_00.Trial["&amp;U$4&amp;"]"),Tab_00.Trial[CONTA],$B69)</f>
        <v>850.63</v>
      </c>
      <c r="V69" s="78">
        <f ca="1">IFERROR($U69/$U$160,0)</f>
        <v>0</v>
      </c>
      <c r="W69" s="78">
        <f t="shared" ca="1" si="37"/>
        <v>-0.25280000000000002</v>
      </c>
      <c r="X69" s="4">
        <f ca="1">SUMIFS(INDIRECT("Tab_00.Trial["&amp;X$4&amp;"]"),Tab_00.Trial[CONTA],$B69)</f>
        <v>562.89</v>
      </c>
      <c r="Y69" s="78">
        <f ca="1">IFERROR($X69/$X$160,0)</f>
        <v>0</v>
      </c>
      <c r="Z69" s="78">
        <f t="shared" ca="1" si="39"/>
        <v>-0.33829999999999999</v>
      </c>
      <c r="AA69" s="4">
        <f ca="1">SUMIFS(INDIRECT("Tab_00.Trial["&amp;AA$4&amp;"]"),Tab_00.Trial[CONTA],$B69)</f>
        <v>275.14999999999998</v>
      </c>
      <c r="AB69" s="78">
        <f ca="1">IFERROR($AA69/$AA$160,0)</f>
        <v>0</v>
      </c>
      <c r="AC69" s="78">
        <f t="shared" ca="1" si="41"/>
        <v>-0.51119999999999999</v>
      </c>
      <c r="AD69" s="4">
        <f ca="1">SUMIFS(INDIRECT("Tab_00.Trial["&amp;AD$4&amp;"]"),Tab_00.Trial[CONTA],$B69)</f>
        <v>0</v>
      </c>
      <c r="AE69" s="78">
        <f ca="1">IFERROR($AD69/$AD$160,0)</f>
        <v>0</v>
      </c>
      <c r="AF69" s="78">
        <f t="shared" ca="1" si="43"/>
        <v>-1</v>
      </c>
      <c r="AG69" s="4">
        <f ca="1">SUMIFS(INDIRECT("Tab_00.Trial["&amp;AG$4&amp;"]"),Tab_00.Trial[CONTA],$B69)</f>
        <v>3209.38</v>
      </c>
      <c r="AH69" s="78">
        <f ca="1">IFERROR($AG69/$AG$160,0)</f>
        <v>0</v>
      </c>
      <c r="AI69" s="78">
        <f t="shared" ca="1" si="45"/>
        <v>0</v>
      </c>
      <c r="AJ69" s="4">
        <f ca="1">SUMIFS(INDIRECT("Tab_00.Trial["&amp;AJ$4&amp;"]"),Tab_00.Trial[CONTA],$B69)</f>
        <v>2917.62</v>
      </c>
      <c r="AK69" s="78">
        <f ca="1">IFERROR($AJ69/$AJ$160,0)</f>
        <v>0</v>
      </c>
      <c r="AL69" s="78">
        <f t="shared" ca="1" si="47"/>
        <v>-9.0899999999999995E-2</v>
      </c>
      <c r="AM69" s="4">
        <f ca="1">SUMIFS(INDIRECT("Tab_00.Trial["&amp;AM$4&amp;"]"),Tab_00.Trial[CONTA],$B69)</f>
        <v>2625.86</v>
      </c>
      <c r="AN69" s="78">
        <f ca="1">IFERROR(AM69/AM$160,0)</f>
        <v>0</v>
      </c>
      <c r="AO69" s="78">
        <f t="shared" ca="1" si="49"/>
        <v>-0.1</v>
      </c>
    </row>
    <row r="70" spans="2:43" ht="15" hidden="1" customHeight="1" outlineLevel="1" x14ac:dyDescent="0.3">
      <c r="B70" s="138"/>
      <c r="C70" s="139"/>
      <c r="D70" s="4">
        <f>SUMIFS(Tab_99.Trial[DEZEMBRO],Tab_99.Trial[CONTA],$B70)</f>
        <v>0</v>
      </c>
      <c r="E70" s="78">
        <f>IFERROR($D70/$D$160,0)</f>
        <v>0</v>
      </c>
      <c r="F70" s="4">
        <f ca="1">SUMIFS(INDIRECT("Tab_00.Trial["&amp;F$4&amp;"]"),Tab_00.Trial[CONTA],$B70)</f>
        <v>0</v>
      </c>
      <c r="G70" s="78">
        <f ca="1">IFERROR($F70/$F$160,0)</f>
        <v>0</v>
      </c>
      <c r="H70" s="78">
        <f t="shared" ca="1" si="27"/>
        <v>0</v>
      </c>
      <c r="I70" s="4">
        <f ca="1">SUMIFS(INDIRECT("Tab_00.Trial["&amp;I$4&amp;"]"),Tab_00.Trial[CONTA],$B70)</f>
        <v>0</v>
      </c>
      <c r="J70" s="78">
        <f ca="1">IFERROR($I70/$I$160,0)</f>
        <v>0</v>
      </c>
      <c r="K70" s="78">
        <f t="shared" ca="1" si="29"/>
        <v>0</v>
      </c>
      <c r="L70" s="4">
        <f ca="1">SUMIFS(INDIRECT("Tab_00.Trial["&amp;L$4&amp;"]"),Tab_00.Trial[CONTA],$B70)</f>
        <v>0</v>
      </c>
      <c r="M70" s="78">
        <f ca="1">IFERROR($L70/$L$160,0)</f>
        <v>0</v>
      </c>
      <c r="N70" s="78">
        <f t="shared" ca="1" si="31"/>
        <v>0</v>
      </c>
      <c r="O70" s="4">
        <f ca="1">SUMIFS(INDIRECT("Tab_00.Trial["&amp;O$4&amp;"]"),Tab_00.Trial[CONTA],$B70)</f>
        <v>0</v>
      </c>
      <c r="P70" s="78">
        <f ca="1">IFERROR($O70/$O$160,0)</f>
        <v>0</v>
      </c>
      <c r="Q70" s="78">
        <f t="shared" ca="1" si="33"/>
        <v>0</v>
      </c>
      <c r="R70" s="4">
        <f ca="1">SUMIFS(INDIRECT("Tab_00.Trial["&amp;R$4&amp;"]"),Tab_00.Trial[CONTA],$B70)</f>
        <v>0</v>
      </c>
      <c r="S70" s="78">
        <f ca="1">IFERROR($R70/$R$160,0)</f>
        <v>0</v>
      </c>
      <c r="T70" s="78">
        <f t="shared" ca="1" si="35"/>
        <v>0</v>
      </c>
      <c r="U70" s="4">
        <f ca="1">SUMIFS(INDIRECT("Tab_00.Trial["&amp;U$4&amp;"]"),Tab_00.Trial[CONTA],$B70)</f>
        <v>0</v>
      </c>
      <c r="V70" s="78">
        <f ca="1">IFERROR($U70/$U$160,0)</f>
        <v>0</v>
      </c>
      <c r="W70" s="78">
        <f t="shared" ca="1" si="37"/>
        <v>0</v>
      </c>
      <c r="X70" s="4">
        <f ca="1">SUMIFS(INDIRECT("Tab_00.Trial["&amp;X$4&amp;"]"),Tab_00.Trial[CONTA],$B70)</f>
        <v>0</v>
      </c>
      <c r="Y70" s="78">
        <f ca="1">IFERROR($X70/$X$160,0)</f>
        <v>0</v>
      </c>
      <c r="Z70" s="78">
        <f t="shared" ca="1" si="39"/>
        <v>0</v>
      </c>
      <c r="AA70" s="4">
        <f ca="1">SUMIFS(INDIRECT("Tab_00.Trial["&amp;AA$4&amp;"]"),Tab_00.Trial[CONTA],$B70)</f>
        <v>0</v>
      </c>
      <c r="AB70" s="78">
        <f ca="1">IFERROR($AA70/$AA$160,0)</f>
        <v>0</v>
      </c>
      <c r="AC70" s="78">
        <f t="shared" ca="1" si="41"/>
        <v>0</v>
      </c>
      <c r="AD70" s="4">
        <f ca="1">SUMIFS(INDIRECT("Tab_00.Trial["&amp;AD$4&amp;"]"),Tab_00.Trial[CONTA],$B70)</f>
        <v>0</v>
      </c>
      <c r="AE70" s="78">
        <f ca="1">IFERROR($AD70/$AD$160,0)</f>
        <v>0</v>
      </c>
      <c r="AF70" s="78">
        <f t="shared" ca="1" si="43"/>
        <v>0</v>
      </c>
      <c r="AG70" s="4">
        <f ca="1">SUMIFS(INDIRECT("Tab_00.Trial["&amp;AG$4&amp;"]"),Tab_00.Trial[CONTA],$B70)</f>
        <v>0</v>
      </c>
      <c r="AH70" s="78">
        <f ca="1">IFERROR($AG70/$AG$160,0)</f>
        <v>0</v>
      </c>
      <c r="AI70" s="78">
        <f t="shared" ca="1" si="45"/>
        <v>0</v>
      </c>
      <c r="AJ70" s="4">
        <f ca="1">SUMIFS(INDIRECT("Tab_00.Trial["&amp;AJ$4&amp;"]"),Tab_00.Trial[CONTA],$B70)</f>
        <v>0</v>
      </c>
      <c r="AK70" s="78">
        <f ca="1">IFERROR($AJ70/$AJ$160,0)</f>
        <v>0</v>
      </c>
      <c r="AL70" s="78">
        <f t="shared" ca="1" si="47"/>
        <v>0</v>
      </c>
      <c r="AM70" s="4">
        <f ca="1">SUMIFS(INDIRECT("Tab_00.Trial["&amp;AM$4&amp;"]"),Tab_00.Trial[CONTA],$B70)</f>
        <v>0</v>
      </c>
      <c r="AN70" s="78">
        <f ca="1">IFERROR(AM70/AM$160,0)</f>
        <v>0</v>
      </c>
      <c r="AO70" s="78">
        <f t="shared" ca="1" si="49"/>
        <v>0</v>
      </c>
    </row>
    <row r="71" spans="2:43" ht="15" hidden="1" customHeight="1" outlineLevel="1" x14ac:dyDescent="0.3">
      <c r="B71" s="138"/>
      <c r="C71" s="139"/>
      <c r="D71" s="4">
        <f>SUMIFS(Tab_99.Trial[DEZEMBRO],Tab_99.Trial[CONTA],$B71)</f>
        <v>0</v>
      </c>
      <c r="E71" s="78">
        <f>IFERROR($D71/$D$160,0)</f>
        <v>0</v>
      </c>
      <c r="F71" s="4">
        <f ca="1">SUMIFS(INDIRECT("Tab_00.Trial["&amp;F$4&amp;"]"),Tab_00.Trial[CONTA],$B71)</f>
        <v>0</v>
      </c>
      <c r="G71" s="78">
        <f ca="1">IFERROR($F71/$F$160,0)</f>
        <v>0</v>
      </c>
      <c r="H71" s="78">
        <f t="shared" ca="1" si="27"/>
        <v>0</v>
      </c>
      <c r="I71" s="4">
        <f ca="1">SUMIFS(INDIRECT("Tab_00.Trial["&amp;I$4&amp;"]"),Tab_00.Trial[CONTA],$B71)</f>
        <v>0</v>
      </c>
      <c r="J71" s="78">
        <f ca="1">IFERROR($I71/$I$160,0)</f>
        <v>0</v>
      </c>
      <c r="K71" s="78">
        <f t="shared" ca="1" si="29"/>
        <v>0</v>
      </c>
      <c r="L71" s="4">
        <f ca="1">SUMIFS(INDIRECT("Tab_00.Trial["&amp;L$4&amp;"]"),Tab_00.Trial[CONTA],$B71)</f>
        <v>0</v>
      </c>
      <c r="M71" s="78">
        <f ca="1">IFERROR($L71/$L$160,0)</f>
        <v>0</v>
      </c>
      <c r="N71" s="78">
        <f t="shared" ca="1" si="31"/>
        <v>0</v>
      </c>
      <c r="O71" s="4">
        <f ca="1">SUMIFS(INDIRECT("Tab_00.Trial["&amp;O$4&amp;"]"),Tab_00.Trial[CONTA],$B71)</f>
        <v>0</v>
      </c>
      <c r="P71" s="78">
        <f ca="1">IFERROR($O71/$O$160,0)</f>
        <v>0</v>
      </c>
      <c r="Q71" s="78">
        <f t="shared" ca="1" si="33"/>
        <v>0</v>
      </c>
      <c r="R71" s="4">
        <f ca="1">SUMIFS(INDIRECT("Tab_00.Trial["&amp;R$4&amp;"]"),Tab_00.Trial[CONTA],$B71)</f>
        <v>0</v>
      </c>
      <c r="S71" s="78">
        <f ca="1">IFERROR($R71/$R$160,0)</f>
        <v>0</v>
      </c>
      <c r="T71" s="78">
        <f t="shared" ca="1" si="35"/>
        <v>0</v>
      </c>
      <c r="U71" s="4">
        <f ca="1">SUMIFS(INDIRECT("Tab_00.Trial["&amp;U$4&amp;"]"),Tab_00.Trial[CONTA],$B71)</f>
        <v>0</v>
      </c>
      <c r="V71" s="78">
        <f ca="1">IFERROR($U71/$U$160,0)</f>
        <v>0</v>
      </c>
      <c r="W71" s="78">
        <f t="shared" ca="1" si="37"/>
        <v>0</v>
      </c>
      <c r="X71" s="4">
        <f ca="1">SUMIFS(INDIRECT("Tab_00.Trial["&amp;X$4&amp;"]"),Tab_00.Trial[CONTA],$B71)</f>
        <v>0</v>
      </c>
      <c r="Y71" s="78">
        <f ca="1">IFERROR($X71/$X$160,0)</f>
        <v>0</v>
      </c>
      <c r="Z71" s="78">
        <f t="shared" ca="1" si="39"/>
        <v>0</v>
      </c>
      <c r="AA71" s="4">
        <f ca="1">SUMIFS(INDIRECT("Tab_00.Trial["&amp;AA$4&amp;"]"),Tab_00.Trial[CONTA],$B71)</f>
        <v>0</v>
      </c>
      <c r="AB71" s="78">
        <f ca="1">IFERROR($AA71/$AA$160,0)</f>
        <v>0</v>
      </c>
      <c r="AC71" s="78">
        <f t="shared" ca="1" si="41"/>
        <v>0</v>
      </c>
      <c r="AD71" s="4">
        <f ca="1">SUMIFS(INDIRECT("Tab_00.Trial["&amp;AD$4&amp;"]"),Tab_00.Trial[CONTA],$B71)</f>
        <v>0</v>
      </c>
      <c r="AE71" s="78">
        <f ca="1">IFERROR($AD71/$AD$160,0)</f>
        <v>0</v>
      </c>
      <c r="AF71" s="78">
        <f t="shared" ca="1" si="43"/>
        <v>0</v>
      </c>
      <c r="AG71" s="4">
        <f ca="1">SUMIFS(INDIRECT("Tab_00.Trial["&amp;AG$4&amp;"]"),Tab_00.Trial[CONTA],$B71)</f>
        <v>0</v>
      </c>
      <c r="AH71" s="78">
        <f ca="1">IFERROR($AG71/$AG$160,0)</f>
        <v>0</v>
      </c>
      <c r="AI71" s="78">
        <f t="shared" ca="1" si="45"/>
        <v>0</v>
      </c>
      <c r="AJ71" s="4">
        <f ca="1">SUMIFS(INDIRECT("Tab_00.Trial["&amp;AJ$4&amp;"]"),Tab_00.Trial[CONTA],$B71)</f>
        <v>0</v>
      </c>
      <c r="AK71" s="78">
        <f ca="1">IFERROR($AJ71/$AJ$160,0)</f>
        <v>0</v>
      </c>
      <c r="AL71" s="78">
        <f t="shared" ca="1" si="47"/>
        <v>0</v>
      </c>
      <c r="AM71" s="4">
        <f ca="1">SUMIFS(INDIRECT("Tab_00.Trial["&amp;AM$4&amp;"]"),Tab_00.Trial[CONTA],$B71)</f>
        <v>0</v>
      </c>
      <c r="AN71" s="78">
        <f ca="1">IFERROR(AM71/AM$160,0)</f>
        <v>0</v>
      </c>
      <c r="AO71" s="78">
        <f t="shared" ca="1" si="49"/>
        <v>0</v>
      </c>
    </row>
    <row r="72" spans="2:43" ht="15" hidden="1" customHeight="1" outlineLevel="1" x14ac:dyDescent="0.3">
      <c r="B72" s="14"/>
      <c r="C72" s="15"/>
      <c r="D72" s="4">
        <f>SUMIFS(Tab_99.Trial[DEZEMBRO],Tab_99.Trial[CONTA],$B72)</f>
        <v>0</v>
      </c>
      <c r="E72" s="78">
        <f>IFERROR($D72/$D$160,0)</f>
        <v>0</v>
      </c>
      <c r="F72" s="4">
        <f ca="1">SUMIFS(INDIRECT("Tab_00.Trial["&amp;F$4&amp;"]"),Tab_00.Trial[CONTA],$B72)</f>
        <v>0</v>
      </c>
      <c r="G72" s="78">
        <f ca="1">IFERROR($F72/$F$160,0)</f>
        <v>0</v>
      </c>
      <c r="H72" s="78">
        <f t="shared" ca="1" si="27"/>
        <v>0</v>
      </c>
      <c r="I72" s="4">
        <f ca="1">SUMIFS(INDIRECT("Tab_00.Trial["&amp;I$4&amp;"]"),Tab_00.Trial[CONTA],$B72)</f>
        <v>0</v>
      </c>
      <c r="J72" s="78">
        <f ca="1">IFERROR($I72/$I$160,0)</f>
        <v>0</v>
      </c>
      <c r="K72" s="78">
        <f t="shared" ca="1" si="29"/>
        <v>0</v>
      </c>
      <c r="L72" s="4">
        <f ca="1">SUMIFS(INDIRECT("Tab_00.Trial["&amp;L$4&amp;"]"),Tab_00.Trial[CONTA],$B72)</f>
        <v>0</v>
      </c>
      <c r="M72" s="78">
        <f ca="1">IFERROR($L72/$L$160,0)</f>
        <v>0</v>
      </c>
      <c r="N72" s="78">
        <f t="shared" ca="1" si="31"/>
        <v>0</v>
      </c>
      <c r="O72" s="4">
        <f ca="1">SUMIFS(INDIRECT("Tab_00.Trial["&amp;O$4&amp;"]"),Tab_00.Trial[CONTA],$B72)</f>
        <v>0</v>
      </c>
      <c r="P72" s="78">
        <f ca="1">IFERROR($O72/$O$160,0)</f>
        <v>0</v>
      </c>
      <c r="Q72" s="78">
        <f t="shared" ca="1" si="33"/>
        <v>0</v>
      </c>
      <c r="R72" s="4">
        <f ca="1">SUMIFS(INDIRECT("Tab_00.Trial["&amp;R$4&amp;"]"),Tab_00.Trial[CONTA],$B72)</f>
        <v>0</v>
      </c>
      <c r="S72" s="78">
        <f ca="1">IFERROR($R72/$R$160,0)</f>
        <v>0</v>
      </c>
      <c r="T72" s="78">
        <f t="shared" ca="1" si="35"/>
        <v>0</v>
      </c>
      <c r="U72" s="4">
        <f ca="1">SUMIFS(INDIRECT("Tab_00.Trial["&amp;U$4&amp;"]"),Tab_00.Trial[CONTA],$B72)</f>
        <v>0</v>
      </c>
      <c r="V72" s="78">
        <f ca="1">IFERROR($U72/$U$160,0)</f>
        <v>0</v>
      </c>
      <c r="W72" s="78">
        <f t="shared" ca="1" si="37"/>
        <v>0</v>
      </c>
      <c r="X72" s="4">
        <f ca="1">SUMIFS(INDIRECT("Tab_00.Trial["&amp;X$4&amp;"]"),Tab_00.Trial[CONTA],$B72)</f>
        <v>0</v>
      </c>
      <c r="Y72" s="78">
        <f ca="1">IFERROR($X72/$X$160,0)</f>
        <v>0</v>
      </c>
      <c r="Z72" s="78">
        <f t="shared" ca="1" si="39"/>
        <v>0</v>
      </c>
      <c r="AA72" s="4">
        <f ca="1">SUMIFS(INDIRECT("Tab_00.Trial["&amp;AA$4&amp;"]"),Tab_00.Trial[CONTA],$B72)</f>
        <v>0</v>
      </c>
      <c r="AB72" s="78">
        <f ca="1">IFERROR($AA72/$AA$160,0)</f>
        <v>0</v>
      </c>
      <c r="AC72" s="78">
        <f t="shared" ca="1" si="41"/>
        <v>0</v>
      </c>
      <c r="AD72" s="4">
        <f ca="1">SUMIFS(INDIRECT("Tab_00.Trial["&amp;AD$4&amp;"]"),Tab_00.Trial[CONTA],$B72)</f>
        <v>0</v>
      </c>
      <c r="AE72" s="78">
        <f ca="1">IFERROR($AD72/$AD$160,0)</f>
        <v>0</v>
      </c>
      <c r="AF72" s="78">
        <f t="shared" ca="1" si="43"/>
        <v>0</v>
      </c>
      <c r="AG72" s="4">
        <f ca="1">SUMIFS(INDIRECT("Tab_00.Trial["&amp;AG$4&amp;"]"),Tab_00.Trial[CONTA],$B72)</f>
        <v>0</v>
      </c>
      <c r="AH72" s="78">
        <f ca="1">IFERROR($AG72/$AG$160,0)</f>
        <v>0</v>
      </c>
      <c r="AI72" s="78">
        <f t="shared" ca="1" si="45"/>
        <v>0</v>
      </c>
      <c r="AJ72" s="4">
        <f ca="1">SUMIFS(INDIRECT("Tab_00.Trial["&amp;AJ$4&amp;"]"),Tab_00.Trial[CONTA],$B72)</f>
        <v>0</v>
      </c>
      <c r="AK72" s="78">
        <f ca="1">IFERROR($AJ72/$AJ$160,0)</f>
        <v>0</v>
      </c>
      <c r="AL72" s="78">
        <f t="shared" ca="1" si="47"/>
        <v>0</v>
      </c>
      <c r="AM72" s="4">
        <f ca="1">SUMIFS(INDIRECT("Tab_00.Trial["&amp;AM$4&amp;"]"),Tab_00.Trial[CONTA],$B72)</f>
        <v>0</v>
      </c>
      <c r="AN72" s="78">
        <f ca="1">IFERROR(AM72/AM$160,0)</f>
        <v>0</v>
      </c>
      <c r="AO72" s="78">
        <f t="shared" ca="1" si="49"/>
        <v>0</v>
      </c>
    </row>
    <row r="73" spans="2:43" ht="5.0999999999999996" hidden="1" customHeight="1" outlineLevel="1" x14ac:dyDescent="0.3">
      <c r="B73" s="74"/>
      <c r="C73" s="75"/>
      <c r="D73" s="76"/>
      <c r="E73" s="77"/>
      <c r="F73" s="76"/>
      <c r="G73" s="77"/>
      <c r="H73" s="77"/>
      <c r="I73" s="76"/>
      <c r="J73" s="77"/>
      <c r="K73" s="77"/>
      <c r="L73" s="76"/>
      <c r="M73" s="77"/>
      <c r="N73" s="77"/>
      <c r="O73" s="76"/>
      <c r="P73" s="77"/>
      <c r="Q73" s="77"/>
      <c r="R73" s="76"/>
      <c r="S73" s="77"/>
      <c r="T73" s="77"/>
      <c r="U73" s="76"/>
      <c r="V73" s="77"/>
      <c r="W73" s="77"/>
      <c r="X73" s="76"/>
      <c r="Y73" s="77"/>
      <c r="Z73" s="77"/>
      <c r="AA73" s="76"/>
      <c r="AB73" s="77"/>
      <c r="AC73" s="77"/>
      <c r="AD73" s="76"/>
      <c r="AE73" s="77"/>
      <c r="AF73" s="77"/>
      <c r="AG73" s="76"/>
      <c r="AH73" s="77"/>
      <c r="AI73" s="77"/>
      <c r="AJ73" s="76"/>
      <c r="AK73" s="77"/>
      <c r="AL73" s="77"/>
      <c r="AM73" s="76"/>
      <c r="AN73" s="77"/>
      <c r="AO73" s="77"/>
    </row>
    <row r="74" spans="2:43" ht="15" customHeight="1" collapsed="1" x14ac:dyDescent="0.3">
      <c r="B74" s="3" t="s">
        <v>142</v>
      </c>
      <c r="C74" s="14" t="s">
        <v>100</v>
      </c>
      <c r="D74" s="4">
        <f>SUBTOTAL(9,D$75:D$90)</f>
        <v>0</v>
      </c>
      <c r="E74" s="78">
        <f t="shared" ref="E74:E89" si="90">IFERROR($D74/$D$160,0)</f>
        <v>0</v>
      </c>
      <c r="F74" s="4">
        <f ca="1">SUBTOTAL(9,F$75:F$90)</f>
        <v>0</v>
      </c>
      <c r="G74" s="78">
        <f t="shared" ref="G74:G89" ca="1" si="91">IFERROR($F74/$F$160,0)</f>
        <v>0</v>
      </c>
      <c r="H74" s="78">
        <f t="shared" ca="1" si="27"/>
        <v>0</v>
      </c>
      <c r="I74" s="4">
        <f ca="1">SUBTOTAL(9,I$75:I$90)</f>
        <v>0</v>
      </c>
      <c r="J74" s="78">
        <f t="shared" ref="J74:J89" ca="1" si="92">IFERROR($I74/$I$160,0)</f>
        <v>0</v>
      </c>
      <c r="K74" s="78">
        <f t="shared" ca="1" si="29"/>
        <v>0</v>
      </c>
      <c r="L74" s="4">
        <f ca="1">SUBTOTAL(9,L$75:L$90)</f>
        <v>0</v>
      </c>
      <c r="M74" s="78">
        <f t="shared" ref="M74:M89" ca="1" si="93">IFERROR($L74/$L$160,0)</f>
        <v>0</v>
      </c>
      <c r="N74" s="78">
        <f t="shared" ca="1" si="31"/>
        <v>0</v>
      </c>
      <c r="O74" s="4">
        <f ca="1">SUBTOTAL(9,O$75:O$90)</f>
        <v>0</v>
      </c>
      <c r="P74" s="78">
        <f t="shared" ref="P74:P89" ca="1" si="94">IFERROR($O74/$O$160,0)</f>
        <v>0</v>
      </c>
      <c r="Q74" s="78">
        <f t="shared" ca="1" si="33"/>
        <v>0</v>
      </c>
      <c r="R74" s="4">
        <f ca="1">SUBTOTAL(9,R$75:R$90)</f>
        <v>0</v>
      </c>
      <c r="S74" s="78">
        <f t="shared" ref="S74:S89" ca="1" si="95">IFERROR($R74/$R$160,0)</f>
        <v>0</v>
      </c>
      <c r="T74" s="78">
        <f t="shared" ca="1" si="35"/>
        <v>0</v>
      </c>
      <c r="U74" s="4">
        <f ca="1">SUBTOTAL(9,U$75:U$90)</f>
        <v>0</v>
      </c>
      <c r="V74" s="78">
        <f t="shared" ref="V74:V89" ca="1" si="96">IFERROR($U74/$U$160,0)</f>
        <v>0</v>
      </c>
      <c r="W74" s="78">
        <f t="shared" ca="1" si="37"/>
        <v>0</v>
      </c>
      <c r="X74" s="4">
        <f ca="1">SUBTOTAL(9,X$75:X$90)</f>
        <v>0</v>
      </c>
      <c r="Y74" s="78">
        <f t="shared" ref="Y74:Y89" ca="1" si="97">IFERROR($X74/$X$160,0)</f>
        <v>0</v>
      </c>
      <c r="Z74" s="78">
        <f t="shared" ca="1" si="39"/>
        <v>0</v>
      </c>
      <c r="AA74" s="4">
        <f ca="1">SUBTOTAL(9,AA$75:AA$90)</f>
        <v>0</v>
      </c>
      <c r="AB74" s="78">
        <f t="shared" ref="AB74:AB89" ca="1" si="98">IFERROR($AA74/$AA$160,0)</f>
        <v>0</v>
      </c>
      <c r="AC74" s="78">
        <f t="shared" ca="1" si="41"/>
        <v>0</v>
      </c>
      <c r="AD74" s="4">
        <f ca="1">SUBTOTAL(9,AD$75:AD$90)</f>
        <v>0</v>
      </c>
      <c r="AE74" s="78">
        <f t="shared" ref="AE74:AE89" ca="1" si="99">IFERROR($AD74/$AD$160,0)</f>
        <v>0</v>
      </c>
      <c r="AF74" s="78">
        <f t="shared" ca="1" si="43"/>
        <v>0</v>
      </c>
      <c r="AG74" s="4">
        <f ca="1">SUBTOTAL(9,AG$75:AG$90)</f>
        <v>0</v>
      </c>
      <c r="AH74" s="78">
        <f t="shared" ref="AH74:AH89" ca="1" si="100">IFERROR($AG74/$AG$160,0)</f>
        <v>0</v>
      </c>
      <c r="AI74" s="78">
        <f t="shared" ca="1" si="45"/>
        <v>0</v>
      </c>
      <c r="AJ74" s="4">
        <f ca="1">SUBTOTAL(9,AJ$75:AJ$90)</f>
        <v>0</v>
      </c>
      <c r="AK74" s="78">
        <f t="shared" ref="AK74:AK89" ca="1" si="101">IFERROR($AJ74/$AJ$160,0)</f>
        <v>0</v>
      </c>
      <c r="AL74" s="78">
        <f t="shared" ca="1" si="47"/>
        <v>0</v>
      </c>
      <c r="AM74" s="4">
        <f ca="1">SUBTOTAL(9,AM$75:AM$90)</f>
        <v>0</v>
      </c>
      <c r="AN74" s="78">
        <f t="shared" ref="AN74:AN89" ca="1" si="102">IFERROR(AM74/AM$160,0)</f>
        <v>0</v>
      </c>
      <c r="AO74" s="78">
        <f t="shared" ca="1" si="49"/>
        <v>0</v>
      </c>
    </row>
    <row r="75" spans="2:43" ht="15" hidden="1" customHeight="1" outlineLevel="1" x14ac:dyDescent="0.3">
      <c r="B75" s="14"/>
      <c r="C75" s="15" t="s">
        <v>180</v>
      </c>
      <c r="D75" s="4">
        <f>SUMIFS(Tab_99.Trial[DEZEMBRO],Tab_99.Trial[CONTA],$B75)</f>
        <v>0</v>
      </c>
      <c r="E75" s="78">
        <f t="shared" si="90"/>
        <v>0</v>
      </c>
      <c r="F75" s="4">
        <f ca="1">SUMIFS(INDIRECT("Tab_00.Trial["&amp;F$4&amp;"]"),Tab_00.Trial[CONTA],$B75)</f>
        <v>0</v>
      </c>
      <c r="G75" s="78">
        <f t="shared" ca="1" si="91"/>
        <v>0</v>
      </c>
      <c r="H75" s="78">
        <f t="shared" ca="1" si="27"/>
        <v>0</v>
      </c>
      <c r="I75" s="4">
        <f ca="1">SUMIFS(INDIRECT("Tab_00.Trial["&amp;I$4&amp;"]"),Tab_00.Trial[CONTA],$B75)</f>
        <v>0</v>
      </c>
      <c r="J75" s="78">
        <f t="shared" ca="1" si="92"/>
        <v>0</v>
      </c>
      <c r="K75" s="78">
        <f t="shared" ca="1" si="29"/>
        <v>0</v>
      </c>
      <c r="L75" s="4">
        <f ca="1">SUMIFS(INDIRECT("Tab_00.Trial["&amp;L$4&amp;"]"),Tab_00.Trial[CONTA],$B75)</f>
        <v>0</v>
      </c>
      <c r="M75" s="78">
        <f t="shared" ca="1" si="93"/>
        <v>0</v>
      </c>
      <c r="N75" s="78">
        <f t="shared" ca="1" si="31"/>
        <v>0</v>
      </c>
      <c r="O75" s="4">
        <f ca="1">SUMIFS(INDIRECT("Tab_00.Trial["&amp;O$4&amp;"]"),Tab_00.Trial[CONTA],$B75)</f>
        <v>0</v>
      </c>
      <c r="P75" s="78">
        <f t="shared" ca="1" si="94"/>
        <v>0</v>
      </c>
      <c r="Q75" s="78">
        <f t="shared" ca="1" si="33"/>
        <v>0</v>
      </c>
      <c r="R75" s="4">
        <f ca="1">SUMIFS(INDIRECT("Tab_00.Trial["&amp;R$4&amp;"]"),Tab_00.Trial[CONTA],$B75)</f>
        <v>0</v>
      </c>
      <c r="S75" s="78">
        <f t="shared" ca="1" si="95"/>
        <v>0</v>
      </c>
      <c r="T75" s="78">
        <f t="shared" ca="1" si="35"/>
        <v>0</v>
      </c>
      <c r="U75" s="4">
        <f ca="1">SUMIFS(INDIRECT("Tab_00.Trial["&amp;U$4&amp;"]"),Tab_00.Trial[CONTA],$B75)</f>
        <v>0</v>
      </c>
      <c r="V75" s="78">
        <f t="shared" ca="1" si="96"/>
        <v>0</v>
      </c>
      <c r="W75" s="78">
        <f t="shared" ca="1" si="37"/>
        <v>0</v>
      </c>
      <c r="X75" s="4">
        <f ca="1">SUMIFS(INDIRECT("Tab_00.Trial["&amp;X$4&amp;"]"),Tab_00.Trial[CONTA],$B75)</f>
        <v>0</v>
      </c>
      <c r="Y75" s="78">
        <f t="shared" ca="1" si="97"/>
        <v>0</v>
      </c>
      <c r="Z75" s="78">
        <f t="shared" ca="1" si="39"/>
        <v>0</v>
      </c>
      <c r="AA75" s="4">
        <f ca="1">SUMIFS(INDIRECT("Tab_00.Trial["&amp;AA$4&amp;"]"),Tab_00.Trial[CONTA],$B75)</f>
        <v>0</v>
      </c>
      <c r="AB75" s="78">
        <f t="shared" ca="1" si="98"/>
        <v>0</v>
      </c>
      <c r="AC75" s="78">
        <f t="shared" ca="1" si="41"/>
        <v>0</v>
      </c>
      <c r="AD75" s="4">
        <f ca="1">SUMIFS(INDIRECT("Tab_00.Trial["&amp;AD$4&amp;"]"),Tab_00.Trial[CONTA],$B75)</f>
        <v>0</v>
      </c>
      <c r="AE75" s="78">
        <f t="shared" ca="1" si="99"/>
        <v>0</v>
      </c>
      <c r="AF75" s="78">
        <f t="shared" ca="1" si="43"/>
        <v>0</v>
      </c>
      <c r="AG75" s="4">
        <f ca="1">SUMIFS(INDIRECT("Tab_00.Trial["&amp;AG$4&amp;"]"),Tab_00.Trial[CONTA],$B75)</f>
        <v>0</v>
      </c>
      <c r="AH75" s="78">
        <f t="shared" ca="1" si="100"/>
        <v>0</v>
      </c>
      <c r="AI75" s="78">
        <f t="shared" ca="1" si="45"/>
        <v>0</v>
      </c>
      <c r="AJ75" s="4">
        <f ca="1">SUMIFS(INDIRECT("Tab_00.Trial["&amp;AJ$4&amp;"]"),Tab_00.Trial[CONTA],$B75)</f>
        <v>0</v>
      </c>
      <c r="AK75" s="78">
        <f t="shared" ca="1" si="101"/>
        <v>0</v>
      </c>
      <c r="AL75" s="78">
        <f t="shared" ca="1" si="47"/>
        <v>0</v>
      </c>
      <c r="AM75" s="4">
        <f ca="1">SUMIFS(INDIRECT("Tab_00.Trial["&amp;AM$4&amp;"]"),Tab_00.Trial[CONTA],$B75)</f>
        <v>0</v>
      </c>
      <c r="AN75" s="78">
        <f t="shared" ca="1" si="102"/>
        <v>0</v>
      </c>
      <c r="AO75" s="78">
        <f t="shared" ca="1" si="49"/>
        <v>0</v>
      </c>
      <c r="AQ75" s="142"/>
    </row>
    <row r="76" spans="2:43" ht="15" hidden="1" customHeight="1" outlineLevel="1" x14ac:dyDescent="0.3">
      <c r="B76" s="14"/>
      <c r="C76" s="15"/>
      <c r="D76" s="4">
        <f>SUMIFS(Tab_99.Trial[DEZEMBRO],Tab_99.Trial[CONTA],$B76)</f>
        <v>0</v>
      </c>
      <c r="E76" s="78">
        <f t="shared" si="90"/>
        <v>0</v>
      </c>
      <c r="F76" s="4">
        <f ca="1">SUMIFS(INDIRECT("Tab_00.Trial["&amp;F$4&amp;"]"),Tab_00.Trial[CONTA],$B76)</f>
        <v>0</v>
      </c>
      <c r="G76" s="78">
        <f t="shared" ca="1" si="91"/>
        <v>0</v>
      </c>
      <c r="H76" s="78">
        <f t="shared" ca="1" si="27"/>
        <v>0</v>
      </c>
      <c r="I76" s="4">
        <f ca="1">SUMIFS(INDIRECT("Tab_00.Trial["&amp;I$4&amp;"]"),Tab_00.Trial[CONTA],$B76)</f>
        <v>0</v>
      </c>
      <c r="J76" s="78">
        <f t="shared" ca="1" si="92"/>
        <v>0</v>
      </c>
      <c r="K76" s="78">
        <f t="shared" ca="1" si="29"/>
        <v>0</v>
      </c>
      <c r="L76" s="4">
        <f ca="1">SUMIFS(INDIRECT("Tab_00.Trial["&amp;L$4&amp;"]"),Tab_00.Trial[CONTA],$B76)</f>
        <v>0</v>
      </c>
      <c r="M76" s="78">
        <f t="shared" ca="1" si="93"/>
        <v>0</v>
      </c>
      <c r="N76" s="78">
        <f t="shared" ca="1" si="31"/>
        <v>0</v>
      </c>
      <c r="O76" s="4">
        <f ca="1">SUMIFS(INDIRECT("Tab_00.Trial["&amp;O$4&amp;"]"),Tab_00.Trial[CONTA],$B76)</f>
        <v>0</v>
      </c>
      <c r="P76" s="78">
        <f t="shared" ca="1" si="94"/>
        <v>0</v>
      </c>
      <c r="Q76" s="78">
        <f t="shared" ca="1" si="33"/>
        <v>0</v>
      </c>
      <c r="R76" s="4">
        <f ca="1">SUMIFS(INDIRECT("Tab_00.Trial["&amp;R$4&amp;"]"),Tab_00.Trial[CONTA],$B76)</f>
        <v>0</v>
      </c>
      <c r="S76" s="78">
        <f t="shared" ca="1" si="95"/>
        <v>0</v>
      </c>
      <c r="T76" s="78">
        <f t="shared" ca="1" si="35"/>
        <v>0</v>
      </c>
      <c r="U76" s="4">
        <f ca="1">SUMIFS(INDIRECT("Tab_00.Trial["&amp;U$4&amp;"]"),Tab_00.Trial[CONTA],$B76)</f>
        <v>0</v>
      </c>
      <c r="V76" s="78">
        <f t="shared" ca="1" si="96"/>
        <v>0</v>
      </c>
      <c r="W76" s="78">
        <f t="shared" ca="1" si="37"/>
        <v>0</v>
      </c>
      <c r="X76" s="4">
        <f ca="1">SUMIFS(INDIRECT("Tab_00.Trial["&amp;X$4&amp;"]"),Tab_00.Trial[CONTA],$B76)</f>
        <v>0</v>
      </c>
      <c r="Y76" s="78">
        <f t="shared" ca="1" si="97"/>
        <v>0</v>
      </c>
      <c r="Z76" s="78">
        <f t="shared" ca="1" si="39"/>
        <v>0</v>
      </c>
      <c r="AA76" s="4">
        <f ca="1">SUMIFS(INDIRECT("Tab_00.Trial["&amp;AA$4&amp;"]"),Tab_00.Trial[CONTA],$B76)</f>
        <v>0</v>
      </c>
      <c r="AB76" s="78">
        <f t="shared" ca="1" si="98"/>
        <v>0</v>
      </c>
      <c r="AC76" s="78">
        <f t="shared" ca="1" si="41"/>
        <v>0</v>
      </c>
      <c r="AD76" s="4">
        <f ca="1">SUMIFS(INDIRECT("Tab_00.Trial["&amp;AD$4&amp;"]"),Tab_00.Trial[CONTA],$B76)</f>
        <v>0</v>
      </c>
      <c r="AE76" s="78">
        <f t="shared" ca="1" si="99"/>
        <v>0</v>
      </c>
      <c r="AF76" s="78">
        <f t="shared" ca="1" si="43"/>
        <v>0</v>
      </c>
      <c r="AG76" s="4">
        <f ca="1">SUMIFS(INDIRECT("Tab_00.Trial["&amp;AG$4&amp;"]"),Tab_00.Trial[CONTA],$B76)</f>
        <v>0</v>
      </c>
      <c r="AH76" s="78">
        <f t="shared" ca="1" si="100"/>
        <v>0</v>
      </c>
      <c r="AI76" s="78">
        <f t="shared" ca="1" si="45"/>
        <v>0</v>
      </c>
      <c r="AJ76" s="4">
        <f ca="1">SUMIFS(INDIRECT("Tab_00.Trial["&amp;AJ$4&amp;"]"),Tab_00.Trial[CONTA],$B76)</f>
        <v>0</v>
      </c>
      <c r="AK76" s="78">
        <f t="shared" ca="1" si="101"/>
        <v>0</v>
      </c>
      <c r="AL76" s="78">
        <f t="shared" ca="1" si="47"/>
        <v>0</v>
      </c>
      <c r="AM76" s="4">
        <f ca="1">SUMIFS(INDIRECT("Tab_00.Trial["&amp;AM$4&amp;"]"),Tab_00.Trial[CONTA],$B76)</f>
        <v>0</v>
      </c>
      <c r="AN76" s="78">
        <f t="shared" ca="1" si="102"/>
        <v>0</v>
      </c>
      <c r="AO76" s="78">
        <f t="shared" ca="1" si="49"/>
        <v>0</v>
      </c>
      <c r="AQ76" s="142"/>
    </row>
    <row r="77" spans="2:43" ht="15" hidden="1" customHeight="1" outlineLevel="1" x14ac:dyDescent="0.3">
      <c r="B77" s="14"/>
      <c r="C77" s="15"/>
      <c r="D77" s="4">
        <f>SUMIFS(Tab_99.Trial[DEZEMBRO],Tab_99.Trial[CONTA],$B77)</f>
        <v>0</v>
      </c>
      <c r="E77" s="78">
        <f t="shared" si="90"/>
        <v>0</v>
      </c>
      <c r="F77" s="4">
        <f ca="1">SUMIFS(INDIRECT("Tab_00.Trial["&amp;F$4&amp;"]"),Tab_00.Trial[CONTA],$B77)</f>
        <v>0</v>
      </c>
      <c r="G77" s="78">
        <f t="shared" ca="1" si="91"/>
        <v>0</v>
      </c>
      <c r="H77" s="78">
        <f t="shared" ca="1" si="27"/>
        <v>0</v>
      </c>
      <c r="I77" s="4">
        <f ca="1">SUMIFS(INDIRECT("Tab_00.Trial["&amp;I$4&amp;"]"),Tab_00.Trial[CONTA],$B77)</f>
        <v>0</v>
      </c>
      <c r="J77" s="78">
        <f t="shared" ca="1" si="92"/>
        <v>0</v>
      </c>
      <c r="K77" s="78">
        <f t="shared" ca="1" si="29"/>
        <v>0</v>
      </c>
      <c r="L77" s="4">
        <f ca="1">SUMIFS(INDIRECT("Tab_00.Trial["&amp;L$4&amp;"]"),Tab_00.Trial[CONTA],$B77)</f>
        <v>0</v>
      </c>
      <c r="M77" s="78">
        <f t="shared" ca="1" si="93"/>
        <v>0</v>
      </c>
      <c r="N77" s="78">
        <f t="shared" ca="1" si="31"/>
        <v>0</v>
      </c>
      <c r="O77" s="4">
        <f ca="1">SUMIFS(INDIRECT("Tab_00.Trial["&amp;O$4&amp;"]"),Tab_00.Trial[CONTA],$B77)</f>
        <v>0</v>
      </c>
      <c r="P77" s="78">
        <f t="shared" ca="1" si="94"/>
        <v>0</v>
      </c>
      <c r="Q77" s="78">
        <f t="shared" ca="1" si="33"/>
        <v>0</v>
      </c>
      <c r="R77" s="4">
        <f ca="1">SUMIFS(INDIRECT("Tab_00.Trial["&amp;R$4&amp;"]"),Tab_00.Trial[CONTA],$B77)</f>
        <v>0</v>
      </c>
      <c r="S77" s="78">
        <f t="shared" ca="1" si="95"/>
        <v>0</v>
      </c>
      <c r="T77" s="78">
        <f t="shared" ca="1" si="35"/>
        <v>0</v>
      </c>
      <c r="U77" s="4">
        <f ca="1">SUMIFS(INDIRECT("Tab_00.Trial["&amp;U$4&amp;"]"),Tab_00.Trial[CONTA],$B77)</f>
        <v>0</v>
      </c>
      <c r="V77" s="78">
        <f t="shared" ca="1" si="96"/>
        <v>0</v>
      </c>
      <c r="W77" s="78">
        <f t="shared" ca="1" si="37"/>
        <v>0</v>
      </c>
      <c r="X77" s="4">
        <f ca="1">SUMIFS(INDIRECT("Tab_00.Trial["&amp;X$4&amp;"]"),Tab_00.Trial[CONTA],$B77)</f>
        <v>0</v>
      </c>
      <c r="Y77" s="78">
        <f t="shared" ca="1" si="97"/>
        <v>0</v>
      </c>
      <c r="Z77" s="78">
        <f t="shared" ca="1" si="39"/>
        <v>0</v>
      </c>
      <c r="AA77" s="4">
        <f ca="1">SUMIFS(INDIRECT("Tab_00.Trial["&amp;AA$4&amp;"]"),Tab_00.Trial[CONTA],$B77)</f>
        <v>0</v>
      </c>
      <c r="AB77" s="78">
        <f t="shared" ca="1" si="98"/>
        <v>0</v>
      </c>
      <c r="AC77" s="78">
        <f t="shared" ca="1" si="41"/>
        <v>0</v>
      </c>
      <c r="AD77" s="4">
        <f ca="1">SUMIFS(INDIRECT("Tab_00.Trial["&amp;AD$4&amp;"]"),Tab_00.Trial[CONTA],$B77)</f>
        <v>0</v>
      </c>
      <c r="AE77" s="78">
        <f t="shared" ca="1" si="99"/>
        <v>0</v>
      </c>
      <c r="AF77" s="78">
        <f t="shared" ca="1" si="43"/>
        <v>0</v>
      </c>
      <c r="AG77" s="4">
        <f ca="1">SUMIFS(INDIRECT("Tab_00.Trial["&amp;AG$4&amp;"]"),Tab_00.Trial[CONTA],$B77)</f>
        <v>0</v>
      </c>
      <c r="AH77" s="78">
        <f t="shared" ca="1" si="100"/>
        <v>0</v>
      </c>
      <c r="AI77" s="78">
        <f t="shared" ca="1" si="45"/>
        <v>0</v>
      </c>
      <c r="AJ77" s="4">
        <f ca="1">SUMIFS(INDIRECT("Tab_00.Trial["&amp;AJ$4&amp;"]"),Tab_00.Trial[CONTA],$B77)</f>
        <v>0</v>
      </c>
      <c r="AK77" s="78">
        <f t="shared" ca="1" si="101"/>
        <v>0</v>
      </c>
      <c r="AL77" s="78">
        <f t="shared" ca="1" si="47"/>
        <v>0</v>
      </c>
      <c r="AM77" s="4">
        <f ca="1">SUMIFS(INDIRECT("Tab_00.Trial["&amp;AM$4&amp;"]"),Tab_00.Trial[CONTA],$B77)</f>
        <v>0</v>
      </c>
      <c r="AN77" s="78">
        <f t="shared" ca="1" si="102"/>
        <v>0</v>
      </c>
      <c r="AO77" s="78">
        <f t="shared" ca="1" si="49"/>
        <v>0</v>
      </c>
      <c r="AQ77" s="142"/>
    </row>
    <row r="78" spans="2:43" ht="15" hidden="1" customHeight="1" outlineLevel="1" x14ac:dyDescent="0.3">
      <c r="B78" s="14"/>
      <c r="C78" s="15"/>
      <c r="D78" s="4">
        <f>SUMIFS(Tab_99.Trial[DEZEMBRO],Tab_99.Trial[CONTA],$B78)</f>
        <v>0</v>
      </c>
      <c r="E78" s="78">
        <f t="shared" si="90"/>
        <v>0</v>
      </c>
      <c r="F78" s="4">
        <f ca="1">SUMIFS(INDIRECT("Tab_00.Trial["&amp;F$4&amp;"]"),Tab_00.Trial[CONTA],$B78)</f>
        <v>0</v>
      </c>
      <c r="G78" s="78">
        <f t="shared" ca="1" si="91"/>
        <v>0</v>
      </c>
      <c r="H78" s="78">
        <f t="shared" ca="1" si="27"/>
        <v>0</v>
      </c>
      <c r="I78" s="4">
        <f ca="1">SUMIFS(INDIRECT("Tab_00.Trial["&amp;I$4&amp;"]"),Tab_00.Trial[CONTA],$B78)</f>
        <v>0</v>
      </c>
      <c r="J78" s="78">
        <f t="shared" ca="1" si="92"/>
        <v>0</v>
      </c>
      <c r="K78" s="78">
        <f t="shared" ca="1" si="29"/>
        <v>0</v>
      </c>
      <c r="L78" s="4">
        <f ca="1">SUMIFS(INDIRECT("Tab_00.Trial["&amp;L$4&amp;"]"),Tab_00.Trial[CONTA],$B78)</f>
        <v>0</v>
      </c>
      <c r="M78" s="78">
        <f t="shared" ca="1" si="93"/>
        <v>0</v>
      </c>
      <c r="N78" s="78">
        <f t="shared" ca="1" si="31"/>
        <v>0</v>
      </c>
      <c r="O78" s="4">
        <f ca="1">SUMIFS(INDIRECT("Tab_00.Trial["&amp;O$4&amp;"]"),Tab_00.Trial[CONTA],$B78)</f>
        <v>0</v>
      </c>
      <c r="P78" s="78">
        <f t="shared" ca="1" si="94"/>
        <v>0</v>
      </c>
      <c r="Q78" s="78">
        <f t="shared" ca="1" si="33"/>
        <v>0</v>
      </c>
      <c r="R78" s="4">
        <f ca="1">SUMIFS(INDIRECT("Tab_00.Trial["&amp;R$4&amp;"]"),Tab_00.Trial[CONTA],$B78)</f>
        <v>0</v>
      </c>
      <c r="S78" s="78">
        <f t="shared" ca="1" si="95"/>
        <v>0</v>
      </c>
      <c r="T78" s="78">
        <f t="shared" ca="1" si="35"/>
        <v>0</v>
      </c>
      <c r="U78" s="4">
        <f ca="1">SUMIFS(INDIRECT("Tab_00.Trial["&amp;U$4&amp;"]"),Tab_00.Trial[CONTA],$B78)</f>
        <v>0</v>
      </c>
      <c r="V78" s="78">
        <f t="shared" ca="1" si="96"/>
        <v>0</v>
      </c>
      <c r="W78" s="78">
        <f t="shared" ca="1" si="37"/>
        <v>0</v>
      </c>
      <c r="X78" s="4">
        <f ca="1">SUMIFS(INDIRECT("Tab_00.Trial["&amp;X$4&amp;"]"),Tab_00.Trial[CONTA],$B78)</f>
        <v>0</v>
      </c>
      <c r="Y78" s="78">
        <f t="shared" ca="1" si="97"/>
        <v>0</v>
      </c>
      <c r="Z78" s="78">
        <f t="shared" ca="1" si="39"/>
        <v>0</v>
      </c>
      <c r="AA78" s="4">
        <f ca="1">SUMIFS(INDIRECT("Tab_00.Trial["&amp;AA$4&amp;"]"),Tab_00.Trial[CONTA],$B78)</f>
        <v>0</v>
      </c>
      <c r="AB78" s="78">
        <f t="shared" ca="1" si="98"/>
        <v>0</v>
      </c>
      <c r="AC78" s="78">
        <f t="shared" ca="1" si="41"/>
        <v>0</v>
      </c>
      <c r="AD78" s="4">
        <f ca="1">SUMIFS(INDIRECT("Tab_00.Trial["&amp;AD$4&amp;"]"),Tab_00.Trial[CONTA],$B78)</f>
        <v>0</v>
      </c>
      <c r="AE78" s="78">
        <f t="shared" ca="1" si="99"/>
        <v>0</v>
      </c>
      <c r="AF78" s="78">
        <f t="shared" ca="1" si="43"/>
        <v>0</v>
      </c>
      <c r="AG78" s="4">
        <f ca="1">SUMIFS(INDIRECT("Tab_00.Trial["&amp;AG$4&amp;"]"),Tab_00.Trial[CONTA],$B78)</f>
        <v>0</v>
      </c>
      <c r="AH78" s="78">
        <f t="shared" ca="1" si="100"/>
        <v>0</v>
      </c>
      <c r="AI78" s="78">
        <f t="shared" ca="1" si="45"/>
        <v>0</v>
      </c>
      <c r="AJ78" s="4">
        <f ca="1">SUMIFS(INDIRECT("Tab_00.Trial["&amp;AJ$4&amp;"]"),Tab_00.Trial[CONTA],$B78)</f>
        <v>0</v>
      </c>
      <c r="AK78" s="78">
        <f t="shared" ca="1" si="101"/>
        <v>0</v>
      </c>
      <c r="AL78" s="78">
        <f t="shared" ca="1" si="47"/>
        <v>0</v>
      </c>
      <c r="AM78" s="4">
        <f ca="1">SUMIFS(INDIRECT("Tab_00.Trial["&amp;AM$4&amp;"]"),Tab_00.Trial[CONTA],$B78)</f>
        <v>0</v>
      </c>
      <c r="AN78" s="78">
        <f t="shared" ca="1" si="102"/>
        <v>0</v>
      </c>
      <c r="AO78" s="78">
        <f t="shared" ca="1" si="49"/>
        <v>0</v>
      </c>
      <c r="AQ78" s="142"/>
    </row>
    <row r="79" spans="2:43" ht="15" hidden="1" customHeight="1" outlineLevel="1" x14ac:dyDescent="0.3">
      <c r="B79" s="14"/>
      <c r="C79" s="15"/>
      <c r="D79" s="4">
        <f>SUMIFS(Tab_99.Trial[DEZEMBRO],Tab_99.Trial[CONTA],$B79)</f>
        <v>0</v>
      </c>
      <c r="E79" s="78">
        <f t="shared" si="90"/>
        <v>0</v>
      </c>
      <c r="F79" s="4">
        <f ca="1">SUMIFS(INDIRECT("Tab_00.Trial["&amp;F$4&amp;"]"),Tab_00.Trial[CONTA],$B79)</f>
        <v>0</v>
      </c>
      <c r="G79" s="78">
        <f t="shared" ca="1" si="91"/>
        <v>0</v>
      </c>
      <c r="H79" s="78">
        <f t="shared" ca="1" si="27"/>
        <v>0</v>
      </c>
      <c r="I79" s="4">
        <f ca="1">SUMIFS(INDIRECT("Tab_00.Trial["&amp;I$4&amp;"]"),Tab_00.Trial[CONTA],$B79)</f>
        <v>0</v>
      </c>
      <c r="J79" s="78">
        <f t="shared" ca="1" si="92"/>
        <v>0</v>
      </c>
      <c r="K79" s="78">
        <f t="shared" ca="1" si="29"/>
        <v>0</v>
      </c>
      <c r="L79" s="4">
        <f ca="1">SUMIFS(INDIRECT("Tab_00.Trial["&amp;L$4&amp;"]"),Tab_00.Trial[CONTA],$B79)</f>
        <v>0</v>
      </c>
      <c r="M79" s="78">
        <f t="shared" ca="1" si="93"/>
        <v>0</v>
      </c>
      <c r="N79" s="78">
        <f t="shared" ca="1" si="31"/>
        <v>0</v>
      </c>
      <c r="O79" s="4">
        <f ca="1">SUMIFS(INDIRECT("Tab_00.Trial["&amp;O$4&amp;"]"),Tab_00.Trial[CONTA],$B79)</f>
        <v>0</v>
      </c>
      <c r="P79" s="78">
        <f t="shared" ca="1" si="94"/>
        <v>0</v>
      </c>
      <c r="Q79" s="78">
        <f t="shared" ca="1" si="33"/>
        <v>0</v>
      </c>
      <c r="R79" s="4">
        <f ca="1">SUMIFS(INDIRECT("Tab_00.Trial["&amp;R$4&amp;"]"),Tab_00.Trial[CONTA],$B79)</f>
        <v>0</v>
      </c>
      <c r="S79" s="78">
        <f t="shared" ca="1" si="95"/>
        <v>0</v>
      </c>
      <c r="T79" s="78">
        <f t="shared" ca="1" si="35"/>
        <v>0</v>
      </c>
      <c r="U79" s="4">
        <f ca="1">SUMIFS(INDIRECT("Tab_00.Trial["&amp;U$4&amp;"]"),Tab_00.Trial[CONTA],$B79)</f>
        <v>0</v>
      </c>
      <c r="V79" s="78">
        <f t="shared" ca="1" si="96"/>
        <v>0</v>
      </c>
      <c r="W79" s="78">
        <f t="shared" ca="1" si="37"/>
        <v>0</v>
      </c>
      <c r="X79" s="4">
        <f ca="1">SUMIFS(INDIRECT("Tab_00.Trial["&amp;X$4&amp;"]"),Tab_00.Trial[CONTA],$B79)</f>
        <v>0</v>
      </c>
      <c r="Y79" s="78">
        <f t="shared" ca="1" si="97"/>
        <v>0</v>
      </c>
      <c r="Z79" s="78">
        <f t="shared" ca="1" si="39"/>
        <v>0</v>
      </c>
      <c r="AA79" s="4">
        <f ca="1">SUMIFS(INDIRECT("Tab_00.Trial["&amp;AA$4&amp;"]"),Tab_00.Trial[CONTA],$B79)</f>
        <v>0</v>
      </c>
      <c r="AB79" s="78">
        <f t="shared" ca="1" si="98"/>
        <v>0</v>
      </c>
      <c r="AC79" s="78">
        <f t="shared" ca="1" si="41"/>
        <v>0</v>
      </c>
      <c r="AD79" s="4">
        <f ca="1">SUMIFS(INDIRECT("Tab_00.Trial["&amp;AD$4&amp;"]"),Tab_00.Trial[CONTA],$B79)</f>
        <v>0</v>
      </c>
      <c r="AE79" s="78">
        <f t="shared" ca="1" si="99"/>
        <v>0</v>
      </c>
      <c r="AF79" s="78">
        <f t="shared" ca="1" si="43"/>
        <v>0</v>
      </c>
      <c r="AG79" s="4">
        <f ca="1">SUMIFS(INDIRECT("Tab_00.Trial["&amp;AG$4&amp;"]"),Tab_00.Trial[CONTA],$B79)</f>
        <v>0</v>
      </c>
      <c r="AH79" s="78">
        <f t="shared" ca="1" si="100"/>
        <v>0</v>
      </c>
      <c r="AI79" s="78">
        <f t="shared" ca="1" si="45"/>
        <v>0</v>
      </c>
      <c r="AJ79" s="4">
        <f ca="1">SUMIFS(INDIRECT("Tab_00.Trial["&amp;AJ$4&amp;"]"),Tab_00.Trial[CONTA],$B79)</f>
        <v>0</v>
      </c>
      <c r="AK79" s="78">
        <f t="shared" ca="1" si="101"/>
        <v>0</v>
      </c>
      <c r="AL79" s="78">
        <f t="shared" ca="1" si="47"/>
        <v>0</v>
      </c>
      <c r="AM79" s="4">
        <f ca="1">SUMIFS(INDIRECT("Tab_00.Trial["&amp;AM$4&amp;"]"),Tab_00.Trial[CONTA],$B79)</f>
        <v>0</v>
      </c>
      <c r="AN79" s="78">
        <f t="shared" ca="1" si="102"/>
        <v>0</v>
      </c>
      <c r="AO79" s="78">
        <f t="shared" ca="1" si="49"/>
        <v>0</v>
      </c>
      <c r="AQ79" s="142"/>
    </row>
    <row r="80" spans="2:43" ht="15" hidden="1" customHeight="1" outlineLevel="1" x14ac:dyDescent="0.3">
      <c r="B80" s="14"/>
      <c r="C80" s="15"/>
      <c r="D80" s="4">
        <f>SUMIFS(Tab_99.Trial[DEZEMBRO],Tab_99.Trial[CONTA],$B80)</f>
        <v>0</v>
      </c>
      <c r="E80" s="78">
        <f t="shared" si="90"/>
        <v>0</v>
      </c>
      <c r="F80" s="4">
        <f ca="1">SUMIFS(INDIRECT("Tab_00.Trial["&amp;F$4&amp;"]"),Tab_00.Trial[CONTA],$B80)</f>
        <v>0</v>
      </c>
      <c r="G80" s="78">
        <f t="shared" ca="1" si="91"/>
        <v>0</v>
      </c>
      <c r="H80" s="78">
        <f t="shared" ca="1" si="27"/>
        <v>0</v>
      </c>
      <c r="I80" s="4">
        <f ca="1">SUMIFS(INDIRECT("Tab_00.Trial["&amp;I$4&amp;"]"),Tab_00.Trial[CONTA],$B80)</f>
        <v>0</v>
      </c>
      <c r="J80" s="78">
        <f t="shared" ca="1" si="92"/>
        <v>0</v>
      </c>
      <c r="K80" s="78">
        <f t="shared" ca="1" si="29"/>
        <v>0</v>
      </c>
      <c r="L80" s="4">
        <f ca="1">SUMIFS(INDIRECT("Tab_00.Trial["&amp;L$4&amp;"]"),Tab_00.Trial[CONTA],$B80)</f>
        <v>0</v>
      </c>
      <c r="M80" s="78">
        <f t="shared" ca="1" si="93"/>
        <v>0</v>
      </c>
      <c r="N80" s="78">
        <f t="shared" ca="1" si="31"/>
        <v>0</v>
      </c>
      <c r="O80" s="4">
        <f ca="1">SUMIFS(INDIRECT("Tab_00.Trial["&amp;O$4&amp;"]"),Tab_00.Trial[CONTA],$B80)</f>
        <v>0</v>
      </c>
      <c r="P80" s="78">
        <f t="shared" ca="1" si="94"/>
        <v>0</v>
      </c>
      <c r="Q80" s="78">
        <f t="shared" ca="1" si="33"/>
        <v>0</v>
      </c>
      <c r="R80" s="4">
        <f ca="1">SUMIFS(INDIRECT("Tab_00.Trial["&amp;R$4&amp;"]"),Tab_00.Trial[CONTA],$B80)</f>
        <v>0</v>
      </c>
      <c r="S80" s="78">
        <f t="shared" ca="1" si="95"/>
        <v>0</v>
      </c>
      <c r="T80" s="78">
        <f t="shared" ca="1" si="35"/>
        <v>0</v>
      </c>
      <c r="U80" s="4">
        <f ca="1">SUMIFS(INDIRECT("Tab_00.Trial["&amp;U$4&amp;"]"),Tab_00.Trial[CONTA],$B80)</f>
        <v>0</v>
      </c>
      <c r="V80" s="78">
        <f t="shared" ca="1" si="96"/>
        <v>0</v>
      </c>
      <c r="W80" s="78">
        <f t="shared" ca="1" si="37"/>
        <v>0</v>
      </c>
      <c r="X80" s="4">
        <f ca="1">SUMIFS(INDIRECT("Tab_00.Trial["&amp;X$4&amp;"]"),Tab_00.Trial[CONTA],$B80)</f>
        <v>0</v>
      </c>
      <c r="Y80" s="78">
        <f t="shared" ca="1" si="97"/>
        <v>0</v>
      </c>
      <c r="Z80" s="78">
        <f t="shared" ca="1" si="39"/>
        <v>0</v>
      </c>
      <c r="AA80" s="4">
        <f ca="1">SUMIFS(INDIRECT("Tab_00.Trial["&amp;AA$4&amp;"]"),Tab_00.Trial[CONTA],$B80)</f>
        <v>0</v>
      </c>
      <c r="AB80" s="78">
        <f t="shared" ca="1" si="98"/>
        <v>0</v>
      </c>
      <c r="AC80" s="78">
        <f t="shared" ca="1" si="41"/>
        <v>0</v>
      </c>
      <c r="AD80" s="4">
        <f ca="1">SUMIFS(INDIRECT("Tab_00.Trial["&amp;AD$4&amp;"]"),Tab_00.Trial[CONTA],$B80)</f>
        <v>0</v>
      </c>
      <c r="AE80" s="78">
        <f t="shared" ca="1" si="99"/>
        <v>0</v>
      </c>
      <c r="AF80" s="78">
        <f t="shared" ca="1" si="43"/>
        <v>0</v>
      </c>
      <c r="AG80" s="4">
        <f ca="1">SUMIFS(INDIRECT("Tab_00.Trial["&amp;AG$4&amp;"]"),Tab_00.Trial[CONTA],$B80)</f>
        <v>0</v>
      </c>
      <c r="AH80" s="78">
        <f t="shared" ca="1" si="100"/>
        <v>0</v>
      </c>
      <c r="AI80" s="78">
        <f t="shared" ca="1" si="45"/>
        <v>0</v>
      </c>
      <c r="AJ80" s="4">
        <f ca="1">SUMIFS(INDIRECT("Tab_00.Trial["&amp;AJ$4&amp;"]"),Tab_00.Trial[CONTA],$B80)</f>
        <v>0</v>
      </c>
      <c r="AK80" s="78">
        <f t="shared" ca="1" si="101"/>
        <v>0</v>
      </c>
      <c r="AL80" s="78">
        <f t="shared" ca="1" si="47"/>
        <v>0</v>
      </c>
      <c r="AM80" s="4">
        <f ca="1">SUMIFS(INDIRECT("Tab_00.Trial["&amp;AM$4&amp;"]"),Tab_00.Trial[CONTA],$B80)</f>
        <v>0</v>
      </c>
      <c r="AN80" s="78">
        <f t="shared" ca="1" si="102"/>
        <v>0</v>
      </c>
      <c r="AO80" s="78">
        <f t="shared" ca="1" si="49"/>
        <v>0</v>
      </c>
      <c r="AQ80" s="142"/>
    </row>
    <row r="81" spans="2:43" ht="15" hidden="1" customHeight="1" outlineLevel="1" x14ac:dyDescent="0.3">
      <c r="B81" s="14"/>
      <c r="C81" s="15"/>
      <c r="D81" s="4">
        <f>SUMIFS(Tab_99.Trial[DEZEMBRO],Tab_99.Trial[CONTA],$B81)</f>
        <v>0</v>
      </c>
      <c r="E81" s="78">
        <f t="shared" si="90"/>
        <v>0</v>
      </c>
      <c r="F81" s="4">
        <f ca="1">SUMIFS(INDIRECT("Tab_00.Trial["&amp;F$4&amp;"]"),Tab_00.Trial[CONTA],$B81)</f>
        <v>0</v>
      </c>
      <c r="G81" s="78">
        <f t="shared" ca="1" si="91"/>
        <v>0</v>
      </c>
      <c r="H81" s="78">
        <f t="shared" ca="1" si="27"/>
        <v>0</v>
      </c>
      <c r="I81" s="4">
        <f ca="1">SUMIFS(INDIRECT("Tab_00.Trial["&amp;I$4&amp;"]"),Tab_00.Trial[CONTA],$B81)</f>
        <v>0</v>
      </c>
      <c r="J81" s="78">
        <f t="shared" ca="1" si="92"/>
        <v>0</v>
      </c>
      <c r="K81" s="78">
        <f t="shared" ca="1" si="29"/>
        <v>0</v>
      </c>
      <c r="L81" s="4">
        <f ca="1">SUMIFS(INDIRECT("Tab_00.Trial["&amp;L$4&amp;"]"),Tab_00.Trial[CONTA],$B81)</f>
        <v>0</v>
      </c>
      <c r="M81" s="78">
        <f t="shared" ca="1" si="93"/>
        <v>0</v>
      </c>
      <c r="N81" s="78">
        <f t="shared" ca="1" si="31"/>
        <v>0</v>
      </c>
      <c r="O81" s="4">
        <f ca="1">SUMIFS(INDIRECT("Tab_00.Trial["&amp;O$4&amp;"]"),Tab_00.Trial[CONTA],$B81)</f>
        <v>0</v>
      </c>
      <c r="P81" s="78">
        <f t="shared" ca="1" si="94"/>
        <v>0</v>
      </c>
      <c r="Q81" s="78">
        <f t="shared" ca="1" si="33"/>
        <v>0</v>
      </c>
      <c r="R81" s="4">
        <f ca="1">SUMIFS(INDIRECT("Tab_00.Trial["&amp;R$4&amp;"]"),Tab_00.Trial[CONTA],$B81)</f>
        <v>0</v>
      </c>
      <c r="S81" s="78">
        <f t="shared" ca="1" si="95"/>
        <v>0</v>
      </c>
      <c r="T81" s="78">
        <f t="shared" ca="1" si="35"/>
        <v>0</v>
      </c>
      <c r="U81" s="4">
        <f ca="1">SUMIFS(INDIRECT("Tab_00.Trial["&amp;U$4&amp;"]"),Tab_00.Trial[CONTA],$B81)</f>
        <v>0</v>
      </c>
      <c r="V81" s="78">
        <f t="shared" ca="1" si="96"/>
        <v>0</v>
      </c>
      <c r="W81" s="78">
        <f t="shared" ca="1" si="37"/>
        <v>0</v>
      </c>
      <c r="X81" s="4">
        <f ca="1">SUMIFS(INDIRECT("Tab_00.Trial["&amp;X$4&amp;"]"),Tab_00.Trial[CONTA],$B81)</f>
        <v>0</v>
      </c>
      <c r="Y81" s="78">
        <f t="shared" ca="1" si="97"/>
        <v>0</v>
      </c>
      <c r="Z81" s="78">
        <f t="shared" ca="1" si="39"/>
        <v>0</v>
      </c>
      <c r="AA81" s="4">
        <f ca="1">SUMIFS(INDIRECT("Tab_00.Trial["&amp;AA$4&amp;"]"),Tab_00.Trial[CONTA],$B81)</f>
        <v>0</v>
      </c>
      <c r="AB81" s="78">
        <f t="shared" ca="1" si="98"/>
        <v>0</v>
      </c>
      <c r="AC81" s="78">
        <f t="shared" ca="1" si="41"/>
        <v>0</v>
      </c>
      <c r="AD81" s="4">
        <f ca="1">SUMIFS(INDIRECT("Tab_00.Trial["&amp;AD$4&amp;"]"),Tab_00.Trial[CONTA],$B81)</f>
        <v>0</v>
      </c>
      <c r="AE81" s="78">
        <f t="shared" ca="1" si="99"/>
        <v>0</v>
      </c>
      <c r="AF81" s="78">
        <f t="shared" ca="1" si="43"/>
        <v>0</v>
      </c>
      <c r="AG81" s="4">
        <f ca="1">SUMIFS(INDIRECT("Tab_00.Trial["&amp;AG$4&amp;"]"),Tab_00.Trial[CONTA],$B81)</f>
        <v>0</v>
      </c>
      <c r="AH81" s="78">
        <f t="shared" ca="1" si="100"/>
        <v>0</v>
      </c>
      <c r="AI81" s="78">
        <f t="shared" ca="1" si="45"/>
        <v>0</v>
      </c>
      <c r="AJ81" s="4">
        <f ca="1">SUMIFS(INDIRECT("Tab_00.Trial["&amp;AJ$4&amp;"]"),Tab_00.Trial[CONTA],$B81)</f>
        <v>0</v>
      </c>
      <c r="AK81" s="78">
        <f t="shared" ca="1" si="101"/>
        <v>0</v>
      </c>
      <c r="AL81" s="78">
        <f t="shared" ca="1" si="47"/>
        <v>0</v>
      </c>
      <c r="AM81" s="4">
        <f ca="1">SUMIFS(INDIRECT("Tab_00.Trial["&amp;AM$4&amp;"]"),Tab_00.Trial[CONTA],$B81)</f>
        <v>0</v>
      </c>
      <c r="AN81" s="78">
        <f t="shared" ca="1" si="102"/>
        <v>0</v>
      </c>
      <c r="AO81" s="78">
        <f t="shared" ca="1" si="49"/>
        <v>0</v>
      </c>
      <c r="AQ81" s="142"/>
    </row>
    <row r="82" spans="2:43" ht="15" hidden="1" customHeight="1" outlineLevel="1" x14ac:dyDescent="0.3">
      <c r="B82" s="14"/>
      <c r="C82" s="15"/>
      <c r="D82" s="4">
        <f>SUMIFS(Tab_99.Trial[DEZEMBRO],Tab_99.Trial[CONTA],$B82)</f>
        <v>0</v>
      </c>
      <c r="E82" s="78">
        <f t="shared" si="90"/>
        <v>0</v>
      </c>
      <c r="F82" s="4">
        <f ca="1">SUMIFS(INDIRECT("Tab_00.Trial["&amp;F$4&amp;"]"),Tab_00.Trial[CONTA],$B82)</f>
        <v>0</v>
      </c>
      <c r="G82" s="78">
        <f t="shared" ca="1" si="91"/>
        <v>0</v>
      </c>
      <c r="H82" s="78">
        <f t="shared" ca="1" si="27"/>
        <v>0</v>
      </c>
      <c r="I82" s="4">
        <f ca="1">SUMIFS(INDIRECT("Tab_00.Trial["&amp;I$4&amp;"]"),Tab_00.Trial[CONTA],$B82)</f>
        <v>0</v>
      </c>
      <c r="J82" s="78">
        <f t="shared" ca="1" si="92"/>
        <v>0</v>
      </c>
      <c r="K82" s="78">
        <f t="shared" ca="1" si="29"/>
        <v>0</v>
      </c>
      <c r="L82" s="4">
        <f ca="1">SUMIFS(INDIRECT("Tab_00.Trial["&amp;L$4&amp;"]"),Tab_00.Trial[CONTA],$B82)</f>
        <v>0</v>
      </c>
      <c r="M82" s="78">
        <f t="shared" ca="1" si="93"/>
        <v>0</v>
      </c>
      <c r="N82" s="78">
        <f t="shared" ca="1" si="31"/>
        <v>0</v>
      </c>
      <c r="O82" s="4">
        <f ca="1">SUMIFS(INDIRECT("Tab_00.Trial["&amp;O$4&amp;"]"),Tab_00.Trial[CONTA],$B82)</f>
        <v>0</v>
      </c>
      <c r="P82" s="78">
        <f t="shared" ca="1" si="94"/>
        <v>0</v>
      </c>
      <c r="Q82" s="78">
        <f t="shared" ca="1" si="33"/>
        <v>0</v>
      </c>
      <c r="R82" s="4">
        <f ca="1">SUMIFS(INDIRECT("Tab_00.Trial["&amp;R$4&amp;"]"),Tab_00.Trial[CONTA],$B82)</f>
        <v>0</v>
      </c>
      <c r="S82" s="78">
        <f t="shared" ca="1" si="95"/>
        <v>0</v>
      </c>
      <c r="T82" s="78">
        <f t="shared" ca="1" si="35"/>
        <v>0</v>
      </c>
      <c r="U82" s="4">
        <f ca="1">SUMIFS(INDIRECT("Tab_00.Trial["&amp;U$4&amp;"]"),Tab_00.Trial[CONTA],$B82)</f>
        <v>0</v>
      </c>
      <c r="V82" s="78">
        <f t="shared" ca="1" si="96"/>
        <v>0</v>
      </c>
      <c r="W82" s="78">
        <f t="shared" ca="1" si="37"/>
        <v>0</v>
      </c>
      <c r="X82" s="4">
        <f ca="1">SUMIFS(INDIRECT("Tab_00.Trial["&amp;X$4&amp;"]"),Tab_00.Trial[CONTA],$B82)</f>
        <v>0</v>
      </c>
      <c r="Y82" s="78">
        <f t="shared" ca="1" si="97"/>
        <v>0</v>
      </c>
      <c r="Z82" s="78">
        <f t="shared" ca="1" si="39"/>
        <v>0</v>
      </c>
      <c r="AA82" s="4">
        <f ca="1">SUMIFS(INDIRECT("Tab_00.Trial["&amp;AA$4&amp;"]"),Tab_00.Trial[CONTA],$B82)</f>
        <v>0</v>
      </c>
      <c r="AB82" s="78">
        <f t="shared" ca="1" si="98"/>
        <v>0</v>
      </c>
      <c r="AC82" s="78">
        <f t="shared" ca="1" si="41"/>
        <v>0</v>
      </c>
      <c r="AD82" s="4">
        <f ca="1">SUMIFS(INDIRECT("Tab_00.Trial["&amp;AD$4&amp;"]"),Tab_00.Trial[CONTA],$B82)</f>
        <v>0</v>
      </c>
      <c r="AE82" s="78">
        <f t="shared" ca="1" si="99"/>
        <v>0</v>
      </c>
      <c r="AF82" s="78">
        <f t="shared" ca="1" si="43"/>
        <v>0</v>
      </c>
      <c r="AG82" s="4">
        <f ca="1">SUMIFS(INDIRECT("Tab_00.Trial["&amp;AG$4&amp;"]"),Tab_00.Trial[CONTA],$B82)</f>
        <v>0</v>
      </c>
      <c r="AH82" s="78">
        <f t="shared" ca="1" si="100"/>
        <v>0</v>
      </c>
      <c r="AI82" s="78">
        <f t="shared" ca="1" si="45"/>
        <v>0</v>
      </c>
      <c r="AJ82" s="4">
        <f ca="1">SUMIFS(INDIRECT("Tab_00.Trial["&amp;AJ$4&amp;"]"),Tab_00.Trial[CONTA],$B82)</f>
        <v>0</v>
      </c>
      <c r="AK82" s="78">
        <f t="shared" ca="1" si="101"/>
        <v>0</v>
      </c>
      <c r="AL82" s="78">
        <f t="shared" ca="1" si="47"/>
        <v>0</v>
      </c>
      <c r="AM82" s="4">
        <f ca="1">SUMIFS(INDIRECT("Tab_00.Trial["&amp;AM$4&amp;"]"),Tab_00.Trial[CONTA],$B82)</f>
        <v>0</v>
      </c>
      <c r="AN82" s="78">
        <f t="shared" ca="1" si="102"/>
        <v>0</v>
      </c>
      <c r="AO82" s="78">
        <f t="shared" ca="1" si="49"/>
        <v>0</v>
      </c>
      <c r="AQ82" s="142"/>
    </row>
    <row r="83" spans="2:43" ht="15" hidden="1" customHeight="1" outlineLevel="1" x14ac:dyDescent="0.3">
      <c r="B83" s="14"/>
      <c r="C83" s="15"/>
      <c r="D83" s="4">
        <f>SUMIFS(Tab_99.Trial[DEZEMBRO],Tab_99.Trial[CONTA],$B83)</f>
        <v>0</v>
      </c>
      <c r="E83" s="78">
        <f t="shared" si="90"/>
        <v>0</v>
      </c>
      <c r="F83" s="4">
        <f ca="1">SUMIFS(INDIRECT("Tab_00.Trial["&amp;F$4&amp;"]"),Tab_00.Trial[CONTA],$B83)</f>
        <v>0</v>
      </c>
      <c r="G83" s="78">
        <f t="shared" ca="1" si="91"/>
        <v>0</v>
      </c>
      <c r="H83" s="78">
        <f t="shared" ca="1" si="27"/>
        <v>0</v>
      </c>
      <c r="I83" s="4">
        <f ca="1">SUMIFS(INDIRECT("Tab_00.Trial["&amp;I$4&amp;"]"),Tab_00.Trial[CONTA],$B83)</f>
        <v>0</v>
      </c>
      <c r="J83" s="78">
        <f t="shared" ca="1" si="92"/>
        <v>0</v>
      </c>
      <c r="K83" s="78">
        <f t="shared" ca="1" si="29"/>
        <v>0</v>
      </c>
      <c r="L83" s="4">
        <f ca="1">SUMIFS(INDIRECT("Tab_00.Trial["&amp;L$4&amp;"]"),Tab_00.Trial[CONTA],$B83)</f>
        <v>0</v>
      </c>
      <c r="M83" s="78">
        <f t="shared" ca="1" si="93"/>
        <v>0</v>
      </c>
      <c r="N83" s="78">
        <f t="shared" ca="1" si="31"/>
        <v>0</v>
      </c>
      <c r="O83" s="4">
        <f ca="1">SUMIFS(INDIRECT("Tab_00.Trial["&amp;O$4&amp;"]"),Tab_00.Trial[CONTA],$B83)</f>
        <v>0</v>
      </c>
      <c r="P83" s="78">
        <f t="shared" ca="1" si="94"/>
        <v>0</v>
      </c>
      <c r="Q83" s="78">
        <f t="shared" ca="1" si="33"/>
        <v>0</v>
      </c>
      <c r="R83" s="4">
        <f ca="1">SUMIFS(INDIRECT("Tab_00.Trial["&amp;R$4&amp;"]"),Tab_00.Trial[CONTA],$B83)</f>
        <v>0</v>
      </c>
      <c r="S83" s="78">
        <f t="shared" ca="1" si="95"/>
        <v>0</v>
      </c>
      <c r="T83" s="78">
        <f t="shared" ca="1" si="35"/>
        <v>0</v>
      </c>
      <c r="U83" s="4">
        <f ca="1">SUMIFS(INDIRECT("Tab_00.Trial["&amp;U$4&amp;"]"),Tab_00.Trial[CONTA],$B83)</f>
        <v>0</v>
      </c>
      <c r="V83" s="78">
        <f t="shared" ca="1" si="96"/>
        <v>0</v>
      </c>
      <c r="W83" s="78">
        <f t="shared" ca="1" si="37"/>
        <v>0</v>
      </c>
      <c r="X83" s="4">
        <f ca="1">SUMIFS(INDIRECT("Tab_00.Trial["&amp;X$4&amp;"]"),Tab_00.Trial[CONTA],$B83)</f>
        <v>0</v>
      </c>
      <c r="Y83" s="78">
        <f t="shared" ca="1" si="97"/>
        <v>0</v>
      </c>
      <c r="Z83" s="78">
        <f t="shared" ca="1" si="39"/>
        <v>0</v>
      </c>
      <c r="AA83" s="4">
        <f ca="1">SUMIFS(INDIRECT("Tab_00.Trial["&amp;AA$4&amp;"]"),Tab_00.Trial[CONTA],$B83)</f>
        <v>0</v>
      </c>
      <c r="AB83" s="78">
        <f t="shared" ca="1" si="98"/>
        <v>0</v>
      </c>
      <c r="AC83" s="78">
        <f t="shared" ca="1" si="41"/>
        <v>0</v>
      </c>
      <c r="AD83" s="4">
        <f ca="1">SUMIFS(INDIRECT("Tab_00.Trial["&amp;AD$4&amp;"]"),Tab_00.Trial[CONTA],$B83)</f>
        <v>0</v>
      </c>
      <c r="AE83" s="78">
        <f t="shared" ca="1" si="99"/>
        <v>0</v>
      </c>
      <c r="AF83" s="78">
        <f t="shared" ca="1" si="43"/>
        <v>0</v>
      </c>
      <c r="AG83" s="4">
        <f ca="1">SUMIFS(INDIRECT("Tab_00.Trial["&amp;AG$4&amp;"]"),Tab_00.Trial[CONTA],$B83)</f>
        <v>0</v>
      </c>
      <c r="AH83" s="78">
        <f t="shared" ca="1" si="100"/>
        <v>0</v>
      </c>
      <c r="AI83" s="78">
        <f t="shared" ca="1" si="45"/>
        <v>0</v>
      </c>
      <c r="AJ83" s="4">
        <f ca="1">SUMIFS(INDIRECT("Tab_00.Trial["&amp;AJ$4&amp;"]"),Tab_00.Trial[CONTA],$B83)</f>
        <v>0</v>
      </c>
      <c r="AK83" s="78">
        <f t="shared" ca="1" si="101"/>
        <v>0</v>
      </c>
      <c r="AL83" s="78">
        <f t="shared" ca="1" si="47"/>
        <v>0</v>
      </c>
      <c r="AM83" s="4">
        <f ca="1">SUMIFS(INDIRECT("Tab_00.Trial["&amp;AM$4&amp;"]"),Tab_00.Trial[CONTA],$B83)</f>
        <v>0</v>
      </c>
      <c r="AN83" s="78">
        <f t="shared" ca="1" si="102"/>
        <v>0</v>
      </c>
      <c r="AO83" s="78">
        <f t="shared" ca="1" si="49"/>
        <v>0</v>
      </c>
      <c r="AQ83" s="142"/>
    </row>
    <row r="84" spans="2:43" ht="15" hidden="1" customHeight="1" outlineLevel="1" x14ac:dyDescent="0.3">
      <c r="B84" s="14"/>
      <c r="C84" s="15"/>
      <c r="D84" s="4">
        <f>SUMIFS(Tab_99.Trial[DEZEMBRO],Tab_99.Trial[CONTA],$B84)</f>
        <v>0</v>
      </c>
      <c r="E84" s="78">
        <f t="shared" si="90"/>
        <v>0</v>
      </c>
      <c r="F84" s="4">
        <f ca="1">SUMIFS(INDIRECT("Tab_00.Trial["&amp;F$4&amp;"]"),Tab_00.Trial[CONTA],$B84)</f>
        <v>0</v>
      </c>
      <c r="G84" s="78">
        <f t="shared" ca="1" si="91"/>
        <v>0</v>
      </c>
      <c r="H84" s="78">
        <f t="shared" ca="1" si="27"/>
        <v>0</v>
      </c>
      <c r="I84" s="4">
        <f ca="1">SUMIFS(INDIRECT("Tab_00.Trial["&amp;I$4&amp;"]"),Tab_00.Trial[CONTA],$B84)</f>
        <v>0</v>
      </c>
      <c r="J84" s="78">
        <f t="shared" ca="1" si="92"/>
        <v>0</v>
      </c>
      <c r="K84" s="78">
        <f t="shared" ca="1" si="29"/>
        <v>0</v>
      </c>
      <c r="L84" s="4">
        <f ca="1">SUMIFS(INDIRECT("Tab_00.Trial["&amp;L$4&amp;"]"),Tab_00.Trial[CONTA],$B84)</f>
        <v>0</v>
      </c>
      <c r="M84" s="78">
        <f t="shared" ca="1" si="93"/>
        <v>0</v>
      </c>
      <c r="N84" s="78">
        <f t="shared" ca="1" si="31"/>
        <v>0</v>
      </c>
      <c r="O84" s="4">
        <f ca="1">SUMIFS(INDIRECT("Tab_00.Trial["&amp;O$4&amp;"]"),Tab_00.Trial[CONTA],$B84)</f>
        <v>0</v>
      </c>
      <c r="P84" s="78">
        <f t="shared" ca="1" si="94"/>
        <v>0</v>
      </c>
      <c r="Q84" s="78">
        <f t="shared" ca="1" si="33"/>
        <v>0</v>
      </c>
      <c r="R84" s="4">
        <f ca="1">SUMIFS(INDIRECT("Tab_00.Trial["&amp;R$4&amp;"]"),Tab_00.Trial[CONTA],$B84)</f>
        <v>0</v>
      </c>
      <c r="S84" s="78">
        <f t="shared" ca="1" si="95"/>
        <v>0</v>
      </c>
      <c r="T84" s="78">
        <f t="shared" ca="1" si="35"/>
        <v>0</v>
      </c>
      <c r="U84" s="4">
        <f ca="1">SUMIFS(INDIRECT("Tab_00.Trial["&amp;U$4&amp;"]"),Tab_00.Trial[CONTA],$B84)</f>
        <v>0</v>
      </c>
      <c r="V84" s="78">
        <f t="shared" ca="1" si="96"/>
        <v>0</v>
      </c>
      <c r="W84" s="78">
        <f t="shared" ca="1" si="37"/>
        <v>0</v>
      </c>
      <c r="X84" s="4">
        <f ca="1">SUMIFS(INDIRECT("Tab_00.Trial["&amp;X$4&amp;"]"),Tab_00.Trial[CONTA],$B84)</f>
        <v>0</v>
      </c>
      <c r="Y84" s="78">
        <f t="shared" ca="1" si="97"/>
        <v>0</v>
      </c>
      <c r="Z84" s="78">
        <f t="shared" ca="1" si="39"/>
        <v>0</v>
      </c>
      <c r="AA84" s="4">
        <f ca="1">SUMIFS(INDIRECT("Tab_00.Trial["&amp;AA$4&amp;"]"),Tab_00.Trial[CONTA],$B84)</f>
        <v>0</v>
      </c>
      <c r="AB84" s="78">
        <f t="shared" ca="1" si="98"/>
        <v>0</v>
      </c>
      <c r="AC84" s="78">
        <f t="shared" ca="1" si="41"/>
        <v>0</v>
      </c>
      <c r="AD84" s="4">
        <f ca="1">SUMIFS(INDIRECT("Tab_00.Trial["&amp;AD$4&amp;"]"),Tab_00.Trial[CONTA],$B84)</f>
        <v>0</v>
      </c>
      <c r="AE84" s="78">
        <f t="shared" ca="1" si="99"/>
        <v>0</v>
      </c>
      <c r="AF84" s="78">
        <f t="shared" ca="1" si="43"/>
        <v>0</v>
      </c>
      <c r="AG84" s="4">
        <f ca="1">SUMIFS(INDIRECT("Tab_00.Trial["&amp;AG$4&amp;"]"),Tab_00.Trial[CONTA],$B84)</f>
        <v>0</v>
      </c>
      <c r="AH84" s="78">
        <f t="shared" ca="1" si="100"/>
        <v>0</v>
      </c>
      <c r="AI84" s="78">
        <f t="shared" ca="1" si="45"/>
        <v>0</v>
      </c>
      <c r="AJ84" s="4">
        <f ca="1">SUMIFS(INDIRECT("Tab_00.Trial["&amp;AJ$4&amp;"]"),Tab_00.Trial[CONTA],$B84)</f>
        <v>0</v>
      </c>
      <c r="AK84" s="78">
        <f t="shared" ca="1" si="101"/>
        <v>0</v>
      </c>
      <c r="AL84" s="78">
        <f t="shared" ca="1" si="47"/>
        <v>0</v>
      </c>
      <c r="AM84" s="4">
        <f ca="1">SUMIFS(INDIRECT("Tab_00.Trial["&amp;AM$4&amp;"]"),Tab_00.Trial[CONTA],$B84)</f>
        <v>0</v>
      </c>
      <c r="AN84" s="78">
        <f t="shared" ca="1" si="102"/>
        <v>0</v>
      </c>
      <c r="AO84" s="78">
        <f t="shared" ca="1" si="49"/>
        <v>0</v>
      </c>
      <c r="AQ84" s="142"/>
    </row>
    <row r="85" spans="2:43" ht="15" hidden="1" customHeight="1" outlineLevel="1" x14ac:dyDescent="0.3">
      <c r="B85" s="14"/>
      <c r="C85" s="15"/>
      <c r="D85" s="4">
        <f>SUMIFS(Tab_99.Trial[DEZEMBRO],Tab_99.Trial[CONTA],$B85)</f>
        <v>0</v>
      </c>
      <c r="E85" s="78">
        <f t="shared" si="90"/>
        <v>0</v>
      </c>
      <c r="F85" s="4">
        <f ca="1">SUMIFS(INDIRECT("Tab_00.Trial["&amp;F$4&amp;"]"),Tab_00.Trial[CONTA],$B85)</f>
        <v>0</v>
      </c>
      <c r="G85" s="78">
        <f t="shared" ca="1" si="91"/>
        <v>0</v>
      </c>
      <c r="H85" s="78">
        <f t="shared" ca="1" si="27"/>
        <v>0</v>
      </c>
      <c r="I85" s="4">
        <f ca="1">SUMIFS(INDIRECT("Tab_00.Trial["&amp;I$4&amp;"]"),Tab_00.Trial[CONTA],$B85)</f>
        <v>0</v>
      </c>
      <c r="J85" s="78">
        <f t="shared" ca="1" si="92"/>
        <v>0</v>
      </c>
      <c r="K85" s="78">
        <f t="shared" ca="1" si="29"/>
        <v>0</v>
      </c>
      <c r="L85" s="4">
        <f ca="1">SUMIFS(INDIRECT("Tab_00.Trial["&amp;L$4&amp;"]"),Tab_00.Trial[CONTA],$B85)</f>
        <v>0</v>
      </c>
      <c r="M85" s="78">
        <f t="shared" ca="1" si="93"/>
        <v>0</v>
      </c>
      <c r="N85" s="78">
        <f t="shared" ca="1" si="31"/>
        <v>0</v>
      </c>
      <c r="O85" s="4">
        <f ca="1">SUMIFS(INDIRECT("Tab_00.Trial["&amp;O$4&amp;"]"),Tab_00.Trial[CONTA],$B85)</f>
        <v>0</v>
      </c>
      <c r="P85" s="78">
        <f t="shared" ca="1" si="94"/>
        <v>0</v>
      </c>
      <c r="Q85" s="78">
        <f t="shared" ca="1" si="33"/>
        <v>0</v>
      </c>
      <c r="R85" s="4">
        <f ca="1">SUMIFS(INDIRECT("Tab_00.Trial["&amp;R$4&amp;"]"),Tab_00.Trial[CONTA],$B85)</f>
        <v>0</v>
      </c>
      <c r="S85" s="78">
        <f t="shared" ca="1" si="95"/>
        <v>0</v>
      </c>
      <c r="T85" s="78">
        <f t="shared" ca="1" si="35"/>
        <v>0</v>
      </c>
      <c r="U85" s="4">
        <f ca="1">SUMIFS(INDIRECT("Tab_00.Trial["&amp;U$4&amp;"]"),Tab_00.Trial[CONTA],$B85)</f>
        <v>0</v>
      </c>
      <c r="V85" s="78">
        <f t="shared" ca="1" si="96"/>
        <v>0</v>
      </c>
      <c r="W85" s="78">
        <f t="shared" ca="1" si="37"/>
        <v>0</v>
      </c>
      <c r="X85" s="4">
        <f ca="1">SUMIFS(INDIRECT("Tab_00.Trial["&amp;X$4&amp;"]"),Tab_00.Trial[CONTA],$B85)</f>
        <v>0</v>
      </c>
      <c r="Y85" s="78">
        <f t="shared" ca="1" si="97"/>
        <v>0</v>
      </c>
      <c r="Z85" s="78">
        <f t="shared" ca="1" si="39"/>
        <v>0</v>
      </c>
      <c r="AA85" s="4">
        <f ca="1">SUMIFS(INDIRECT("Tab_00.Trial["&amp;AA$4&amp;"]"),Tab_00.Trial[CONTA],$B85)</f>
        <v>0</v>
      </c>
      <c r="AB85" s="78">
        <f t="shared" ca="1" si="98"/>
        <v>0</v>
      </c>
      <c r="AC85" s="78">
        <f t="shared" ca="1" si="41"/>
        <v>0</v>
      </c>
      <c r="AD85" s="4">
        <f ca="1">SUMIFS(INDIRECT("Tab_00.Trial["&amp;AD$4&amp;"]"),Tab_00.Trial[CONTA],$B85)</f>
        <v>0</v>
      </c>
      <c r="AE85" s="78">
        <f t="shared" ca="1" si="99"/>
        <v>0</v>
      </c>
      <c r="AF85" s="78">
        <f t="shared" ca="1" si="43"/>
        <v>0</v>
      </c>
      <c r="AG85" s="4">
        <f ca="1">SUMIFS(INDIRECT("Tab_00.Trial["&amp;AG$4&amp;"]"),Tab_00.Trial[CONTA],$B85)</f>
        <v>0</v>
      </c>
      <c r="AH85" s="78">
        <f t="shared" ca="1" si="100"/>
        <v>0</v>
      </c>
      <c r="AI85" s="78">
        <f t="shared" ca="1" si="45"/>
        <v>0</v>
      </c>
      <c r="AJ85" s="4">
        <f ca="1">SUMIFS(INDIRECT("Tab_00.Trial["&amp;AJ$4&amp;"]"),Tab_00.Trial[CONTA],$B85)</f>
        <v>0</v>
      </c>
      <c r="AK85" s="78">
        <f t="shared" ca="1" si="101"/>
        <v>0</v>
      </c>
      <c r="AL85" s="78">
        <f t="shared" ca="1" si="47"/>
        <v>0</v>
      </c>
      <c r="AM85" s="4">
        <f ca="1">SUMIFS(INDIRECT("Tab_00.Trial["&amp;AM$4&amp;"]"),Tab_00.Trial[CONTA],$B85)</f>
        <v>0</v>
      </c>
      <c r="AN85" s="78">
        <f t="shared" ca="1" si="102"/>
        <v>0</v>
      </c>
      <c r="AO85" s="78">
        <f t="shared" ca="1" si="49"/>
        <v>0</v>
      </c>
      <c r="AQ85" s="142"/>
    </row>
    <row r="86" spans="2:43" ht="15" hidden="1" customHeight="1" outlineLevel="1" x14ac:dyDescent="0.3">
      <c r="B86" s="14"/>
      <c r="C86" s="15"/>
      <c r="D86" s="4">
        <f>SUMIFS(Tab_99.Trial[DEZEMBRO],Tab_99.Trial[CONTA],$B86)</f>
        <v>0</v>
      </c>
      <c r="E86" s="78">
        <f t="shared" si="90"/>
        <v>0</v>
      </c>
      <c r="F86" s="4">
        <f ca="1">SUMIFS(INDIRECT("Tab_00.Trial["&amp;F$4&amp;"]"),Tab_00.Trial[CONTA],$B86)</f>
        <v>0</v>
      </c>
      <c r="G86" s="78">
        <f t="shared" ca="1" si="91"/>
        <v>0</v>
      </c>
      <c r="H86" s="78">
        <f t="shared" ca="1" si="27"/>
        <v>0</v>
      </c>
      <c r="I86" s="4">
        <f ca="1">SUMIFS(INDIRECT("Tab_00.Trial["&amp;I$4&amp;"]"),Tab_00.Trial[CONTA],$B86)</f>
        <v>0</v>
      </c>
      <c r="J86" s="78">
        <f t="shared" ca="1" si="92"/>
        <v>0</v>
      </c>
      <c r="K86" s="78">
        <f t="shared" ca="1" si="29"/>
        <v>0</v>
      </c>
      <c r="L86" s="4">
        <f ca="1">SUMIFS(INDIRECT("Tab_00.Trial["&amp;L$4&amp;"]"),Tab_00.Trial[CONTA],$B86)</f>
        <v>0</v>
      </c>
      <c r="M86" s="78">
        <f t="shared" ca="1" si="93"/>
        <v>0</v>
      </c>
      <c r="N86" s="78">
        <f t="shared" ca="1" si="31"/>
        <v>0</v>
      </c>
      <c r="O86" s="4">
        <f ca="1">SUMIFS(INDIRECT("Tab_00.Trial["&amp;O$4&amp;"]"),Tab_00.Trial[CONTA],$B86)</f>
        <v>0</v>
      </c>
      <c r="P86" s="78">
        <f t="shared" ca="1" si="94"/>
        <v>0</v>
      </c>
      <c r="Q86" s="78">
        <f t="shared" ca="1" si="33"/>
        <v>0</v>
      </c>
      <c r="R86" s="4">
        <f ca="1">SUMIFS(INDIRECT("Tab_00.Trial["&amp;R$4&amp;"]"),Tab_00.Trial[CONTA],$B86)</f>
        <v>0</v>
      </c>
      <c r="S86" s="78">
        <f t="shared" ca="1" si="95"/>
        <v>0</v>
      </c>
      <c r="T86" s="78">
        <f t="shared" ca="1" si="35"/>
        <v>0</v>
      </c>
      <c r="U86" s="4">
        <f ca="1">SUMIFS(INDIRECT("Tab_00.Trial["&amp;U$4&amp;"]"),Tab_00.Trial[CONTA],$B86)</f>
        <v>0</v>
      </c>
      <c r="V86" s="78">
        <f t="shared" ca="1" si="96"/>
        <v>0</v>
      </c>
      <c r="W86" s="78">
        <f t="shared" ca="1" si="37"/>
        <v>0</v>
      </c>
      <c r="X86" s="4">
        <f ca="1">SUMIFS(INDIRECT("Tab_00.Trial["&amp;X$4&amp;"]"),Tab_00.Trial[CONTA],$B86)</f>
        <v>0</v>
      </c>
      <c r="Y86" s="78">
        <f t="shared" ca="1" si="97"/>
        <v>0</v>
      </c>
      <c r="Z86" s="78">
        <f t="shared" ca="1" si="39"/>
        <v>0</v>
      </c>
      <c r="AA86" s="4">
        <f ca="1">SUMIFS(INDIRECT("Tab_00.Trial["&amp;AA$4&amp;"]"),Tab_00.Trial[CONTA],$B86)</f>
        <v>0</v>
      </c>
      <c r="AB86" s="78">
        <f t="shared" ca="1" si="98"/>
        <v>0</v>
      </c>
      <c r="AC86" s="78">
        <f t="shared" ca="1" si="41"/>
        <v>0</v>
      </c>
      <c r="AD86" s="4">
        <f ca="1">SUMIFS(INDIRECT("Tab_00.Trial["&amp;AD$4&amp;"]"),Tab_00.Trial[CONTA],$B86)</f>
        <v>0</v>
      </c>
      <c r="AE86" s="78">
        <f t="shared" ca="1" si="99"/>
        <v>0</v>
      </c>
      <c r="AF86" s="78">
        <f t="shared" ca="1" si="43"/>
        <v>0</v>
      </c>
      <c r="AG86" s="4">
        <f ca="1">SUMIFS(INDIRECT("Tab_00.Trial["&amp;AG$4&amp;"]"),Tab_00.Trial[CONTA],$B86)</f>
        <v>0</v>
      </c>
      <c r="AH86" s="78">
        <f t="shared" ca="1" si="100"/>
        <v>0</v>
      </c>
      <c r="AI86" s="78">
        <f t="shared" ca="1" si="45"/>
        <v>0</v>
      </c>
      <c r="AJ86" s="4">
        <f ca="1">SUMIFS(INDIRECT("Tab_00.Trial["&amp;AJ$4&amp;"]"),Tab_00.Trial[CONTA],$B86)</f>
        <v>0</v>
      </c>
      <c r="AK86" s="78">
        <f t="shared" ca="1" si="101"/>
        <v>0</v>
      </c>
      <c r="AL86" s="78">
        <f t="shared" ca="1" si="47"/>
        <v>0</v>
      </c>
      <c r="AM86" s="4">
        <f ca="1">SUMIFS(INDIRECT("Tab_00.Trial["&amp;AM$4&amp;"]"),Tab_00.Trial[CONTA],$B86)</f>
        <v>0</v>
      </c>
      <c r="AN86" s="78">
        <f t="shared" ca="1" si="102"/>
        <v>0</v>
      </c>
      <c r="AO86" s="78">
        <f t="shared" ca="1" si="49"/>
        <v>0</v>
      </c>
      <c r="AQ86" s="142"/>
    </row>
    <row r="87" spans="2:43" ht="15" hidden="1" customHeight="1" outlineLevel="1" x14ac:dyDescent="0.3">
      <c r="B87" s="14"/>
      <c r="C87" s="15"/>
      <c r="D87" s="4">
        <f>SUMIFS(Tab_99.Trial[DEZEMBRO],Tab_99.Trial[CONTA],$B87)</f>
        <v>0</v>
      </c>
      <c r="E87" s="78">
        <f t="shared" si="90"/>
        <v>0</v>
      </c>
      <c r="F87" s="4">
        <f ca="1">SUMIFS(INDIRECT("Tab_00.Trial["&amp;F$4&amp;"]"),Tab_00.Trial[CONTA],$B87)</f>
        <v>0</v>
      </c>
      <c r="G87" s="78">
        <f t="shared" ca="1" si="91"/>
        <v>0</v>
      </c>
      <c r="H87" s="78">
        <f t="shared" ca="1" si="27"/>
        <v>0</v>
      </c>
      <c r="I87" s="4">
        <f ca="1">SUMIFS(INDIRECT("Tab_00.Trial["&amp;I$4&amp;"]"),Tab_00.Trial[CONTA],$B87)</f>
        <v>0</v>
      </c>
      <c r="J87" s="78">
        <f t="shared" ca="1" si="92"/>
        <v>0</v>
      </c>
      <c r="K87" s="78">
        <f t="shared" ca="1" si="29"/>
        <v>0</v>
      </c>
      <c r="L87" s="4">
        <f ca="1">SUMIFS(INDIRECT("Tab_00.Trial["&amp;L$4&amp;"]"),Tab_00.Trial[CONTA],$B87)</f>
        <v>0</v>
      </c>
      <c r="M87" s="78">
        <f t="shared" ca="1" si="93"/>
        <v>0</v>
      </c>
      <c r="N87" s="78">
        <f t="shared" ca="1" si="31"/>
        <v>0</v>
      </c>
      <c r="O87" s="4">
        <f ca="1">SUMIFS(INDIRECT("Tab_00.Trial["&amp;O$4&amp;"]"),Tab_00.Trial[CONTA],$B87)</f>
        <v>0</v>
      </c>
      <c r="P87" s="78">
        <f t="shared" ca="1" si="94"/>
        <v>0</v>
      </c>
      <c r="Q87" s="78">
        <f t="shared" ca="1" si="33"/>
        <v>0</v>
      </c>
      <c r="R87" s="4">
        <f ca="1">SUMIFS(INDIRECT("Tab_00.Trial["&amp;R$4&amp;"]"),Tab_00.Trial[CONTA],$B87)</f>
        <v>0</v>
      </c>
      <c r="S87" s="78">
        <f t="shared" ca="1" si="95"/>
        <v>0</v>
      </c>
      <c r="T87" s="78">
        <f t="shared" ca="1" si="35"/>
        <v>0</v>
      </c>
      <c r="U87" s="4">
        <f ca="1">SUMIFS(INDIRECT("Tab_00.Trial["&amp;U$4&amp;"]"),Tab_00.Trial[CONTA],$B87)</f>
        <v>0</v>
      </c>
      <c r="V87" s="78">
        <f t="shared" ca="1" si="96"/>
        <v>0</v>
      </c>
      <c r="W87" s="78">
        <f t="shared" ca="1" si="37"/>
        <v>0</v>
      </c>
      <c r="X87" s="4">
        <f ca="1">SUMIFS(INDIRECT("Tab_00.Trial["&amp;X$4&amp;"]"),Tab_00.Trial[CONTA],$B87)</f>
        <v>0</v>
      </c>
      <c r="Y87" s="78">
        <f t="shared" ca="1" si="97"/>
        <v>0</v>
      </c>
      <c r="Z87" s="78">
        <f t="shared" ca="1" si="39"/>
        <v>0</v>
      </c>
      <c r="AA87" s="4">
        <f ca="1">SUMIFS(INDIRECT("Tab_00.Trial["&amp;AA$4&amp;"]"),Tab_00.Trial[CONTA],$B87)</f>
        <v>0</v>
      </c>
      <c r="AB87" s="78">
        <f t="shared" ca="1" si="98"/>
        <v>0</v>
      </c>
      <c r="AC87" s="78">
        <f t="shared" ca="1" si="41"/>
        <v>0</v>
      </c>
      <c r="AD87" s="4">
        <f ca="1">SUMIFS(INDIRECT("Tab_00.Trial["&amp;AD$4&amp;"]"),Tab_00.Trial[CONTA],$B87)</f>
        <v>0</v>
      </c>
      <c r="AE87" s="78">
        <f t="shared" ca="1" si="99"/>
        <v>0</v>
      </c>
      <c r="AF87" s="78">
        <f t="shared" ca="1" si="43"/>
        <v>0</v>
      </c>
      <c r="AG87" s="4">
        <f ca="1">SUMIFS(INDIRECT("Tab_00.Trial["&amp;AG$4&amp;"]"),Tab_00.Trial[CONTA],$B87)</f>
        <v>0</v>
      </c>
      <c r="AH87" s="78">
        <f t="shared" ca="1" si="100"/>
        <v>0</v>
      </c>
      <c r="AI87" s="78">
        <f t="shared" ca="1" si="45"/>
        <v>0</v>
      </c>
      <c r="AJ87" s="4">
        <f ca="1">SUMIFS(INDIRECT("Tab_00.Trial["&amp;AJ$4&amp;"]"),Tab_00.Trial[CONTA],$B87)</f>
        <v>0</v>
      </c>
      <c r="AK87" s="78">
        <f t="shared" ca="1" si="101"/>
        <v>0</v>
      </c>
      <c r="AL87" s="78">
        <f t="shared" ca="1" si="47"/>
        <v>0</v>
      </c>
      <c r="AM87" s="4">
        <f ca="1">SUMIFS(INDIRECT("Tab_00.Trial["&amp;AM$4&amp;"]"),Tab_00.Trial[CONTA],$B87)</f>
        <v>0</v>
      </c>
      <c r="AN87" s="78">
        <f t="shared" ca="1" si="102"/>
        <v>0</v>
      </c>
      <c r="AO87" s="78">
        <f t="shared" ca="1" si="49"/>
        <v>0</v>
      </c>
      <c r="AQ87" s="142"/>
    </row>
    <row r="88" spans="2:43" ht="15" hidden="1" customHeight="1" outlineLevel="1" x14ac:dyDescent="0.3">
      <c r="B88" s="14"/>
      <c r="C88" s="15"/>
      <c r="D88" s="4">
        <f>SUMIFS(Tab_99.Trial[DEZEMBRO],Tab_99.Trial[CONTA],$B88)</f>
        <v>0</v>
      </c>
      <c r="E88" s="78">
        <f t="shared" si="90"/>
        <v>0</v>
      </c>
      <c r="F88" s="4">
        <f ca="1">SUMIFS(INDIRECT("Tab_00.Trial["&amp;F$4&amp;"]"),Tab_00.Trial[CONTA],$B88)</f>
        <v>0</v>
      </c>
      <c r="G88" s="78">
        <f t="shared" ca="1" si="91"/>
        <v>0</v>
      </c>
      <c r="H88" s="78">
        <f t="shared" ca="1" si="27"/>
        <v>0</v>
      </c>
      <c r="I88" s="4">
        <f ca="1">SUMIFS(INDIRECT("Tab_00.Trial["&amp;I$4&amp;"]"),Tab_00.Trial[CONTA],$B88)</f>
        <v>0</v>
      </c>
      <c r="J88" s="78">
        <f t="shared" ca="1" si="92"/>
        <v>0</v>
      </c>
      <c r="K88" s="78">
        <f t="shared" ca="1" si="29"/>
        <v>0</v>
      </c>
      <c r="L88" s="4">
        <f ca="1">SUMIFS(INDIRECT("Tab_00.Trial["&amp;L$4&amp;"]"),Tab_00.Trial[CONTA],$B88)</f>
        <v>0</v>
      </c>
      <c r="M88" s="78">
        <f t="shared" ca="1" si="93"/>
        <v>0</v>
      </c>
      <c r="N88" s="78">
        <f t="shared" ca="1" si="31"/>
        <v>0</v>
      </c>
      <c r="O88" s="4">
        <f ca="1">SUMIFS(INDIRECT("Tab_00.Trial["&amp;O$4&amp;"]"),Tab_00.Trial[CONTA],$B88)</f>
        <v>0</v>
      </c>
      <c r="P88" s="78">
        <f t="shared" ca="1" si="94"/>
        <v>0</v>
      </c>
      <c r="Q88" s="78">
        <f t="shared" ca="1" si="33"/>
        <v>0</v>
      </c>
      <c r="R88" s="4">
        <f ca="1">SUMIFS(INDIRECT("Tab_00.Trial["&amp;R$4&amp;"]"),Tab_00.Trial[CONTA],$B88)</f>
        <v>0</v>
      </c>
      <c r="S88" s="78">
        <f t="shared" ca="1" si="95"/>
        <v>0</v>
      </c>
      <c r="T88" s="78">
        <f t="shared" ca="1" si="35"/>
        <v>0</v>
      </c>
      <c r="U88" s="4">
        <f ca="1">SUMIFS(INDIRECT("Tab_00.Trial["&amp;U$4&amp;"]"),Tab_00.Trial[CONTA],$B88)</f>
        <v>0</v>
      </c>
      <c r="V88" s="78">
        <f t="shared" ca="1" si="96"/>
        <v>0</v>
      </c>
      <c r="W88" s="78">
        <f t="shared" ca="1" si="37"/>
        <v>0</v>
      </c>
      <c r="X88" s="4">
        <f ca="1">SUMIFS(INDIRECT("Tab_00.Trial["&amp;X$4&amp;"]"),Tab_00.Trial[CONTA],$B88)</f>
        <v>0</v>
      </c>
      <c r="Y88" s="78">
        <f t="shared" ca="1" si="97"/>
        <v>0</v>
      </c>
      <c r="Z88" s="78">
        <f t="shared" ca="1" si="39"/>
        <v>0</v>
      </c>
      <c r="AA88" s="4">
        <f ca="1">SUMIFS(INDIRECT("Tab_00.Trial["&amp;AA$4&amp;"]"),Tab_00.Trial[CONTA],$B88)</f>
        <v>0</v>
      </c>
      <c r="AB88" s="78">
        <f t="shared" ca="1" si="98"/>
        <v>0</v>
      </c>
      <c r="AC88" s="78">
        <f t="shared" ca="1" si="41"/>
        <v>0</v>
      </c>
      <c r="AD88" s="4">
        <f ca="1">SUMIFS(INDIRECT("Tab_00.Trial["&amp;AD$4&amp;"]"),Tab_00.Trial[CONTA],$B88)</f>
        <v>0</v>
      </c>
      <c r="AE88" s="78">
        <f t="shared" ca="1" si="99"/>
        <v>0</v>
      </c>
      <c r="AF88" s="78">
        <f t="shared" ca="1" si="43"/>
        <v>0</v>
      </c>
      <c r="AG88" s="4">
        <f ca="1">SUMIFS(INDIRECT("Tab_00.Trial["&amp;AG$4&amp;"]"),Tab_00.Trial[CONTA],$B88)</f>
        <v>0</v>
      </c>
      <c r="AH88" s="78">
        <f t="shared" ca="1" si="100"/>
        <v>0</v>
      </c>
      <c r="AI88" s="78">
        <f t="shared" ca="1" si="45"/>
        <v>0</v>
      </c>
      <c r="AJ88" s="4">
        <f ca="1">SUMIFS(INDIRECT("Tab_00.Trial["&amp;AJ$4&amp;"]"),Tab_00.Trial[CONTA],$B88)</f>
        <v>0</v>
      </c>
      <c r="AK88" s="78">
        <f t="shared" ca="1" si="101"/>
        <v>0</v>
      </c>
      <c r="AL88" s="78">
        <f t="shared" ca="1" si="47"/>
        <v>0</v>
      </c>
      <c r="AM88" s="4">
        <f ca="1">SUMIFS(INDIRECT("Tab_00.Trial["&amp;AM$4&amp;"]"),Tab_00.Trial[CONTA],$B88)</f>
        <v>0</v>
      </c>
      <c r="AN88" s="78">
        <f t="shared" ca="1" si="102"/>
        <v>0</v>
      </c>
      <c r="AO88" s="78">
        <f t="shared" ca="1" si="49"/>
        <v>0</v>
      </c>
      <c r="AQ88" s="142"/>
    </row>
    <row r="89" spans="2:43" ht="15" hidden="1" customHeight="1" outlineLevel="1" x14ac:dyDescent="0.3">
      <c r="B89" s="14"/>
      <c r="C89" s="15"/>
      <c r="D89" s="4">
        <f>SUMIFS(Tab_99.Trial[DEZEMBRO],Tab_99.Trial[CONTA],$B89)</f>
        <v>0</v>
      </c>
      <c r="E89" s="78">
        <f t="shared" si="90"/>
        <v>0</v>
      </c>
      <c r="F89" s="4">
        <f ca="1">SUMIFS(INDIRECT("Tab_00.Trial["&amp;F$4&amp;"]"),Tab_00.Trial[CONTA],$B89)</f>
        <v>0</v>
      </c>
      <c r="G89" s="78">
        <f t="shared" ca="1" si="91"/>
        <v>0</v>
      </c>
      <c r="H89" s="78">
        <f t="shared" ca="1" si="27"/>
        <v>0</v>
      </c>
      <c r="I89" s="4">
        <f ca="1">SUMIFS(INDIRECT("Tab_00.Trial["&amp;I$4&amp;"]"),Tab_00.Trial[CONTA],$B89)</f>
        <v>0</v>
      </c>
      <c r="J89" s="78">
        <f t="shared" ca="1" si="92"/>
        <v>0</v>
      </c>
      <c r="K89" s="78">
        <f t="shared" ca="1" si="29"/>
        <v>0</v>
      </c>
      <c r="L89" s="4">
        <f ca="1">SUMIFS(INDIRECT("Tab_00.Trial["&amp;L$4&amp;"]"),Tab_00.Trial[CONTA],$B89)</f>
        <v>0</v>
      </c>
      <c r="M89" s="78">
        <f t="shared" ca="1" si="93"/>
        <v>0</v>
      </c>
      <c r="N89" s="78">
        <f t="shared" ca="1" si="31"/>
        <v>0</v>
      </c>
      <c r="O89" s="4">
        <f ca="1">SUMIFS(INDIRECT("Tab_00.Trial["&amp;O$4&amp;"]"),Tab_00.Trial[CONTA],$B89)</f>
        <v>0</v>
      </c>
      <c r="P89" s="78">
        <f t="shared" ca="1" si="94"/>
        <v>0</v>
      </c>
      <c r="Q89" s="78">
        <f t="shared" ca="1" si="33"/>
        <v>0</v>
      </c>
      <c r="R89" s="4">
        <f ca="1">SUMIFS(INDIRECT("Tab_00.Trial["&amp;R$4&amp;"]"),Tab_00.Trial[CONTA],$B89)</f>
        <v>0</v>
      </c>
      <c r="S89" s="78">
        <f t="shared" ca="1" si="95"/>
        <v>0</v>
      </c>
      <c r="T89" s="78">
        <f t="shared" ca="1" si="35"/>
        <v>0</v>
      </c>
      <c r="U89" s="4">
        <f ca="1">SUMIFS(INDIRECT("Tab_00.Trial["&amp;U$4&amp;"]"),Tab_00.Trial[CONTA],$B89)</f>
        <v>0</v>
      </c>
      <c r="V89" s="78">
        <f t="shared" ca="1" si="96"/>
        <v>0</v>
      </c>
      <c r="W89" s="78">
        <f t="shared" ca="1" si="37"/>
        <v>0</v>
      </c>
      <c r="X89" s="4">
        <f ca="1">SUMIFS(INDIRECT("Tab_00.Trial["&amp;X$4&amp;"]"),Tab_00.Trial[CONTA],$B89)</f>
        <v>0</v>
      </c>
      <c r="Y89" s="78">
        <f t="shared" ca="1" si="97"/>
        <v>0</v>
      </c>
      <c r="Z89" s="78">
        <f t="shared" ca="1" si="39"/>
        <v>0</v>
      </c>
      <c r="AA89" s="4">
        <f ca="1">SUMIFS(INDIRECT("Tab_00.Trial["&amp;AA$4&amp;"]"),Tab_00.Trial[CONTA],$B89)</f>
        <v>0</v>
      </c>
      <c r="AB89" s="78">
        <f t="shared" ca="1" si="98"/>
        <v>0</v>
      </c>
      <c r="AC89" s="78">
        <f t="shared" ca="1" si="41"/>
        <v>0</v>
      </c>
      <c r="AD89" s="4">
        <f ca="1">SUMIFS(INDIRECT("Tab_00.Trial["&amp;AD$4&amp;"]"),Tab_00.Trial[CONTA],$B89)</f>
        <v>0</v>
      </c>
      <c r="AE89" s="78">
        <f t="shared" ca="1" si="99"/>
        <v>0</v>
      </c>
      <c r="AF89" s="78">
        <f t="shared" ca="1" si="43"/>
        <v>0</v>
      </c>
      <c r="AG89" s="4">
        <f ca="1">SUMIFS(INDIRECT("Tab_00.Trial["&amp;AG$4&amp;"]"),Tab_00.Trial[CONTA],$B89)</f>
        <v>0</v>
      </c>
      <c r="AH89" s="78">
        <f t="shared" ca="1" si="100"/>
        <v>0</v>
      </c>
      <c r="AI89" s="78">
        <f t="shared" ca="1" si="45"/>
        <v>0</v>
      </c>
      <c r="AJ89" s="4">
        <f ca="1">SUMIFS(INDIRECT("Tab_00.Trial["&amp;AJ$4&amp;"]"),Tab_00.Trial[CONTA],$B89)</f>
        <v>0</v>
      </c>
      <c r="AK89" s="78">
        <f t="shared" ca="1" si="101"/>
        <v>0</v>
      </c>
      <c r="AL89" s="78">
        <f t="shared" ca="1" si="47"/>
        <v>0</v>
      </c>
      <c r="AM89" s="4">
        <f ca="1">SUMIFS(INDIRECT("Tab_00.Trial["&amp;AM$4&amp;"]"),Tab_00.Trial[CONTA],$B89)</f>
        <v>0</v>
      </c>
      <c r="AN89" s="78">
        <f t="shared" ca="1" si="102"/>
        <v>0</v>
      </c>
      <c r="AO89" s="78">
        <f t="shared" ca="1" si="49"/>
        <v>0</v>
      </c>
    </row>
    <row r="90" spans="2:43" ht="5.0999999999999996" hidden="1" customHeight="1" outlineLevel="1" x14ac:dyDescent="0.3">
      <c r="B90" s="74"/>
      <c r="C90" s="75"/>
      <c r="D90" s="76"/>
      <c r="E90" s="77"/>
      <c r="F90" s="76"/>
      <c r="G90" s="77"/>
      <c r="H90" s="77"/>
      <c r="I90" s="76"/>
      <c r="J90" s="77"/>
      <c r="K90" s="77"/>
      <c r="L90" s="76"/>
      <c r="M90" s="77"/>
      <c r="N90" s="77"/>
      <c r="O90" s="76"/>
      <c r="P90" s="77"/>
      <c r="Q90" s="77"/>
      <c r="R90" s="76"/>
      <c r="S90" s="77"/>
      <c r="T90" s="77"/>
      <c r="U90" s="76"/>
      <c r="V90" s="77"/>
      <c r="W90" s="77"/>
      <c r="X90" s="76"/>
      <c r="Y90" s="77"/>
      <c r="Z90" s="77"/>
      <c r="AA90" s="76"/>
      <c r="AB90" s="77"/>
      <c r="AC90" s="77"/>
      <c r="AD90" s="76"/>
      <c r="AE90" s="77"/>
      <c r="AF90" s="77"/>
      <c r="AG90" s="76"/>
      <c r="AH90" s="77"/>
      <c r="AI90" s="77"/>
      <c r="AJ90" s="76"/>
      <c r="AK90" s="77"/>
      <c r="AL90" s="77"/>
      <c r="AM90" s="76"/>
      <c r="AN90" s="77"/>
      <c r="AO90" s="77"/>
    </row>
    <row r="91" spans="2:43" ht="15" customHeight="1" collapsed="1" x14ac:dyDescent="0.3">
      <c r="C91" s="3"/>
      <c r="D91" s="16">
        <f>SUBTOTAL(9,D$6:D$90)</f>
        <v>0</v>
      </c>
      <c r="E91" s="80">
        <f>IFERROR($D91/$D$160,0)</f>
        <v>0</v>
      </c>
      <c r="F91" s="16">
        <f ca="1">SUBTOTAL(9,F$6:F$90)</f>
        <v>11209233.01</v>
      </c>
      <c r="G91" s="80">
        <f ca="1">IFERROR($F91/$F$160,0)</f>
        <v>0.13370000000000001</v>
      </c>
      <c r="H91" s="80">
        <f t="shared" ca="1" si="27"/>
        <v>0</v>
      </c>
      <c r="I91" s="16">
        <f ca="1">SUBTOTAL(9,I$6:I$90)</f>
        <v>10426264.02</v>
      </c>
      <c r="J91" s="80">
        <f ca="1">IFERROR($I91/$I$160,0)</f>
        <v>0.12529999999999999</v>
      </c>
      <c r="K91" s="80">
        <f t="shared" ca="1" si="29"/>
        <v>-6.9900000000000004E-2</v>
      </c>
      <c r="L91" s="16">
        <f ca="1">SUBTOTAL(9,L$6:L$90)</f>
        <v>10275647.300000001</v>
      </c>
      <c r="M91" s="80">
        <f ca="1">IFERROR($L91/$L$160,0)</f>
        <v>0.1234</v>
      </c>
      <c r="N91" s="80">
        <f t="shared" ca="1" si="31"/>
        <v>-1.44E-2</v>
      </c>
      <c r="O91" s="16">
        <f ca="1">SUBTOTAL(9,O$6:O$90)</f>
        <v>10722880.470000001</v>
      </c>
      <c r="P91" s="80">
        <f ca="1">IFERROR($O91/$O$160,0)</f>
        <v>0.12820000000000001</v>
      </c>
      <c r="Q91" s="80">
        <f t="shared" ca="1" si="33"/>
        <v>4.3499999999999997E-2</v>
      </c>
      <c r="R91" s="16">
        <f ca="1">SUBTOTAL(9,R$6:R$90)</f>
        <v>10801860.060000001</v>
      </c>
      <c r="S91" s="80">
        <f ca="1">IFERROR($R91/$R$160,0)</f>
        <v>0.12870000000000001</v>
      </c>
      <c r="T91" s="80">
        <f t="shared" ca="1" si="35"/>
        <v>7.4000000000000003E-3</v>
      </c>
      <c r="U91" s="16">
        <f ca="1">SUBTOTAL(9,U$6:U$90)</f>
        <v>10925021.640000001</v>
      </c>
      <c r="V91" s="80">
        <f ca="1">IFERROR($U91/$U$160,0)</f>
        <v>0.1298</v>
      </c>
      <c r="W91" s="80">
        <f t="shared" ca="1" si="37"/>
        <v>1.14E-2</v>
      </c>
      <c r="X91" s="16">
        <f ca="1">SUBTOTAL(9,X$6:X$90)</f>
        <v>11134981.59</v>
      </c>
      <c r="Y91" s="80">
        <f ca="1">IFERROR($X91/$X$160,0)</f>
        <v>0.13139999999999999</v>
      </c>
      <c r="Z91" s="80">
        <f t="shared" ca="1" si="39"/>
        <v>1.9199999999999998E-2</v>
      </c>
      <c r="AA91" s="16">
        <f ca="1">SUBTOTAL(9,AA$6:AA$90)</f>
        <v>11252115.48</v>
      </c>
      <c r="AB91" s="80">
        <f ca="1">IFERROR($AA91/$AA$160,0)</f>
        <v>0.13220000000000001</v>
      </c>
      <c r="AC91" s="80">
        <f t="shared" ca="1" si="41"/>
        <v>1.0500000000000001E-2</v>
      </c>
      <c r="AD91" s="16">
        <f ca="1">SUBTOTAL(9,AD$6:AD$90)</f>
        <v>11196024.65</v>
      </c>
      <c r="AE91" s="80">
        <f ca="1">IFERROR($AD91/$AD$160,0)</f>
        <v>0.13150000000000001</v>
      </c>
      <c r="AF91" s="80">
        <f t="shared" ca="1" si="43"/>
        <v>-5.0000000000000001E-3</v>
      </c>
      <c r="AG91" s="16">
        <f ca="1">SUBTOTAL(9,AG$6:AG$90)</f>
        <v>11314732.35</v>
      </c>
      <c r="AH91" s="80">
        <f ca="1">IFERROR($AG91/$AG$160,0)</f>
        <v>0.1326</v>
      </c>
      <c r="AI91" s="80">
        <f t="shared" ca="1" si="45"/>
        <v>1.06E-2</v>
      </c>
      <c r="AJ91" s="16">
        <f ca="1">SUBTOTAL(9,AJ$6:AJ$90)</f>
        <v>11387803.220000001</v>
      </c>
      <c r="AK91" s="80">
        <f ca="1">IFERROR($AJ91/$AJ$160,0)</f>
        <v>0.13289999999999999</v>
      </c>
      <c r="AL91" s="80">
        <f t="shared" ca="1" si="47"/>
        <v>6.4999999999999997E-3</v>
      </c>
      <c r="AM91" s="16">
        <f ca="1">SUBTOTAL(9,AM$6:AM$90)</f>
        <v>11420024.439999999</v>
      </c>
      <c r="AN91" s="80">
        <f ca="1">IFERROR(AM91/AM$160,0)</f>
        <v>0.13350000000000001</v>
      </c>
      <c r="AO91" s="80">
        <f t="shared" ca="1" si="49"/>
        <v>2.8E-3</v>
      </c>
    </row>
    <row r="92" spans="2:43" ht="9.9" customHeight="1" x14ac:dyDescent="0.3">
      <c r="C92" s="3"/>
      <c r="AN92" s="78"/>
      <c r="AO92" s="78"/>
    </row>
    <row r="93" spans="2:43" ht="15" customHeight="1" x14ac:dyDescent="0.3">
      <c r="C93" s="9" t="s">
        <v>34</v>
      </c>
      <c r="AN93" s="78"/>
      <c r="AO93" s="78"/>
    </row>
    <row r="94" spans="2:43" ht="15" customHeight="1" collapsed="1" x14ac:dyDescent="0.3">
      <c r="B94" s="3" t="s">
        <v>92</v>
      </c>
      <c r="C94" s="14" t="s">
        <v>87</v>
      </c>
      <c r="D94" s="4">
        <f>SUBTOTAL(9,D$95:D$97)</f>
        <v>0</v>
      </c>
      <c r="E94" s="78">
        <f>IFERROR($D94/$D$160,0)</f>
        <v>0</v>
      </c>
      <c r="F94" s="4">
        <f ca="1">SUBTOTAL(9,F$95:F$97)</f>
        <v>24698297</v>
      </c>
      <c r="G94" s="78">
        <f ca="1">IFERROR($F94/$F$160,0)</f>
        <v>0.29459999999999997</v>
      </c>
      <c r="H94" s="78">
        <f t="shared" ref="H94:H95" ca="1" si="103">IFERROR(($F94-$D94)/ABS($D94),0)</f>
        <v>0</v>
      </c>
      <c r="I94" s="4">
        <f ca="1">SUBTOTAL(9,I$95:I$97)</f>
        <v>24830281.260000002</v>
      </c>
      <c r="J94" s="78">
        <f ca="1">IFERROR($I94/$I$160,0)</f>
        <v>0.29849999999999999</v>
      </c>
      <c r="K94" s="78">
        <f t="shared" ref="K94:K95" ca="1" si="104">IFERROR(($I94-$F94)/ABS($F94),0)</f>
        <v>5.3E-3</v>
      </c>
      <c r="L94" s="4">
        <f ca="1">SUBTOTAL(9,L$95:L$97)</f>
        <v>25048650.870000001</v>
      </c>
      <c r="M94" s="78">
        <f ca="1">IFERROR($L94/$L$160,0)</f>
        <v>0.30080000000000001</v>
      </c>
      <c r="N94" s="78">
        <f t="shared" ref="N94:N95" ca="1" si="105">IFERROR(($L94-$I94)/ABS($I94),0)</f>
        <v>8.8000000000000005E-3</v>
      </c>
      <c r="O94" s="4">
        <f ca="1">SUBTOTAL(9,O$95:O$97)</f>
        <v>24933831.27</v>
      </c>
      <c r="P94" s="78">
        <f ca="1">IFERROR($O94/$O$160,0)</f>
        <v>0.29820000000000002</v>
      </c>
      <c r="Q94" s="78">
        <f t="shared" ref="Q94:Q95" ca="1" si="106">IFERROR(($O94-$L94)/ABS($L94),0)</f>
        <v>-4.5999999999999999E-3</v>
      </c>
      <c r="R94" s="4">
        <f ca="1">SUBTOTAL(9,R$95:R$97)</f>
        <v>25173527.609999999</v>
      </c>
      <c r="S94" s="78">
        <f ca="1">IFERROR($R94/$R$160,0)</f>
        <v>0.2999</v>
      </c>
      <c r="T94" s="78">
        <f t="shared" ref="T94:T95" ca="1" si="107">IFERROR(($R94-$O94)/ABS($O94),0)</f>
        <v>9.5999999999999992E-3</v>
      </c>
      <c r="U94" s="4">
        <f ca="1">SUBTOTAL(9,U$95:U$97)</f>
        <v>25292007.609999999</v>
      </c>
      <c r="V94" s="78">
        <f ca="1">IFERROR($U94/$U$160,0)</f>
        <v>0.3004</v>
      </c>
      <c r="W94" s="78">
        <f t="shared" ref="W94:W95" ca="1" si="108">IFERROR(($U94-$R94)/ABS($R94),0)</f>
        <v>4.7000000000000002E-3</v>
      </c>
      <c r="X94" s="4">
        <f ca="1">SUBTOTAL(9,X$95:X$97)</f>
        <v>25628848</v>
      </c>
      <c r="Y94" s="78">
        <f ca="1">IFERROR($X94/$X$160,0)</f>
        <v>0.30249999999999999</v>
      </c>
      <c r="Z94" s="78">
        <f t="shared" ref="Z94:Z95" ca="1" si="109">IFERROR(($X94-$U94)/ABS($U94),0)</f>
        <v>1.3299999999999999E-2</v>
      </c>
      <c r="AA94" s="4">
        <f ca="1">SUBTOTAL(9,AA$95:AA$97)</f>
        <v>25908609</v>
      </c>
      <c r="AB94" s="78">
        <f ca="1">IFERROR($AA94/$AA$160,0)</f>
        <v>0.30430000000000001</v>
      </c>
      <c r="AC94" s="78">
        <f t="shared" ref="AC94:AC95" ca="1" si="110">IFERROR(($AA94-$X94)/ABS($X94),0)</f>
        <v>1.09E-2</v>
      </c>
      <c r="AD94" s="4">
        <f ca="1">SUBTOTAL(9,AD$95:AD$97)</f>
        <v>25968003</v>
      </c>
      <c r="AE94" s="78">
        <f ca="1">IFERROR($AD94/$AD$160,0)</f>
        <v>0.30499999999999999</v>
      </c>
      <c r="AF94" s="78">
        <f t="shared" ref="AF94:AF95" ca="1" si="111">IFERROR(($AD94-$AA94)/ABS($AA94),0)</f>
        <v>2.3E-3</v>
      </c>
      <c r="AG94" s="4">
        <f ca="1">SUBTOTAL(9,AG$95:AG$97)</f>
        <v>26078405</v>
      </c>
      <c r="AH94" s="78">
        <f ca="1">IFERROR($AG94/$AG$160,0)</f>
        <v>0.30549999999999999</v>
      </c>
      <c r="AI94" s="78">
        <f t="shared" ref="AI94:AI95" ca="1" si="112">IFERROR(($AG94-$AD94)/ABS($AD94),0)</f>
        <v>4.3E-3</v>
      </c>
      <c r="AJ94" s="4">
        <f ca="1">SUBTOTAL(9,AJ$95:AJ$97)</f>
        <v>26322642</v>
      </c>
      <c r="AK94" s="78">
        <f ca="1">IFERROR($AJ94/$AJ$160,0)</f>
        <v>0.30730000000000002</v>
      </c>
      <c r="AL94" s="78">
        <f t="shared" ref="AL94:AL95" ca="1" si="113">IFERROR(($AJ94-$AG94)/ABS($AG94),0)</f>
        <v>9.4000000000000004E-3</v>
      </c>
      <c r="AM94" s="4">
        <f ca="1">SUBTOTAL(9,AM$95:AM$97)</f>
        <v>26183193</v>
      </c>
      <c r="AN94" s="78">
        <f ca="1">IFERROR(AM94/AM$160,0)</f>
        <v>0.30599999999999999</v>
      </c>
      <c r="AO94" s="78">
        <f t="shared" ref="AO94:AO95" ca="1" si="114">IFERROR(($AM94-$AJ94)/ABS($AJ94),0)</f>
        <v>-5.3E-3</v>
      </c>
    </row>
    <row r="95" spans="2:43" ht="15" hidden="1" customHeight="1" outlineLevel="1" x14ac:dyDescent="0.3">
      <c r="B95" s="14" t="s">
        <v>308</v>
      </c>
      <c r="C95" s="15" t="s">
        <v>309</v>
      </c>
      <c r="D95" s="4">
        <f>SUMIFS(Tab_99.Trial[DEZEMBRO],Tab_99.Trial[CONTA],$B95)</f>
        <v>0</v>
      </c>
      <c r="E95" s="78">
        <f>IFERROR($D95/$D$160,0)</f>
        <v>0</v>
      </c>
      <c r="F95" s="4">
        <f ca="1">SUMIFS(INDIRECT("Tab_00.Trial["&amp;F$4&amp;"]"),Tab_00.Trial[CONTA],$B95)</f>
        <v>24698297</v>
      </c>
      <c r="G95" s="78">
        <f ca="1">IFERROR($F95/$F$160,0)</f>
        <v>0.29459999999999997</v>
      </c>
      <c r="H95" s="78">
        <f t="shared" ca="1" si="103"/>
        <v>0</v>
      </c>
      <c r="I95" s="4">
        <f ca="1">SUMIFS(INDIRECT("Tab_00.Trial["&amp;I$4&amp;"]"),Tab_00.Trial[CONTA],$B95)</f>
        <v>24830281.260000002</v>
      </c>
      <c r="J95" s="78">
        <f ca="1">IFERROR($I95/$I$160,0)</f>
        <v>0.29849999999999999</v>
      </c>
      <c r="K95" s="78">
        <f t="shared" ca="1" si="104"/>
        <v>5.3E-3</v>
      </c>
      <c r="L95" s="4">
        <f ca="1">SUMIFS(INDIRECT("Tab_00.Trial["&amp;L$4&amp;"]"),Tab_00.Trial[CONTA],$B95)</f>
        <v>25048650.870000001</v>
      </c>
      <c r="M95" s="78">
        <f ca="1">IFERROR($L95/$L$160,0)</f>
        <v>0.30080000000000001</v>
      </c>
      <c r="N95" s="78">
        <f t="shared" ca="1" si="105"/>
        <v>8.8000000000000005E-3</v>
      </c>
      <c r="O95" s="4">
        <f ca="1">SUMIFS(INDIRECT("Tab_00.Trial["&amp;O$4&amp;"]"),Tab_00.Trial[CONTA],$B95)</f>
        <v>24933831.27</v>
      </c>
      <c r="P95" s="78">
        <f ca="1">IFERROR($O95/$O$160,0)</f>
        <v>0.29820000000000002</v>
      </c>
      <c r="Q95" s="78">
        <f t="shared" ca="1" si="106"/>
        <v>-4.5999999999999999E-3</v>
      </c>
      <c r="R95" s="4">
        <f ca="1">SUMIFS(INDIRECT("Tab_00.Trial["&amp;R$4&amp;"]"),Tab_00.Trial[CONTA],$B95)</f>
        <v>25173527.609999999</v>
      </c>
      <c r="S95" s="78">
        <f ca="1">IFERROR($R95/$R$160,0)</f>
        <v>0.2999</v>
      </c>
      <c r="T95" s="78">
        <f t="shared" ca="1" si="107"/>
        <v>9.5999999999999992E-3</v>
      </c>
      <c r="U95" s="4">
        <f ca="1">SUMIFS(INDIRECT("Tab_00.Trial["&amp;U$4&amp;"]"),Tab_00.Trial[CONTA],$B95)</f>
        <v>25292007.609999999</v>
      </c>
      <c r="V95" s="78">
        <f ca="1">IFERROR($U95/$U$160,0)</f>
        <v>0.3004</v>
      </c>
      <c r="W95" s="78">
        <f t="shared" ca="1" si="108"/>
        <v>4.7000000000000002E-3</v>
      </c>
      <c r="X95" s="4">
        <f ca="1">SUMIFS(INDIRECT("Tab_00.Trial["&amp;X$4&amp;"]"),Tab_00.Trial[CONTA],$B95)</f>
        <v>25628848</v>
      </c>
      <c r="Y95" s="78">
        <f ca="1">IFERROR($X95/$X$160,0)</f>
        <v>0.30249999999999999</v>
      </c>
      <c r="Z95" s="78">
        <f t="shared" ca="1" si="109"/>
        <v>1.3299999999999999E-2</v>
      </c>
      <c r="AA95" s="4">
        <f ca="1">SUMIFS(INDIRECT("Tab_00.Trial["&amp;AA$4&amp;"]"),Tab_00.Trial[CONTA],$B95)</f>
        <v>25908609</v>
      </c>
      <c r="AB95" s="78">
        <f ca="1">IFERROR($AA95/$AA$160,0)</f>
        <v>0.30430000000000001</v>
      </c>
      <c r="AC95" s="78">
        <f t="shared" ca="1" si="110"/>
        <v>1.09E-2</v>
      </c>
      <c r="AD95" s="4">
        <f ca="1">SUMIFS(INDIRECT("Tab_00.Trial["&amp;AD$4&amp;"]"),Tab_00.Trial[CONTA],$B95)</f>
        <v>25968003</v>
      </c>
      <c r="AE95" s="78">
        <f ca="1">IFERROR($AD95/$AD$160,0)</f>
        <v>0.30499999999999999</v>
      </c>
      <c r="AF95" s="78">
        <f t="shared" ca="1" si="111"/>
        <v>2.3E-3</v>
      </c>
      <c r="AG95" s="4">
        <f ca="1">SUMIFS(INDIRECT("Tab_00.Trial["&amp;AG$4&amp;"]"),Tab_00.Trial[CONTA],$B95)</f>
        <v>26078405</v>
      </c>
      <c r="AH95" s="78">
        <f ca="1">IFERROR($AG95/$AG$160,0)</f>
        <v>0.30549999999999999</v>
      </c>
      <c r="AI95" s="78">
        <f t="shared" ca="1" si="112"/>
        <v>4.3E-3</v>
      </c>
      <c r="AJ95" s="4">
        <f ca="1">SUMIFS(INDIRECT("Tab_00.Trial["&amp;AJ$4&amp;"]"),Tab_00.Trial[CONTA],$B95)</f>
        <v>26322642</v>
      </c>
      <c r="AK95" s="78">
        <f ca="1">IFERROR($AJ95/$AJ$160,0)</f>
        <v>0.30730000000000002</v>
      </c>
      <c r="AL95" s="78">
        <f t="shared" ca="1" si="113"/>
        <v>9.4000000000000004E-3</v>
      </c>
      <c r="AM95" s="4">
        <f ca="1">SUMIFS(INDIRECT("Tab_00.Trial["&amp;AM$4&amp;"]"),Tab_00.Trial[CONTA],$B95)</f>
        <v>26183193</v>
      </c>
      <c r="AN95" s="78">
        <f ca="1">IFERROR(AM95/AM$160,0)</f>
        <v>0.30599999999999999</v>
      </c>
      <c r="AO95" s="78">
        <f t="shared" ca="1" si="114"/>
        <v>-5.3E-3</v>
      </c>
      <c r="AP95" s="1" t="s">
        <v>269</v>
      </c>
    </row>
    <row r="96" spans="2:43" ht="15" hidden="1" customHeight="1" outlineLevel="1" x14ac:dyDescent="0.3">
      <c r="B96" s="14"/>
      <c r="C96" s="14"/>
      <c r="D96" s="4">
        <f>SUMIFS(Tab_99.Trial[DEZEMBRO],Tab_99.Trial[CONTA],$B96)</f>
        <v>0</v>
      </c>
      <c r="E96" s="78">
        <f>IFERROR($D96/$D$160,0)</f>
        <v>0</v>
      </c>
      <c r="F96" s="4">
        <f ca="1">SUMIFS(INDIRECT("Tab_00.Trial["&amp;F$4&amp;"]"),Tab_00.Trial[CONTA],$B96)</f>
        <v>0</v>
      </c>
      <c r="G96" s="78">
        <f ca="1">IFERROR($F96/$F$160,0)</f>
        <v>0</v>
      </c>
      <c r="H96" s="78">
        <f t="shared" ref="H96" ca="1" si="115">IFERROR(($F96-$D96)/ABS($D96),0)</f>
        <v>0</v>
      </c>
      <c r="I96" s="4">
        <f ca="1">SUMIFS(INDIRECT("Tab_00.Trial["&amp;I$4&amp;"]"),Tab_00.Trial[CONTA],$B96)</f>
        <v>0</v>
      </c>
      <c r="J96" s="78">
        <f ca="1">IFERROR($I96/$I$160,0)</f>
        <v>0</v>
      </c>
      <c r="K96" s="78">
        <f t="shared" ref="K96" ca="1" si="116">IFERROR(($I96-$F96)/ABS($F96),0)</f>
        <v>0</v>
      </c>
      <c r="L96" s="4">
        <f ca="1">SUMIFS(INDIRECT("Tab_00.Trial["&amp;L$4&amp;"]"),Tab_00.Trial[CONTA],$B96)</f>
        <v>0</v>
      </c>
      <c r="M96" s="78">
        <f ca="1">IFERROR($L96/$L$160,0)</f>
        <v>0</v>
      </c>
      <c r="N96" s="78">
        <f t="shared" ref="N96" ca="1" si="117">IFERROR(($L96-$I96)/ABS($I96),0)</f>
        <v>0</v>
      </c>
      <c r="O96" s="4">
        <f ca="1">SUMIFS(INDIRECT("Tab_00.Trial["&amp;O$4&amp;"]"),Tab_00.Trial[CONTA],$B96)</f>
        <v>0</v>
      </c>
      <c r="P96" s="78">
        <f ca="1">IFERROR($O96/$O$160,0)</f>
        <v>0</v>
      </c>
      <c r="Q96" s="78">
        <f t="shared" ref="Q96" ca="1" si="118">IFERROR(($O96-$L96)/ABS($L96),0)</f>
        <v>0</v>
      </c>
      <c r="R96" s="4">
        <f ca="1">SUMIFS(INDIRECT("Tab_00.Trial["&amp;R$4&amp;"]"),Tab_00.Trial[CONTA],$B96)</f>
        <v>0</v>
      </c>
      <c r="S96" s="78">
        <f ca="1">IFERROR($R96/$R$160,0)</f>
        <v>0</v>
      </c>
      <c r="T96" s="78">
        <f t="shared" ref="T96" ca="1" si="119">IFERROR(($R96-$O96)/ABS($O96),0)</f>
        <v>0</v>
      </c>
      <c r="U96" s="4">
        <f ca="1">SUMIFS(INDIRECT("Tab_00.Trial["&amp;U$4&amp;"]"),Tab_00.Trial[CONTA],$B96)</f>
        <v>0</v>
      </c>
      <c r="V96" s="78">
        <f ca="1">IFERROR($U96/$U$160,0)</f>
        <v>0</v>
      </c>
      <c r="W96" s="78">
        <f t="shared" ref="W96" ca="1" si="120">IFERROR(($U96-$R96)/ABS($R96),0)</f>
        <v>0</v>
      </c>
      <c r="X96" s="4">
        <f ca="1">SUMIFS(INDIRECT("Tab_00.Trial["&amp;X$4&amp;"]"),Tab_00.Trial[CONTA],$B96)</f>
        <v>0</v>
      </c>
      <c r="Y96" s="78">
        <f ca="1">IFERROR($X96/$X$160,0)</f>
        <v>0</v>
      </c>
      <c r="Z96" s="78">
        <f t="shared" ref="Z96" ca="1" si="121">IFERROR(($X96-$U96)/ABS($U96),0)</f>
        <v>0</v>
      </c>
      <c r="AA96" s="4">
        <f ca="1">SUMIFS(INDIRECT("Tab_00.Trial["&amp;AA$4&amp;"]"),Tab_00.Trial[CONTA],$B96)</f>
        <v>0</v>
      </c>
      <c r="AB96" s="78">
        <f ca="1">IFERROR($AA96/$AA$160,0)</f>
        <v>0</v>
      </c>
      <c r="AC96" s="78">
        <f t="shared" ref="AC96" ca="1" si="122">IFERROR(($AA96-$X96)/ABS($X96),0)</f>
        <v>0</v>
      </c>
      <c r="AD96" s="4">
        <f ca="1">SUMIFS(INDIRECT("Tab_00.Trial["&amp;AD$4&amp;"]"),Tab_00.Trial[CONTA],$B96)</f>
        <v>0</v>
      </c>
      <c r="AE96" s="78">
        <f ca="1">IFERROR($AD96/$AD$160,0)</f>
        <v>0</v>
      </c>
      <c r="AF96" s="78">
        <f t="shared" ref="AF96" ca="1" si="123">IFERROR(($AD96-$AA96)/ABS($AA96),0)</f>
        <v>0</v>
      </c>
      <c r="AG96" s="4">
        <f ca="1">SUMIFS(INDIRECT("Tab_00.Trial["&amp;AG$4&amp;"]"),Tab_00.Trial[CONTA],$B96)</f>
        <v>0</v>
      </c>
      <c r="AH96" s="78">
        <f ca="1">IFERROR($AG96/$AG$160,0)</f>
        <v>0</v>
      </c>
      <c r="AI96" s="78">
        <f t="shared" ref="AI96" ca="1" si="124">IFERROR(($AG96-$AD96)/ABS($AD96),0)</f>
        <v>0</v>
      </c>
      <c r="AJ96" s="4">
        <f ca="1">SUMIFS(INDIRECT("Tab_00.Trial["&amp;AJ$4&amp;"]"),Tab_00.Trial[CONTA],$B96)</f>
        <v>0</v>
      </c>
      <c r="AK96" s="78">
        <f ca="1">IFERROR($AJ96/$AJ$160,0)</f>
        <v>0</v>
      </c>
      <c r="AL96" s="78">
        <f t="shared" ref="AL96" ca="1" si="125">IFERROR(($AJ96-$AG96)/ABS($AG96),0)</f>
        <v>0</v>
      </c>
      <c r="AM96" s="4">
        <f ca="1">SUMIFS(INDIRECT("Tab_00.Trial["&amp;AM$4&amp;"]"),Tab_00.Trial[CONTA],$B96)</f>
        <v>0</v>
      </c>
      <c r="AN96" s="78">
        <f ca="1">IFERROR(AM96/AM$160,0)</f>
        <v>0</v>
      </c>
      <c r="AO96" s="78">
        <f t="shared" ref="AO96" ca="1" si="126">IFERROR(($AM96-$AJ96)/ABS($AJ96),0)</f>
        <v>0</v>
      </c>
    </row>
    <row r="97" spans="2:42" ht="5.0999999999999996" hidden="1" customHeight="1" outlineLevel="1" x14ac:dyDescent="0.3">
      <c r="B97" s="74"/>
      <c r="C97" s="74"/>
      <c r="D97" s="76"/>
      <c r="E97" s="77"/>
      <c r="F97" s="76"/>
      <c r="G97" s="77"/>
      <c r="H97" s="77"/>
      <c r="I97" s="76"/>
      <c r="J97" s="77"/>
      <c r="K97" s="77"/>
      <c r="L97" s="76"/>
      <c r="M97" s="77"/>
      <c r="N97" s="77"/>
      <c r="O97" s="76"/>
      <c r="P97" s="77"/>
      <c r="Q97" s="77"/>
      <c r="R97" s="76"/>
      <c r="S97" s="77"/>
      <c r="T97" s="77"/>
      <c r="U97" s="76"/>
      <c r="V97" s="77"/>
      <c r="W97" s="77"/>
      <c r="X97" s="76"/>
      <c r="Y97" s="77"/>
      <c r="Z97" s="77"/>
      <c r="AA97" s="76"/>
      <c r="AB97" s="77"/>
      <c r="AC97" s="77"/>
      <c r="AD97" s="76"/>
      <c r="AE97" s="77"/>
      <c r="AF97" s="77"/>
      <c r="AG97" s="76"/>
      <c r="AH97" s="77"/>
      <c r="AI97" s="77"/>
      <c r="AJ97" s="76"/>
      <c r="AK97" s="77"/>
      <c r="AL97" s="77"/>
      <c r="AM97" s="76"/>
      <c r="AN97" s="77"/>
      <c r="AO97" s="77"/>
    </row>
    <row r="98" spans="2:42" ht="15" customHeight="1" collapsed="1" x14ac:dyDescent="0.3">
      <c r="B98" s="3" t="s">
        <v>93</v>
      </c>
      <c r="C98" s="14" t="s">
        <v>90</v>
      </c>
      <c r="D98" s="4">
        <f>SUBTOTAL(9,D$99:D$101)</f>
        <v>0</v>
      </c>
      <c r="E98" s="78">
        <f>IFERROR($D98/$D$160,0)</f>
        <v>0</v>
      </c>
      <c r="F98" s="4">
        <f ca="1">SUBTOTAL(9,F$99:F$101)</f>
        <v>252090.79</v>
      </c>
      <c r="G98" s="78">
        <f ca="1">IFERROR($F98/$F$160,0)</f>
        <v>3.0000000000000001E-3</v>
      </c>
      <c r="H98" s="78">
        <f t="shared" ref="H98" ca="1" si="127">IFERROR(($F98-$D98)/ABS($D98),0)</f>
        <v>0</v>
      </c>
      <c r="I98" s="4">
        <f ca="1">SUBTOTAL(9,I$99:I$101)</f>
        <v>253043.39</v>
      </c>
      <c r="J98" s="78">
        <f ca="1">IFERROR($I98/$I$160,0)</f>
        <v>3.0000000000000001E-3</v>
      </c>
      <c r="K98" s="78">
        <f t="shared" ref="K98" ca="1" si="128">IFERROR(($I98-$F98)/ABS($F98),0)</f>
        <v>3.8E-3</v>
      </c>
      <c r="L98" s="4">
        <f ca="1">SUBTOTAL(9,L$99:L$101)</f>
        <v>253487.9</v>
      </c>
      <c r="M98" s="78">
        <f ca="1">IFERROR($L98/$L$160,0)</f>
        <v>3.0000000000000001E-3</v>
      </c>
      <c r="N98" s="78">
        <f t="shared" ref="N98" ca="1" si="129">IFERROR(($L98-$I98)/ABS($I98),0)</f>
        <v>1.8E-3</v>
      </c>
      <c r="O98" s="4">
        <f ca="1">SUBTOTAL(9,O$99:O$101)</f>
        <v>254045.35</v>
      </c>
      <c r="P98" s="78">
        <f ca="1">IFERROR($O98/$O$160,0)</f>
        <v>3.0000000000000001E-3</v>
      </c>
      <c r="Q98" s="78">
        <f t="shared" ref="Q98" ca="1" si="130">IFERROR(($O98-$L98)/ABS($L98),0)</f>
        <v>2.2000000000000001E-3</v>
      </c>
      <c r="R98" s="4">
        <f ca="1">SUBTOTAL(9,R$99:R$101)</f>
        <v>254457.27</v>
      </c>
      <c r="S98" s="78">
        <f ca="1">IFERROR($R98/$R$160,0)</f>
        <v>3.0000000000000001E-3</v>
      </c>
      <c r="T98" s="78">
        <f t="shared" ref="T98" ca="1" si="131">IFERROR(($R98-$O98)/ABS($O98),0)</f>
        <v>1.6000000000000001E-3</v>
      </c>
      <c r="U98" s="4">
        <f ca="1">SUBTOTAL(9,U$99:U$101)</f>
        <v>254963.42</v>
      </c>
      <c r="V98" s="78">
        <f ca="1">IFERROR($U98/$U$160,0)</f>
        <v>3.0000000000000001E-3</v>
      </c>
      <c r="W98" s="78">
        <f t="shared" ref="W98" ca="1" si="132">IFERROR(($U98-$R98)/ABS($R98),0)</f>
        <v>2E-3</v>
      </c>
      <c r="X98" s="4">
        <f ca="1">SUBTOTAL(9,X$99:X$101)</f>
        <v>255285.62</v>
      </c>
      <c r="Y98" s="78">
        <f ca="1">IFERROR($X98/$X$160,0)</f>
        <v>3.0000000000000001E-3</v>
      </c>
      <c r="Z98" s="78">
        <f t="shared" ref="Z98" ca="1" si="133">IFERROR(($X98-$U98)/ABS($U98),0)</f>
        <v>1.2999999999999999E-3</v>
      </c>
      <c r="AA98" s="4">
        <f ca="1">SUBTOTAL(9,AA$99:AA$101)</f>
        <v>255568.62</v>
      </c>
      <c r="AB98" s="78">
        <f ca="1">IFERROR($AA98/$AA$160,0)</f>
        <v>3.0000000000000001E-3</v>
      </c>
      <c r="AC98" s="78">
        <f t="shared" ref="AC98" ca="1" si="134">IFERROR(($AA98-$X98)/ABS($X98),0)</f>
        <v>1.1000000000000001E-3</v>
      </c>
      <c r="AD98" s="4">
        <f ca="1">SUBTOTAL(9,AD$99:AD$101)</f>
        <v>255855.14</v>
      </c>
      <c r="AE98" s="78">
        <f ca="1">IFERROR($AD98/$AD$160,0)</f>
        <v>3.0000000000000001E-3</v>
      </c>
      <c r="AF98" s="78">
        <f t="shared" ref="AF98" ca="1" si="135">IFERROR(($AD98-$AA98)/ABS($AA98),0)</f>
        <v>1.1000000000000001E-3</v>
      </c>
      <c r="AG98" s="4">
        <f ca="1">SUBTOTAL(9,AG$99:AG$101)</f>
        <v>256169.55</v>
      </c>
      <c r="AH98" s="78">
        <f ca="1">IFERROR($AG98/$AG$160,0)</f>
        <v>3.0000000000000001E-3</v>
      </c>
      <c r="AI98" s="78">
        <f t="shared" ref="AI98" ca="1" si="136">IFERROR(($AG98-$AD98)/ABS($AD98),0)</f>
        <v>1.1999999999999999E-3</v>
      </c>
      <c r="AJ98" s="4">
        <f ca="1">SUBTOTAL(9,AJ$99:AJ$101)</f>
        <v>256983.97</v>
      </c>
      <c r="AK98" s="78">
        <f ca="1">IFERROR($AJ98/$AJ$160,0)</f>
        <v>3.0000000000000001E-3</v>
      </c>
      <c r="AL98" s="78">
        <f t="shared" ref="AL98" ca="1" si="137">IFERROR(($AJ98-$AG98)/ABS($AG98),0)</f>
        <v>3.2000000000000002E-3</v>
      </c>
      <c r="AM98" s="4">
        <f ca="1">SUBTOTAL(9,AM$99:AM$101)</f>
        <v>256983.97</v>
      </c>
      <c r="AN98" s="78">
        <f ca="1">IFERROR(AM98/AM$160,0)</f>
        <v>3.0000000000000001E-3</v>
      </c>
      <c r="AO98" s="78">
        <f t="shared" ref="AO98" ca="1" si="138">IFERROR(($AM98-$AJ98)/ABS($AJ98),0)</f>
        <v>0</v>
      </c>
    </row>
    <row r="99" spans="2:42" ht="15" hidden="1" customHeight="1" outlineLevel="1" x14ac:dyDescent="0.3">
      <c r="B99" s="14" t="s">
        <v>300</v>
      </c>
      <c r="C99" s="15" t="s">
        <v>301</v>
      </c>
      <c r="D99" s="4">
        <f>SUMIFS(Tab_99.Trial[DEZEMBRO],Tab_99.Trial[CONTA],$B99)</f>
        <v>0</v>
      </c>
      <c r="E99" s="78">
        <f>IFERROR($D99/$D$160,0)</f>
        <v>0</v>
      </c>
      <c r="F99" s="4">
        <f ca="1">SUMIFS(INDIRECT("Tab_00.Trial["&amp;F$4&amp;"]"),Tab_00.Trial[CONTA],$B99)</f>
        <v>252090.79</v>
      </c>
      <c r="G99" s="78">
        <f ca="1">IFERROR($F99/$F$160,0)</f>
        <v>3.0000000000000001E-3</v>
      </c>
      <c r="H99" s="78">
        <f t="shared" ref="H99:H100" ca="1" si="139">IFERROR(($F99-$D99)/ABS($D99),0)</f>
        <v>0</v>
      </c>
      <c r="I99" s="4">
        <f ca="1">SUMIFS(INDIRECT("Tab_00.Trial["&amp;I$4&amp;"]"),Tab_00.Trial[CONTA],$B99)</f>
        <v>253043.39</v>
      </c>
      <c r="J99" s="78">
        <f ca="1">IFERROR($I99/$I$160,0)</f>
        <v>3.0000000000000001E-3</v>
      </c>
      <c r="K99" s="78">
        <f t="shared" ref="K99:K100" ca="1" si="140">IFERROR(($I99-$F99)/ABS($F99),0)</f>
        <v>3.8E-3</v>
      </c>
      <c r="L99" s="4">
        <f ca="1">SUMIFS(INDIRECT("Tab_00.Trial["&amp;L$4&amp;"]"),Tab_00.Trial[CONTA],$B99)</f>
        <v>253487.9</v>
      </c>
      <c r="M99" s="78">
        <f ca="1">IFERROR($L99/$L$160,0)</f>
        <v>3.0000000000000001E-3</v>
      </c>
      <c r="N99" s="78">
        <f t="shared" ref="N99:N100" ca="1" si="141">IFERROR(($L99-$I99)/ABS($I99),0)</f>
        <v>1.8E-3</v>
      </c>
      <c r="O99" s="4">
        <f ca="1">SUMIFS(INDIRECT("Tab_00.Trial["&amp;O$4&amp;"]"),Tab_00.Trial[CONTA],$B99)</f>
        <v>254045.35</v>
      </c>
      <c r="P99" s="78">
        <f ca="1">IFERROR($O99/$O$160,0)</f>
        <v>3.0000000000000001E-3</v>
      </c>
      <c r="Q99" s="78">
        <f t="shared" ref="Q99:Q100" ca="1" si="142">IFERROR(($O99-$L99)/ABS($L99),0)</f>
        <v>2.2000000000000001E-3</v>
      </c>
      <c r="R99" s="4">
        <f ca="1">SUMIFS(INDIRECT("Tab_00.Trial["&amp;R$4&amp;"]"),Tab_00.Trial[CONTA],$B99)</f>
        <v>254457.27</v>
      </c>
      <c r="S99" s="78">
        <f ca="1">IFERROR($R99/$R$160,0)</f>
        <v>3.0000000000000001E-3</v>
      </c>
      <c r="T99" s="78">
        <f t="shared" ref="T99:T100" ca="1" si="143">IFERROR(($R99-$O99)/ABS($O99),0)</f>
        <v>1.6000000000000001E-3</v>
      </c>
      <c r="U99" s="4">
        <f ca="1">SUMIFS(INDIRECT("Tab_00.Trial["&amp;U$4&amp;"]"),Tab_00.Trial[CONTA],$B99)</f>
        <v>254963.42</v>
      </c>
      <c r="V99" s="78">
        <f ca="1">IFERROR($U99/$U$160,0)</f>
        <v>3.0000000000000001E-3</v>
      </c>
      <c r="W99" s="78">
        <f t="shared" ref="W99:W100" ca="1" si="144">IFERROR(($U99-$R99)/ABS($R99),0)</f>
        <v>2E-3</v>
      </c>
      <c r="X99" s="4">
        <f ca="1">SUMIFS(INDIRECT("Tab_00.Trial["&amp;X$4&amp;"]"),Tab_00.Trial[CONTA],$B99)</f>
        <v>255285.62</v>
      </c>
      <c r="Y99" s="78">
        <f ca="1">IFERROR($X99/$X$160,0)</f>
        <v>3.0000000000000001E-3</v>
      </c>
      <c r="Z99" s="78">
        <f t="shared" ref="Z99:Z100" ca="1" si="145">IFERROR(($X99-$U99)/ABS($U99),0)</f>
        <v>1.2999999999999999E-3</v>
      </c>
      <c r="AA99" s="4">
        <f ca="1">SUMIFS(INDIRECT("Tab_00.Trial["&amp;AA$4&amp;"]"),Tab_00.Trial[CONTA],$B99)</f>
        <v>255568.62</v>
      </c>
      <c r="AB99" s="78">
        <f ca="1">IFERROR($AA99/$AA$160,0)</f>
        <v>3.0000000000000001E-3</v>
      </c>
      <c r="AC99" s="78">
        <f t="shared" ref="AC99:AC100" ca="1" si="146">IFERROR(($AA99-$X99)/ABS($X99),0)</f>
        <v>1.1000000000000001E-3</v>
      </c>
      <c r="AD99" s="4">
        <f ca="1">SUMIFS(INDIRECT("Tab_00.Trial["&amp;AD$4&amp;"]"),Tab_00.Trial[CONTA],$B99)</f>
        <v>255855.14</v>
      </c>
      <c r="AE99" s="78">
        <f ca="1">IFERROR($AD99/$AD$160,0)</f>
        <v>3.0000000000000001E-3</v>
      </c>
      <c r="AF99" s="78">
        <f t="shared" ref="AF99:AF100" ca="1" si="147">IFERROR(($AD99-$AA99)/ABS($AA99),0)</f>
        <v>1.1000000000000001E-3</v>
      </c>
      <c r="AG99" s="4">
        <f ca="1">SUMIFS(INDIRECT("Tab_00.Trial["&amp;AG$4&amp;"]"),Tab_00.Trial[CONTA],$B99)</f>
        <v>256169.55</v>
      </c>
      <c r="AH99" s="78">
        <f ca="1">IFERROR($AG99/$AG$160,0)</f>
        <v>3.0000000000000001E-3</v>
      </c>
      <c r="AI99" s="78">
        <f t="shared" ref="AI99:AI100" ca="1" si="148">IFERROR(($AG99-$AD99)/ABS($AD99),0)</f>
        <v>1.1999999999999999E-3</v>
      </c>
      <c r="AJ99" s="4">
        <f ca="1">SUMIFS(INDIRECT("Tab_00.Trial["&amp;AJ$4&amp;"]"),Tab_00.Trial[CONTA],$B99)</f>
        <v>256983.97</v>
      </c>
      <c r="AK99" s="78">
        <f ca="1">IFERROR($AJ99/$AJ$160,0)</f>
        <v>3.0000000000000001E-3</v>
      </c>
      <c r="AL99" s="78">
        <f t="shared" ref="AL99:AL100" ca="1" si="149">IFERROR(($AJ99-$AG99)/ABS($AG99),0)</f>
        <v>3.2000000000000002E-3</v>
      </c>
      <c r="AM99" s="4">
        <f ca="1">SUMIFS(INDIRECT("Tab_00.Trial["&amp;AM$4&amp;"]"),Tab_00.Trial[CONTA],$B99)</f>
        <v>256983.97</v>
      </c>
      <c r="AN99" s="78">
        <f ca="1">IFERROR(AM99/AM$160,0)</f>
        <v>3.0000000000000001E-3</v>
      </c>
      <c r="AO99" s="78">
        <f t="shared" ref="AO99:AO100" ca="1" si="150">IFERROR(($AM99-$AJ99)/ABS($AJ99),0)</f>
        <v>0</v>
      </c>
      <c r="AP99" s="1" t="s">
        <v>269</v>
      </c>
    </row>
    <row r="100" spans="2:42" ht="15" hidden="1" customHeight="1" outlineLevel="1" x14ac:dyDescent="0.3">
      <c r="B100" s="14"/>
      <c r="C100" s="15"/>
      <c r="D100" s="4">
        <f>SUMIFS(Tab_99.Trial[DEZEMBRO],Tab_99.Trial[CONTA],$B100)</f>
        <v>0</v>
      </c>
      <c r="E100" s="78">
        <f>IFERROR($D100/$D$160,0)</f>
        <v>0</v>
      </c>
      <c r="F100" s="4">
        <f ca="1">SUMIFS(INDIRECT("Tab_00.Trial["&amp;F$4&amp;"]"),Tab_00.Trial[CONTA],$B100)</f>
        <v>0</v>
      </c>
      <c r="G100" s="78">
        <f ca="1">IFERROR($F100/$F$160,0)</f>
        <v>0</v>
      </c>
      <c r="H100" s="78">
        <f t="shared" ca="1" si="139"/>
        <v>0</v>
      </c>
      <c r="I100" s="4">
        <f ca="1">SUMIFS(INDIRECT("Tab_00.Trial["&amp;I$4&amp;"]"),Tab_00.Trial[CONTA],$B100)</f>
        <v>0</v>
      </c>
      <c r="J100" s="78">
        <f ca="1">IFERROR($I100/$I$160,0)</f>
        <v>0</v>
      </c>
      <c r="K100" s="78">
        <f t="shared" ca="1" si="140"/>
        <v>0</v>
      </c>
      <c r="L100" s="4">
        <f ca="1">SUMIFS(INDIRECT("Tab_00.Trial["&amp;L$4&amp;"]"),Tab_00.Trial[CONTA],$B100)</f>
        <v>0</v>
      </c>
      <c r="M100" s="78">
        <f ca="1">IFERROR($L100/$L$160,0)</f>
        <v>0</v>
      </c>
      <c r="N100" s="78">
        <f t="shared" ca="1" si="141"/>
        <v>0</v>
      </c>
      <c r="O100" s="4">
        <f ca="1">SUMIFS(INDIRECT("Tab_00.Trial["&amp;O$4&amp;"]"),Tab_00.Trial[CONTA],$B100)</f>
        <v>0</v>
      </c>
      <c r="P100" s="78">
        <f ca="1">IFERROR($O100/$O$160,0)</f>
        <v>0</v>
      </c>
      <c r="Q100" s="78">
        <f t="shared" ca="1" si="142"/>
        <v>0</v>
      </c>
      <c r="R100" s="4">
        <f ca="1">SUMIFS(INDIRECT("Tab_00.Trial["&amp;R$4&amp;"]"),Tab_00.Trial[CONTA],$B100)</f>
        <v>0</v>
      </c>
      <c r="S100" s="78">
        <f ca="1">IFERROR($R100/$R$160,0)</f>
        <v>0</v>
      </c>
      <c r="T100" s="78">
        <f t="shared" ca="1" si="143"/>
        <v>0</v>
      </c>
      <c r="U100" s="4">
        <f ca="1">SUMIFS(INDIRECT("Tab_00.Trial["&amp;U$4&amp;"]"),Tab_00.Trial[CONTA],$B100)</f>
        <v>0</v>
      </c>
      <c r="V100" s="78">
        <f ca="1">IFERROR($U100/$U$160,0)</f>
        <v>0</v>
      </c>
      <c r="W100" s="78">
        <f t="shared" ca="1" si="144"/>
        <v>0</v>
      </c>
      <c r="X100" s="4">
        <f ca="1">SUMIFS(INDIRECT("Tab_00.Trial["&amp;X$4&amp;"]"),Tab_00.Trial[CONTA],$B100)</f>
        <v>0</v>
      </c>
      <c r="Y100" s="78">
        <f ca="1">IFERROR($X100/$X$160,0)</f>
        <v>0</v>
      </c>
      <c r="Z100" s="78">
        <f t="shared" ca="1" si="145"/>
        <v>0</v>
      </c>
      <c r="AA100" s="4">
        <f ca="1">SUMIFS(INDIRECT("Tab_00.Trial["&amp;AA$4&amp;"]"),Tab_00.Trial[CONTA],$B100)</f>
        <v>0</v>
      </c>
      <c r="AB100" s="78">
        <f ca="1">IFERROR($AA100/$AA$160,0)</f>
        <v>0</v>
      </c>
      <c r="AC100" s="78">
        <f t="shared" ca="1" si="146"/>
        <v>0</v>
      </c>
      <c r="AD100" s="4">
        <f ca="1">SUMIFS(INDIRECT("Tab_00.Trial["&amp;AD$4&amp;"]"),Tab_00.Trial[CONTA],$B100)</f>
        <v>0</v>
      </c>
      <c r="AE100" s="78">
        <f ca="1">IFERROR($AD100/$AD$160,0)</f>
        <v>0</v>
      </c>
      <c r="AF100" s="78">
        <f t="shared" ca="1" si="147"/>
        <v>0</v>
      </c>
      <c r="AG100" s="4">
        <f ca="1">SUMIFS(INDIRECT("Tab_00.Trial["&amp;AG$4&amp;"]"),Tab_00.Trial[CONTA],$B100)</f>
        <v>0</v>
      </c>
      <c r="AH100" s="78">
        <f ca="1">IFERROR($AG100/$AG$160,0)</f>
        <v>0</v>
      </c>
      <c r="AI100" s="78">
        <f t="shared" ca="1" si="148"/>
        <v>0</v>
      </c>
      <c r="AJ100" s="4">
        <f ca="1">SUMIFS(INDIRECT("Tab_00.Trial["&amp;AJ$4&amp;"]"),Tab_00.Trial[CONTA],$B100)</f>
        <v>0</v>
      </c>
      <c r="AK100" s="78">
        <f ca="1">IFERROR($AJ100/$AJ$160,0)</f>
        <v>0</v>
      </c>
      <c r="AL100" s="78">
        <f t="shared" ca="1" si="149"/>
        <v>0</v>
      </c>
      <c r="AM100" s="4">
        <f ca="1">SUMIFS(INDIRECT("Tab_00.Trial["&amp;AM$4&amp;"]"),Tab_00.Trial[CONTA],$B100)</f>
        <v>0</v>
      </c>
      <c r="AN100" s="78">
        <f ca="1">IFERROR(AM100/AM$160,0)</f>
        <v>0</v>
      </c>
      <c r="AO100" s="78">
        <f t="shared" ca="1" si="150"/>
        <v>0</v>
      </c>
    </row>
    <row r="101" spans="2:42" ht="5.0999999999999996" hidden="1" customHeight="1" outlineLevel="1" x14ac:dyDescent="0.3">
      <c r="B101" s="74"/>
      <c r="C101" s="75"/>
      <c r="D101" s="76"/>
      <c r="E101" s="77"/>
      <c r="F101" s="76"/>
      <c r="G101" s="77"/>
      <c r="H101" s="77"/>
      <c r="I101" s="76"/>
      <c r="J101" s="77"/>
      <c r="K101" s="77"/>
      <c r="L101" s="76"/>
      <c r="M101" s="77"/>
      <c r="N101" s="77"/>
      <c r="O101" s="76"/>
      <c r="P101" s="77"/>
      <c r="Q101" s="77"/>
      <c r="R101" s="76"/>
      <c r="S101" s="77"/>
      <c r="T101" s="77"/>
      <c r="U101" s="76"/>
      <c r="V101" s="77"/>
      <c r="W101" s="77"/>
      <c r="X101" s="76"/>
      <c r="Y101" s="77"/>
      <c r="Z101" s="77"/>
      <c r="AA101" s="76"/>
      <c r="AB101" s="77"/>
      <c r="AC101" s="77"/>
      <c r="AD101" s="76"/>
      <c r="AE101" s="77"/>
      <c r="AF101" s="77"/>
      <c r="AG101" s="76"/>
      <c r="AH101" s="77"/>
      <c r="AI101" s="77"/>
      <c r="AJ101" s="76"/>
      <c r="AK101" s="77"/>
      <c r="AL101" s="77"/>
      <c r="AM101" s="76"/>
      <c r="AN101" s="77"/>
      <c r="AO101" s="77"/>
    </row>
    <row r="102" spans="2:42" ht="15" customHeight="1" collapsed="1" x14ac:dyDescent="0.3">
      <c r="B102" s="3" t="s">
        <v>91</v>
      </c>
      <c r="C102" s="14" t="s">
        <v>119</v>
      </c>
      <c r="D102" s="4">
        <f>SUBTOTAL(9,D$103:D$116)</f>
        <v>0</v>
      </c>
      <c r="E102" s="78">
        <v>6.0000000000000001E-3</v>
      </c>
      <c r="F102" s="4">
        <f ca="1">SUBTOTAL(9,F$103:F$116)</f>
        <v>0</v>
      </c>
      <c r="G102" s="78">
        <v>6.7000000000000002E-3</v>
      </c>
      <c r="H102" s="78">
        <v>-5.0999999999999997E-2</v>
      </c>
      <c r="I102" s="4">
        <f ca="1">SUBTOTAL(9,I$103:I$116)</f>
        <v>0</v>
      </c>
      <c r="J102" s="78">
        <v>7.0000000000000001E-3</v>
      </c>
      <c r="K102" s="78">
        <v>-2.5000000000000001E-3</v>
      </c>
      <c r="L102" s="4">
        <f ca="1">SUBTOTAL(9,L$103:L$116)</f>
        <v>0</v>
      </c>
      <c r="M102" s="78">
        <v>7.0000000000000001E-3</v>
      </c>
      <c r="N102" s="78">
        <v>-2.5000000000000001E-3</v>
      </c>
      <c r="O102" s="4">
        <f ca="1">SUBTOTAL(9,O$103:O$116)</f>
        <v>0</v>
      </c>
      <c r="P102" s="78">
        <v>7.1000000000000004E-3</v>
      </c>
      <c r="Q102" s="78">
        <v>-2.0999999999999999E-3</v>
      </c>
      <c r="R102" s="4">
        <f ca="1">SUBTOTAL(9,R$103:R$116)</f>
        <v>0</v>
      </c>
      <c r="S102" s="78">
        <v>6.0000000000000001E-3</v>
      </c>
      <c r="T102" s="78">
        <v>-5.9999999999999995E-4</v>
      </c>
      <c r="U102" s="4">
        <f ca="1">SUBTOTAL(9,U$103:U$116)</f>
        <v>0</v>
      </c>
      <c r="V102" s="78">
        <v>6.1000000000000004E-3</v>
      </c>
      <c r="W102" s="78">
        <v>8.6E-3</v>
      </c>
      <c r="X102" s="4">
        <f ca="1">SUBTOTAL(9,X$103:X$116)</f>
        <v>0</v>
      </c>
      <c r="Y102" s="78">
        <v>6.0000000000000001E-3</v>
      </c>
      <c r="Z102" s="78">
        <v>-8.9999999999999998E-4</v>
      </c>
      <c r="AA102" s="4">
        <f ca="1">SUBTOTAL(9,AA$103:AA$116)</f>
        <v>0</v>
      </c>
      <c r="AB102" s="78">
        <v>5.8999999999999999E-3</v>
      </c>
      <c r="AC102" s="78">
        <v>-5.9999999999999995E-4</v>
      </c>
      <c r="AD102" s="4">
        <f ca="1">SUBTOTAL(9,AD$103:AD$116)</f>
        <v>0</v>
      </c>
      <c r="AE102" s="78">
        <v>6.1000000000000004E-3</v>
      </c>
      <c r="AF102" s="78">
        <v>2.2100000000000002E-2</v>
      </c>
      <c r="AG102" s="4">
        <f ca="1">SUBTOTAL(9,AG$103:AG$116)</f>
        <v>0</v>
      </c>
      <c r="AH102" s="78">
        <v>5.8999999999999999E-3</v>
      </c>
      <c r="AI102" s="78">
        <v>6.8999999999999999E-3</v>
      </c>
      <c r="AJ102" s="4">
        <f ca="1">SUBTOTAL(9,AJ$103:AJ$116)</f>
        <v>0</v>
      </c>
      <c r="AK102" s="78">
        <v>5.7999999999999996E-3</v>
      </c>
      <c r="AL102" s="78">
        <v>-5.9999999999999995E-4</v>
      </c>
      <c r="AM102" s="4">
        <f ca="1">SUBTOTAL(9,AM$103:AM$116)</f>
        <v>0</v>
      </c>
      <c r="AN102" s="78">
        <v>6.0000000000000001E-3</v>
      </c>
      <c r="AO102" s="78">
        <v>2.53E-2</v>
      </c>
    </row>
    <row r="103" spans="2:42" ht="15" hidden="1" customHeight="1" outlineLevel="1" x14ac:dyDescent="0.3">
      <c r="B103" s="14"/>
      <c r="C103" s="15"/>
      <c r="D103" s="4">
        <f>SUMIFS(Tab_99.Trial[DEZEMBRO],Tab_99.Trial[CONTA],$B103)</f>
        <v>0</v>
      </c>
      <c r="E103" s="78">
        <f t="shared" ref="E103:E115" si="151">IFERROR($D103/$D$160,0)</f>
        <v>0</v>
      </c>
      <c r="F103" s="4">
        <f ca="1">SUMIFS(INDIRECT("Tab_00.Trial["&amp;F$4&amp;"]"),Tab_00.Trial[CONTA],$B103)</f>
        <v>0</v>
      </c>
      <c r="G103" s="78">
        <f t="shared" ref="G103:G115" ca="1" si="152">IFERROR($F103/$F$160,0)</f>
        <v>0</v>
      </c>
      <c r="H103" s="78">
        <f t="shared" ref="H103:H115" ca="1" si="153">IFERROR(($F103-$D103)/ABS($D103),0)</f>
        <v>0</v>
      </c>
      <c r="I103" s="4">
        <f ca="1">SUMIFS(INDIRECT("Tab_00.Trial["&amp;I$4&amp;"]"),Tab_00.Trial[CONTA],$B103)</f>
        <v>0</v>
      </c>
      <c r="J103" s="78">
        <f t="shared" ref="J103:J115" ca="1" si="154">IFERROR($I103/$I$160,0)</f>
        <v>0</v>
      </c>
      <c r="K103" s="78">
        <f t="shared" ref="K103:K115" ca="1" si="155">IFERROR(($I103-$F103)/ABS($F103),0)</f>
        <v>0</v>
      </c>
      <c r="L103" s="4">
        <f ca="1">SUMIFS(INDIRECT("Tab_00.Trial["&amp;L$4&amp;"]"),Tab_00.Trial[CONTA],$B103)</f>
        <v>0</v>
      </c>
      <c r="M103" s="78">
        <f t="shared" ref="M103:M115" ca="1" si="156">IFERROR($L103/$L$160,0)</f>
        <v>0</v>
      </c>
      <c r="N103" s="78">
        <f t="shared" ref="N103:N115" ca="1" si="157">IFERROR(($L103-$I103)/ABS($I103),0)</f>
        <v>0</v>
      </c>
      <c r="O103" s="4">
        <f ca="1">SUMIFS(INDIRECT("Tab_00.Trial["&amp;O$4&amp;"]"),Tab_00.Trial[CONTA],$B103)</f>
        <v>0</v>
      </c>
      <c r="P103" s="78">
        <f t="shared" ref="P103:P115" ca="1" si="158">IFERROR($O103/$O$160,0)</f>
        <v>0</v>
      </c>
      <c r="Q103" s="78">
        <f t="shared" ref="Q103:Q115" ca="1" si="159">IFERROR(($O103-$L103)/ABS($L103),0)</f>
        <v>0</v>
      </c>
      <c r="R103" s="4">
        <f ca="1">SUMIFS(INDIRECT("Tab_00.Trial["&amp;R$4&amp;"]"),Tab_00.Trial[CONTA],$B103)</f>
        <v>0</v>
      </c>
      <c r="S103" s="78">
        <f t="shared" ref="S103:S115" ca="1" si="160">IFERROR($R103/$R$160,0)</f>
        <v>0</v>
      </c>
      <c r="T103" s="78">
        <f t="shared" ref="T103:T115" ca="1" si="161">IFERROR(($R103-$O103)/ABS($O103),0)</f>
        <v>0</v>
      </c>
      <c r="U103" s="4">
        <f ca="1">SUMIFS(INDIRECT("Tab_00.Trial["&amp;U$4&amp;"]"),Tab_00.Trial[CONTA],$B103)</f>
        <v>0</v>
      </c>
      <c r="V103" s="78">
        <f t="shared" ref="V103:V115" ca="1" si="162">IFERROR($U103/$U$160,0)</f>
        <v>0</v>
      </c>
      <c r="W103" s="78">
        <f t="shared" ref="W103:W115" ca="1" si="163">IFERROR(($U103-$R103)/ABS($R103),0)</f>
        <v>0</v>
      </c>
      <c r="X103" s="4">
        <f ca="1">SUMIFS(INDIRECT("Tab_00.Trial["&amp;X$4&amp;"]"),Tab_00.Trial[CONTA],$B103)</f>
        <v>0</v>
      </c>
      <c r="Y103" s="78">
        <f t="shared" ref="Y103:Y115" ca="1" si="164">IFERROR($X103/$X$160,0)</f>
        <v>0</v>
      </c>
      <c r="Z103" s="78">
        <f t="shared" ref="Z103:Z115" ca="1" si="165">IFERROR(($X103-$U103)/ABS($U103),0)</f>
        <v>0</v>
      </c>
      <c r="AA103" s="4">
        <f ca="1">SUMIFS(INDIRECT("Tab_00.Trial["&amp;AA$4&amp;"]"),Tab_00.Trial[CONTA],$B103)</f>
        <v>0</v>
      </c>
      <c r="AB103" s="78">
        <f t="shared" ref="AB103:AB115" ca="1" si="166">IFERROR($AA103/$AA$160,0)</f>
        <v>0</v>
      </c>
      <c r="AC103" s="78">
        <f t="shared" ref="AC103:AC115" ca="1" si="167">IFERROR(($AA103-$X103)/ABS($X103),0)</f>
        <v>0</v>
      </c>
      <c r="AD103" s="4">
        <f ca="1">SUMIFS(INDIRECT("Tab_00.Trial["&amp;AD$4&amp;"]"),Tab_00.Trial[CONTA],$B103)</f>
        <v>0</v>
      </c>
      <c r="AE103" s="78">
        <f t="shared" ref="AE103:AE115" ca="1" si="168">IFERROR($AD103/$AD$160,0)</f>
        <v>0</v>
      </c>
      <c r="AF103" s="78">
        <f t="shared" ref="AF103:AF115" ca="1" si="169">IFERROR(($AD103-$AA103)/ABS($AA103),0)</f>
        <v>0</v>
      </c>
      <c r="AG103" s="4">
        <f ca="1">SUMIFS(INDIRECT("Tab_00.Trial["&amp;AG$4&amp;"]"),Tab_00.Trial[CONTA],$B103)</f>
        <v>0</v>
      </c>
      <c r="AH103" s="78">
        <f t="shared" ref="AH103:AH115" ca="1" si="170">IFERROR($AG103/$AG$160,0)</f>
        <v>0</v>
      </c>
      <c r="AI103" s="78">
        <f t="shared" ref="AI103:AI115" ca="1" si="171">IFERROR(($AG103-$AD103)/ABS($AD103),0)</f>
        <v>0</v>
      </c>
      <c r="AJ103" s="4">
        <f ca="1">SUMIFS(INDIRECT("Tab_00.Trial["&amp;AJ$4&amp;"]"),Tab_00.Trial[CONTA],$B103)</f>
        <v>0</v>
      </c>
      <c r="AK103" s="78">
        <f t="shared" ref="AK103:AK115" ca="1" si="172">IFERROR($AJ103/$AJ$160,0)</f>
        <v>0</v>
      </c>
      <c r="AL103" s="78">
        <f t="shared" ref="AL103:AL115" ca="1" si="173">IFERROR(($AJ103-$AG103)/ABS($AG103),0)</f>
        <v>0</v>
      </c>
      <c r="AM103" s="4">
        <f ca="1">SUMIFS(INDIRECT("Tab_00.Trial["&amp;AM$4&amp;"]"),Tab_00.Trial[CONTA],$B103)</f>
        <v>0</v>
      </c>
      <c r="AN103" s="78">
        <f t="shared" ref="AN103:AN115" ca="1" si="174">IFERROR(AM103/AM$160,0)</f>
        <v>0</v>
      </c>
      <c r="AO103" s="78">
        <f t="shared" ref="AO103:AO115" ca="1" si="175">IFERROR(($AM103-$AJ103)/ABS($AJ103),0)</f>
        <v>0</v>
      </c>
    </row>
    <row r="104" spans="2:42" ht="15" hidden="1" customHeight="1" outlineLevel="1" x14ac:dyDescent="0.3">
      <c r="B104" s="14"/>
      <c r="C104" s="15"/>
      <c r="D104" s="4">
        <f>SUMIFS(Tab_99.Trial[DEZEMBRO],Tab_99.Trial[CONTA],$B104)</f>
        <v>0</v>
      </c>
      <c r="E104" s="78">
        <f t="shared" si="151"/>
        <v>0</v>
      </c>
      <c r="F104" s="4">
        <f ca="1">SUMIFS(INDIRECT("Tab_00.Trial["&amp;F$4&amp;"]"),Tab_00.Trial[CONTA],$B104)</f>
        <v>0</v>
      </c>
      <c r="G104" s="78">
        <f t="shared" ca="1" si="152"/>
        <v>0</v>
      </c>
      <c r="H104" s="78">
        <f t="shared" ca="1" si="153"/>
        <v>0</v>
      </c>
      <c r="I104" s="4">
        <f ca="1">SUMIFS(INDIRECT("Tab_00.Trial["&amp;I$4&amp;"]"),Tab_00.Trial[CONTA],$B104)</f>
        <v>0</v>
      </c>
      <c r="J104" s="78">
        <f t="shared" ca="1" si="154"/>
        <v>0</v>
      </c>
      <c r="K104" s="78">
        <f t="shared" ca="1" si="155"/>
        <v>0</v>
      </c>
      <c r="L104" s="4">
        <f ca="1">SUMIFS(INDIRECT("Tab_00.Trial["&amp;L$4&amp;"]"),Tab_00.Trial[CONTA],$B104)</f>
        <v>0</v>
      </c>
      <c r="M104" s="78">
        <f t="shared" ca="1" si="156"/>
        <v>0</v>
      </c>
      <c r="N104" s="78">
        <f t="shared" ca="1" si="157"/>
        <v>0</v>
      </c>
      <c r="O104" s="4">
        <f ca="1">SUMIFS(INDIRECT("Tab_00.Trial["&amp;O$4&amp;"]"),Tab_00.Trial[CONTA],$B104)</f>
        <v>0</v>
      </c>
      <c r="P104" s="78">
        <f t="shared" ca="1" si="158"/>
        <v>0</v>
      </c>
      <c r="Q104" s="78">
        <f t="shared" ca="1" si="159"/>
        <v>0</v>
      </c>
      <c r="R104" s="4">
        <f ca="1">SUMIFS(INDIRECT("Tab_00.Trial["&amp;R$4&amp;"]"),Tab_00.Trial[CONTA],$B104)</f>
        <v>0</v>
      </c>
      <c r="S104" s="78">
        <f t="shared" ca="1" si="160"/>
        <v>0</v>
      </c>
      <c r="T104" s="78">
        <f t="shared" ca="1" si="161"/>
        <v>0</v>
      </c>
      <c r="U104" s="4">
        <f ca="1">SUMIFS(INDIRECT("Tab_00.Trial["&amp;U$4&amp;"]"),Tab_00.Trial[CONTA],$B104)</f>
        <v>0</v>
      </c>
      <c r="V104" s="78">
        <f t="shared" ca="1" si="162"/>
        <v>0</v>
      </c>
      <c r="W104" s="78">
        <f t="shared" ca="1" si="163"/>
        <v>0</v>
      </c>
      <c r="X104" s="4">
        <f ca="1">SUMIFS(INDIRECT("Tab_00.Trial["&amp;X$4&amp;"]"),Tab_00.Trial[CONTA],$B104)</f>
        <v>0</v>
      </c>
      <c r="Y104" s="78">
        <f t="shared" ca="1" si="164"/>
        <v>0</v>
      </c>
      <c r="Z104" s="78">
        <f t="shared" ca="1" si="165"/>
        <v>0</v>
      </c>
      <c r="AA104" s="4">
        <f ca="1">SUMIFS(INDIRECT("Tab_00.Trial["&amp;AA$4&amp;"]"),Tab_00.Trial[CONTA],$B104)</f>
        <v>0</v>
      </c>
      <c r="AB104" s="78">
        <f t="shared" ca="1" si="166"/>
        <v>0</v>
      </c>
      <c r="AC104" s="78">
        <f t="shared" ca="1" si="167"/>
        <v>0</v>
      </c>
      <c r="AD104" s="4">
        <f ca="1">SUMIFS(INDIRECT("Tab_00.Trial["&amp;AD$4&amp;"]"),Tab_00.Trial[CONTA],$B104)</f>
        <v>0</v>
      </c>
      <c r="AE104" s="78">
        <f t="shared" ca="1" si="168"/>
        <v>0</v>
      </c>
      <c r="AF104" s="78">
        <f t="shared" ca="1" si="169"/>
        <v>0</v>
      </c>
      <c r="AG104" s="4">
        <f ca="1">SUMIFS(INDIRECT("Tab_00.Trial["&amp;AG$4&amp;"]"),Tab_00.Trial[CONTA],$B104)</f>
        <v>0</v>
      </c>
      <c r="AH104" s="78">
        <f t="shared" ca="1" si="170"/>
        <v>0</v>
      </c>
      <c r="AI104" s="78">
        <f t="shared" ca="1" si="171"/>
        <v>0</v>
      </c>
      <c r="AJ104" s="4">
        <f ca="1">SUMIFS(INDIRECT("Tab_00.Trial["&amp;AJ$4&amp;"]"),Tab_00.Trial[CONTA],$B104)</f>
        <v>0</v>
      </c>
      <c r="AK104" s="78">
        <f t="shared" ca="1" si="172"/>
        <v>0</v>
      </c>
      <c r="AL104" s="78">
        <f t="shared" ca="1" si="173"/>
        <v>0</v>
      </c>
      <c r="AM104" s="4">
        <f ca="1">SUMIFS(INDIRECT("Tab_00.Trial["&amp;AM$4&amp;"]"),Tab_00.Trial[CONTA],$B104)</f>
        <v>0</v>
      </c>
      <c r="AN104" s="78">
        <f t="shared" ca="1" si="174"/>
        <v>0</v>
      </c>
      <c r="AO104" s="78">
        <f t="shared" ca="1" si="175"/>
        <v>0</v>
      </c>
    </row>
    <row r="105" spans="2:42" ht="15" hidden="1" customHeight="1" outlineLevel="1" x14ac:dyDescent="0.3">
      <c r="B105" s="14"/>
      <c r="C105" s="15"/>
      <c r="D105" s="4">
        <f>SUMIFS(Tab_99.Trial[DEZEMBRO],Tab_99.Trial[CONTA],$B105)</f>
        <v>0</v>
      </c>
      <c r="E105" s="78">
        <f t="shared" si="151"/>
        <v>0</v>
      </c>
      <c r="F105" s="4">
        <f ca="1">SUMIFS(INDIRECT("Tab_00.Trial["&amp;F$4&amp;"]"),Tab_00.Trial[CONTA],$B105)</f>
        <v>0</v>
      </c>
      <c r="G105" s="78">
        <f t="shared" ca="1" si="152"/>
        <v>0</v>
      </c>
      <c r="H105" s="78">
        <f t="shared" ca="1" si="153"/>
        <v>0</v>
      </c>
      <c r="I105" s="4">
        <f ca="1">SUMIFS(INDIRECT("Tab_00.Trial["&amp;I$4&amp;"]"),Tab_00.Trial[CONTA],$B105)</f>
        <v>0</v>
      </c>
      <c r="J105" s="78">
        <f t="shared" ca="1" si="154"/>
        <v>0</v>
      </c>
      <c r="K105" s="78">
        <f t="shared" ca="1" si="155"/>
        <v>0</v>
      </c>
      <c r="L105" s="4">
        <f ca="1">SUMIFS(INDIRECT("Tab_00.Trial["&amp;L$4&amp;"]"),Tab_00.Trial[CONTA],$B105)</f>
        <v>0</v>
      </c>
      <c r="M105" s="78">
        <f t="shared" ca="1" si="156"/>
        <v>0</v>
      </c>
      <c r="N105" s="78">
        <f t="shared" ca="1" si="157"/>
        <v>0</v>
      </c>
      <c r="O105" s="4">
        <f ca="1">SUMIFS(INDIRECT("Tab_00.Trial["&amp;O$4&amp;"]"),Tab_00.Trial[CONTA],$B105)</f>
        <v>0</v>
      </c>
      <c r="P105" s="78">
        <f t="shared" ca="1" si="158"/>
        <v>0</v>
      </c>
      <c r="Q105" s="78">
        <f t="shared" ca="1" si="159"/>
        <v>0</v>
      </c>
      <c r="R105" s="4">
        <f ca="1">SUMIFS(INDIRECT("Tab_00.Trial["&amp;R$4&amp;"]"),Tab_00.Trial[CONTA],$B105)</f>
        <v>0</v>
      </c>
      <c r="S105" s="78">
        <f t="shared" ca="1" si="160"/>
        <v>0</v>
      </c>
      <c r="T105" s="78">
        <f t="shared" ca="1" si="161"/>
        <v>0</v>
      </c>
      <c r="U105" s="4">
        <f ca="1">SUMIFS(INDIRECT("Tab_00.Trial["&amp;U$4&amp;"]"),Tab_00.Trial[CONTA],$B105)</f>
        <v>0</v>
      </c>
      <c r="V105" s="78">
        <f t="shared" ca="1" si="162"/>
        <v>0</v>
      </c>
      <c r="W105" s="78">
        <f t="shared" ca="1" si="163"/>
        <v>0</v>
      </c>
      <c r="X105" s="4">
        <f ca="1">SUMIFS(INDIRECT("Tab_00.Trial["&amp;X$4&amp;"]"),Tab_00.Trial[CONTA],$B105)</f>
        <v>0</v>
      </c>
      <c r="Y105" s="78">
        <f t="shared" ca="1" si="164"/>
        <v>0</v>
      </c>
      <c r="Z105" s="78">
        <f t="shared" ca="1" si="165"/>
        <v>0</v>
      </c>
      <c r="AA105" s="4">
        <f ca="1">SUMIFS(INDIRECT("Tab_00.Trial["&amp;AA$4&amp;"]"),Tab_00.Trial[CONTA],$B105)</f>
        <v>0</v>
      </c>
      <c r="AB105" s="78">
        <f t="shared" ca="1" si="166"/>
        <v>0</v>
      </c>
      <c r="AC105" s="78">
        <f t="shared" ca="1" si="167"/>
        <v>0</v>
      </c>
      <c r="AD105" s="4">
        <f ca="1">SUMIFS(INDIRECT("Tab_00.Trial["&amp;AD$4&amp;"]"),Tab_00.Trial[CONTA],$B105)</f>
        <v>0</v>
      </c>
      <c r="AE105" s="78">
        <f t="shared" ca="1" si="168"/>
        <v>0</v>
      </c>
      <c r="AF105" s="78">
        <f t="shared" ca="1" si="169"/>
        <v>0</v>
      </c>
      <c r="AG105" s="4">
        <f ca="1">SUMIFS(INDIRECT("Tab_00.Trial["&amp;AG$4&amp;"]"),Tab_00.Trial[CONTA],$B105)</f>
        <v>0</v>
      </c>
      <c r="AH105" s="78">
        <f t="shared" ca="1" si="170"/>
        <v>0</v>
      </c>
      <c r="AI105" s="78">
        <f t="shared" ca="1" si="171"/>
        <v>0</v>
      </c>
      <c r="AJ105" s="4">
        <f ca="1">SUMIFS(INDIRECT("Tab_00.Trial["&amp;AJ$4&amp;"]"),Tab_00.Trial[CONTA],$B105)</f>
        <v>0</v>
      </c>
      <c r="AK105" s="78">
        <f t="shared" ca="1" si="172"/>
        <v>0</v>
      </c>
      <c r="AL105" s="78">
        <f t="shared" ca="1" si="173"/>
        <v>0</v>
      </c>
      <c r="AM105" s="4">
        <f ca="1">SUMIFS(INDIRECT("Tab_00.Trial["&amp;AM$4&amp;"]"),Tab_00.Trial[CONTA],$B105)</f>
        <v>0</v>
      </c>
      <c r="AN105" s="78">
        <f t="shared" ca="1" si="174"/>
        <v>0</v>
      </c>
      <c r="AO105" s="78">
        <f t="shared" ca="1" si="175"/>
        <v>0</v>
      </c>
    </row>
    <row r="106" spans="2:42" ht="15" hidden="1" customHeight="1" outlineLevel="1" x14ac:dyDescent="0.3">
      <c r="B106" s="14"/>
      <c r="C106" s="15"/>
      <c r="D106" s="4">
        <f>SUMIFS(Tab_99.Trial[DEZEMBRO],Tab_99.Trial[CONTA],$B106)</f>
        <v>0</v>
      </c>
      <c r="E106" s="78">
        <f t="shared" si="151"/>
        <v>0</v>
      </c>
      <c r="F106" s="4">
        <f ca="1">SUMIFS(INDIRECT("Tab_00.Trial["&amp;F$4&amp;"]"),Tab_00.Trial[CONTA],$B106)</f>
        <v>0</v>
      </c>
      <c r="G106" s="78">
        <f t="shared" ca="1" si="152"/>
        <v>0</v>
      </c>
      <c r="H106" s="78">
        <f t="shared" ca="1" si="153"/>
        <v>0</v>
      </c>
      <c r="I106" s="4">
        <f ca="1">SUMIFS(INDIRECT("Tab_00.Trial["&amp;I$4&amp;"]"),Tab_00.Trial[CONTA],$B106)</f>
        <v>0</v>
      </c>
      <c r="J106" s="78">
        <f t="shared" ca="1" si="154"/>
        <v>0</v>
      </c>
      <c r="K106" s="78">
        <f t="shared" ca="1" si="155"/>
        <v>0</v>
      </c>
      <c r="L106" s="4">
        <f ca="1">SUMIFS(INDIRECT("Tab_00.Trial["&amp;L$4&amp;"]"),Tab_00.Trial[CONTA],$B106)</f>
        <v>0</v>
      </c>
      <c r="M106" s="78">
        <f t="shared" ca="1" si="156"/>
        <v>0</v>
      </c>
      <c r="N106" s="78">
        <f t="shared" ca="1" si="157"/>
        <v>0</v>
      </c>
      <c r="O106" s="4">
        <f ca="1">SUMIFS(INDIRECT("Tab_00.Trial["&amp;O$4&amp;"]"),Tab_00.Trial[CONTA],$B106)</f>
        <v>0</v>
      </c>
      <c r="P106" s="78">
        <f t="shared" ca="1" si="158"/>
        <v>0</v>
      </c>
      <c r="Q106" s="78">
        <f t="shared" ca="1" si="159"/>
        <v>0</v>
      </c>
      <c r="R106" s="4">
        <f ca="1">SUMIFS(INDIRECT("Tab_00.Trial["&amp;R$4&amp;"]"),Tab_00.Trial[CONTA],$B106)</f>
        <v>0</v>
      </c>
      <c r="S106" s="78">
        <f t="shared" ca="1" si="160"/>
        <v>0</v>
      </c>
      <c r="T106" s="78">
        <f t="shared" ca="1" si="161"/>
        <v>0</v>
      </c>
      <c r="U106" s="4">
        <f ca="1">SUMIFS(INDIRECT("Tab_00.Trial["&amp;U$4&amp;"]"),Tab_00.Trial[CONTA],$B106)</f>
        <v>0</v>
      </c>
      <c r="V106" s="78">
        <f t="shared" ca="1" si="162"/>
        <v>0</v>
      </c>
      <c r="W106" s="78">
        <f t="shared" ca="1" si="163"/>
        <v>0</v>
      </c>
      <c r="X106" s="4">
        <f ca="1">SUMIFS(INDIRECT("Tab_00.Trial["&amp;X$4&amp;"]"),Tab_00.Trial[CONTA],$B106)</f>
        <v>0</v>
      </c>
      <c r="Y106" s="78">
        <f t="shared" ca="1" si="164"/>
        <v>0</v>
      </c>
      <c r="Z106" s="78">
        <f t="shared" ca="1" si="165"/>
        <v>0</v>
      </c>
      <c r="AA106" s="4">
        <f ca="1">SUMIFS(INDIRECT("Tab_00.Trial["&amp;AA$4&amp;"]"),Tab_00.Trial[CONTA],$B106)</f>
        <v>0</v>
      </c>
      <c r="AB106" s="78">
        <f t="shared" ca="1" si="166"/>
        <v>0</v>
      </c>
      <c r="AC106" s="78">
        <f t="shared" ca="1" si="167"/>
        <v>0</v>
      </c>
      <c r="AD106" s="4">
        <f ca="1">SUMIFS(INDIRECT("Tab_00.Trial["&amp;AD$4&amp;"]"),Tab_00.Trial[CONTA],$B106)</f>
        <v>0</v>
      </c>
      <c r="AE106" s="78">
        <f t="shared" ca="1" si="168"/>
        <v>0</v>
      </c>
      <c r="AF106" s="78">
        <f t="shared" ca="1" si="169"/>
        <v>0</v>
      </c>
      <c r="AG106" s="4">
        <f ca="1">SUMIFS(INDIRECT("Tab_00.Trial["&amp;AG$4&amp;"]"),Tab_00.Trial[CONTA],$B106)</f>
        <v>0</v>
      </c>
      <c r="AH106" s="78">
        <f t="shared" ca="1" si="170"/>
        <v>0</v>
      </c>
      <c r="AI106" s="78">
        <f t="shared" ca="1" si="171"/>
        <v>0</v>
      </c>
      <c r="AJ106" s="4">
        <f ca="1">SUMIFS(INDIRECT("Tab_00.Trial["&amp;AJ$4&amp;"]"),Tab_00.Trial[CONTA],$B106)</f>
        <v>0</v>
      </c>
      <c r="AK106" s="78">
        <f t="shared" ca="1" si="172"/>
        <v>0</v>
      </c>
      <c r="AL106" s="78">
        <f t="shared" ca="1" si="173"/>
        <v>0</v>
      </c>
      <c r="AM106" s="4">
        <f ca="1">SUMIFS(INDIRECT("Tab_00.Trial["&amp;AM$4&amp;"]"),Tab_00.Trial[CONTA],$B106)</f>
        <v>0</v>
      </c>
      <c r="AN106" s="78">
        <f t="shared" ca="1" si="174"/>
        <v>0</v>
      </c>
      <c r="AO106" s="78">
        <f t="shared" ca="1" si="175"/>
        <v>0</v>
      </c>
    </row>
    <row r="107" spans="2:42" ht="15" hidden="1" customHeight="1" outlineLevel="1" x14ac:dyDescent="0.3">
      <c r="B107" s="14"/>
      <c r="C107" s="15"/>
      <c r="D107" s="4">
        <f>SUMIFS(Tab_99.Trial[DEZEMBRO],Tab_99.Trial[CONTA],$B107)</f>
        <v>0</v>
      </c>
      <c r="E107" s="78">
        <f t="shared" si="151"/>
        <v>0</v>
      </c>
      <c r="F107" s="4">
        <f ca="1">SUMIFS(INDIRECT("Tab_00.Trial["&amp;F$4&amp;"]"),Tab_00.Trial[CONTA],$B107)</f>
        <v>0</v>
      </c>
      <c r="G107" s="78">
        <f t="shared" ca="1" si="152"/>
        <v>0</v>
      </c>
      <c r="H107" s="78">
        <f t="shared" ca="1" si="153"/>
        <v>0</v>
      </c>
      <c r="I107" s="4">
        <f ca="1">SUMIFS(INDIRECT("Tab_00.Trial["&amp;I$4&amp;"]"),Tab_00.Trial[CONTA],$B107)</f>
        <v>0</v>
      </c>
      <c r="J107" s="78">
        <f t="shared" ca="1" si="154"/>
        <v>0</v>
      </c>
      <c r="K107" s="78">
        <f t="shared" ca="1" si="155"/>
        <v>0</v>
      </c>
      <c r="L107" s="4">
        <f ca="1">SUMIFS(INDIRECT("Tab_00.Trial["&amp;L$4&amp;"]"),Tab_00.Trial[CONTA],$B107)</f>
        <v>0</v>
      </c>
      <c r="M107" s="78">
        <f t="shared" ca="1" si="156"/>
        <v>0</v>
      </c>
      <c r="N107" s="78">
        <f t="shared" ca="1" si="157"/>
        <v>0</v>
      </c>
      <c r="O107" s="4">
        <f ca="1">SUMIFS(INDIRECT("Tab_00.Trial["&amp;O$4&amp;"]"),Tab_00.Trial[CONTA],$B107)</f>
        <v>0</v>
      </c>
      <c r="P107" s="78">
        <f t="shared" ca="1" si="158"/>
        <v>0</v>
      </c>
      <c r="Q107" s="78">
        <f t="shared" ca="1" si="159"/>
        <v>0</v>
      </c>
      <c r="R107" s="4">
        <f ca="1">SUMIFS(INDIRECT("Tab_00.Trial["&amp;R$4&amp;"]"),Tab_00.Trial[CONTA],$B107)</f>
        <v>0</v>
      </c>
      <c r="S107" s="78">
        <f t="shared" ca="1" si="160"/>
        <v>0</v>
      </c>
      <c r="T107" s="78">
        <f t="shared" ca="1" si="161"/>
        <v>0</v>
      </c>
      <c r="U107" s="4">
        <f ca="1">SUMIFS(INDIRECT("Tab_00.Trial["&amp;U$4&amp;"]"),Tab_00.Trial[CONTA],$B107)</f>
        <v>0</v>
      </c>
      <c r="V107" s="78">
        <f t="shared" ca="1" si="162"/>
        <v>0</v>
      </c>
      <c r="W107" s="78">
        <f t="shared" ca="1" si="163"/>
        <v>0</v>
      </c>
      <c r="X107" s="4">
        <f ca="1">SUMIFS(INDIRECT("Tab_00.Trial["&amp;X$4&amp;"]"),Tab_00.Trial[CONTA],$B107)</f>
        <v>0</v>
      </c>
      <c r="Y107" s="78">
        <f t="shared" ca="1" si="164"/>
        <v>0</v>
      </c>
      <c r="Z107" s="78">
        <f t="shared" ca="1" si="165"/>
        <v>0</v>
      </c>
      <c r="AA107" s="4">
        <f ca="1">SUMIFS(INDIRECT("Tab_00.Trial["&amp;AA$4&amp;"]"),Tab_00.Trial[CONTA],$B107)</f>
        <v>0</v>
      </c>
      <c r="AB107" s="78">
        <f t="shared" ca="1" si="166"/>
        <v>0</v>
      </c>
      <c r="AC107" s="78">
        <f t="shared" ca="1" si="167"/>
        <v>0</v>
      </c>
      <c r="AD107" s="4">
        <f ca="1">SUMIFS(INDIRECT("Tab_00.Trial["&amp;AD$4&amp;"]"),Tab_00.Trial[CONTA],$B107)</f>
        <v>0</v>
      </c>
      <c r="AE107" s="78">
        <f t="shared" ca="1" si="168"/>
        <v>0</v>
      </c>
      <c r="AF107" s="78">
        <f t="shared" ca="1" si="169"/>
        <v>0</v>
      </c>
      <c r="AG107" s="4">
        <f ca="1">SUMIFS(INDIRECT("Tab_00.Trial["&amp;AG$4&amp;"]"),Tab_00.Trial[CONTA],$B107)</f>
        <v>0</v>
      </c>
      <c r="AH107" s="78">
        <f t="shared" ca="1" si="170"/>
        <v>0</v>
      </c>
      <c r="AI107" s="78">
        <f t="shared" ca="1" si="171"/>
        <v>0</v>
      </c>
      <c r="AJ107" s="4">
        <f ca="1">SUMIFS(INDIRECT("Tab_00.Trial["&amp;AJ$4&amp;"]"),Tab_00.Trial[CONTA],$B107)</f>
        <v>0</v>
      </c>
      <c r="AK107" s="78">
        <f t="shared" ca="1" si="172"/>
        <v>0</v>
      </c>
      <c r="AL107" s="78">
        <f t="shared" ca="1" si="173"/>
        <v>0</v>
      </c>
      <c r="AM107" s="4">
        <f ca="1">SUMIFS(INDIRECT("Tab_00.Trial["&amp;AM$4&amp;"]"),Tab_00.Trial[CONTA],$B107)</f>
        <v>0</v>
      </c>
      <c r="AN107" s="78">
        <f t="shared" ca="1" si="174"/>
        <v>0</v>
      </c>
      <c r="AO107" s="78">
        <f t="shared" ca="1" si="175"/>
        <v>0</v>
      </c>
    </row>
    <row r="108" spans="2:42" ht="15" hidden="1" customHeight="1" outlineLevel="1" x14ac:dyDescent="0.3">
      <c r="B108" s="14"/>
      <c r="C108" s="15"/>
      <c r="D108" s="4">
        <f>SUMIFS(Tab_99.Trial[DEZEMBRO],Tab_99.Trial[CONTA],$B108)</f>
        <v>0</v>
      </c>
      <c r="E108" s="78">
        <f t="shared" si="151"/>
        <v>0</v>
      </c>
      <c r="F108" s="4">
        <f ca="1">SUMIFS(INDIRECT("Tab_00.Trial["&amp;F$4&amp;"]"),Tab_00.Trial[CONTA],$B108)</f>
        <v>0</v>
      </c>
      <c r="G108" s="78">
        <f t="shared" ca="1" si="152"/>
        <v>0</v>
      </c>
      <c r="H108" s="78">
        <f t="shared" ca="1" si="153"/>
        <v>0</v>
      </c>
      <c r="I108" s="4">
        <f ca="1">SUMIFS(INDIRECT("Tab_00.Trial["&amp;I$4&amp;"]"),Tab_00.Trial[CONTA],$B108)</f>
        <v>0</v>
      </c>
      <c r="J108" s="78">
        <f t="shared" ca="1" si="154"/>
        <v>0</v>
      </c>
      <c r="K108" s="78">
        <f t="shared" ca="1" si="155"/>
        <v>0</v>
      </c>
      <c r="L108" s="4">
        <f ca="1">SUMIFS(INDIRECT("Tab_00.Trial["&amp;L$4&amp;"]"),Tab_00.Trial[CONTA],$B108)</f>
        <v>0</v>
      </c>
      <c r="M108" s="78">
        <f t="shared" ca="1" si="156"/>
        <v>0</v>
      </c>
      <c r="N108" s="78">
        <f t="shared" ca="1" si="157"/>
        <v>0</v>
      </c>
      <c r="O108" s="4">
        <f ca="1">SUMIFS(INDIRECT("Tab_00.Trial["&amp;O$4&amp;"]"),Tab_00.Trial[CONTA],$B108)</f>
        <v>0</v>
      </c>
      <c r="P108" s="78">
        <f t="shared" ca="1" si="158"/>
        <v>0</v>
      </c>
      <c r="Q108" s="78">
        <f t="shared" ca="1" si="159"/>
        <v>0</v>
      </c>
      <c r="R108" s="4">
        <f ca="1">SUMIFS(INDIRECT("Tab_00.Trial["&amp;R$4&amp;"]"),Tab_00.Trial[CONTA],$B108)</f>
        <v>0</v>
      </c>
      <c r="S108" s="78">
        <f t="shared" ca="1" si="160"/>
        <v>0</v>
      </c>
      <c r="T108" s="78">
        <f t="shared" ca="1" si="161"/>
        <v>0</v>
      </c>
      <c r="U108" s="4">
        <f ca="1">SUMIFS(INDIRECT("Tab_00.Trial["&amp;U$4&amp;"]"),Tab_00.Trial[CONTA],$B108)</f>
        <v>0</v>
      </c>
      <c r="V108" s="78">
        <f t="shared" ca="1" si="162"/>
        <v>0</v>
      </c>
      <c r="W108" s="78">
        <f t="shared" ca="1" si="163"/>
        <v>0</v>
      </c>
      <c r="X108" s="4">
        <f ca="1">SUMIFS(INDIRECT("Tab_00.Trial["&amp;X$4&amp;"]"),Tab_00.Trial[CONTA],$B108)</f>
        <v>0</v>
      </c>
      <c r="Y108" s="78">
        <f t="shared" ca="1" si="164"/>
        <v>0</v>
      </c>
      <c r="Z108" s="78">
        <f t="shared" ca="1" si="165"/>
        <v>0</v>
      </c>
      <c r="AA108" s="4">
        <f ca="1">SUMIFS(INDIRECT("Tab_00.Trial["&amp;AA$4&amp;"]"),Tab_00.Trial[CONTA],$B108)</f>
        <v>0</v>
      </c>
      <c r="AB108" s="78">
        <f t="shared" ca="1" si="166"/>
        <v>0</v>
      </c>
      <c r="AC108" s="78">
        <f t="shared" ca="1" si="167"/>
        <v>0</v>
      </c>
      <c r="AD108" s="4">
        <f ca="1">SUMIFS(INDIRECT("Tab_00.Trial["&amp;AD$4&amp;"]"),Tab_00.Trial[CONTA],$B108)</f>
        <v>0</v>
      </c>
      <c r="AE108" s="78">
        <f t="shared" ca="1" si="168"/>
        <v>0</v>
      </c>
      <c r="AF108" s="78">
        <f t="shared" ca="1" si="169"/>
        <v>0</v>
      </c>
      <c r="AG108" s="4">
        <f ca="1">SUMIFS(INDIRECT("Tab_00.Trial["&amp;AG$4&amp;"]"),Tab_00.Trial[CONTA],$B108)</f>
        <v>0</v>
      </c>
      <c r="AH108" s="78">
        <f t="shared" ca="1" si="170"/>
        <v>0</v>
      </c>
      <c r="AI108" s="78">
        <f t="shared" ca="1" si="171"/>
        <v>0</v>
      </c>
      <c r="AJ108" s="4">
        <f ca="1">SUMIFS(INDIRECT("Tab_00.Trial["&amp;AJ$4&amp;"]"),Tab_00.Trial[CONTA],$B108)</f>
        <v>0</v>
      </c>
      <c r="AK108" s="78">
        <f t="shared" ca="1" si="172"/>
        <v>0</v>
      </c>
      <c r="AL108" s="78">
        <f t="shared" ca="1" si="173"/>
        <v>0</v>
      </c>
      <c r="AM108" s="4">
        <f ca="1">SUMIFS(INDIRECT("Tab_00.Trial["&amp;AM$4&amp;"]"),Tab_00.Trial[CONTA],$B108)</f>
        <v>0</v>
      </c>
      <c r="AN108" s="78">
        <f t="shared" ca="1" si="174"/>
        <v>0</v>
      </c>
      <c r="AO108" s="78">
        <f t="shared" ca="1" si="175"/>
        <v>0</v>
      </c>
    </row>
    <row r="109" spans="2:42" ht="15" hidden="1" customHeight="1" outlineLevel="1" x14ac:dyDescent="0.3">
      <c r="B109" s="14"/>
      <c r="C109" s="15"/>
      <c r="D109" s="4">
        <f>SUMIFS(Tab_99.Trial[DEZEMBRO],Tab_99.Trial[CONTA],$B109)</f>
        <v>0</v>
      </c>
      <c r="E109" s="78">
        <f t="shared" si="151"/>
        <v>0</v>
      </c>
      <c r="F109" s="4">
        <f ca="1">SUMIFS(INDIRECT("Tab_00.Trial["&amp;F$4&amp;"]"),Tab_00.Trial[CONTA],$B109)</f>
        <v>0</v>
      </c>
      <c r="G109" s="78">
        <f t="shared" ca="1" si="152"/>
        <v>0</v>
      </c>
      <c r="H109" s="78">
        <f t="shared" ca="1" si="153"/>
        <v>0</v>
      </c>
      <c r="I109" s="4">
        <f ca="1">SUMIFS(INDIRECT("Tab_00.Trial["&amp;I$4&amp;"]"),Tab_00.Trial[CONTA],$B109)</f>
        <v>0</v>
      </c>
      <c r="J109" s="78">
        <f t="shared" ca="1" si="154"/>
        <v>0</v>
      </c>
      <c r="K109" s="78">
        <f t="shared" ca="1" si="155"/>
        <v>0</v>
      </c>
      <c r="L109" s="4">
        <f ca="1">SUMIFS(INDIRECT("Tab_00.Trial["&amp;L$4&amp;"]"),Tab_00.Trial[CONTA],$B109)</f>
        <v>0</v>
      </c>
      <c r="M109" s="78">
        <f t="shared" ca="1" si="156"/>
        <v>0</v>
      </c>
      <c r="N109" s="78">
        <f t="shared" ca="1" si="157"/>
        <v>0</v>
      </c>
      <c r="O109" s="4">
        <f ca="1">SUMIFS(INDIRECT("Tab_00.Trial["&amp;O$4&amp;"]"),Tab_00.Trial[CONTA],$B109)</f>
        <v>0</v>
      </c>
      <c r="P109" s="78">
        <f t="shared" ca="1" si="158"/>
        <v>0</v>
      </c>
      <c r="Q109" s="78">
        <f t="shared" ca="1" si="159"/>
        <v>0</v>
      </c>
      <c r="R109" s="4">
        <f ca="1">SUMIFS(INDIRECT("Tab_00.Trial["&amp;R$4&amp;"]"),Tab_00.Trial[CONTA],$B109)</f>
        <v>0</v>
      </c>
      <c r="S109" s="78">
        <f t="shared" ca="1" si="160"/>
        <v>0</v>
      </c>
      <c r="T109" s="78">
        <f t="shared" ca="1" si="161"/>
        <v>0</v>
      </c>
      <c r="U109" s="4">
        <f ca="1">SUMIFS(INDIRECT("Tab_00.Trial["&amp;U$4&amp;"]"),Tab_00.Trial[CONTA],$B109)</f>
        <v>0</v>
      </c>
      <c r="V109" s="78">
        <f t="shared" ca="1" si="162"/>
        <v>0</v>
      </c>
      <c r="W109" s="78">
        <f t="shared" ca="1" si="163"/>
        <v>0</v>
      </c>
      <c r="X109" s="4">
        <f ca="1">SUMIFS(INDIRECT("Tab_00.Trial["&amp;X$4&amp;"]"),Tab_00.Trial[CONTA],$B109)</f>
        <v>0</v>
      </c>
      <c r="Y109" s="78">
        <f t="shared" ca="1" si="164"/>
        <v>0</v>
      </c>
      <c r="Z109" s="78">
        <f t="shared" ca="1" si="165"/>
        <v>0</v>
      </c>
      <c r="AA109" s="4">
        <f ca="1">SUMIFS(INDIRECT("Tab_00.Trial["&amp;AA$4&amp;"]"),Tab_00.Trial[CONTA],$B109)</f>
        <v>0</v>
      </c>
      <c r="AB109" s="78">
        <f t="shared" ca="1" si="166"/>
        <v>0</v>
      </c>
      <c r="AC109" s="78">
        <f t="shared" ca="1" si="167"/>
        <v>0</v>
      </c>
      <c r="AD109" s="4">
        <f ca="1">SUMIFS(INDIRECT("Tab_00.Trial["&amp;AD$4&amp;"]"),Tab_00.Trial[CONTA],$B109)</f>
        <v>0</v>
      </c>
      <c r="AE109" s="78">
        <f t="shared" ca="1" si="168"/>
        <v>0</v>
      </c>
      <c r="AF109" s="78">
        <f t="shared" ca="1" si="169"/>
        <v>0</v>
      </c>
      <c r="AG109" s="4">
        <f ca="1">SUMIFS(INDIRECT("Tab_00.Trial["&amp;AG$4&amp;"]"),Tab_00.Trial[CONTA],$B109)</f>
        <v>0</v>
      </c>
      <c r="AH109" s="78">
        <f t="shared" ca="1" si="170"/>
        <v>0</v>
      </c>
      <c r="AI109" s="78">
        <f t="shared" ca="1" si="171"/>
        <v>0</v>
      </c>
      <c r="AJ109" s="4">
        <f ca="1">SUMIFS(INDIRECT("Tab_00.Trial["&amp;AJ$4&amp;"]"),Tab_00.Trial[CONTA],$B109)</f>
        <v>0</v>
      </c>
      <c r="AK109" s="78">
        <f t="shared" ca="1" si="172"/>
        <v>0</v>
      </c>
      <c r="AL109" s="78">
        <f t="shared" ca="1" si="173"/>
        <v>0</v>
      </c>
      <c r="AM109" s="4">
        <f ca="1">SUMIFS(INDIRECT("Tab_00.Trial["&amp;AM$4&amp;"]"),Tab_00.Trial[CONTA],$B109)</f>
        <v>0</v>
      </c>
      <c r="AN109" s="78">
        <f t="shared" ca="1" si="174"/>
        <v>0</v>
      </c>
      <c r="AO109" s="78">
        <f t="shared" ca="1" si="175"/>
        <v>0</v>
      </c>
    </row>
    <row r="110" spans="2:42" ht="15" hidden="1" customHeight="1" outlineLevel="1" x14ac:dyDescent="0.3">
      <c r="B110" s="14"/>
      <c r="C110" s="15"/>
      <c r="D110" s="4">
        <f>SUMIFS(Tab_99.Trial[DEZEMBRO],Tab_99.Trial[CONTA],$B110)</f>
        <v>0</v>
      </c>
      <c r="E110" s="78">
        <f t="shared" si="151"/>
        <v>0</v>
      </c>
      <c r="F110" s="4">
        <f ca="1">SUMIFS(INDIRECT("Tab_00.Trial["&amp;F$4&amp;"]"),Tab_00.Trial[CONTA],$B110)</f>
        <v>0</v>
      </c>
      <c r="G110" s="78">
        <f t="shared" ca="1" si="152"/>
        <v>0</v>
      </c>
      <c r="H110" s="78">
        <f t="shared" ca="1" si="153"/>
        <v>0</v>
      </c>
      <c r="I110" s="4">
        <f ca="1">SUMIFS(INDIRECT("Tab_00.Trial["&amp;I$4&amp;"]"),Tab_00.Trial[CONTA],$B110)</f>
        <v>0</v>
      </c>
      <c r="J110" s="78">
        <f t="shared" ca="1" si="154"/>
        <v>0</v>
      </c>
      <c r="K110" s="78">
        <f t="shared" ca="1" si="155"/>
        <v>0</v>
      </c>
      <c r="L110" s="4">
        <f ca="1">SUMIFS(INDIRECT("Tab_00.Trial["&amp;L$4&amp;"]"),Tab_00.Trial[CONTA],$B110)</f>
        <v>0</v>
      </c>
      <c r="M110" s="78">
        <f t="shared" ca="1" si="156"/>
        <v>0</v>
      </c>
      <c r="N110" s="78">
        <f t="shared" ca="1" si="157"/>
        <v>0</v>
      </c>
      <c r="O110" s="4">
        <f ca="1">SUMIFS(INDIRECT("Tab_00.Trial["&amp;O$4&amp;"]"),Tab_00.Trial[CONTA],$B110)</f>
        <v>0</v>
      </c>
      <c r="P110" s="78">
        <f t="shared" ca="1" si="158"/>
        <v>0</v>
      </c>
      <c r="Q110" s="78">
        <f t="shared" ca="1" si="159"/>
        <v>0</v>
      </c>
      <c r="R110" s="4">
        <f ca="1">SUMIFS(INDIRECT("Tab_00.Trial["&amp;R$4&amp;"]"),Tab_00.Trial[CONTA],$B110)</f>
        <v>0</v>
      </c>
      <c r="S110" s="78">
        <f t="shared" ca="1" si="160"/>
        <v>0</v>
      </c>
      <c r="T110" s="78">
        <f t="shared" ca="1" si="161"/>
        <v>0</v>
      </c>
      <c r="U110" s="4">
        <f ca="1">SUMIFS(INDIRECT("Tab_00.Trial["&amp;U$4&amp;"]"),Tab_00.Trial[CONTA],$B110)</f>
        <v>0</v>
      </c>
      <c r="V110" s="78">
        <f t="shared" ca="1" si="162"/>
        <v>0</v>
      </c>
      <c r="W110" s="78">
        <f t="shared" ca="1" si="163"/>
        <v>0</v>
      </c>
      <c r="X110" s="4">
        <f ca="1">SUMIFS(INDIRECT("Tab_00.Trial["&amp;X$4&amp;"]"),Tab_00.Trial[CONTA],$B110)</f>
        <v>0</v>
      </c>
      <c r="Y110" s="78">
        <f t="shared" ca="1" si="164"/>
        <v>0</v>
      </c>
      <c r="Z110" s="78">
        <f t="shared" ca="1" si="165"/>
        <v>0</v>
      </c>
      <c r="AA110" s="4">
        <f ca="1">SUMIFS(INDIRECT("Tab_00.Trial["&amp;AA$4&amp;"]"),Tab_00.Trial[CONTA],$B110)</f>
        <v>0</v>
      </c>
      <c r="AB110" s="78">
        <f t="shared" ca="1" si="166"/>
        <v>0</v>
      </c>
      <c r="AC110" s="78">
        <f t="shared" ca="1" si="167"/>
        <v>0</v>
      </c>
      <c r="AD110" s="4">
        <f ca="1">SUMIFS(INDIRECT("Tab_00.Trial["&amp;AD$4&amp;"]"),Tab_00.Trial[CONTA],$B110)</f>
        <v>0</v>
      </c>
      <c r="AE110" s="78">
        <f t="shared" ca="1" si="168"/>
        <v>0</v>
      </c>
      <c r="AF110" s="78">
        <f t="shared" ca="1" si="169"/>
        <v>0</v>
      </c>
      <c r="AG110" s="4">
        <f ca="1">SUMIFS(INDIRECT("Tab_00.Trial["&amp;AG$4&amp;"]"),Tab_00.Trial[CONTA],$B110)</f>
        <v>0</v>
      </c>
      <c r="AH110" s="78">
        <f t="shared" ca="1" si="170"/>
        <v>0</v>
      </c>
      <c r="AI110" s="78">
        <f t="shared" ca="1" si="171"/>
        <v>0</v>
      </c>
      <c r="AJ110" s="4">
        <f ca="1">SUMIFS(INDIRECT("Tab_00.Trial["&amp;AJ$4&amp;"]"),Tab_00.Trial[CONTA],$B110)</f>
        <v>0</v>
      </c>
      <c r="AK110" s="78">
        <f t="shared" ca="1" si="172"/>
        <v>0</v>
      </c>
      <c r="AL110" s="78">
        <f t="shared" ca="1" si="173"/>
        <v>0</v>
      </c>
      <c r="AM110" s="4">
        <f ca="1">SUMIFS(INDIRECT("Tab_00.Trial["&amp;AM$4&amp;"]"),Tab_00.Trial[CONTA],$B110)</f>
        <v>0</v>
      </c>
      <c r="AN110" s="78">
        <f t="shared" ca="1" si="174"/>
        <v>0</v>
      </c>
      <c r="AO110" s="78">
        <f t="shared" ca="1" si="175"/>
        <v>0</v>
      </c>
    </row>
    <row r="111" spans="2:42" ht="15" hidden="1" customHeight="1" outlineLevel="1" x14ac:dyDescent="0.3">
      <c r="B111" s="14"/>
      <c r="C111" s="15"/>
      <c r="D111" s="4">
        <f>SUMIFS(Tab_99.Trial[DEZEMBRO],Tab_99.Trial[CONTA],$B111)</f>
        <v>0</v>
      </c>
      <c r="E111" s="78">
        <f t="shared" si="151"/>
        <v>0</v>
      </c>
      <c r="F111" s="4">
        <f ca="1">SUMIFS(INDIRECT("Tab_00.Trial["&amp;F$4&amp;"]"),Tab_00.Trial[CONTA],$B111)</f>
        <v>0</v>
      </c>
      <c r="G111" s="78">
        <f t="shared" ca="1" si="152"/>
        <v>0</v>
      </c>
      <c r="H111" s="78">
        <f t="shared" ca="1" si="153"/>
        <v>0</v>
      </c>
      <c r="I111" s="4">
        <f ca="1">SUMIFS(INDIRECT("Tab_00.Trial["&amp;I$4&amp;"]"),Tab_00.Trial[CONTA],$B111)</f>
        <v>0</v>
      </c>
      <c r="J111" s="78">
        <f t="shared" ca="1" si="154"/>
        <v>0</v>
      </c>
      <c r="K111" s="78">
        <f t="shared" ca="1" si="155"/>
        <v>0</v>
      </c>
      <c r="L111" s="4">
        <f ca="1">SUMIFS(INDIRECT("Tab_00.Trial["&amp;L$4&amp;"]"),Tab_00.Trial[CONTA],$B111)</f>
        <v>0</v>
      </c>
      <c r="M111" s="78">
        <f t="shared" ca="1" si="156"/>
        <v>0</v>
      </c>
      <c r="N111" s="78">
        <f t="shared" ca="1" si="157"/>
        <v>0</v>
      </c>
      <c r="O111" s="4">
        <f ca="1">SUMIFS(INDIRECT("Tab_00.Trial["&amp;O$4&amp;"]"),Tab_00.Trial[CONTA],$B111)</f>
        <v>0</v>
      </c>
      <c r="P111" s="78">
        <f t="shared" ca="1" si="158"/>
        <v>0</v>
      </c>
      <c r="Q111" s="78">
        <f t="shared" ca="1" si="159"/>
        <v>0</v>
      </c>
      <c r="R111" s="4">
        <f ca="1">SUMIFS(INDIRECT("Tab_00.Trial["&amp;R$4&amp;"]"),Tab_00.Trial[CONTA],$B111)</f>
        <v>0</v>
      </c>
      <c r="S111" s="78">
        <f t="shared" ca="1" si="160"/>
        <v>0</v>
      </c>
      <c r="T111" s="78">
        <f t="shared" ca="1" si="161"/>
        <v>0</v>
      </c>
      <c r="U111" s="4">
        <f ca="1">SUMIFS(INDIRECT("Tab_00.Trial["&amp;U$4&amp;"]"),Tab_00.Trial[CONTA],$B111)</f>
        <v>0</v>
      </c>
      <c r="V111" s="78">
        <f t="shared" ca="1" si="162"/>
        <v>0</v>
      </c>
      <c r="W111" s="78">
        <f t="shared" ca="1" si="163"/>
        <v>0</v>
      </c>
      <c r="X111" s="4">
        <f ca="1">SUMIFS(INDIRECT("Tab_00.Trial["&amp;X$4&amp;"]"),Tab_00.Trial[CONTA],$B111)</f>
        <v>0</v>
      </c>
      <c r="Y111" s="78">
        <f t="shared" ca="1" si="164"/>
        <v>0</v>
      </c>
      <c r="Z111" s="78">
        <f t="shared" ca="1" si="165"/>
        <v>0</v>
      </c>
      <c r="AA111" s="4">
        <f ca="1">SUMIFS(INDIRECT("Tab_00.Trial["&amp;AA$4&amp;"]"),Tab_00.Trial[CONTA],$B111)</f>
        <v>0</v>
      </c>
      <c r="AB111" s="78">
        <f t="shared" ca="1" si="166"/>
        <v>0</v>
      </c>
      <c r="AC111" s="78">
        <f t="shared" ca="1" si="167"/>
        <v>0</v>
      </c>
      <c r="AD111" s="4">
        <f ca="1">SUMIFS(INDIRECT("Tab_00.Trial["&amp;AD$4&amp;"]"),Tab_00.Trial[CONTA],$B111)</f>
        <v>0</v>
      </c>
      <c r="AE111" s="78">
        <f t="shared" ca="1" si="168"/>
        <v>0</v>
      </c>
      <c r="AF111" s="78">
        <f t="shared" ca="1" si="169"/>
        <v>0</v>
      </c>
      <c r="AG111" s="4">
        <f ca="1">SUMIFS(INDIRECT("Tab_00.Trial["&amp;AG$4&amp;"]"),Tab_00.Trial[CONTA],$B111)</f>
        <v>0</v>
      </c>
      <c r="AH111" s="78">
        <f t="shared" ca="1" si="170"/>
        <v>0</v>
      </c>
      <c r="AI111" s="78">
        <f t="shared" ca="1" si="171"/>
        <v>0</v>
      </c>
      <c r="AJ111" s="4">
        <f ca="1">SUMIFS(INDIRECT("Tab_00.Trial["&amp;AJ$4&amp;"]"),Tab_00.Trial[CONTA],$B111)</f>
        <v>0</v>
      </c>
      <c r="AK111" s="78">
        <f t="shared" ca="1" si="172"/>
        <v>0</v>
      </c>
      <c r="AL111" s="78">
        <f t="shared" ca="1" si="173"/>
        <v>0</v>
      </c>
      <c r="AM111" s="4">
        <f ca="1">SUMIFS(INDIRECT("Tab_00.Trial["&amp;AM$4&amp;"]"),Tab_00.Trial[CONTA],$B111)</f>
        <v>0</v>
      </c>
      <c r="AN111" s="78">
        <f t="shared" ca="1" si="174"/>
        <v>0</v>
      </c>
      <c r="AO111" s="78">
        <f t="shared" ca="1" si="175"/>
        <v>0</v>
      </c>
    </row>
    <row r="112" spans="2:42" ht="15" hidden="1" customHeight="1" outlineLevel="1" x14ac:dyDescent="0.3">
      <c r="B112" s="14"/>
      <c r="C112" s="15"/>
      <c r="D112" s="4">
        <f>SUMIFS(Tab_99.Trial[DEZEMBRO],Tab_99.Trial[CONTA],$B112)</f>
        <v>0</v>
      </c>
      <c r="E112" s="78">
        <f t="shared" si="151"/>
        <v>0</v>
      </c>
      <c r="F112" s="4">
        <f ca="1">SUMIFS(INDIRECT("Tab_00.Trial["&amp;F$4&amp;"]"),Tab_00.Trial[CONTA],$B112)</f>
        <v>0</v>
      </c>
      <c r="G112" s="78">
        <f t="shared" ca="1" si="152"/>
        <v>0</v>
      </c>
      <c r="H112" s="78">
        <f t="shared" ca="1" si="153"/>
        <v>0</v>
      </c>
      <c r="I112" s="4">
        <f ca="1">SUMIFS(INDIRECT("Tab_00.Trial["&amp;I$4&amp;"]"),Tab_00.Trial[CONTA],$B112)</f>
        <v>0</v>
      </c>
      <c r="J112" s="78">
        <f t="shared" ca="1" si="154"/>
        <v>0</v>
      </c>
      <c r="K112" s="78">
        <f t="shared" ca="1" si="155"/>
        <v>0</v>
      </c>
      <c r="L112" s="4">
        <f ca="1">SUMIFS(INDIRECT("Tab_00.Trial["&amp;L$4&amp;"]"),Tab_00.Trial[CONTA],$B112)</f>
        <v>0</v>
      </c>
      <c r="M112" s="78">
        <f t="shared" ca="1" si="156"/>
        <v>0</v>
      </c>
      <c r="N112" s="78">
        <f t="shared" ca="1" si="157"/>
        <v>0</v>
      </c>
      <c r="O112" s="4">
        <f ca="1">SUMIFS(INDIRECT("Tab_00.Trial["&amp;O$4&amp;"]"),Tab_00.Trial[CONTA],$B112)</f>
        <v>0</v>
      </c>
      <c r="P112" s="78">
        <f t="shared" ca="1" si="158"/>
        <v>0</v>
      </c>
      <c r="Q112" s="78">
        <f t="shared" ca="1" si="159"/>
        <v>0</v>
      </c>
      <c r="R112" s="4">
        <f ca="1">SUMIFS(INDIRECT("Tab_00.Trial["&amp;R$4&amp;"]"),Tab_00.Trial[CONTA],$B112)</f>
        <v>0</v>
      </c>
      <c r="S112" s="78">
        <f t="shared" ca="1" si="160"/>
        <v>0</v>
      </c>
      <c r="T112" s="78">
        <f t="shared" ca="1" si="161"/>
        <v>0</v>
      </c>
      <c r="U112" s="4">
        <f ca="1">SUMIFS(INDIRECT("Tab_00.Trial["&amp;U$4&amp;"]"),Tab_00.Trial[CONTA],$B112)</f>
        <v>0</v>
      </c>
      <c r="V112" s="78">
        <f t="shared" ca="1" si="162"/>
        <v>0</v>
      </c>
      <c r="W112" s="78">
        <f t="shared" ca="1" si="163"/>
        <v>0</v>
      </c>
      <c r="X112" s="4">
        <f ca="1">SUMIFS(INDIRECT("Tab_00.Trial["&amp;X$4&amp;"]"),Tab_00.Trial[CONTA],$B112)</f>
        <v>0</v>
      </c>
      <c r="Y112" s="78">
        <f t="shared" ca="1" si="164"/>
        <v>0</v>
      </c>
      <c r="Z112" s="78">
        <f t="shared" ca="1" si="165"/>
        <v>0</v>
      </c>
      <c r="AA112" s="4">
        <f ca="1">SUMIFS(INDIRECT("Tab_00.Trial["&amp;AA$4&amp;"]"),Tab_00.Trial[CONTA],$B112)</f>
        <v>0</v>
      </c>
      <c r="AB112" s="78">
        <f t="shared" ca="1" si="166"/>
        <v>0</v>
      </c>
      <c r="AC112" s="78">
        <f t="shared" ca="1" si="167"/>
        <v>0</v>
      </c>
      <c r="AD112" s="4">
        <f ca="1">SUMIFS(INDIRECT("Tab_00.Trial["&amp;AD$4&amp;"]"),Tab_00.Trial[CONTA],$B112)</f>
        <v>0</v>
      </c>
      <c r="AE112" s="78">
        <f t="shared" ca="1" si="168"/>
        <v>0</v>
      </c>
      <c r="AF112" s="78">
        <f t="shared" ca="1" si="169"/>
        <v>0</v>
      </c>
      <c r="AG112" s="4">
        <f ca="1">SUMIFS(INDIRECT("Tab_00.Trial["&amp;AG$4&amp;"]"),Tab_00.Trial[CONTA],$B112)</f>
        <v>0</v>
      </c>
      <c r="AH112" s="78">
        <f t="shared" ca="1" si="170"/>
        <v>0</v>
      </c>
      <c r="AI112" s="78">
        <f t="shared" ca="1" si="171"/>
        <v>0</v>
      </c>
      <c r="AJ112" s="4">
        <f ca="1">SUMIFS(INDIRECT("Tab_00.Trial["&amp;AJ$4&amp;"]"),Tab_00.Trial[CONTA],$B112)</f>
        <v>0</v>
      </c>
      <c r="AK112" s="78">
        <f t="shared" ca="1" si="172"/>
        <v>0</v>
      </c>
      <c r="AL112" s="78">
        <f t="shared" ca="1" si="173"/>
        <v>0</v>
      </c>
      <c r="AM112" s="4">
        <f ca="1">SUMIFS(INDIRECT("Tab_00.Trial["&amp;AM$4&amp;"]"),Tab_00.Trial[CONTA],$B112)</f>
        <v>0</v>
      </c>
      <c r="AN112" s="78">
        <f t="shared" ca="1" si="174"/>
        <v>0</v>
      </c>
      <c r="AO112" s="78">
        <f t="shared" ca="1" si="175"/>
        <v>0</v>
      </c>
    </row>
    <row r="113" spans="2:41" ht="15" hidden="1" customHeight="1" outlineLevel="1" x14ac:dyDescent="0.3">
      <c r="B113" s="14"/>
      <c r="C113" s="15"/>
      <c r="D113" s="4">
        <f>SUMIFS(Tab_99.Trial[DEZEMBRO],Tab_99.Trial[CONTA],$B113)</f>
        <v>0</v>
      </c>
      <c r="E113" s="78">
        <f t="shared" si="151"/>
        <v>0</v>
      </c>
      <c r="F113" s="4">
        <f ca="1">SUMIFS(INDIRECT("Tab_00.Trial["&amp;F$4&amp;"]"),Tab_00.Trial[CONTA],$B113)</f>
        <v>0</v>
      </c>
      <c r="G113" s="78">
        <f t="shared" ca="1" si="152"/>
        <v>0</v>
      </c>
      <c r="H113" s="78">
        <f t="shared" ca="1" si="153"/>
        <v>0</v>
      </c>
      <c r="I113" s="4">
        <f ca="1">SUMIFS(INDIRECT("Tab_00.Trial["&amp;I$4&amp;"]"),Tab_00.Trial[CONTA],$B113)</f>
        <v>0</v>
      </c>
      <c r="J113" s="78">
        <f t="shared" ca="1" si="154"/>
        <v>0</v>
      </c>
      <c r="K113" s="78">
        <f t="shared" ca="1" si="155"/>
        <v>0</v>
      </c>
      <c r="L113" s="4">
        <f ca="1">SUMIFS(INDIRECT("Tab_00.Trial["&amp;L$4&amp;"]"),Tab_00.Trial[CONTA],$B113)</f>
        <v>0</v>
      </c>
      <c r="M113" s="78">
        <f t="shared" ca="1" si="156"/>
        <v>0</v>
      </c>
      <c r="N113" s="78">
        <f t="shared" ca="1" si="157"/>
        <v>0</v>
      </c>
      <c r="O113" s="4">
        <f ca="1">SUMIFS(INDIRECT("Tab_00.Trial["&amp;O$4&amp;"]"),Tab_00.Trial[CONTA],$B113)</f>
        <v>0</v>
      </c>
      <c r="P113" s="78">
        <f t="shared" ca="1" si="158"/>
        <v>0</v>
      </c>
      <c r="Q113" s="78">
        <f t="shared" ca="1" si="159"/>
        <v>0</v>
      </c>
      <c r="R113" s="4">
        <f ca="1">SUMIFS(INDIRECT("Tab_00.Trial["&amp;R$4&amp;"]"),Tab_00.Trial[CONTA],$B113)</f>
        <v>0</v>
      </c>
      <c r="S113" s="78">
        <f t="shared" ca="1" si="160"/>
        <v>0</v>
      </c>
      <c r="T113" s="78">
        <f t="shared" ca="1" si="161"/>
        <v>0</v>
      </c>
      <c r="U113" s="4">
        <f ca="1">SUMIFS(INDIRECT("Tab_00.Trial["&amp;U$4&amp;"]"),Tab_00.Trial[CONTA],$B113)</f>
        <v>0</v>
      </c>
      <c r="V113" s="78">
        <f t="shared" ca="1" si="162"/>
        <v>0</v>
      </c>
      <c r="W113" s="78">
        <f t="shared" ca="1" si="163"/>
        <v>0</v>
      </c>
      <c r="X113" s="4">
        <f ca="1">SUMIFS(INDIRECT("Tab_00.Trial["&amp;X$4&amp;"]"),Tab_00.Trial[CONTA],$B113)</f>
        <v>0</v>
      </c>
      <c r="Y113" s="78">
        <f t="shared" ca="1" si="164"/>
        <v>0</v>
      </c>
      <c r="Z113" s="78">
        <f t="shared" ca="1" si="165"/>
        <v>0</v>
      </c>
      <c r="AA113" s="4">
        <f ca="1">SUMIFS(INDIRECT("Tab_00.Trial["&amp;AA$4&amp;"]"),Tab_00.Trial[CONTA],$B113)</f>
        <v>0</v>
      </c>
      <c r="AB113" s="78">
        <f t="shared" ca="1" si="166"/>
        <v>0</v>
      </c>
      <c r="AC113" s="78">
        <f t="shared" ca="1" si="167"/>
        <v>0</v>
      </c>
      <c r="AD113" s="4">
        <f ca="1">SUMIFS(INDIRECT("Tab_00.Trial["&amp;AD$4&amp;"]"),Tab_00.Trial[CONTA],$B113)</f>
        <v>0</v>
      </c>
      <c r="AE113" s="78">
        <f t="shared" ca="1" si="168"/>
        <v>0</v>
      </c>
      <c r="AF113" s="78">
        <f t="shared" ca="1" si="169"/>
        <v>0</v>
      </c>
      <c r="AG113" s="4">
        <f ca="1">SUMIFS(INDIRECT("Tab_00.Trial["&amp;AG$4&amp;"]"),Tab_00.Trial[CONTA],$B113)</f>
        <v>0</v>
      </c>
      <c r="AH113" s="78">
        <f t="shared" ca="1" si="170"/>
        <v>0</v>
      </c>
      <c r="AI113" s="78">
        <f t="shared" ca="1" si="171"/>
        <v>0</v>
      </c>
      <c r="AJ113" s="4">
        <f ca="1">SUMIFS(INDIRECT("Tab_00.Trial["&amp;AJ$4&amp;"]"),Tab_00.Trial[CONTA],$B113)</f>
        <v>0</v>
      </c>
      <c r="AK113" s="78">
        <f t="shared" ca="1" si="172"/>
        <v>0</v>
      </c>
      <c r="AL113" s="78">
        <f t="shared" ca="1" si="173"/>
        <v>0</v>
      </c>
      <c r="AM113" s="4">
        <f ca="1">SUMIFS(INDIRECT("Tab_00.Trial["&amp;AM$4&amp;"]"),Tab_00.Trial[CONTA],$B113)</f>
        <v>0</v>
      </c>
      <c r="AN113" s="78">
        <f t="shared" ca="1" si="174"/>
        <v>0</v>
      </c>
      <c r="AO113" s="78">
        <f t="shared" ca="1" si="175"/>
        <v>0</v>
      </c>
    </row>
    <row r="114" spans="2:41" ht="15" hidden="1" customHeight="1" outlineLevel="1" x14ac:dyDescent="0.3">
      <c r="B114" s="14"/>
      <c r="C114" s="15"/>
      <c r="D114" s="4">
        <f>SUMIFS(Tab_99.Trial[DEZEMBRO],Tab_99.Trial[CONTA],$B114)</f>
        <v>0</v>
      </c>
      <c r="E114" s="78">
        <f t="shared" si="151"/>
        <v>0</v>
      </c>
      <c r="F114" s="4">
        <f ca="1">SUMIFS(INDIRECT("Tab_00.Trial["&amp;F$4&amp;"]"),Tab_00.Trial[CONTA],$B114)</f>
        <v>0</v>
      </c>
      <c r="G114" s="78">
        <f t="shared" ca="1" si="152"/>
        <v>0</v>
      </c>
      <c r="H114" s="78">
        <f t="shared" ca="1" si="153"/>
        <v>0</v>
      </c>
      <c r="I114" s="4">
        <f ca="1">SUMIFS(INDIRECT("Tab_00.Trial["&amp;I$4&amp;"]"),Tab_00.Trial[CONTA],$B114)</f>
        <v>0</v>
      </c>
      <c r="J114" s="78">
        <f t="shared" ca="1" si="154"/>
        <v>0</v>
      </c>
      <c r="K114" s="78">
        <f t="shared" ca="1" si="155"/>
        <v>0</v>
      </c>
      <c r="L114" s="4">
        <f ca="1">SUMIFS(INDIRECT("Tab_00.Trial["&amp;L$4&amp;"]"),Tab_00.Trial[CONTA],$B114)</f>
        <v>0</v>
      </c>
      <c r="M114" s="78">
        <f t="shared" ca="1" si="156"/>
        <v>0</v>
      </c>
      <c r="N114" s="78">
        <f t="shared" ca="1" si="157"/>
        <v>0</v>
      </c>
      <c r="O114" s="4">
        <f ca="1">SUMIFS(INDIRECT("Tab_00.Trial["&amp;O$4&amp;"]"),Tab_00.Trial[CONTA],$B114)</f>
        <v>0</v>
      </c>
      <c r="P114" s="78">
        <f t="shared" ca="1" si="158"/>
        <v>0</v>
      </c>
      <c r="Q114" s="78">
        <f t="shared" ca="1" si="159"/>
        <v>0</v>
      </c>
      <c r="R114" s="4">
        <f ca="1">SUMIFS(INDIRECT("Tab_00.Trial["&amp;R$4&amp;"]"),Tab_00.Trial[CONTA],$B114)</f>
        <v>0</v>
      </c>
      <c r="S114" s="78">
        <f t="shared" ca="1" si="160"/>
        <v>0</v>
      </c>
      <c r="T114" s="78">
        <f t="shared" ca="1" si="161"/>
        <v>0</v>
      </c>
      <c r="U114" s="4">
        <f ca="1">SUMIFS(INDIRECT("Tab_00.Trial["&amp;U$4&amp;"]"),Tab_00.Trial[CONTA],$B114)</f>
        <v>0</v>
      </c>
      <c r="V114" s="78">
        <f t="shared" ca="1" si="162"/>
        <v>0</v>
      </c>
      <c r="W114" s="78">
        <f t="shared" ca="1" si="163"/>
        <v>0</v>
      </c>
      <c r="X114" s="4">
        <f ca="1">SUMIFS(INDIRECT("Tab_00.Trial["&amp;X$4&amp;"]"),Tab_00.Trial[CONTA],$B114)</f>
        <v>0</v>
      </c>
      <c r="Y114" s="78">
        <f t="shared" ca="1" si="164"/>
        <v>0</v>
      </c>
      <c r="Z114" s="78">
        <f t="shared" ca="1" si="165"/>
        <v>0</v>
      </c>
      <c r="AA114" s="4">
        <f ca="1">SUMIFS(INDIRECT("Tab_00.Trial["&amp;AA$4&amp;"]"),Tab_00.Trial[CONTA],$B114)</f>
        <v>0</v>
      </c>
      <c r="AB114" s="78">
        <f t="shared" ca="1" si="166"/>
        <v>0</v>
      </c>
      <c r="AC114" s="78">
        <f t="shared" ca="1" si="167"/>
        <v>0</v>
      </c>
      <c r="AD114" s="4">
        <f ca="1">SUMIFS(INDIRECT("Tab_00.Trial["&amp;AD$4&amp;"]"),Tab_00.Trial[CONTA],$B114)</f>
        <v>0</v>
      </c>
      <c r="AE114" s="78">
        <f t="shared" ca="1" si="168"/>
        <v>0</v>
      </c>
      <c r="AF114" s="78">
        <f t="shared" ca="1" si="169"/>
        <v>0</v>
      </c>
      <c r="AG114" s="4">
        <f ca="1">SUMIFS(INDIRECT("Tab_00.Trial["&amp;AG$4&amp;"]"),Tab_00.Trial[CONTA],$B114)</f>
        <v>0</v>
      </c>
      <c r="AH114" s="78">
        <f t="shared" ca="1" si="170"/>
        <v>0</v>
      </c>
      <c r="AI114" s="78">
        <f t="shared" ca="1" si="171"/>
        <v>0</v>
      </c>
      <c r="AJ114" s="4">
        <f ca="1">SUMIFS(INDIRECT("Tab_00.Trial["&amp;AJ$4&amp;"]"),Tab_00.Trial[CONTA],$B114)</f>
        <v>0</v>
      </c>
      <c r="AK114" s="78">
        <f t="shared" ca="1" si="172"/>
        <v>0</v>
      </c>
      <c r="AL114" s="78">
        <f t="shared" ca="1" si="173"/>
        <v>0</v>
      </c>
      <c r="AM114" s="4">
        <f ca="1">SUMIFS(INDIRECT("Tab_00.Trial["&amp;AM$4&amp;"]"),Tab_00.Trial[CONTA],$B114)</f>
        <v>0</v>
      </c>
      <c r="AN114" s="78">
        <f t="shared" ca="1" si="174"/>
        <v>0</v>
      </c>
      <c r="AO114" s="78">
        <f t="shared" ca="1" si="175"/>
        <v>0</v>
      </c>
    </row>
    <row r="115" spans="2:41" ht="15" hidden="1" customHeight="1" outlineLevel="1" x14ac:dyDescent="0.3">
      <c r="B115" s="14"/>
      <c r="C115" s="15"/>
      <c r="D115" s="4">
        <f>SUMIFS(Tab_99.Trial[DEZEMBRO],Tab_99.Trial[CONTA],$B115)</f>
        <v>0</v>
      </c>
      <c r="E115" s="78">
        <f t="shared" si="151"/>
        <v>0</v>
      </c>
      <c r="F115" s="4">
        <f ca="1">SUMIFS(INDIRECT("Tab_00.Trial["&amp;F$4&amp;"]"),Tab_00.Trial[CONTA],$B115)</f>
        <v>0</v>
      </c>
      <c r="G115" s="78">
        <f t="shared" ca="1" si="152"/>
        <v>0</v>
      </c>
      <c r="H115" s="78">
        <f t="shared" ca="1" si="153"/>
        <v>0</v>
      </c>
      <c r="I115" s="4">
        <f ca="1">SUMIFS(INDIRECT("Tab_00.Trial["&amp;I$4&amp;"]"),Tab_00.Trial[CONTA],$B115)</f>
        <v>0</v>
      </c>
      <c r="J115" s="78">
        <f t="shared" ca="1" si="154"/>
        <v>0</v>
      </c>
      <c r="K115" s="78">
        <f t="shared" ca="1" si="155"/>
        <v>0</v>
      </c>
      <c r="L115" s="4">
        <f ca="1">SUMIFS(INDIRECT("Tab_00.Trial["&amp;L$4&amp;"]"),Tab_00.Trial[CONTA],$B115)</f>
        <v>0</v>
      </c>
      <c r="M115" s="78">
        <f t="shared" ca="1" si="156"/>
        <v>0</v>
      </c>
      <c r="N115" s="78">
        <f t="shared" ca="1" si="157"/>
        <v>0</v>
      </c>
      <c r="O115" s="4">
        <f ca="1">SUMIFS(INDIRECT("Tab_00.Trial["&amp;O$4&amp;"]"),Tab_00.Trial[CONTA],$B115)</f>
        <v>0</v>
      </c>
      <c r="P115" s="78">
        <f t="shared" ca="1" si="158"/>
        <v>0</v>
      </c>
      <c r="Q115" s="78">
        <f t="shared" ca="1" si="159"/>
        <v>0</v>
      </c>
      <c r="R115" s="4">
        <f ca="1">SUMIFS(INDIRECT("Tab_00.Trial["&amp;R$4&amp;"]"),Tab_00.Trial[CONTA],$B115)</f>
        <v>0</v>
      </c>
      <c r="S115" s="78">
        <f t="shared" ca="1" si="160"/>
        <v>0</v>
      </c>
      <c r="T115" s="78">
        <f t="shared" ca="1" si="161"/>
        <v>0</v>
      </c>
      <c r="U115" s="4">
        <f ca="1">SUMIFS(INDIRECT("Tab_00.Trial["&amp;U$4&amp;"]"),Tab_00.Trial[CONTA],$B115)</f>
        <v>0</v>
      </c>
      <c r="V115" s="78">
        <f t="shared" ca="1" si="162"/>
        <v>0</v>
      </c>
      <c r="W115" s="78">
        <f t="shared" ca="1" si="163"/>
        <v>0</v>
      </c>
      <c r="X115" s="4">
        <f ca="1">SUMIFS(INDIRECT("Tab_00.Trial["&amp;X$4&amp;"]"),Tab_00.Trial[CONTA],$B115)</f>
        <v>0</v>
      </c>
      <c r="Y115" s="78">
        <f t="shared" ca="1" si="164"/>
        <v>0</v>
      </c>
      <c r="Z115" s="78">
        <f t="shared" ca="1" si="165"/>
        <v>0</v>
      </c>
      <c r="AA115" s="4">
        <f ca="1">SUMIFS(INDIRECT("Tab_00.Trial["&amp;AA$4&amp;"]"),Tab_00.Trial[CONTA],$B115)</f>
        <v>0</v>
      </c>
      <c r="AB115" s="78">
        <f t="shared" ca="1" si="166"/>
        <v>0</v>
      </c>
      <c r="AC115" s="78">
        <f t="shared" ca="1" si="167"/>
        <v>0</v>
      </c>
      <c r="AD115" s="4">
        <f ca="1">SUMIFS(INDIRECT("Tab_00.Trial["&amp;AD$4&amp;"]"),Tab_00.Trial[CONTA],$B115)</f>
        <v>0</v>
      </c>
      <c r="AE115" s="78">
        <f t="shared" ca="1" si="168"/>
        <v>0</v>
      </c>
      <c r="AF115" s="78">
        <f t="shared" ca="1" si="169"/>
        <v>0</v>
      </c>
      <c r="AG115" s="4">
        <f ca="1">SUMIFS(INDIRECT("Tab_00.Trial["&amp;AG$4&amp;"]"),Tab_00.Trial[CONTA],$B115)</f>
        <v>0</v>
      </c>
      <c r="AH115" s="78">
        <f t="shared" ca="1" si="170"/>
        <v>0</v>
      </c>
      <c r="AI115" s="78">
        <f t="shared" ca="1" si="171"/>
        <v>0</v>
      </c>
      <c r="AJ115" s="4">
        <f ca="1">SUMIFS(INDIRECT("Tab_00.Trial["&amp;AJ$4&amp;"]"),Tab_00.Trial[CONTA],$B115)</f>
        <v>0</v>
      </c>
      <c r="AK115" s="78">
        <f t="shared" ca="1" si="172"/>
        <v>0</v>
      </c>
      <c r="AL115" s="78">
        <f t="shared" ca="1" si="173"/>
        <v>0</v>
      </c>
      <c r="AM115" s="4">
        <f ca="1">SUMIFS(INDIRECT("Tab_00.Trial["&amp;AM$4&amp;"]"),Tab_00.Trial[CONTA],$B115)</f>
        <v>0</v>
      </c>
      <c r="AN115" s="78">
        <f t="shared" ca="1" si="174"/>
        <v>0</v>
      </c>
      <c r="AO115" s="78">
        <f t="shared" ca="1" si="175"/>
        <v>0</v>
      </c>
    </row>
    <row r="116" spans="2:41" ht="5.0999999999999996" hidden="1" customHeight="1" outlineLevel="1" x14ac:dyDescent="0.3">
      <c r="B116" s="74"/>
      <c r="C116" s="75"/>
      <c r="D116" s="76"/>
      <c r="E116" s="77"/>
      <c r="F116" s="76"/>
      <c r="G116" s="77"/>
      <c r="H116" s="77"/>
      <c r="I116" s="76"/>
      <c r="J116" s="77"/>
      <c r="K116" s="77"/>
      <c r="L116" s="76"/>
      <c r="M116" s="77"/>
      <c r="N116" s="77"/>
      <c r="O116" s="76"/>
      <c r="P116" s="77"/>
      <c r="Q116" s="77"/>
      <c r="R116" s="76"/>
      <c r="S116" s="77"/>
      <c r="T116" s="77"/>
      <c r="U116" s="76"/>
      <c r="V116" s="77"/>
      <c r="W116" s="77"/>
      <c r="X116" s="76"/>
      <c r="Y116" s="77"/>
      <c r="Z116" s="77"/>
      <c r="AA116" s="76"/>
      <c r="AB116" s="77"/>
      <c r="AC116" s="77"/>
      <c r="AD116" s="76"/>
      <c r="AE116" s="77"/>
      <c r="AF116" s="77"/>
      <c r="AG116" s="76"/>
      <c r="AH116" s="77"/>
      <c r="AI116" s="77"/>
      <c r="AJ116" s="76"/>
      <c r="AK116" s="77"/>
      <c r="AL116" s="77"/>
      <c r="AM116" s="76"/>
      <c r="AN116" s="77"/>
      <c r="AO116" s="77"/>
    </row>
    <row r="117" spans="2:41" ht="15" customHeight="1" collapsed="1" x14ac:dyDescent="0.3">
      <c r="B117" s="3" t="s">
        <v>117</v>
      </c>
      <c r="C117" s="14" t="s">
        <v>100</v>
      </c>
      <c r="D117" s="4">
        <f>SUBTOTAL(9,D$118:D$127)</f>
        <v>0</v>
      </c>
      <c r="E117" s="78">
        <v>6.0000000000000001E-3</v>
      </c>
      <c r="F117" s="4">
        <f ca="1">SUBTOTAL(9,F$118:F$127)</f>
        <v>45348993.07</v>
      </c>
      <c r="G117" s="78">
        <v>6.7000000000000002E-3</v>
      </c>
      <c r="H117" s="78">
        <v>-5.0999999999999997E-2</v>
      </c>
      <c r="I117" s="4">
        <f ca="1">SUBTOTAL(9,I$118:I$127)</f>
        <v>45348993.07</v>
      </c>
      <c r="J117" s="78">
        <v>7.0000000000000001E-3</v>
      </c>
      <c r="K117" s="78">
        <v>-2.5000000000000001E-3</v>
      </c>
      <c r="L117" s="4">
        <f ca="1">SUBTOTAL(9,L$118:L$127)</f>
        <v>45348993.07</v>
      </c>
      <c r="M117" s="78">
        <v>7.0000000000000001E-3</v>
      </c>
      <c r="N117" s="78">
        <v>-2.5000000000000001E-3</v>
      </c>
      <c r="O117" s="4">
        <f ca="1">SUBTOTAL(9,O$118:O$127)</f>
        <v>45348993.07</v>
      </c>
      <c r="P117" s="78">
        <v>7.1000000000000004E-3</v>
      </c>
      <c r="Q117" s="78">
        <v>-2.0999999999999999E-3</v>
      </c>
      <c r="R117" s="4">
        <f ca="1">SUBTOTAL(9,R$118:R$127)</f>
        <v>45348993.07</v>
      </c>
      <c r="S117" s="78">
        <v>6.0000000000000001E-3</v>
      </c>
      <c r="T117" s="78">
        <v>-5.9999999999999995E-4</v>
      </c>
      <c r="U117" s="4">
        <f ca="1">SUBTOTAL(9,U$118:U$127)</f>
        <v>45348993.07</v>
      </c>
      <c r="V117" s="78">
        <v>6.1000000000000004E-3</v>
      </c>
      <c r="W117" s="78">
        <v>8.6E-3</v>
      </c>
      <c r="X117" s="4">
        <f ca="1">SUBTOTAL(9,X$118:X$127)</f>
        <v>45348993.07</v>
      </c>
      <c r="Y117" s="78">
        <v>6.0000000000000001E-3</v>
      </c>
      <c r="Z117" s="78">
        <v>-8.9999999999999998E-4</v>
      </c>
      <c r="AA117" s="4">
        <f ca="1">SUBTOTAL(9,AA$118:AA$127)</f>
        <v>45348993.07</v>
      </c>
      <c r="AB117" s="78">
        <v>5.8999999999999999E-3</v>
      </c>
      <c r="AC117" s="78">
        <v>-5.9999999999999995E-4</v>
      </c>
      <c r="AD117" s="4">
        <f ca="1">SUBTOTAL(9,AD$118:AD$127)</f>
        <v>45348993.07</v>
      </c>
      <c r="AE117" s="78">
        <v>6.1000000000000004E-3</v>
      </c>
      <c r="AF117" s="78">
        <v>2.2100000000000002E-2</v>
      </c>
      <c r="AG117" s="4">
        <f ca="1">SUBTOTAL(9,AG$118:AG$127)</f>
        <v>45348993.07</v>
      </c>
      <c r="AH117" s="78">
        <v>5.8999999999999999E-3</v>
      </c>
      <c r="AI117" s="78">
        <v>6.8999999999999999E-3</v>
      </c>
      <c r="AJ117" s="4">
        <f ca="1">SUBTOTAL(9,AJ$118:AJ$127)</f>
        <v>45348993.07</v>
      </c>
      <c r="AK117" s="78">
        <v>5.7999999999999996E-3</v>
      </c>
      <c r="AL117" s="78">
        <v>-5.9999999999999995E-4</v>
      </c>
      <c r="AM117" s="4">
        <f ca="1">SUBTOTAL(9,AM$118:AM$127)</f>
        <v>45348993.07</v>
      </c>
      <c r="AN117" s="78">
        <v>6.0000000000000001E-3</v>
      </c>
      <c r="AO117" s="78">
        <v>2.53E-2</v>
      </c>
    </row>
    <row r="118" spans="2:41" ht="15" hidden="1" customHeight="1" outlineLevel="1" x14ac:dyDescent="0.3">
      <c r="B118" s="14" t="s">
        <v>302</v>
      </c>
      <c r="C118" s="15" t="s">
        <v>303</v>
      </c>
      <c r="D118" s="4">
        <f>SUMIFS(Tab_99.Trial[DEZEMBRO],Tab_99.Trial[CONTA],$B118)</f>
        <v>0</v>
      </c>
      <c r="E118" s="78">
        <f t="shared" ref="E118:E126" si="176">IFERROR($D118/$D$160,0)</f>
        <v>0</v>
      </c>
      <c r="F118" s="4">
        <f ca="1">SUMIFS(INDIRECT("Tab_00.Trial["&amp;F$4&amp;"]"),Tab_00.Trial[CONTA],$B118)</f>
        <v>42477392.43</v>
      </c>
      <c r="G118" s="78">
        <f t="shared" ref="G118:G126" ca="1" si="177">IFERROR($F118/$F$160,0)</f>
        <v>0.50670000000000004</v>
      </c>
      <c r="H118" s="78">
        <f t="shared" ref="H118:H126" ca="1" si="178">IFERROR(($F118-$D118)/ABS($D118),0)</f>
        <v>0</v>
      </c>
      <c r="I118" s="4">
        <f ca="1">SUMIFS(INDIRECT("Tab_00.Trial["&amp;I$4&amp;"]"),Tab_00.Trial[CONTA],$B118)</f>
        <v>42477392.43</v>
      </c>
      <c r="J118" s="78">
        <f t="shared" ref="J118:J126" ca="1" si="179">IFERROR($I118/$I$160,0)</f>
        <v>0.51060000000000005</v>
      </c>
      <c r="K118" s="78">
        <f t="shared" ref="K118:K126" ca="1" si="180">IFERROR(($I118-$F118)/ABS($F118),0)</f>
        <v>0</v>
      </c>
      <c r="L118" s="4">
        <f ca="1">SUMIFS(INDIRECT("Tab_00.Trial["&amp;L$4&amp;"]"),Tab_00.Trial[CONTA],$B118)</f>
        <v>42477392.43</v>
      </c>
      <c r="M118" s="78">
        <f t="shared" ref="M118:M126" ca="1" si="181">IFERROR($L118/$L$160,0)</f>
        <v>0.5101</v>
      </c>
      <c r="N118" s="78">
        <f t="shared" ref="N118:N126" ca="1" si="182">IFERROR(($L118-$I118)/ABS($I118),0)</f>
        <v>0</v>
      </c>
      <c r="O118" s="4">
        <f ca="1">SUMIFS(INDIRECT("Tab_00.Trial["&amp;O$4&amp;"]"),Tab_00.Trial[CONTA],$B118)</f>
        <v>42477392.43</v>
      </c>
      <c r="P118" s="78">
        <f t="shared" ref="P118:P126" ca="1" si="183">IFERROR($O118/$O$160,0)</f>
        <v>0.50800000000000001</v>
      </c>
      <c r="Q118" s="78">
        <f t="shared" ref="Q118:Q126" ca="1" si="184">IFERROR(($O118-$L118)/ABS($L118),0)</f>
        <v>0</v>
      </c>
      <c r="R118" s="4">
        <f ca="1">SUMIFS(INDIRECT("Tab_00.Trial["&amp;R$4&amp;"]"),Tab_00.Trial[CONTA],$B118)</f>
        <v>42477392.43</v>
      </c>
      <c r="S118" s="78">
        <f t="shared" ref="S118:S126" ca="1" si="185">IFERROR($R118/$R$160,0)</f>
        <v>0.50600000000000001</v>
      </c>
      <c r="T118" s="78">
        <f t="shared" ref="T118:T126" ca="1" si="186">IFERROR(($R118-$O118)/ABS($O118),0)</f>
        <v>0</v>
      </c>
      <c r="U118" s="4">
        <f ca="1">SUMIFS(INDIRECT("Tab_00.Trial["&amp;U$4&amp;"]"),Tab_00.Trial[CONTA],$B118)</f>
        <v>42477392.43</v>
      </c>
      <c r="V118" s="78">
        <f t="shared" ref="V118:V126" ca="1" si="187">IFERROR($U118/$U$160,0)</f>
        <v>0.50449999999999995</v>
      </c>
      <c r="W118" s="78">
        <f t="shared" ref="W118:W126" ca="1" si="188">IFERROR(($U118-$R118)/ABS($R118),0)</f>
        <v>0</v>
      </c>
      <c r="X118" s="4">
        <f ca="1">SUMIFS(INDIRECT("Tab_00.Trial["&amp;X$4&amp;"]"),Tab_00.Trial[CONTA],$B118)</f>
        <v>42477392.43</v>
      </c>
      <c r="Y118" s="78">
        <f t="shared" ref="Y118:Y126" ca="1" si="189">IFERROR($X118/$X$160,0)</f>
        <v>0.50129999999999997</v>
      </c>
      <c r="Z118" s="78">
        <f t="shared" ref="Z118:Z126" ca="1" si="190">IFERROR(($X118-$U118)/ABS($U118),0)</f>
        <v>0</v>
      </c>
      <c r="AA118" s="4">
        <f ca="1">SUMIFS(INDIRECT("Tab_00.Trial["&amp;AA$4&amp;"]"),Tab_00.Trial[CONTA],$B118)</f>
        <v>42477392.43</v>
      </c>
      <c r="AB118" s="78">
        <f t="shared" ref="AB118:AB126" ca="1" si="191">IFERROR($AA118/$AA$160,0)</f>
        <v>0.499</v>
      </c>
      <c r="AC118" s="78">
        <f t="shared" ref="AC118:AC126" ca="1" si="192">IFERROR(($AA118-$X118)/ABS($X118),0)</f>
        <v>0</v>
      </c>
      <c r="AD118" s="4">
        <f ca="1">SUMIFS(INDIRECT("Tab_00.Trial["&amp;AD$4&amp;"]"),Tab_00.Trial[CONTA],$B118)</f>
        <v>42477392.43</v>
      </c>
      <c r="AE118" s="78">
        <f t="shared" ref="AE118:AE126" ca="1" si="193">IFERROR($AD118/$AD$160,0)</f>
        <v>0.499</v>
      </c>
      <c r="AF118" s="78">
        <f t="shared" ref="AF118:AF126" ca="1" si="194">IFERROR(($AD118-$AA118)/ABS($AA118),0)</f>
        <v>0</v>
      </c>
      <c r="AG118" s="4">
        <f ca="1">SUMIFS(INDIRECT("Tab_00.Trial["&amp;AG$4&amp;"]"),Tab_00.Trial[CONTA],$B118)</f>
        <v>42477392.43</v>
      </c>
      <c r="AH118" s="78">
        <f t="shared" ref="AH118:AH126" ca="1" si="195">IFERROR($AG118/$AG$160,0)</f>
        <v>0.49769999999999998</v>
      </c>
      <c r="AI118" s="78">
        <f t="shared" ref="AI118:AI126" ca="1" si="196">IFERROR(($AG118-$AD118)/ABS($AD118),0)</f>
        <v>0</v>
      </c>
      <c r="AJ118" s="4">
        <f ca="1">SUMIFS(INDIRECT("Tab_00.Trial["&amp;AJ$4&amp;"]"),Tab_00.Trial[CONTA],$B118)</f>
        <v>42477392.43</v>
      </c>
      <c r="AK118" s="78">
        <f t="shared" ref="AK118:AK126" ca="1" si="197">IFERROR($AJ118/$AJ$160,0)</f>
        <v>0.49580000000000002</v>
      </c>
      <c r="AL118" s="78">
        <f t="shared" ref="AL118:AL126" ca="1" si="198">IFERROR(($AJ118-$AG118)/ABS($AG118),0)</f>
        <v>0</v>
      </c>
      <c r="AM118" s="4">
        <f ca="1">SUMIFS(INDIRECT("Tab_00.Trial["&amp;AM$4&amp;"]"),Tab_00.Trial[CONTA],$B118)</f>
        <v>42477392.43</v>
      </c>
      <c r="AN118" s="78">
        <f t="shared" ref="AN118:AN120" ca="1" si="199">IFERROR(AM118/AM$160,0)</f>
        <v>0.49640000000000001</v>
      </c>
      <c r="AO118" s="78">
        <f t="shared" ref="AO118:AO126" ca="1" si="200">IFERROR(($AM118-$AJ118)/ABS($AJ118),0)</f>
        <v>0</v>
      </c>
    </row>
    <row r="119" spans="2:41" ht="15" hidden="1" customHeight="1" outlineLevel="1" x14ac:dyDescent="0.3">
      <c r="B119" s="14" t="s">
        <v>304</v>
      </c>
      <c r="C119" s="15" t="s">
        <v>305</v>
      </c>
      <c r="D119" s="4">
        <f>SUMIFS(Tab_99.Trial[DEZEMBRO],Tab_99.Trial[CONTA],$B119)</f>
        <v>0</v>
      </c>
      <c r="E119" s="78">
        <f t="shared" si="176"/>
        <v>0</v>
      </c>
      <c r="F119" s="4">
        <f ca="1">SUMIFS(INDIRECT("Tab_00.Trial["&amp;F$4&amp;"]"),Tab_00.Trial[CONTA],$B119)</f>
        <v>2866839.8</v>
      </c>
      <c r="G119" s="78">
        <f t="shared" ca="1" si="177"/>
        <v>3.4200000000000001E-2</v>
      </c>
      <c r="H119" s="78">
        <f t="shared" ca="1" si="178"/>
        <v>0</v>
      </c>
      <c r="I119" s="4">
        <f ca="1">SUMIFS(INDIRECT("Tab_00.Trial["&amp;I$4&amp;"]"),Tab_00.Trial[CONTA],$B119)</f>
        <v>2866839.8</v>
      </c>
      <c r="J119" s="78">
        <f t="shared" ca="1" si="179"/>
        <v>3.4500000000000003E-2</v>
      </c>
      <c r="K119" s="78">
        <f t="shared" ca="1" si="180"/>
        <v>0</v>
      </c>
      <c r="L119" s="4">
        <f ca="1">SUMIFS(INDIRECT("Tab_00.Trial["&amp;L$4&amp;"]"),Tab_00.Trial[CONTA],$B119)</f>
        <v>2866839.8</v>
      </c>
      <c r="M119" s="78">
        <f t="shared" ca="1" si="181"/>
        <v>3.44E-2</v>
      </c>
      <c r="N119" s="78">
        <f t="shared" ca="1" si="182"/>
        <v>0</v>
      </c>
      <c r="O119" s="4">
        <f ca="1">SUMIFS(INDIRECT("Tab_00.Trial["&amp;O$4&amp;"]"),Tab_00.Trial[CONTA],$B119)</f>
        <v>2866839.8</v>
      </c>
      <c r="P119" s="78">
        <f t="shared" ca="1" si="183"/>
        <v>3.4299999999999997E-2</v>
      </c>
      <c r="Q119" s="78">
        <f t="shared" ca="1" si="184"/>
        <v>0</v>
      </c>
      <c r="R119" s="4">
        <f ca="1">SUMIFS(INDIRECT("Tab_00.Trial["&amp;R$4&amp;"]"),Tab_00.Trial[CONTA],$B119)</f>
        <v>2866839.8</v>
      </c>
      <c r="S119" s="78">
        <f t="shared" ca="1" si="185"/>
        <v>3.4099999999999998E-2</v>
      </c>
      <c r="T119" s="78">
        <f t="shared" ca="1" si="186"/>
        <v>0</v>
      </c>
      <c r="U119" s="4">
        <f ca="1">SUMIFS(INDIRECT("Tab_00.Trial["&amp;U$4&amp;"]"),Tab_00.Trial[CONTA],$B119)</f>
        <v>2866839.8</v>
      </c>
      <c r="V119" s="78">
        <f t="shared" ca="1" si="187"/>
        <v>3.4099999999999998E-2</v>
      </c>
      <c r="W119" s="78">
        <f t="shared" ca="1" si="188"/>
        <v>0</v>
      </c>
      <c r="X119" s="4">
        <f ca="1">SUMIFS(INDIRECT("Tab_00.Trial["&amp;X$4&amp;"]"),Tab_00.Trial[CONTA],$B119)</f>
        <v>2866839.8</v>
      </c>
      <c r="Y119" s="78">
        <f t="shared" ca="1" si="189"/>
        <v>3.3799999999999997E-2</v>
      </c>
      <c r="Z119" s="78">
        <f t="shared" ca="1" si="190"/>
        <v>0</v>
      </c>
      <c r="AA119" s="4">
        <f ca="1">SUMIFS(INDIRECT("Tab_00.Trial["&amp;AA$4&amp;"]"),Tab_00.Trial[CONTA],$B119)</f>
        <v>2866839.8</v>
      </c>
      <c r="AB119" s="78">
        <f t="shared" ca="1" si="191"/>
        <v>3.3700000000000001E-2</v>
      </c>
      <c r="AC119" s="78">
        <f t="shared" ca="1" si="192"/>
        <v>0</v>
      </c>
      <c r="AD119" s="4">
        <f ca="1">SUMIFS(INDIRECT("Tab_00.Trial["&amp;AD$4&amp;"]"),Tab_00.Trial[CONTA],$B119)</f>
        <v>2866839.8</v>
      </c>
      <c r="AE119" s="78">
        <f t="shared" ca="1" si="193"/>
        <v>3.3700000000000001E-2</v>
      </c>
      <c r="AF119" s="78">
        <f t="shared" ca="1" si="194"/>
        <v>0</v>
      </c>
      <c r="AG119" s="4">
        <f ca="1">SUMIFS(INDIRECT("Tab_00.Trial["&amp;AG$4&amp;"]"),Tab_00.Trial[CONTA],$B119)</f>
        <v>2866839.8</v>
      </c>
      <c r="AH119" s="78">
        <f t="shared" ca="1" si="195"/>
        <v>3.3599999999999998E-2</v>
      </c>
      <c r="AI119" s="78">
        <f t="shared" ca="1" si="196"/>
        <v>0</v>
      </c>
      <c r="AJ119" s="4">
        <f ca="1">SUMIFS(INDIRECT("Tab_00.Trial["&amp;AJ$4&amp;"]"),Tab_00.Trial[CONTA],$B119)</f>
        <v>2866839.8</v>
      </c>
      <c r="AK119" s="78">
        <f t="shared" ca="1" si="197"/>
        <v>3.3500000000000002E-2</v>
      </c>
      <c r="AL119" s="78">
        <f t="shared" ca="1" si="198"/>
        <v>0</v>
      </c>
      <c r="AM119" s="4">
        <f ca="1">SUMIFS(INDIRECT("Tab_00.Trial["&amp;AM$4&amp;"]"),Tab_00.Trial[CONTA],$B119)</f>
        <v>2866839.8</v>
      </c>
      <c r="AN119" s="78">
        <f t="shared" ca="1" si="199"/>
        <v>3.3500000000000002E-2</v>
      </c>
      <c r="AO119" s="78">
        <f t="shared" ca="1" si="200"/>
        <v>0</v>
      </c>
    </row>
    <row r="120" spans="2:41" ht="15" hidden="1" customHeight="1" outlineLevel="1" x14ac:dyDescent="0.3">
      <c r="B120" s="14" t="s">
        <v>306</v>
      </c>
      <c r="C120" s="15" t="s">
        <v>307</v>
      </c>
      <c r="D120" s="4">
        <f>SUMIFS(Tab_99.Trial[DEZEMBRO],Tab_99.Trial[CONTA],$B120)</f>
        <v>0</v>
      </c>
      <c r="E120" s="78">
        <f t="shared" si="176"/>
        <v>0</v>
      </c>
      <c r="F120" s="4">
        <f ca="1">SUMIFS(INDIRECT("Tab_00.Trial["&amp;F$4&amp;"]"),Tab_00.Trial[CONTA],$B120)</f>
        <v>4760.84</v>
      </c>
      <c r="G120" s="78">
        <f t="shared" ca="1" si="177"/>
        <v>1E-4</v>
      </c>
      <c r="H120" s="78">
        <f t="shared" ca="1" si="178"/>
        <v>0</v>
      </c>
      <c r="I120" s="4">
        <f ca="1">SUMIFS(INDIRECT("Tab_00.Trial["&amp;I$4&amp;"]"),Tab_00.Trial[CONTA],$B120)</f>
        <v>4760.84</v>
      </c>
      <c r="J120" s="78">
        <f t="shared" ca="1" si="179"/>
        <v>1E-4</v>
      </c>
      <c r="K120" s="78">
        <f t="shared" ca="1" si="180"/>
        <v>0</v>
      </c>
      <c r="L120" s="4">
        <f ca="1">SUMIFS(INDIRECT("Tab_00.Trial["&amp;L$4&amp;"]"),Tab_00.Trial[CONTA],$B120)</f>
        <v>4760.84</v>
      </c>
      <c r="M120" s="78">
        <f t="shared" ca="1" si="181"/>
        <v>1E-4</v>
      </c>
      <c r="N120" s="78">
        <f t="shared" ca="1" si="182"/>
        <v>0</v>
      </c>
      <c r="O120" s="4">
        <f ca="1">SUMIFS(INDIRECT("Tab_00.Trial["&amp;O$4&amp;"]"),Tab_00.Trial[CONTA],$B120)</f>
        <v>4760.84</v>
      </c>
      <c r="P120" s="78">
        <f t="shared" ca="1" si="183"/>
        <v>1E-4</v>
      </c>
      <c r="Q120" s="78">
        <f t="shared" ca="1" si="184"/>
        <v>0</v>
      </c>
      <c r="R120" s="4">
        <f ca="1">SUMIFS(INDIRECT("Tab_00.Trial["&amp;R$4&amp;"]"),Tab_00.Trial[CONTA],$B120)</f>
        <v>4760.84</v>
      </c>
      <c r="S120" s="78">
        <f t="shared" ca="1" si="185"/>
        <v>1E-4</v>
      </c>
      <c r="T120" s="78">
        <f t="shared" ca="1" si="186"/>
        <v>0</v>
      </c>
      <c r="U120" s="4">
        <f ca="1">SUMIFS(INDIRECT("Tab_00.Trial["&amp;U$4&amp;"]"),Tab_00.Trial[CONTA],$B120)</f>
        <v>4760.84</v>
      </c>
      <c r="V120" s="78">
        <f t="shared" ca="1" si="187"/>
        <v>1E-4</v>
      </c>
      <c r="W120" s="78">
        <f t="shared" ca="1" si="188"/>
        <v>0</v>
      </c>
      <c r="X120" s="4">
        <f ca="1">SUMIFS(INDIRECT("Tab_00.Trial["&amp;X$4&amp;"]"),Tab_00.Trial[CONTA],$B120)</f>
        <v>4760.84</v>
      </c>
      <c r="Y120" s="78">
        <f t="shared" ca="1" si="189"/>
        <v>1E-4</v>
      </c>
      <c r="Z120" s="78">
        <f t="shared" ca="1" si="190"/>
        <v>0</v>
      </c>
      <c r="AA120" s="4">
        <f ca="1">SUMIFS(INDIRECT("Tab_00.Trial["&amp;AA$4&amp;"]"),Tab_00.Trial[CONTA],$B120)</f>
        <v>4760.84</v>
      </c>
      <c r="AB120" s="78">
        <f t="shared" ca="1" si="191"/>
        <v>1E-4</v>
      </c>
      <c r="AC120" s="78">
        <f t="shared" ca="1" si="192"/>
        <v>0</v>
      </c>
      <c r="AD120" s="4">
        <f ca="1">SUMIFS(INDIRECT("Tab_00.Trial["&amp;AD$4&amp;"]"),Tab_00.Trial[CONTA],$B120)</f>
        <v>4760.84</v>
      </c>
      <c r="AE120" s="78">
        <f t="shared" ca="1" si="193"/>
        <v>1E-4</v>
      </c>
      <c r="AF120" s="78">
        <f t="shared" ca="1" si="194"/>
        <v>0</v>
      </c>
      <c r="AG120" s="4">
        <f ca="1">SUMIFS(INDIRECT("Tab_00.Trial["&amp;AG$4&amp;"]"),Tab_00.Trial[CONTA],$B120)</f>
        <v>4760.84</v>
      </c>
      <c r="AH120" s="78">
        <f t="shared" ca="1" si="195"/>
        <v>1E-4</v>
      </c>
      <c r="AI120" s="78">
        <f t="shared" ca="1" si="196"/>
        <v>0</v>
      </c>
      <c r="AJ120" s="4">
        <f ca="1">SUMIFS(INDIRECT("Tab_00.Trial["&amp;AJ$4&amp;"]"),Tab_00.Trial[CONTA],$B120)</f>
        <v>4760.84</v>
      </c>
      <c r="AK120" s="78">
        <f t="shared" ca="1" si="197"/>
        <v>1E-4</v>
      </c>
      <c r="AL120" s="78">
        <f t="shared" ca="1" si="198"/>
        <v>0</v>
      </c>
      <c r="AM120" s="4">
        <f ca="1">SUMIFS(INDIRECT("Tab_00.Trial["&amp;AM$4&amp;"]"),Tab_00.Trial[CONTA],$B120)</f>
        <v>4760.84</v>
      </c>
      <c r="AN120" s="78">
        <f t="shared" ca="1" si="199"/>
        <v>1E-4</v>
      </c>
      <c r="AO120" s="78">
        <f t="shared" ca="1" si="200"/>
        <v>0</v>
      </c>
    </row>
    <row r="121" spans="2:41" ht="15" hidden="1" customHeight="1" outlineLevel="1" x14ac:dyDescent="0.3">
      <c r="D121" s="4">
        <f>SUMIFS(Tab_99.Trial[DEZEMBRO],Tab_99.Trial[CONTA],$B121)</f>
        <v>0</v>
      </c>
      <c r="E121" s="78">
        <f t="shared" si="176"/>
        <v>0</v>
      </c>
      <c r="F121" s="4">
        <f ca="1">SUMIFS(INDIRECT("Tab_00.Trial["&amp;F$4&amp;"]"),Tab_00.Trial[CONTA],$B121)</f>
        <v>0</v>
      </c>
      <c r="G121" s="78">
        <f t="shared" ca="1" si="177"/>
        <v>0</v>
      </c>
      <c r="H121" s="78">
        <f t="shared" ca="1" si="178"/>
        <v>0</v>
      </c>
      <c r="I121" s="4">
        <f ca="1">SUMIFS(INDIRECT("Tab_00.Trial["&amp;I$4&amp;"]"),Tab_00.Trial[CONTA],$B121)</f>
        <v>0</v>
      </c>
      <c r="J121" s="78">
        <f t="shared" ca="1" si="179"/>
        <v>0</v>
      </c>
      <c r="K121" s="78">
        <f t="shared" ca="1" si="180"/>
        <v>0</v>
      </c>
      <c r="L121" s="4">
        <f ca="1">SUMIFS(INDIRECT("Tab_00.Trial["&amp;L$4&amp;"]"),Tab_00.Trial[CONTA],$B121)</f>
        <v>0</v>
      </c>
      <c r="M121" s="78">
        <f t="shared" ca="1" si="181"/>
        <v>0</v>
      </c>
      <c r="N121" s="78">
        <f t="shared" ca="1" si="182"/>
        <v>0</v>
      </c>
      <c r="O121" s="4">
        <f ca="1">SUMIFS(INDIRECT("Tab_00.Trial["&amp;O$4&amp;"]"),Tab_00.Trial[CONTA],$B121)</f>
        <v>0</v>
      </c>
      <c r="P121" s="78">
        <f t="shared" ca="1" si="183"/>
        <v>0</v>
      </c>
      <c r="Q121" s="78">
        <f t="shared" ca="1" si="184"/>
        <v>0</v>
      </c>
      <c r="R121" s="4">
        <f ca="1">SUMIFS(INDIRECT("Tab_00.Trial["&amp;R$4&amp;"]"),Tab_00.Trial[CONTA],$B121)</f>
        <v>0</v>
      </c>
      <c r="S121" s="78">
        <f t="shared" ca="1" si="185"/>
        <v>0</v>
      </c>
      <c r="T121" s="78">
        <f t="shared" ca="1" si="186"/>
        <v>0</v>
      </c>
      <c r="U121" s="4">
        <f ca="1">SUMIFS(INDIRECT("Tab_00.Trial["&amp;U$4&amp;"]"),Tab_00.Trial[CONTA],$B121)</f>
        <v>0</v>
      </c>
      <c r="V121" s="78">
        <f t="shared" ca="1" si="187"/>
        <v>0</v>
      </c>
      <c r="W121" s="78">
        <f t="shared" ca="1" si="188"/>
        <v>0</v>
      </c>
      <c r="X121" s="4">
        <f ca="1">SUMIFS(INDIRECT("Tab_00.Trial["&amp;X$4&amp;"]"),Tab_00.Trial[CONTA],$B121)</f>
        <v>0</v>
      </c>
      <c r="Y121" s="78">
        <f t="shared" ca="1" si="189"/>
        <v>0</v>
      </c>
      <c r="Z121" s="78">
        <f t="shared" ca="1" si="190"/>
        <v>0</v>
      </c>
      <c r="AA121" s="4">
        <f ca="1">SUMIFS(INDIRECT("Tab_00.Trial["&amp;AA$4&amp;"]"),Tab_00.Trial[CONTA],$B121)</f>
        <v>0</v>
      </c>
      <c r="AB121" s="78">
        <f t="shared" ca="1" si="191"/>
        <v>0</v>
      </c>
      <c r="AC121" s="78">
        <f t="shared" ca="1" si="192"/>
        <v>0</v>
      </c>
      <c r="AD121" s="4">
        <f ca="1">SUMIFS(INDIRECT("Tab_00.Trial["&amp;AD$4&amp;"]"),Tab_00.Trial[CONTA],$B121)</f>
        <v>0</v>
      </c>
      <c r="AE121" s="78">
        <f t="shared" ca="1" si="193"/>
        <v>0</v>
      </c>
      <c r="AF121" s="78">
        <f t="shared" ca="1" si="194"/>
        <v>0</v>
      </c>
      <c r="AG121" s="4">
        <f ca="1">SUMIFS(INDIRECT("Tab_00.Trial["&amp;AG$4&amp;"]"),Tab_00.Trial[CONTA],$B121)</f>
        <v>0</v>
      </c>
      <c r="AH121" s="78">
        <f t="shared" ca="1" si="195"/>
        <v>0</v>
      </c>
      <c r="AI121" s="78">
        <f t="shared" ca="1" si="196"/>
        <v>0</v>
      </c>
      <c r="AJ121" s="4">
        <f ca="1">SUMIFS(INDIRECT("Tab_00.Trial["&amp;AJ$4&amp;"]"),Tab_00.Trial[CONTA],$B121)</f>
        <v>0</v>
      </c>
      <c r="AK121" s="78">
        <f t="shared" ca="1" si="197"/>
        <v>0</v>
      </c>
      <c r="AL121" s="78">
        <f t="shared" ca="1" si="198"/>
        <v>0</v>
      </c>
      <c r="AM121" s="4">
        <f ca="1">SUMIFS(INDIRECT("Tab_00.Trial["&amp;AM$4&amp;"]"),Tab_00.Trial[CONTA],$B121)</f>
        <v>0</v>
      </c>
      <c r="AN121" s="78">
        <f t="shared" ref="AN121:AN126" ca="1" si="201">IFERROR(AM121/AM$160,0)</f>
        <v>0</v>
      </c>
      <c r="AO121" s="78">
        <f t="shared" ca="1" si="200"/>
        <v>0</v>
      </c>
    </row>
    <row r="122" spans="2:41" ht="15" hidden="1" customHeight="1" outlineLevel="1" x14ac:dyDescent="0.3">
      <c r="B122" s="14"/>
      <c r="C122" s="15"/>
      <c r="D122" s="4">
        <f>SUMIFS(Tab_99.Trial[DEZEMBRO],Tab_99.Trial[CONTA],$B122)</f>
        <v>0</v>
      </c>
      <c r="E122" s="78">
        <f t="shared" si="176"/>
        <v>0</v>
      </c>
      <c r="F122" s="4">
        <f ca="1">SUMIFS(INDIRECT("Tab_00.Trial["&amp;F$4&amp;"]"),Tab_00.Trial[CONTA],$B122)</f>
        <v>0</v>
      </c>
      <c r="G122" s="78">
        <f t="shared" ca="1" si="177"/>
        <v>0</v>
      </c>
      <c r="H122" s="78">
        <f t="shared" ca="1" si="178"/>
        <v>0</v>
      </c>
      <c r="I122" s="4">
        <f ca="1">SUMIFS(INDIRECT("Tab_00.Trial["&amp;I$4&amp;"]"),Tab_00.Trial[CONTA],$B122)</f>
        <v>0</v>
      </c>
      <c r="J122" s="78">
        <f t="shared" ca="1" si="179"/>
        <v>0</v>
      </c>
      <c r="K122" s="78">
        <f t="shared" ca="1" si="180"/>
        <v>0</v>
      </c>
      <c r="L122" s="4">
        <f ca="1">SUMIFS(INDIRECT("Tab_00.Trial["&amp;L$4&amp;"]"),Tab_00.Trial[CONTA],$B122)</f>
        <v>0</v>
      </c>
      <c r="M122" s="78">
        <f t="shared" ca="1" si="181"/>
        <v>0</v>
      </c>
      <c r="N122" s="78">
        <f t="shared" ca="1" si="182"/>
        <v>0</v>
      </c>
      <c r="O122" s="4">
        <f ca="1">SUMIFS(INDIRECT("Tab_00.Trial["&amp;O$4&amp;"]"),Tab_00.Trial[CONTA],$B122)</f>
        <v>0</v>
      </c>
      <c r="P122" s="78">
        <f t="shared" ca="1" si="183"/>
        <v>0</v>
      </c>
      <c r="Q122" s="78">
        <f t="shared" ca="1" si="184"/>
        <v>0</v>
      </c>
      <c r="R122" s="4">
        <f ca="1">SUMIFS(INDIRECT("Tab_00.Trial["&amp;R$4&amp;"]"),Tab_00.Trial[CONTA],$B122)</f>
        <v>0</v>
      </c>
      <c r="S122" s="78">
        <f t="shared" ca="1" si="185"/>
        <v>0</v>
      </c>
      <c r="T122" s="78">
        <f t="shared" ca="1" si="186"/>
        <v>0</v>
      </c>
      <c r="U122" s="4">
        <f ca="1">SUMIFS(INDIRECT("Tab_00.Trial["&amp;U$4&amp;"]"),Tab_00.Trial[CONTA],$B122)</f>
        <v>0</v>
      </c>
      <c r="V122" s="78">
        <f t="shared" ca="1" si="187"/>
        <v>0</v>
      </c>
      <c r="W122" s="78">
        <f t="shared" ca="1" si="188"/>
        <v>0</v>
      </c>
      <c r="X122" s="4">
        <f ca="1">SUMIFS(INDIRECT("Tab_00.Trial["&amp;X$4&amp;"]"),Tab_00.Trial[CONTA],$B122)</f>
        <v>0</v>
      </c>
      <c r="Y122" s="78">
        <f t="shared" ca="1" si="189"/>
        <v>0</v>
      </c>
      <c r="Z122" s="78">
        <f t="shared" ca="1" si="190"/>
        <v>0</v>
      </c>
      <c r="AA122" s="4">
        <f ca="1">SUMIFS(INDIRECT("Tab_00.Trial["&amp;AA$4&amp;"]"),Tab_00.Trial[CONTA],$B122)</f>
        <v>0</v>
      </c>
      <c r="AB122" s="78">
        <f t="shared" ca="1" si="191"/>
        <v>0</v>
      </c>
      <c r="AC122" s="78">
        <f t="shared" ca="1" si="192"/>
        <v>0</v>
      </c>
      <c r="AD122" s="4">
        <f ca="1">SUMIFS(INDIRECT("Tab_00.Trial["&amp;AD$4&amp;"]"),Tab_00.Trial[CONTA],$B122)</f>
        <v>0</v>
      </c>
      <c r="AE122" s="78">
        <f t="shared" ca="1" si="193"/>
        <v>0</v>
      </c>
      <c r="AF122" s="78">
        <f t="shared" ca="1" si="194"/>
        <v>0</v>
      </c>
      <c r="AG122" s="4">
        <f ca="1">SUMIFS(INDIRECT("Tab_00.Trial["&amp;AG$4&amp;"]"),Tab_00.Trial[CONTA],$B122)</f>
        <v>0</v>
      </c>
      <c r="AH122" s="78">
        <f t="shared" ca="1" si="195"/>
        <v>0</v>
      </c>
      <c r="AI122" s="78">
        <f t="shared" ca="1" si="196"/>
        <v>0</v>
      </c>
      <c r="AJ122" s="4">
        <f ca="1">SUMIFS(INDIRECT("Tab_00.Trial["&amp;AJ$4&amp;"]"),Tab_00.Trial[CONTA],$B122)</f>
        <v>0</v>
      </c>
      <c r="AK122" s="78">
        <f t="shared" ca="1" si="197"/>
        <v>0</v>
      </c>
      <c r="AL122" s="78">
        <f t="shared" ca="1" si="198"/>
        <v>0</v>
      </c>
      <c r="AM122" s="4">
        <f ca="1">SUMIFS(INDIRECT("Tab_00.Trial["&amp;AM$4&amp;"]"),Tab_00.Trial[CONTA],$B122)</f>
        <v>0</v>
      </c>
      <c r="AN122" s="78">
        <f t="shared" ca="1" si="201"/>
        <v>0</v>
      </c>
      <c r="AO122" s="78">
        <f t="shared" ca="1" si="200"/>
        <v>0</v>
      </c>
    </row>
    <row r="123" spans="2:41" ht="15" hidden="1" customHeight="1" outlineLevel="1" x14ac:dyDescent="0.3">
      <c r="B123" s="14"/>
      <c r="C123" s="15"/>
      <c r="D123" s="4">
        <f>SUMIFS(Tab_99.Trial[DEZEMBRO],Tab_99.Trial[CONTA],$B123)</f>
        <v>0</v>
      </c>
      <c r="E123" s="78">
        <f t="shared" si="176"/>
        <v>0</v>
      </c>
      <c r="F123" s="4">
        <f ca="1">SUMIFS(INDIRECT("Tab_00.Trial["&amp;F$4&amp;"]"),Tab_00.Trial[CONTA],$B123)</f>
        <v>0</v>
      </c>
      <c r="G123" s="78">
        <f t="shared" ca="1" si="177"/>
        <v>0</v>
      </c>
      <c r="H123" s="78">
        <f t="shared" ca="1" si="178"/>
        <v>0</v>
      </c>
      <c r="I123" s="4">
        <f ca="1">SUMIFS(INDIRECT("Tab_00.Trial["&amp;I$4&amp;"]"),Tab_00.Trial[CONTA],$B123)</f>
        <v>0</v>
      </c>
      <c r="J123" s="78">
        <f t="shared" ca="1" si="179"/>
        <v>0</v>
      </c>
      <c r="K123" s="78">
        <f t="shared" ca="1" si="180"/>
        <v>0</v>
      </c>
      <c r="L123" s="4">
        <f ca="1">SUMIFS(INDIRECT("Tab_00.Trial["&amp;L$4&amp;"]"),Tab_00.Trial[CONTA],$B123)</f>
        <v>0</v>
      </c>
      <c r="M123" s="78">
        <f t="shared" ca="1" si="181"/>
        <v>0</v>
      </c>
      <c r="N123" s="78">
        <f t="shared" ca="1" si="182"/>
        <v>0</v>
      </c>
      <c r="O123" s="4">
        <f ca="1">SUMIFS(INDIRECT("Tab_00.Trial["&amp;O$4&amp;"]"),Tab_00.Trial[CONTA],$B123)</f>
        <v>0</v>
      </c>
      <c r="P123" s="78">
        <f t="shared" ca="1" si="183"/>
        <v>0</v>
      </c>
      <c r="Q123" s="78">
        <f t="shared" ca="1" si="184"/>
        <v>0</v>
      </c>
      <c r="R123" s="4">
        <f ca="1">SUMIFS(INDIRECT("Tab_00.Trial["&amp;R$4&amp;"]"),Tab_00.Trial[CONTA],$B123)</f>
        <v>0</v>
      </c>
      <c r="S123" s="78">
        <f t="shared" ca="1" si="185"/>
        <v>0</v>
      </c>
      <c r="T123" s="78">
        <f t="shared" ca="1" si="186"/>
        <v>0</v>
      </c>
      <c r="U123" s="4">
        <f ca="1">SUMIFS(INDIRECT("Tab_00.Trial["&amp;U$4&amp;"]"),Tab_00.Trial[CONTA],$B123)</f>
        <v>0</v>
      </c>
      <c r="V123" s="78">
        <f t="shared" ca="1" si="187"/>
        <v>0</v>
      </c>
      <c r="W123" s="78">
        <f t="shared" ca="1" si="188"/>
        <v>0</v>
      </c>
      <c r="X123" s="4">
        <f ca="1">SUMIFS(INDIRECT("Tab_00.Trial["&amp;X$4&amp;"]"),Tab_00.Trial[CONTA],$B123)</f>
        <v>0</v>
      </c>
      <c r="Y123" s="78">
        <f t="shared" ca="1" si="189"/>
        <v>0</v>
      </c>
      <c r="Z123" s="78">
        <f t="shared" ca="1" si="190"/>
        <v>0</v>
      </c>
      <c r="AA123" s="4">
        <f ca="1">SUMIFS(INDIRECT("Tab_00.Trial["&amp;AA$4&amp;"]"),Tab_00.Trial[CONTA],$B123)</f>
        <v>0</v>
      </c>
      <c r="AB123" s="78">
        <f t="shared" ca="1" si="191"/>
        <v>0</v>
      </c>
      <c r="AC123" s="78">
        <f t="shared" ca="1" si="192"/>
        <v>0</v>
      </c>
      <c r="AD123" s="4">
        <f ca="1">SUMIFS(INDIRECT("Tab_00.Trial["&amp;AD$4&amp;"]"),Tab_00.Trial[CONTA],$B123)</f>
        <v>0</v>
      </c>
      <c r="AE123" s="78">
        <f t="shared" ca="1" si="193"/>
        <v>0</v>
      </c>
      <c r="AF123" s="78">
        <f t="shared" ca="1" si="194"/>
        <v>0</v>
      </c>
      <c r="AG123" s="4">
        <f ca="1">SUMIFS(INDIRECT("Tab_00.Trial["&amp;AG$4&amp;"]"),Tab_00.Trial[CONTA],$B123)</f>
        <v>0</v>
      </c>
      <c r="AH123" s="78">
        <f t="shared" ca="1" si="195"/>
        <v>0</v>
      </c>
      <c r="AI123" s="78">
        <f t="shared" ca="1" si="196"/>
        <v>0</v>
      </c>
      <c r="AJ123" s="4">
        <f ca="1">SUMIFS(INDIRECT("Tab_00.Trial["&amp;AJ$4&amp;"]"),Tab_00.Trial[CONTA],$B123)</f>
        <v>0</v>
      </c>
      <c r="AK123" s="78">
        <f t="shared" ca="1" si="197"/>
        <v>0</v>
      </c>
      <c r="AL123" s="78">
        <f t="shared" ca="1" si="198"/>
        <v>0</v>
      </c>
      <c r="AM123" s="4">
        <f ca="1">SUMIFS(INDIRECT("Tab_00.Trial["&amp;AM$4&amp;"]"),Tab_00.Trial[CONTA],$B123)</f>
        <v>0</v>
      </c>
      <c r="AN123" s="78">
        <f t="shared" ca="1" si="201"/>
        <v>0</v>
      </c>
      <c r="AO123" s="78">
        <f t="shared" ca="1" si="200"/>
        <v>0</v>
      </c>
    </row>
    <row r="124" spans="2:41" ht="15" hidden="1" customHeight="1" outlineLevel="1" x14ac:dyDescent="0.3">
      <c r="B124" s="14"/>
      <c r="C124" s="15"/>
      <c r="D124" s="4">
        <f>SUMIFS(Tab_99.Trial[DEZEMBRO],Tab_99.Trial[CONTA],$B124)</f>
        <v>0</v>
      </c>
      <c r="E124" s="78">
        <f t="shared" si="176"/>
        <v>0</v>
      </c>
      <c r="F124" s="4">
        <f ca="1">SUMIFS(INDIRECT("Tab_00.Trial["&amp;F$4&amp;"]"),Tab_00.Trial[CONTA],$B124)</f>
        <v>0</v>
      </c>
      <c r="G124" s="78">
        <f t="shared" ca="1" si="177"/>
        <v>0</v>
      </c>
      <c r="H124" s="78">
        <f t="shared" ca="1" si="178"/>
        <v>0</v>
      </c>
      <c r="I124" s="4">
        <f ca="1">SUMIFS(INDIRECT("Tab_00.Trial["&amp;I$4&amp;"]"),Tab_00.Trial[CONTA],$B124)</f>
        <v>0</v>
      </c>
      <c r="J124" s="78">
        <f t="shared" ca="1" si="179"/>
        <v>0</v>
      </c>
      <c r="K124" s="78">
        <f t="shared" ca="1" si="180"/>
        <v>0</v>
      </c>
      <c r="L124" s="4">
        <f ca="1">SUMIFS(INDIRECT("Tab_00.Trial["&amp;L$4&amp;"]"),Tab_00.Trial[CONTA],$B124)</f>
        <v>0</v>
      </c>
      <c r="M124" s="78">
        <f t="shared" ca="1" si="181"/>
        <v>0</v>
      </c>
      <c r="N124" s="78">
        <f t="shared" ca="1" si="182"/>
        <v>0</v>
      </c>
      <c r="O124" s="4">
        <f ca="1">SUMIFS(INDIRECT("Tab_00.Trial["&amp;O$4&amp;"]"),Tab_00.Trial[CONTA],$B124)</f>
        <v>0</v>
      </c>
      <c r="P124" s="78">
        <f t="shared" ca="1" si="183"/>
        <v>0</v>
      </c>
      <c r="Q124" s="78">
        <f t="shared" ca="1" si="184"/>
        <v>0</v>
      </c>
      <c r="R124" s="4">
        <f ca="1">SUMIFS(INDIRECT("Tab_00.Trial["&amp;R$4&amp;"]"),Tab_00.Trial[CONTA],$B124)</f>
        <v>0</v>
      </c>
      <c r="S124" s="78">
        <f t="shared" ca="1" si="185"/>
        <v>0</v>
      </c>
      <c r="T124" s="78">
        <f t="shared" ca="1" si="186"/>
        <v>0</v>
      </c>
      <c r="U124" s="4">
        <f ca="1">SUMIFS(INDIRECT("Tab_00.Trial["&amp;U$4&amp;"]"),Tab_00.Trial[CONTA],$B124)</f>
        <v>0</v>
      </c>
      <c r="V124" s="78">
        <f t="shared" ca="1" si="187"/>
        <v>0</v>
      </c>
      <c r="W124" s="78">
        <f t="shared" ca="1" si="188"/>
        <v>0</v>
      </c>
      <c r="X124" s="4">
        <f ca="1">SUMIFS(INDIRECT("Tab_00.Trial["&amp;X$4&amp;"]"),Tab_00.Trial[CONTA],$B124)</f>
        <v>0</v>
      </c>
      <c r="Y124" s="78">
        <f t="shared" ca="1" si="189"/>
        <v>0</v>
      </c>
      <c r="Z124" s="78">
        <f t="shared" ca="1" si="190"/>
        <v>0</v>
      </c>
      <c r="AA124" s="4">
        <f ca="1">SUMIFS(INDIRECT("Tab_00.Trial["&amp;AA$4&amp;"]"),Tab_00.Trial[CONTA],$B124)</f>
        <v>0</v>
      </c>
      <c r="AB124" s="78">
        <f t="shared" ca="1" si="191"/>
        <v>0</v>
      </c>
      <c r="AC124" s="78">
        <f t="shared" ca="1" si="192"/>
        <v>0</v>
      </c>
      <c r="AD124" s="4">
        <f ca="1">SUMIFS(INDIRECT("Tab_00.Trial["&amp;AD$4&amp;"]"),Tab_00.Trial[CONTA],$B124)</f>
        <v>0</v>
      </c>
      <c r="AE124" s="78">
        <f t="shared" ca="1" si="193"/>
        <v>0</v>
      </c>
      <c r="AF124" s="78">
        <f t="shared" ca="1" si="194"/>
        <v>0</v>
      </c>
      <c r="AG124" s="4">
        <f ca="1">SUMIFS(INDIRECT("Tab_00.Trial["&amp;AG$4&amp;"]"),Tab_00.Trial[CONTA],$B124)</f>
        <v>0</v>
      </c>
      <c r="AH124" s="78">
        <f t="shared" ca="1" si="195"/>
        <v>0</v>
      </c>
      <c r="AI124" s="78">
        <f t="shared" ca="1" si="196"/>
        <v>0</v>
      </c>
      <c r="AJ124" s="4">
        <f ca="1">SUMIFS(INDIRECT("Tab_00.Trial["&amp;AJ$4&amp;"]"),Tab_00.Trial[CONTA],$B124)</f>
        <v>0</v>
      </c>
      <c r="AK124" s="78">
        <f t="shared" ca="1" si="197"/>
        <v>0</v>
      </c>
      <c r="AL124" s="78">
        <f t="shared" ca="1" si="198"/>
        <v>0</v>
      </c>
      <c r="AM124" s="4">
        <f ca="1">SUMIFS(INDIRECT("Tab_00.Trial["&amp;AM$4&amp;"]"),Tab_00.Trial[CONTA],$B124)</f>
        <v>0</v>
      </c>
      <c r="AN124" s="78">
        <f t="shared" ca="1" si="201"/>
        <v>0</v>
      </c>
      <c r="AO124" s="78">
        <f t="shared" ca="1" si="200"/>
        <v>0</v>
      </c>
    </row>
    <row r="125" spans="2:41" ht="15" hidden="1" customHeight="1" outlineLevel="1" x14ac:dyDescent="0.3">
      <c r="B125" s="14"/>
      <c r="C125" s="15"/>
      <c r="D125" s="4">
        <f>SUMIFS(Tab_99.Trial[DEZEMBRO],Tab_99.Trial[CONTA],$B125)</f>
        <v>0</v>
      </c>
      <c r="E125" s="78">
        <f t="shared" si="176"/>
        <v>0</v>
      </c>
      <c r="F125" s="4">
        <f ca="1">SUMIFS(INDIRECT("Tab_00.Trial["&amp;F$4&amp;"]"),Tab_00.Trial[CONTA],$B125)</f>
        <v>0</v>
      </c>
      <c r="G125" s="78">
        <f t="shared" ca="1" si="177"/>
        <v>0</v>
      </c>
      <c r="H125" s="78">
        <f t="shared" ca="1" si="178"/>
        <v>0</v>
      </c>
      <c r="I125" s="4">
        <f ca="1">SUMIFS(INDIRECT("Tab_00.Trial["&amp;I$4&amp;"]"),Tab_00.Trial[CONTA],$B125)</f>
        <v>0</v>
      </c>
      <c r="J125" s="78">
        <f t="shared" ca="1" si="179"/>
        <v>0</v>
      </c>
      <c r="K125" s="78">
        <f t="shared" ca="1" si="180"/>
        <v>0</v>
      </c>
      <c r="L125" s="4">
        <f ca="1">SUMIFS(INDIRECT("Tab_00.Trial["&amp;L$4&amp;"]"),Tab_00.Trial[CONTA],$B125)</f>
        <v>0</v>
      </c>
      <c r="M125" s="78">
        <f t="shared" ca="1" si="181"/>
        <v>0</v>
      </c>
      <c r="N125" s="78">
        <f t="shared" ca="1" si="182"/>
        <v>0</v>
      </c>
      <c r="O125" s="4">
        <f ca="1">SUMIFS(INDIRECT("Tab_00.Trial["&amp;O$4&amp;"]"),Tab_00.Trial[CONTA],$B125)</f>
        <v>0</v>
      </c>
      <c r="P125" s="78">
        <f t="shared" ca="1" si="183"/>
        <v>0</v>
      </c>
      <c r="Q125" s="78">
        <f t="shared" ca="1" si="184"/>
        <v>0</v>
      </c>
      <c r="R125" s="4">
        <f ca="1">SUMIFS(INDIRECT("Tab_00.Trial["&amp;R$4&amp;"]"),Tab_00.Trial[CONTA],$B125)</f>
        <v>0</v>
      </c>
      <c r="S125" s="78">
        <f t="shared" ca="1" si="185"/>
        <v>0</v>
      </c>
      <c r="T125" s="78">
        <f t="shared" ca="1" si="186"/>
        <v>0</v>
      </c>
      <c r="U125" s="4">
        <f ca="1">SUMIFS(INDIRECT("Tab_00.Trial["&amp;U$4&amp;"]"),Tab_00.Trial[CONTA],$B125)</f>
        <v>0</v>
      </c>
      <c r="V125" s="78">
        <f t="shared" ca="1" si="187"/>
        <v>0</v>
      </c>
      <c r="W125" s="78">
        <f t="shared" ca="1" si="188"/>
        <v>0</v>
      </c>
      <c r="X125" s="4">
        <f ca="1">SUMIFS(INDIRECT("Tab_00.Trial["&amp;X$4&amp;"]"),Tab_00.Trial[CONTA],$B125)</f>
        <v>0</v>
      </c>
      <c r="Y125" s="78">
        <f t="shared" ca="1" si="189"/>
        <v>0</v>
      </c>
      <c r="Z125" s="78">
        <f t="shared" ca="1" si="190"/>
        <v>0</v>
      </c>
      <c r="AA125" s="4">
        <f ca="1">SUMIFS(INDIRECT("Tab_00.Trial["&amp;AA$4&amp;"]"),Tab_00.Trial[CONTA],$B125)</f>
        <v>0</v>
      </c>
      <c r="AB125" s="78">
        <f t="shared" ca="1" si="191"/>
        <v>0</v>
      </c>
      <c r="AC125" s="78">
        <f t="shared" ca="1" si="192"/>
        <v>0</v>
      </c>
      <c r="AD125" s="4">
        <f ca="1">SUMIFS(INDIRECT("Tab_00.Trial["&amp;AD$4&amp;"]"),Tab_00.Trial[CONTA],$B125)</f>
        <v>0</v>
      </c>
      <c r="AE125" s="78">
        <f t="shared" ca="1" si="193"/>
        <v>0</v>
      </c>
      <c r="AF125" s="78">
        <f t="shared" ca="1" si="194"/>
        <v>0</v>
      </c>
      <c r="AG125" s="4">
        <f ca="1">SUMIFS(INDIRECT("Tab_00.Trial["&amp;AG$4&amp;"]"),Tab_00.Trial[CONTA],$B125)</f>
        <v>0</v>
      </c>
      <c r="AH125" s="78">
        <f t="shared" ca="1" si="195"/>
        <v>0</v>
      </c>
      <c r="AI125" s="78">
        <f t="shared" ca="1" si="196"/>
        <v>0</v>
      </c>
      <c r="AJ125" s="4">
        <f ca="1">SUMIFS(INDIRECT("Tab_00.Trial["&amp;AJ$4&amp;"]"),Tab_00.Trial[CONTA],$B125)</f>
        <v>0</v>
      </c>
      <c r="AK125" s="78">
        <f t="shared" ca="1" si="197"/>
        <v>0</v>
      </c>
      <c r="AL125" s="78">
        <f t="shared" ca="1" si="198"/>
        <v>0</v>
      </c>
      <c r="AM125" s="4">
        <f ca="1">SUMIFS(INDIRECT("Tab_00.Trial["&amp;AM$4&amp;"]"),Tab_00.Trial[CONTA],$B125)</f>
        <v>0</v>
      </c>
      <c r="AN125" s="78">
        <f t="shared" ca="1" si="201"/>
        <v>0</v>
      </c>
      <c r="AO125" s="78">
        <f t="shared" ca="1" si="200"/>
        <v>0</v>
      </c>
    </row>
    <row r="126" spans="2:41" ht="15" hidden="1" customHeight="1" outlineLevel="1" x14ac:dyDescent="0.3">
      <c r="B126" s="14"/>
      <c r="C126" s="15"/>
      <c r="D126" s="4">
        <f>SUMIFS(Tab_99.Trial[DEZEMBRO],Tab_99.Trial[CONTA],$B126)</f>
        <v>0</v>
      </c>
      <c r="E126" s="78">
        <f t="shared" si="176"/>
        <v>0</v>
      </c>
      <c r="F126" s="4">
        <f ca="1">SUMIFS(INDIRECT("Tab_00.Trial["&amp;F$4&amp;"]"),Tab_00.Trial[CONTA],$B126)</f>
        <v>0</v>
      </c>
      <c r="G126" s="78">
        <f t="shared" ca="1" si="177"/>
        <v>0</v>
      </c>
      <c r="H126" s="78">
        <f t="shared" ca="1" si="178"/>
        <v>0</v>
      </c>
      <c r="I126" s="4">
        <f ca="1">SUMIFS(INDIRECT("Tab_00.Trial["&amp;I$4&amp;"]"),Tab_00.Trial[CONTA],$B126)</f>
        <v>0</v>
      </c>
      <c r="J126" s="78">
        <f t="shared" ca="1" si="179"/>
        <v>0</v>
      </c>
      <c r="K126" s="78">
        <f t="shared" ca="1" si="180"/>
        <v>0</v>
      </c>
      <c r="L126" s="4">
        <f ca="1">SUMIFS(INDIRECT("Tab_00.Trial["&amp;L$4&amp;"]"),Tab_00.Trial[CONTA],$B126)</f>
        <v>0</v>
      </c>
      <c r="M126" s="78">
        <f t="shared" ca="1" si="181"/>
        <v>0</v>
      </c>
      <c r="N126" s="78">
        <f t="shared" ca="1" si="182"/>
        <v>0</v>
      </c>
      <c r="O126" s="4">
        <f ca="1">SUMIFS(INDIRECT("Tab_00.Trial["&amp;O$4&amp;"]"),Tab_00.Trial[CONTA],$B126)</f>
        <v>0</v>
      </c>
      <c r="P126" s="78">
        <f t="shared" ca="1" si="183"/>
        <v>0</v>
      </c>
      <c r="Q126" s="78">
        <f t="shared" ca="1" si="184"/>
        <v>0</v>
      </c>
      <c r="R126" s="4">
        <f ca="1">SUMIFS(INDIRECT("Tab_00.Trial["&amp;R$4&amp;"]"),Tab_00.Trial[CONTA],$B126)</f>
        <v>0</v>
      </c>
      <c r="S126" s="78">
        <f t="shared" ca="1" si="185"/>
        <v>0</v>
      </c>
      <c r="T126" s="78">
        <f t="shared" ca="1" si="186"/>
        <v>0</v>
      </c>
      <c r="U126" s="4">
        <f ca="1">SUMIFS(INDIRECT("Tab_00.Trial["&amp;U$4&amp;"]"),Tab_00.Trial[CONTA],$B126)</f>
        <v>0</v>
      </c>
      <c r="V126" s="78">
        <f t="shared" ca="1" si="187"/>
        <v>0</v>
      </c>
      <c r="W126" s="78">
        <f t="shared" ca="1" si="188"/>
        <v>0</v>
      </c>
      <c r="X126" s="4">
        <f ca="1">SUMIFS(INDIRECT("Tab_00.Trial["&amp;X$4&amp;"]"),Tab_00.Trial[CONTA],$B126)</f>
        <v>0</v>
      </c>
      <c r="Y126" s="78">
        <f t="shared" ca="1" si="189"/>
        <v>0</v>
      </c>
      <c r="Z126" s="78">
        <f t="shared" ca="1" si="190"/>
        <v>0</v>
      </c>
      <c r="AA126" s="4">
        <f ca="1">SUMIFS(INDIRECT("Tab_00.Trial["&amp;AA$4&amp;"]"),Tab_00.Trial[CONTA],$B126)</f>
        <v>0</v>
      </c>
      <c r="AB126" s="78">
        <f t="shared" ca="1" si="191"/>
        <v>0</v>
      </c>
      <c r="AC126" s="78">
        <f t="shared" ca="1" si="192"/>
        <v>0</v>
      </c>
      <c r="AD126" s="4">
        <f ca="1">SUMIFS(INDIRECT("Tab_00.Trial["&amp;AD$4&amp;"]"),Tab_00.Trial[CONTA],$B126)</f>
        <v>0</v>
      </c>
      <c r="AE126" s="78">
        <f t="shared" ca="1" si="193"/>
        <v>0</v>
      </c>
      <c r="AF126" s="78">
        <f t="shared" ca="1" si="194"/>
        <v>0</v>
      </c>
      <c r="AG126" s="4">
        <f ca="1">SUMIFS(INDIRECT("Tab_00.Trial["&amp;AG$4&amp;"]"),Tab_00.Trial[CONTA],$B126)</f>
        <v>0</v>
      </c>
      <c r="AH126" s="78">
        <f t="shared" ca="1" si="195"/>
        <v>0</v>
      </c>
      <c r="AI126" s="78">
        <f t="shared" ca="1" si="196"/>
        <v>0</v>
      </c>
      <c r="AJ126" s="4">
        <f ca="1">SUMIFS(INDIRECT("Tab_00.Trial["&amp;AJ$4&amp;"]"),Tab_00.Trial[CONTA],$B126)</f>
        <v>0</v>
      </c>
      <c r="AK126" s="78">
        <f t="shared" ca="1" si="197"/>
        <v>0</v>
      </c>
      <c r="AL126" s="78">
        <f t="shared" ca="1" si="198"/>
        <v>0</v>
      </c>
      <c r="AM126" s="4">
        <f ca="1">SUMIFS(INDIRECT("Tab_00.Trial["&amp;AM$4&amp;"]"),Tab_00.Trial[CONTA],$B126)</f>
        <v>0</v>
      </c>
      <c r="AN126" s="78">
        <f t="shared" ca="1" si="201"/>
        <v>0</v>
      </c>
      <c r="AO126" s="78">
        <f t="shared" ca="1" si="200"/>
        <v>0</v>
      </c>
    </row>
    <row r="127" spans="2:41" ht="5.0999999999999996" hidden="1" customHeight="1" outlineLevel="1" x14ac:dyDescent="0.3">
      <c r="B127" s="74"/>
      <c r="C127" s="75"/>
      <c r="D127" s="76"/>
      <c r="E127" s="77"/>
      <c r="F127" s="76"/>
      <c r="G127" s="77"/>
      <c r="H127" s="77"/>
      <c r="I127" s="76"/>
      <c r="J127" s="77"/>
      <c r="K127" s="77"/>
      <c r="L127" s="76"/>
      <c r="M127" s="77"/>
      <c r="N127" s="77"/>
      <c r="O127" s="76"/>
      <c r="P127" s="77"/>
      <c r="Q127" s="77"/>
      <c r="R127" s="76"/>
      <c r="S127" s="77"/>
      <c r="T127" s="77"/>
      <c r="U127" s="76"/>
      <c r="V127" s="77"/>
      <c r="W127" s="77"/>
      <c r="X127" s="76"/>
      <c r="Y127" s="77"/>
      <c r="Z127" s="77"/>
      <c r="AA127" s="76"/>
      <c r="AB127" s="77"/>
      <c r="AC127" s="77"/>
      <c r="AD127" s="76"/>
      <c r="AE127" s="77"/>
      <c r="AF127" s="77"/>
      <c r="AG127" s="76"/>
      <c r="AH127" s="77"/>
      <c r="AI127" s="77"/>
      <c r="AJ127" s="76"/>
      <c r="AK127" s="77"/>
      <c r="AL127" s="77"/>
      <c r="AM127" s="76"/>
      <c r="AN127" s="77"/>
      <c r="AO127" s="77"/>
    </row>
    <row r="128" spans="2:41" ht="15" customHeight="1" collapsed="1" x14ac:dyDescent="0.3">
      <c r="B128" s="3" t="s">
        <v>118</v>
      </c>
      <c r="C128" s="14" t="s">
        <v>35</v>
      </c>
      <c r="D128" s="4">
        <f>SUBTOTAL(9,D$129:D$151)</f>
        <v>0</v>
      </c>
      <c r="E128" s="78">
        <v>6.0000000000000001E-3</v>
      </c>
      <c r="F128" s="4">
        <f ca="1">SUBTOTAL(9,F$129:F$151)</f>
        <v>2330317.4500000002</v>
      </c>
      <c r="G128" s="78">
        <v>6.7000000000000002E-3</v>
      </c>
      <c r="H128" s="78">
        <v>-5.0999999999999997E-2</v>
      </c>
      <c r="I128" s="4">
        <f ca="1">SUBTOTAL(9,I$129:I$151)</f>
        <v>2325067.71</v>
      </c>
      <c r="J128" s="78">
        <v>7.0000000000000001E-3</v>
      </c>
      <c r="K128" s="78">
        <v>-2.5000000000000001E-3</v>
      </c>
      <c r="L128" s="4">
        <f ca="1">SUBTOTAL(9,L$129:L$151)</f>
        <v>2339989.5499999998</v>
      </c>
      <c r="M128" s="78">
        <v>7.0000000000000001E-3</v>
      </c>
      <c r="N128" s="78">
        <v>-2.5000000000000001E-3</v>
      </c>
      <c r="O128" s="4">
        <f ca="1">SUBTOTAL(9,O$129:O$151)</f>
        <v>2356493.87</v>
      </c>
      <c r="P128" s="78">
        <v>7.1000000000000004E-3</v>
      </c>
      <c r="Q128" s="78">
        <v>-2.0999999999999999E-3</v>
      </c>
      <c r="R128" s="4">
        <f ca="1">SUBTOTAL(9,R$129:R$151)</f>
        <v>2372232.91</v>
      </c>
      <c r="S128" s="78">
        <v>6.0000000000000001E-3</v>
      </c>
      <c r="T128" s="78">
        <v>-5.9999999999999995E-4</v>
      </c>
      <c r="U128" s="4">
        <f ca="1">SUBTOTAL(9,U$129:U$151)</f>
        <v>2369312.56</v>
      </c>
      <c r="V128" s="78">
        <v>6.1000000000000004E-3</v>
      </c>
      <c r="W128" s="78">
        <v>8.6E-3</v>
      </c>
      <c r="X128" s="4">
        <f ca="1">SUBTOTAL(9,X$129:X$151)</f>
        <v>2365645.81</v>
      </c>
      <c r="Y128" s="78">
        <v>6.0000000000000001E-3</v>
      </c>
      <c r="Z128" s="78">
        <v>-8.9999999999999998E-4</v>
      </c>
      <c r="AA128" s="4">
        <f ca="1">SUBTOTAL(9,AA$129:AA$151)</f>
        <v>2364210.06</v>
      </c>
      <c r="AB128" s="78">
        <v>5.8999999999999999E-3</v>
      </c>
      <c r="AC128" s="78">
        <v>-5.9999999999999995E-4</v>
      </c>
      <c r="AD128" s="4">
        <f ca="1">SUBTOTAL(9,AD$129:AD$151)</f>
        <v>2360543.31</v>
      </c>
      <c r="AE128" s="78">
        <v>6.1000000000000004E-3</v>
      </c>
      <c r="AF128" s="78">
        <v>2.2100000000000002E-2</v>
      </c>
      <c r="AG128" s="4">
        <f ca="1">SUBTOTAL(9,AG$129:AG$151)</f>
        <v>2356876.56</v>
      </c>
      <c r="AH128" s="78">
        <v>5.8999999999999999E-3</v>
      </c>
      <c r="AI128" s="78">
        <v>6.8999999999999999E-3</v>
      </c>
      <c r="AJ128" s="4">
        <f ca="1">SUBTOTAL(9,AJ$129:AJ$151)</f>
        <v>2354549.81</v>
      </c>
      <c r="AK128" s="78">
        <v>5.7999999999999996E-3</v>
      </c>
      <c r="AL128" s="78">
        <v>-5.9999999999999995E-4</v>
      </c>
      <c r="AM128" s="4">
        <f ca="1">SUBTOTAL(9,AM$129:AM$151)</f>
        <v>2355889.34</v>
      </c>
      <c r="AN128" s="78">
        <v>6.0000000000000001E-3</v>
      </c>
      <c r="AO128" s="78">
        <v>2.53E-2</v>
      </c>
    </row>
    <row r="129" spans="2:42" ht="15" hidden="1" customHeight="1" outlineLevel="1" x14ac:dyDescent="0.3">
      <c r="B129" s="14" t="s">
        <v>310</v>
      </c>
      <c r="C129" s="15" t="s">
        <v>311</v>
      </c>
      <c r="D129" s="4">
        <f>SUMIFS(Tab_99.Trial[DEZEMBRO],Tab_99.Trial[CONTA],$B129)</f>
        <v>0</v>
      </c>
      <c r="E129" s="78">
        <f t="shared" ref="E129:E147" si="202">IFERROR($D129/$D$160,0)</f>
        <v>0</v>
      </c>
      <c r="F129" s="4">
        <f ca="1">SUMIFS(INDIRECT("Tab_00.Trial["&amp;F$4&amp;"]"),Tab_00.Trial[CONTA],$B129)</f>
        <v>1379260.84</v>
      </c>
      <c r="G129" s="78">
        <f t="shared" ref="G129:G147" ca="1" si="203">IFERROR($F129/$F$160,0)</f>
        <v>1.6500000000000001E-2</v>
      </c>
      <c r="H129" s="78">
        <f t="shared" ref="H129:H147" ca="1" si="204">IFERROR(($F129-$D129)/ABS($D129),0)</f>
        <v>0</v>
      </c>
      <c r="I129" s="4">
        <f ca="1">SUMIFS(INDIRECT("Tab_00.Trial["&amp;I$4&amp;"]"),Tab_00.Trial[CONTA],$B129)</f>
        <v>1379260.84</v>
      </c>
      <c r="J129" s="78">
        <f t="shared" ref="J129:J147" ca="1" si="205">IFERROR($I129/$I$160,0)</f>
        <v>1.66E-2</v>
      </c>
      <c r="K129" s="78">
        <f t="shared" ref="K129:K147" ca="1" si="206">IFERROR(($I129-$F129)/ABS($F129),0)</f>
        <v>0</v>
      </c>
      <c r="L129" s="4">
        <f ca="1">SUMIFS(INDIRECT("Tab_00.Trial["&amp;L$4&amp;"]"),Tab_00.Trial[CONTA],$B129)</f>
        <v>1379260.84</v>
      </c>
      <c r="M129" s="78">
        <f t="shared" ref="M129:M147" ca="1" si="207">IFERROR($L129/$L$160,0)</f>
        <v>1.66E-2</v>
      </c>
      <c r="N129" s="78">
        <f t="shared" ref="N129:N147" ca="1" si="208">IFERROR(($L129-$I129)/ABS($I129),0)</f>
        <v>0</v>
      </c>
      <c r="O129" s="4">
        <f ca="1">SUMIFS(INDIRECT("Tab_00.Trial["&amp;O$4&amp;"]"),Tab_00.Trial[CONTA],$B129)</f>
        <v>1379260.84</v>
      </c>
      <c r="P129" s="78">
        <f t="shared" ref="P129:P147" ca="1" si="209">IFERROR($O129/$O$160,0)</f>
        <v>1.6500000000000001E-2</v>
      </c>
      <c r="Q129" s="78">
        <f t="shared" ref="Q129:Q147" ca="1" si="210">IFERROR(($O129-$L129)/ABS($L129),0)</f>
        <v>0</v>
      </c>
      <c r="R129" s="4">
        <f ca="1">SUMIFS(INDIRECT("Tab_00.Trial["&amp;R$4&amp;"]"),Tab_00.Trial[CONTA],$B129)</f>
        <v>1379260.84</v>
      </c>
      <c r="S129" s="78">
        <f t="shared" ref="S129:S147" ca="1" si="211">IFERROR($R129/$R$160,0)</f>
        <v>1.6400000000000001E-2</v>
      </c>
      <c r="T129" s="78">
        <f t="shared" ref="T129:T147" ca="1" si="212">IFERROR(($R129-$O129)/ABS($O129),0)</f>
        <v>0</v>
      </c>
      <c r="U129" s="4">
        <f ca="1">SUMIFS(INDIRECT("Tab_00.Trial["&amp;U$4&amp;"]"),Tab_00.Trial[CONTA],$B129)</f>
        <v>1379260.84</v>
      </c>
      <c r="V129" s="78">
        <f t="shared" ref="V129:V147" ca="1" si="213">IFERROR($U129/$U$160,0)</f>
        <v>1.6400000000000001E-2</v>
      </c>
      <c r="W129" s="78">
        <f t="shared" ref="W129:W147" ca="1" si="214">IFERROR(($U129-$R129)/ABS($R129),0)</f>
        <v>0</v>
      </c>
      <c r="X129" s="4">
        <f ca="1">SUMIFS(INDIRECT("Tab_00.Trial["&amp;X$4&amp;"]"),Tab_00.Trial[CONTA],$B129)</f>
        <v>1379260.84</v>
      </c>
      <c r="Y129" s="78">
        <f t="shared" ref="Y129:Y147" ca="1" si="215">IFERROR($X129/$X$160,0)</f>
        <v>1.6299999999999999E-2</v>
      </c>
      <c r="Z129" s="78">
        <f t="shared" ref="Z129:Z147" ca="1" si="216">IFERROR(($X129-$U129)/ABS($U129),0)</f>
        <v>0</v>
      </c>
      <c r="AA129" s="4">
        <f ca="1">SUMIFS(INDIRECT("Tab_00.Trial["&amp;AA$4&amp;"]"),Tab_00.Trial[CONTA],$B129)</f>
        <v>1379260.84</v>
      </c>
      <c r="AB129" s="78">
        <f t="shared" ref="AB129:AB147" ca="1" si="217">IFERROR($AA129/$AA$160,0)</f>
        <v>1.6199999999999999E-2</v>
      </c>
      <c r="AC129" s="78">
        <f t="shared" ref="AC129:AC147" ca="1" si="218">IFERROR(($AA129-$X129)/ABS($X129),0)</f>
        <v>0</v>
      </c>
      <c r="AD129" s="4">
        <f ca="1">SUMIFS(INDIRECT("Tab_00.Trial["&amp;AD$4&amp;"]"),Tab_00.Trial[CONTA],$B129)</f>
        <v>1379260.84</v>
      </c>
      <c r="AE129" s="78">
        <f t="shared" ref="AE129:AE147" ca="1" si="219">IFERROR($AD129/$AD$160,0)</f>
        <v>1.6199999999999999E-2</v>
      </c>
      <c r="AF129" s="78">
        <f t="shared" ref="AF129:AF147" ca="1" si="220">IFERROR(($AD129-$AA129)/ABS($AA129),0)</f>
        <v>0</v>
      </c>
      <c r="AG129" s="4">
        <f ca="1">SUMIFS(INDIRECT("Tab_00.Trial["&amp;AG$4&amp;"]"),Tab_00.Trial[CONTA],$B129)</f>
        <v>1379260.84</v>
      </c>
      <c r="AH129" s="78">
        <f t="shared" ref="AH129:AH147" ca="1" si="221">IFERROR($AG129/$AG$160,0)</f>
        <v>1.6199999999999999E-2</v>
      </c>
      <c r="AI129" s="78">
        <f t="shared" ref="AI129:AI147" ca="1" si="222">IFERROR(($AG129-$AD129)/ABS($AD129),0)</f>
        <v>0</v>
      </c>
      <c r="AJ129" s="4">
        <f ca="1">SUMIFS(INDIRECT("Tab_00.Trial["&amp;AJ$4&amp;"]"),Tab_00.Trial[CONTA],$B129)</f>
        <v>1379260.84</v>
      </c>
      <c r="AK129" s="78">
        <f t="shared" ref="AK129:AK147" ca="1" si="223">IFERROR($AJ129/$AJ$160,0)</f>
        <v>1.61E-2</v>
      </c>
      <c r="AL129" s="78">
        <f t="shared" ref="AL129:AL147" ca="1" si="224">IFERROR(($AJ129-$AG129)/ABS($AG129),0)</f>
        <v>0</v>
      </c>
      <c r="AM129" s="4">
        <f ca="1">SUMIFS(INDIRECT("Tab_00.Trial["&amp;AM$4&amp;"]"),Tab_00.Trial[CONTA],$B129)</f>
        <v>1379260.84</v>
      </c>
      <c r="AN129" s="78">
        <f t="shared" ref="AN129:AN147" ca="1" si="225">IFERROR(AM129/AM$160,0)</f>
        <v>1.61E-2</v>
      </c>
      <c r="AO129" s="78">
        <f t="shared" ref="AO129:AO147" ca="1" si="226">IFERROR(($AM129-$AJ129)/ABS($AJ129),0)</f>
        <v>0</v>
      </c>
      <c r="AP129" s="1" t="s">
        <v>245</v>
      </c>
    </row>
    <row r="130" spans="2:42" ht="15" hidden="1" customHeight="1" outlineLevel="1" x14ac:dyDescent="0.3">
      <c r="B130" s="14" t="s">
        <v>312</v>
      </c>
      <c r="C130" s="15" t="s">
        <v>313</v>
      </c>
      <c r="D130" s="4">
        <f>SUMIFS(Tab_99.Trial[DEZEMBRO],Tab_99.Trial[CONTA],$B130)</f>
        <v>0</v>
      </c>
      <c r="E130" s="78">
        <f t="shared" si="202"/>
        <v>0</v>
      </c>
      <c r="F130" s="4">
        <f ca="1">SUMIFS(INDIRECT("Tab_00.Trial["&amp;F$4&amp;"]"),Tab_00.Trial[CONTA],$B130)</f>
        <v>1233996.98</v>
      </c>
      <c r="G130" s="78">
        <f t="shared" ca="1" si="203"/>
        <v>1.47E-2</v>
      </c>
      <c r="H130" s="78">
        <f t="shared" ca="1" si="204"/>
        <v>0</v>
      </c>
      <c r="I130" s="4">
        <f ca="1">SUMIFS(INDIRECT("Tab_00.Trial["&amp;I$4&amp;"]"),Tab_00.Trial[CONTA],$B130)</f>
        <v>1233996.98</v>
      </c>
      <c r="J130" s="78">
        <f t="shared" ca="1" si="205"/>
        <v>1.4800000000000001E-2</v>
      </c>
      <c r="K130" s="78">
        <f t="shared" ca="1" si="206"/>
        <v>0</v>
      </c>
      <c r="L130" s="4">
        <f ca="1">SUMIFS(INDIRECT("Tab_00.Trial["&amp;L$4&amp;"]"),Tab_00.Trial[CONTA],$B130)</f>
        <v>1252585.8700000001</v>
      </c>
      <c r="M130" s="78">
        <f t="shared" ca="1" si="207"/>
        <v>1.4999999999999999E-2</v>
      </c>
      <c r="N130" s="78">
        <f t="shared" ca="1" si="208"/>
        <v>1.5100000000000001E-2</v>
      </c>
      <c r="O130" s="4">
        <f ca="1">SUMIFS(INDIRECT("Tab_00.Trial["&amp;O$4&amp;"]"),Tab_00.Trial[CONTA],$B130)</f>
        <v>1271804.96</v>
      </c>
      <c r="P130" s="78">
        <f t="shared" ca="1" si="209"/>
        <v>1.52E-2</v>
      </c>
      <c r="Q130" s="78">
        <f t="shared" ca="1" si="210"/>
        <v>1.5299999999999999E-2</v>
      </c>
      <c r="R130" s="4">
        <f ca="1">SUMIFS(INDIRECT("Tab_00.Trial["&amp;R$4&amp;"]"),Tab_00.Trial[CONTA],$B130)</f>
        <v>1290393.8500000001</v>
      </c>
      <c r="S130" s="78">
        <f t="shared" ca="1" si="211"/>
        <v>1.54E-2</v>
      </c>
      <c r="T130" s="78">
        <f t="shared" ca="1" si="212"/>
        <v>1.46E-2</v>
      </c>
      <c r="U130" s="4">
        <f ca="1">SUMIFS(INDIRECT("Tab_00.Trial["&amp;U$4&amp;"]"),Tab_00.Trial[CONTA],$B130)</f>
        <v>1291140.25</v>
      </c>
      <c r="V130" s="78">
        <f t="shared" ca="1" si="213"/>
        <v>1.5299999999999999E-2</v>
      </c>
      <c r="W130" s="78">
        <f t="shared" ca="1" si="214"/>
        <v>5.9999999999999995E-4</v>
      </c>
      <c r="X130" s="4">
        <f ca="1">SUMIFS(INDIRECT("Tab_00.Trial["&amp;X$4&amp;"]"),Tab_00.Trial[CONTA],$B130)</f>
        <v>1291140.25</v>
      </c>
      <c r="Y130" s="78">
        <f t="shared" ca="1" si="215"/>
        <v>1.52E-2</v>
      </c>
      <c r="Z130" s="78">
        <f t="shared" ca="1" si="216"/>
        <v>0</v>
      </c>
      <c r="AA130" s="4">
        <f ca="1">SUMIFS(INDIRECT("Tab_00.Trial["&amp;AA$4&amp;"]"),Tab_00.Trial[CONTA],$B130)</f>
        <v>1293371.25</v>
      </c>
      <c r="AB130" s="78">
        <f t="shared" ca="1" si="217"/>
        <v>1.52E-2</v>
      </c>
      <c r="AC130" s="78">
        <f t="shared" ca="1" si="218"/>
        <v>1.6999999999999999E-3</v>
      </c>
      <c r="AD130" s="4">
        <f ca="1">SUMIFS(INDIRECT("Tab_00.Trial["&amp;AD$4&amp;"]"),Tab_00.Trial[CONTA],$B130)</f>
        <v>1293371.25</v>
      </c>
      <c r="AE130" s="78">
        <f t="shared" ca="1" si="219"/>
        <v>1.52E-2</v>
      </c>
      <c r="AF130" s="78">
        <f t="shared" ca="1" si="220"/>
        <v>0</v>
      </c>
      <c r="AG130" s="4">
        <f ca="1">SUMIFS(INDIRECT("Tab_00.Trial["&amp;AG$4&amp;"]"),Tab_00.Trial[CONTA],$B130)</f>
        <v>1293371.25</v>
      </c>
      <c r="AH130" s="78">
        <f t="shared" ca="1" si="221"/>
        <v>1.52E-2</v>
      </c>
      <c r="AI130" s="78">
        <f t="shared" ca="1" si="222"/>
        <v>0</v>
      </c>
      <c r="AJ130" s="4">
        <f ca="1">SUMIFS(INDIRECT("Tab_00.Trial["&amp;AJ$4&amp;"]"),Tab_00.Trial[CONTA],$B130)</f>
        <v>1293371.25</v>
      </c>
      <c r="AK130" s="78">
        <f t="shared" ca="1" si="223"/>
        <v>1.5100000000000001E-2</v>
      </c>
      <c r="AL130" s="78">
        <f t="shared" ca="1" si="224"/>
        <v>0</v>
      </c>
      <c r="AM130" s="4">
        <f ca="1">SUMIFS(INDIRECT("Tab_00.Trial["&amp;AM$4&amp;"]"),Tab_00.Trial[CONTA],$B130)</f>
        <v>1296704.5900000001</v>
      </c>
      <c r="AN130" s="78">
        <f t="shared" ca="1" si="225"/>
        <v>1.52E-2</v>
      </c>
      <c r="AO130" s="78">
        <f t="shared" ca="1" si="226"/>
        <v>2.5999999999999999E-3</v>
      </c>
    </row>
    <row r="131" spans="2:42" ht="15" hidden="1" customHeight="1" outlineLevel="1" x14ac:dyDescent="0.3">
      <c r="B131" s="14" t="s">
        <v>181</v>
      </c>
      <c r="C131" s="15" t="s">
        <v>314</v>
      </c>
      <c r="D131" s="4">
        <f>SUMIFS(Tab_99.Trial[DEZEMBRO],Tab_99.Trial[CONTA],$B131)</f>
        <v>0</v>
      </c>
      <c r="E131" s="78">
        <f t="shared" si="202"/>
        <v>0</v>
      </c>
      <c r="F131" s="4">
        <f ca="1">SUMIFS(INDIRECT("Tab_00.Trial["&amp;F$4&amp;"]"),Tab_00.Trial[CONTA],$B131)</f>
        <v>23000</v>
      </c>
      <c r="G131" s="78">
        <f t="shared" ca="1" si="203"/>
        <v>2.9999999999999997E-4</v>
      </c>
      <c r="H131" s="78">
        <f t="shared" ca="1" si="204"/>
        <v>0</v>
      </c>
      <c r="I131" s="4">
        <f ca="1">SUMIFS(INDIRECT("Tab_00.Trial["&amp;I$4&amp;"]"),Tab_00.Trial[CONTA],$B131)</f>
        <v>23000</v>
      </c>
      <c r="J131" s="78">
        <f t="shared" ca="1" si="205"/>
        <v>2.9999999999999997E-4</v>
      </c>
      <c r="K131" s="78">
        <f t="shared" ca="1" si="206"/>
        <v>0</v>
      </c>
      <c r="L131" s="4">
        <f ca="1">SUMIFS(INDIRECT("Tab_00.Trial["&amp;L$4&amp;"]"),Tab_00.Trial[CONTA],$B131)</f>
        <v>23000</v>
      </c>
      <c r="M131" s="78">
        <f t="shared" ca="1" si="207"/>
        <v>2.9999999999999997E-4</v>
      </c>
      <c r="N131" s="78">
        <f t="shared" ca="1" si="208"/>
        <v>0</v>
      </c>
      <c r="O131" s="4">
        <f ca="1">SUMIFS(INDIRECT("Tab_00.Trial["&amp;O$4&amp;"]"),Tab_00.Trial[CONTA],$B131)</f>
        <v>23000</v>
      </c>
      <c r="P131" s="78">
        <f t="shared" ca="1" si="209"/>
        <v>2.9999999999999997E-4</v>
      </c>
      <c r="Q131" s="78">
        <f t="shared" ca="1" si="210"/>
        <v>0</v>
      </c>
      <c r="R131" s="4">
        <f ca="1">SUMIFS(INDIRECT("Tab_00.Trial["&amp;R$4&amp;"]"),Tab_00.Trial[CONTA],$B131)</f>
        <v>23000</v>
      </c>
      <c r="S131" s="78">
        <f t="shared" ca="1" si="211"/>
        <v>2.9999999999999997E-4</v>
      </c>
      <c r="T131" s="78">
        <f t="shared" ca="1" si="212"/>
        <v>0</v>
      </c>
      <c r="U131" s="4">
        <f ca="1">SUMIFS(INDIRECT("Tab_00.Trial["&amp;U$4&amp;"]"),Tab_00.Trial[CONTA],$B131)</f>
        <v>23000</v>
      </c>
      <c r="V131" s="78">
        <f t="shared" ca="1" si="213"/>
        <v>2.9999999999999997E-4</v>
      </c>
      <c r="W131" s="78">
        <f t="shared" ca="1" si="214"/>
        <v>0</v>
      </c>
      <c r="X131" s="4">
        <f ca="1">SUMIFS(INDIRECT("Tab_00.Trial["&amp;X$4&amp;"]"),Tab_00.Trial[CONTA],$B131)</f>
        <v>23000</v>
      </c>
      <c r="Y131" s="78">
        <f t="shared" ca="1" si="215"/>
        <v>2.9999999999999997E-4</v>
      </c>
      <c r="Z131" s="78">
        <f t="shared" ca="1" si="216"/>
        <v>0</v>
      </c>
      <c r="AA131" s="4">
        <f ca="1">SUMIFS(INDIRECT("Tab_00.Trial["&amp;AA$4&amp;"]"),Tab_00.Trial[CONTA],$B131)</f>
        <v>23000</v>
      </c>
      <c r="AB131" s="78">
        <f t="shared" ca="1" si="217"/>
        <v>2.9999999999999997E-4</v>
      </c>
      <c r="AC131" s="78">
        <f t="shared" ca="1" si="218"/>
        <v>0</v>
      </c>
      <c r="AD131" s="4">
        <f ca="1">SUMIFS(INDIRECT("Tab_00.Trial["&amp;AD$4&amp;"]"),Tab_00.Trial[CONTA],$B131)</f>
        <v>23000</v>
      </c>
      <c r="AE131" s="78">
        <f t="shared" ca="1" si="219"/>
        <v>2.9999999999999997E-4</v>
      </c>
      <c r="AF131" s="78">
        <f t="shared" ca="1" si="220"/>
        <v>0</v>
      </c>
      <c r="AG131" s="4">
        <f ca="1">SUMIFS(INDIRECT("Tab_00.Trial["&amp;AG$4&amp;"]"),Tab_00.Trial[CONTA],$B131)</f>
        <v>23000</v>
      </c>
      <c r="AH131" s="78">
        <f t="shared" ca="1" si="221"/>
        <v>2.9999999999999997E-4</v>
      </c>
      <c r="AI131" s="78">
        <f t="shared" ca="1" si="222"/>
        <v>0</v>
      </c>
      <c r="AJ131" s="4">
        <f ca="1">SUMIFS(INDIRECT("Tab_00.Trial["&amp;AJ$4&amp;"]"),Tab_00.Trial[CONTA],$B131)</f>
        <v>23000</v>
      </c>
      <c r="AK131" s="78">
        <f t="shared" ca="1" si="223"/>
        <v>2.9999999999999997E-4</v>
      </c>
      <c r="AL131" s="78">
        <f t="shared" ca="1" si="224"/>
        <v>0</v>
      </c>
      <c r="AM131" s="4">
        <f ca="1">SUMIFS(INDIRECT("Tab_00.Trial["&amp;AM$4&amp;"]"),Tab_00.Trial[CONTA],$B131)</f>
        <v>23000</v>
      </c>
      <c r="AN131" s="78">
        <f t="shared" ca="1" si="225"/>
        <v>2.9999999999999997E-4</v>
      </c>
      <c r="AO131" s="78">
        <f t="shared" ca="1" si="226"/>
        <v>0</v>
      </c>
    </row>
    <row r="132" spans="2:42" ht="15" hidden="1" customHeight="1" outlineLevel="1" x14ac:dyDescent="0.3">
      <c r="B132" s="14" t="s">
        <v>182</v>
      </c>
      <c r="C132" s="15" t="s">
        <v>315</v>
      </c>
      <c r="D132" s="4">
        <f>SUMIFS(Tab_99.Trial[DEZEMBRO],Tab_99.Trial[CONTA],$B132)</f>
        <v>0</v>
      </c>
      <c r="E132" s="78">
        <f t="shared" si="202"/>
        <v>0</v>
      </c>
      <c r="F132" s="4">
        <f ca="1">SUMIFS(INDIRECT("Tab_00.Trial["&amp;F$4&amp;"]"),Tab_00.Trial[CONTA],$B132)</f>
        <v>12594</v>
      </c>
      <c r="G132" s="78">
        <f t="shared" ca="1" si="203"/>
        <v>2.0000000000000001E-4</v>
      </c>
      <c r="H132" s="78">
        <f t="shared" ca="1" si="204"/>
        <v>0</v>
      </c>
      <c r="I132" s="4">
        <f ca="1">SUMIFS(INDIRECT("Tab_00.Trial["&amp;I$4&amp;"]"),Tab_00.Trial[CONTA],$B132)</f>
        <v>12594</v>
      </c>
      <c r="J132" s="78">
        <f t="shared" ca="1" si="205"/>
        <v>2.0000000000000001E-4</v>
      </c>
      <c r="K132" s="78">
        <f t="shared" ca="1" si="206"/>
        <v>0</v>
      </c>
      <c r="L132" s="4">
        <f ca="1">SUMIFS(INDIRECT("Tab_00.Trial["&amp;L$4&amp;"]"),Tab_00.Trial[CONTA],$B132)</f>
        <v>12594</v>
      </c>
      <c r="M132" s="78">
        <f t="shared" ca="1" si="207"/>
        <v>2.0000000000000001E-4</v>
      </c>
      <c r="N132" s="78">
        <f t="shared" ca="1" si="208"/>
        <v>0</v>
      </c>
      <c r="O132" s="4">
        <f ca="1">SUMIFS(INDIRECT("Tab_00.Trial["&amp;O$4&amp;"]"),Tab_00.Trial[CONTA],$B132)</f>
        <v>12594</v>
      </c>
      <c r="P132" s="78">
        <f t="shared" ca="1" si="209"/>
        <v>2.0000000000000001E-4</v>
      </c>
      <c r="Q132" s="78">
        <f t="shared" ca="1" si="210"/>
        <v>0</v>
      </c>
      <c r="R132" s="4">
        <f ca="1">SUMIFS(INDIRECT("Tab_00.Trial["&amp;R$4&amp;"]"),Tab_00.Trial[CONTA],$B132)</f>
        <v>12594</v>
      </c>
      <c r="S132" s="78">
        <f t="shared" ca="1" si="211"/>
        <v>2.0000000000000001E-4</v>
      </c>
      <c r="T132" s="78">
        <f t="shared" ca="1" si="212"/>
        <v>0</v>
      </c>
      <c r="U132" s="4">
        <f ca="1">SUMIFS(INDIRECT("Tab_00.Trial["&amp;U$4&amp;"]"),Tab_00.Trial[CONTA],$B132)</f>
        <v>12594</v>
      </c>
      <c r="V132" s="78">
        <f t="shared" ca="1" si="213"/>
        <v>1E-4</v>
      </c>
      <c r="W132" s="78">
        <f t="shared" ca="1" si="214"/>
        <v>0</v>
      </c>
      <c r="X132" s="4">
        <f ca="1">SUMIFS(INDIRECT("Tab_00.Trial["&amp;X$4&amp;"]"),Tab_00.Trial[CONTA],$B132)</f>
        <v>12594</v>
      </c>
      <c r="Y132" s="78">
        <f t="shared" ca="1" si="215"/>
        <v>1E-4</v>
      </c>
      <c r="Z132" s="78">
        <f t="shared" ca="1" si="216"/>
        <v>0</v>
      </c>
      <c r="AA132" s="4">
        <f ca="1">SUMIFS(INDIRECT("Tab_00.Trial["&amp;AA$4&amp;"]"),Tab_00.Trial[CONTA],$B132)</f>
        <v>12594</v>
      </c>
      <c r="AB132" s="78">
        <f t="shared" ca="1" si="217"/>
        <v>1E-4</v>
      </c>
      <c r="AC132" s="78">
        <f t="shared" ca="1" si="218"/>
        <v>0</v>
      </c>
      <c r="AD132" s="4">
        <f ca="1">SUMIFS(INDIRECT("Tab_00.Trial["&amp;AD$4&amp;"]"),Tab_00.Trial[CONTA],$B132)</f>
        <v>12594</v>
      </c>
      <c r="AE132" s="78">
        <f t="shared" ca="1" si="219"/>
        <v>1E-4</v>
      </c>
      <c r="AF132" s="78">
        <f t="shared" ca="1" si="220"/>
        <v>0</v>
      </c>
      <c r="AG132" s="4">
        <f ca="1">SUMIFS(INDIRECT("Tab_00.Trial["&amp;AG$4&amp;"]"),Tab_00.Trial[CONTA],$B132)</f>
        <v>12594</v>
      </c>
      <c r="AH132" s="78">
        <f t="shared" ca="1" si="221"/>
        <v>1E-4</v>
      </c>
      <c r="AI132" s="78">
        <f t="shared" ca="1" si="222"/>
        <v>0</v>
      </c>
      <c r="AJ132" s="4">
        <f ca="1">SUMIFS(INDIRECT("Tab_00.Trial["&amp;AJ$4&amp;"]"),Tab_00.Trial[CONTA],$B132)</f>
        <v>12594</v>
      </c>
      <c r="AK132" s="78">
        <f t="shared" ca="1" si="223"/>
        <v>1E-4</v>
      </c>
      <c r="AL132" s="78">
        <f t="shared" ca="1" si="224"/>
        <v>0</v>
      </c>
      <c r="AM132" s="4">
        <f ca="1">SUMIFS(INDIRECT("Tab_00.Trial["&amp;AM$4&amp;"]"),Tab_00.Trial[CONTA],$B132)</f>
        <v>12594</v>
      </c>
      <c r="AN132" s="78">
        <f t="shared" ca="1" si="225"/>
        <v>1E-4</v>
      </c>
      <c r="AO132" s="78">
        <f t="shared" ca="1" si="226"/>
        <v>0</v>
      </c>
    </row>
    <row r="133" spans="2:42" ht="15" hidden="1" customHeight="1" outlineLevel="1" x14ac:dyDescent="0.3">
      <c r="B133" s="14" t="s">
        <v>183</v>
      </c>
      <c r="C133" s="15" t="s">
        <v>316</v>
      </c>
      <c r="D133" s="4">
        <f>SUMIFS(Tab_99.Trial[DEZEMBRO],Tab_99.Trial[CONTA],$B133)</f>
        <v>0</v>
      </c>
      <c r="E133" s="78">
        <f t="shared" si="202"/>
        <v>0</v>
      </c>
      <c r="F133" s="4">
        <f ca="1">SUMIFS(INDIRECT("Tab_00.Trial["&amp;F$4&amp;"]"),Tab_00.Trial[CONTA],$B133)</f>
        <v>223690.57</v>
      </c>
      <c r="G133" s="78">
        <f t="shared" ca="1" si="203"/>
        <v>2.7000000000000001E-3</v>
      </c>
      <c r="H133" s="78">
        <f t="shared" ca="1" si="204"/>
        <v>0</v>
      </c>
      <c r="I133" s="4">
        <f ca="1">SUMIFS(INDIRECT("Tab_00.Trial["&amp;I$4&amp;"]"),Tab_00.Trial[CONTA],$B133)</f>
        <v>223690.57</v>
      </c>
      <c r="J133" s="78">
        <f t="shared" ca="1" si="205"/>
        <v>2.7000000000000001E-3</v>
      </c>
      <c r="K133" s="78">
        <f t="shared" ca="1" si="206"/>
        <v>0</v>
      </c>
      <c r="L133" s="4">
        <f ca="1">SUMIFS(INDIRECT("Tab_00.Trial["&amp;L$4&amp;"]"),Tab_00.Trial[CONTA],$B133)</f>
        <v>223690.57</v>
      </c>
      <c r="M133" s="78">
        <f t="shared" ca="1" si="207"/>
        <v>2.7000000000000001E-3</v>
      </c>
      <c r="N133" s="78">
        <f t="shared" ca="1" si="208"/>
        <v>0</v>
      </c>
      <c r="O133" s="4">
        <f ca="1">SUMIFS(INDIRECT("Tab_00.Trial["&amp;O$4&amp;"]"),Tab_00.Trial[CONTA],$B133)</f>
        <v>224642.85</v>
      </c>
      <c r="P133" s="78">
        <f t="shared" ca="1" si="209"/>
        <v>2.7000000000000001E-3</v>
      </c>
      <c r="Q133" s="78">
        <f t="shared" ca="1" si="210"/>
        <v>4.3E-3</v>
      </c>
      <c r="R133" s="4">
        <f ca="1">SUMIFS(INDIRECT("Tab_00.Trial["&amp;R$4&amp;"]"),Tab_00.Trial[CONTA],$B133)</f>
        <v>224642.85</v>
      </c>
      <c r="S133" s="78">
        <f t="shared" ca="1" si="211"/>
        <v>2.7000000000000001E-3</v>
      </c>
      <c r="T133" s="78">
        <f t="shared" ca="1" si="212"/>
        <v>0</v>
      </c>
      <c r="U133" s="4">
        <f ca="1">SUMIFS(INDIRECT("Tab_00.Trial["&amp;U$4&amp;"]"),Tab_00.Trial[CONTA],$B133)</f>
        <v>224642.85</v>
      </c>
      <c r="V133" s="78">
        <f t="shared" ca="1" si="213"/>
        <v>2.7000000000000001E-3</v>
      </c>
      <c r="W133" s="78">
        <f t="shared" ca="1" si="214"/>
        <v>0</v>
      </c>
      <c r="X133" s="4">
        <f ca="1">SUMIFS(INDIRECT("Tab_00.Trial["&amp;X$4&amp;"]"),Tab_00.Trial[CONTA],$B133)</f>
        <v>224642.85</v>
      </c>
      <c r="Y133" s="78">
        <f t="shared" ca="1" si="215"/>
        <v>2.7000000000000001E-3</v>
      </c>
      <c r="Z133" s="78">
        <f t="shared" ca="1" si="216"/>
        <v>0</v>
      </c>
      <c r="AA133" s="4">
        <f ca="1">SUMIFS(INDIRECT("Tab_00.Trial["&amp;AA$4&amp;"]"),Tab_00.Trial[CONTA],$B133)</f>
        <v>224642.85</v>
      </c>
      <c r="AB133" s="78">
        <f t="shared" ca="1" si="217"/>
        <v>2.5999999999999999E-3</v>
      </c>
      <c r="AC133" s="78">
        <f t="shared" ca="1" si="218"/>
        <v>0</v>
      </c>
      <c r="AD133" s="4">
        <f ca="1">SUMIFS(INDIRECT("Tab_00.Trial["&amp;AD$4&amp;"]"),Tab_00.Trial[CONTA],$B133)</f>
        <v>224642.85</v>
      </c>
      <c r="AE133" s="78">
        <f t="shared" ca="1" si="219"/>
        <v>2.5999999999999999E-3</v>
      </c>
      <c r="AF133" s="78">
        <f t="shared" ca="1" si="220"/>
        <v>0</v>
      </c>
      <c r="AG133" s="4">
        <f ca="1">SUMIFS(INDIRECT("Tab_00.Trial["&amp;AG$4&amp;"]"),Tab_00.Trial[CONTA],$B133)</f>
        <v>224642.85</v>
      </c>
      <c r="AH133" s="78">
        <f t="shared" ca="1" si="221"/>
        <v>2.5999999999999999E-3</v>
      </c>
      <c r="AI133" s="78">
        <f t="shared" ca="1" si="222"/>
        <v>0</v>
      </c>
      <c r="AJ133" s="4">
        <f ca="1">SUMIFS(INDIRECT("Tab_00.Trial["&amp;AJ$4&amp;"]"),Tab_00.Trial[CONTA],$B133)</f>
        <v>224642.85</v>
      </c>
      <c r="AK133" s="78">
        <f t="shared" ca="1" si="223"/>
        <v>2.5999999999999999E-3</v>
      </c>
      <c r="AL133" s="78">
        <f t="shared" ca="1" si="224"/>
        <v>0</v>
      </c>
      <c r="AM133" s="4">
        <f ca="1">SUMIFS(INDIRECT("Tab_00.Trial["&amp;AM$4&amp;"]"),Tab_00.Trial[CONTA],$B133)</f>
        <v>226315.79</v>
      </c>
      <c r="AN133" s="78">
        <f t="shared" ca="1" si="225"/>
        <v>2.5999999999999999E-3</v>
      </c>
      <c r="AO133" s="78">
        <f t="shared" ca="1" si="226"/>
        <v>7.4000000000000003E-3</v>
      </c>
    </row>
    <row r="134" spans="2:42" ht="15" hidden="1" customHeight="1" outlineLevel="1" x14ac:dyDescent="0.3">
      <c r="B134" s="14" t="s">
        <v>317</v>
      </c>
      <c r="C134" s="15" t="s">
        <v>318</v>
      </c>
      <c r="D134" s="4">
        <f>SUMIFS(Tab_99.Trial[DEZEMBRO],Tab_99.Trial[CONTA],$B134)</f>
        <v>0</v>
      </c>
      <c r="E134" s="78">
        <f t="shared" si="202"/>
        <v>0</v>
      </c>
      <c r="F134" s="4">
        <f ca="1">SUMIFS(INDIRECT("Tab_00.Trial["&amp;F$4&amp;"]"),Tab_00.Trial[CONTA],$B134)</f>
        <v>7349.9</v>
      </c>
      <c r="G134" s="78">
        <f t="shared" ca="1" si="203"/>
        <v>1E-4</v>
      </c>
      <c r="H134" s="78">
        <f t="shared" ca="1" si="204"/>
        <v>0</v>
      </c>
      <c r="I134" s="4">
        <f ca="1">SUMIFS(INDIRECT("Tab_00.Trial["&amp;I$4&amp;"]"),Tab_00.Trial[CONTA],$B134)</f>
        <v>7349.9</v>
      </c>
      <c r="J134" s="78">
        <f t="shared" ca="1" si="205"/>
        <v>1E-4</v>
      </c>
      <c r="K134" s="78">
        <f t="shared" ca="1" si="206"/>
        <v>0</v>
      </c>
      <c r="L134" s="4">
        <f ca="1">SUMIFS(INDIRECT("Tab_00.Trial["&amp;L$4&amp;"]"),Tab_00.Trial[CONTA],$B134)</f>
        <v>7349.9</v>
      </c>
      <c r="M134" s="78">
        <f t="shared" ca="1" si="207"/>
        <v>1E-4</v>
      </c>
      <c r="N134" s="78">
        <f t="shared" ca="1" si="208"/>
        <v>0</v>
      </c>
      <c r="O134" s="4">
        <f ca="1">SUMIFS(INDIRECT("Tab_00.Trial["&amp;O$4&amp;"]"),Tab_00.Trial[CONTA],$B134)</f>
        <v>7349.9</v>
      </c>
      <c r="P134" s="78">
        <f t="shared" ca="1" si="209"/>
        <v>1E-4</v>
      </c>
      <c r="Q134" s="78">
        <f t="shared" ca="1" si="210"/>
        <v>0</v>
      </c>
      <c r="R134" s="4">
        <f ca="1">SUMIFS(INDIRECT("Tab_00.Trial["&amp;R$4&amp;"]"),Tab_00.Trial[CONTA],$B134)</f>
        <v>7349.9</v>
      </c>
      <c r="S134" s="78">
        <f t="shared" ca="1" si="211"/>
        <v>1E-4</v>
      </c>
      <c r="T134" s="78">
        <f t="shared" ca="1" si="212"/>
        <v>0</v>
      </c>
      <c r="U134" s="4">
        <f ca="1">SUMIFS(INDIRECT("Tab_00.Trial["&amp;U$4&amp;"]"),Tab_00.Trial[CONTA],$B134)</f>
        <v>7349.9</v>
      </c>
      <c r="V134" s="78">
        <f t="shared" ca="1" si="213"/>
        <v>1E-4</v>
      </c>
      <c r="W134" s="78">
        <f t="shared" ca="1" si="214"/>
        <v>0</v>
      </c>
      <c r="X134" s="4">
        <f ca="1">SUMIFS(INDIRECT("Tab_00.Trial["&amp;X$4&amp;"]"),Tab_00.Trial[CONTA],$B134)</f>
        <v>7349.9</v>
      </c>
      <c r="Y134" s="78">
        <f t="shared" ca="1" si="215"/>
        <v>1E-4</v>
      </c>
      <c r="Z134" s="78">
        <f t="shared" ca="1" si="216"/>
        <v>0</v>
      </c>
      <c r="AA134" s="4">
        <f ca="1">SUMIFS(INDIRECT("Tab_00.Trial["&amp;AA$4&amp;"]"),Tab_00.Trial[CONTA],$B134)</f>
        <v>7349.9</v>
      </c>
      <c r="AB134" s="78">
        <f t="shared" ca="1" si="217"/>
        <v>1E-4</v>
      </c>
      <c r="AC134" s="78">
        <f t="shared" ca="1" si="218"/>
        <v>0</v>
      </c>
      <c r="AD134" s="4">
        <f ca="1">SUMIFS(INDIRECT("Tab_00.Trial["&amp;AD$4&amp;"]"),Tab_00.Trial[CONTA],$B134)</f>
        <v>7349.9</v>
      </c>
      <c r="AE134" s="78">
        <f t="shared" ca="1" si="219"/>
        <v>1E-4</v>
      </c>
      <c r="AF134" s="78">
        <f t="shared" ca="1" si="220"/>
        <v>0</v>
      </c>
      <c r="AG134" s="4">
        <f ca="1">SUMIFS(INDIRECT("Tab_00.Trial["&amp;AG$4&amp;"]"),Tab_00.Trial[CONTA],$B134)</f>
        <v>7349.9</v>
      </c>
      <c r="AH134" s="78">
        <f t="shared" ca="1" si="221"/>
        <v>1E-4</v>
      </c>
      <c r="AI134" s="78">
        <f t="shared" ca="1" si="222"/>
        <v>0</v>
      </c>
      <c r="AJ134" s="4">
        <f ca="1">SUMIFS(INDIRECT("Tab_00.Trial["&amp;AJ$4&amp;"]"),Tab_00.Trial[CONTA],$B134)</f>
        <v>8689.9</v>
      </c>
      <c r="AK134" s="78">
        <f t="shared" ca="1" si="223"/>
        <v>1E-4</v>
      </c>
      <c r="AL134" s="78">
        <f t="shared" ca="1" si="224"/>
        <v>0.18229999999999999</v>
      </c>
      <c r="AM134" s="4">
        <f ca="1">SUMIFS(INDIRECT("Tab_00.Trial["&amp;AM$4&amp;"]"),Tab_00.Trial[CONTA],$B134)</f>
        <v>8689.9</v>
      </c>
      <c r="AN134" s="78">
        <f t="shared" ca="1" si="225"/>
        <v>1E-4</v>
      </c>
      <c r="AO134" s="78">
        <f t="shared" ca="1" si="226"/>
        <v>0</v>
      </c>
    </row>
    <row r="135" spans="2:42" ht="15" hidden="1" customHeight="1" outlineLevel="1" x14ac:dyDescent="0.3">
      <c r="B135" s="14" t="s">
        <v>184</v>
      </c>
      <c r="C135" s="15" t="s">
        <v>319</v>
      </c>
      <c r="D135" s="4">
        <f>SUMIFS(Tab_99.Trial[DEZEMBRO],Tab_99.Trial[CONTA],$B135)</f>
        <v>0</v>
      </c>
      <c r="E135" s="78">
        <f t="shared" si="202"/>
        <v>0</v>
      </c>
      <c r="F135" s="4">
        <f ca="1">SUMIFS(INDIRECT("Tab_00.Trial["&amp;F$4&amp;"]"),Tab_00.Trial[CONTA],$B135)</f>
        <v>128697.03</v>
      </c>
      <c r="G135" s="78">
        <f t="shared" ca="1" si="203"/>
        <v>1.5E-3</v>
      </c>
      <c r="H135" s="78">
        <f t="shared" ca="1" si="204"/>
        <v>0</v>
      </c>
      <c r="I135" s="4">
        <f ca="1">SUMIFS(INDIRECT("Tab_00.Trial["&amp;I$4&amp;"]"),Tab_00.Trial[CONTA],$B135)</f>
        <v>128697.03</v>
      </c>
      <c r="J135" s="78">
        <f t="shared" ca="1" si="205"/>
        <v>1.5E-3</v>
      </c>
      <c r="K135" s="78">
        <f t="shared" ca="1" si="206"/>
        <v>0</v>
      </c>
      <c r="L135" s="4">
        <f ca="1">SUMIFS(INDIRECT("Tab_00.Trial["&amp;L$4&amp;"]"),Tab_00.Trial[CONTA],$B135)</f>
        <v>128697.03</v>
      </c>
      <c r="M135" s="78">
        <f t="shared" ca="1" si="207"/>
        <v>1.5E-3</v>
      </c>
      <c r="N135" s="78">
        <f t="shared" ca="1" si="208"/>
        <v>0</v>
      </c>
      <c r="O135" s="4">
        <f ca="1">SUMIFS(INDIRECT("Tab_00.Trial["&amp;O$4&amp;"]"),Tab_00.Trial[CONTA],$B135)</f>
        <v>128697.03</v>
      </c>
      <c r="P135" s="78">
        <f t="shared" ca="1" si="209"/>
        <v>1.5E-3</v>
      </c>
      <c r="Q135" s="78">
        <f t="shared" ca="1" si="210"/>
        <v>0</v>
      </c>
      <c r="R135" s="4">
        <f ca="1">SUMIFS(INDIRECT("Tab_00.Trial["&amp;R$4&amp;"]"),Tab_00.Trial[CONTA],$B135)</f>
        <v>128697.03</v>
      </c>
      <c r="S135" s="78">
        <f t="shared" ca="1" si="211"/>
        <v>1.5E-3</v>
      </c>
      <c r="T135" s="78">
        <f t="shared" ca="1" si="212"/>
        <v>0</v>
      </c>
      <c r="U135" s="4">
        <f ca="1">SUMIFS(INDIRECT("Tab_00.Trial["&amp;U$4&amp;"]"),Tab_00.Trial[CONTA],$B135)</f>
        <v>128697.03</v>
      </c>
      <c r="V135" s="78">
        <f t="shared" ca="1" si="213"/>
        <v>1.5E-3</v>
      </c>
      <c r="W135" s="78">
        <f t="shared" ca="1" si="214"/>
        <v>0</v>
      </c>
      <c r="X135" s="4">
        <f ca="1">SUMIFS(INDIRECT("Tab_00.Trial["&amp;X$4&amp;"]"),Tab_00.Trial[CONTA],$B135)</f>
        <v>128697.03</v>
      </c>
      <c r="Y135" s="78">
        <f t="shared" ca="1" si="215"/>
        <v>1.5E-3</v>
      </c>
      <c r="Z135" s="78">
        <f t="shared" ca="1" si="216"/>
        <v>0</v>
      </c>
      <c r="AA135" s="4">
        <f ca="1">SUMIFS(INDIRECT("Tab_00.Trial["&amp;AA$4&amp;"]"),Tab_00.Trial[CONTA],$B135)</f>
        <v>128697.03</v>
      </c>
      <c r="AB135" s="78">
        <f t="shared" ca="1" si="217"/>
        <v>1.5E-3</v>
      </c>
      <c r="AC135" s="78">
        <f t="shared" ca="1" si="218"/>
        <v>0</v>
      </c>
      <c r="AD135" s="4">
        <f ca="1">SUMIFS(INDIRECT("Tab_00.Trial["&amp;AD$4&amp;"]"),Tab_00.Trial[CONTA],$B135)</f>
        <v>128697.03</v>
      </c>
      <c r="AE135" s="78">
        <f t="shared" ca="1" si="219"/>
        <v>1.5E-3</v>
      </c>
      <c r="AF135" s="78">
        <f t="shared" ca="1" si="220"/>
        <v>0</v>
      </c>
      <c r="AG135" s="4">
        <f ca="1">SUMIFS(INDIRECT("Tab_00.Trial["&amp;AG$4&amp;"]"),Tab_00.Trial[CONTA],$B135)</f>
        <v>128697.03</v>
      </c>
      <c r="AH135" s="78">
        <f t="shared" ca="1" si="221"/>
        <v>1.5E-3</v>
      </c>
      <c r="AI135" s="78">
        <f t="shared" ca="1" si="222"/>
        <v>0</v>
      </c>
      <c r="AJ135" s="4">
        <f ca="1">SUMIFS(INDIRECT("Tab_00.Trial["&amp;AJ$4&amp;"]"),Tab_00.Trial[CONTA],$B135)</f>
        <v>128697.03</v>
      </c>
      <c r="AK135" s="78">
        <f t="shared" ca="1" si="223"/>
        <v>1.5E-3</v>
      </c>
      <c r="AL135" s="78">
        <f t="shared" ca="1" si="224"/>
        <v>0</v>
      </c>
      <c r="AM135" s="4">
        <f ca="1">SUMIFS(INDIRECT("Tab_00.Trial["&amp;AM$4&amp;"]"),Tab_00.Trial[CONTA],$B135)</f>
        <v>128697.03</v>
      </c>
      <c r="AN135" s="78">
        <f t="shared" ca="1" si="225"/>
        <v>1.5E-3</v>
      </c>
      <c r="AO135" s="78">
        <f t="shared" ca="1" si="226"/>
        <v>0</v>
      </c>
    </row>
    <row r="136" spans="2:42" ht="15" hidden="1" customHeight="1" outlineLevel="1" x14ac:dyDescent="0.3">
      <c r="B136" s="14" t="s">
        <v>185</v>
      </c>
      <c r="C136" s="15" t="s">
        <v>320</v>
      </c>
      <c r="D136" s="4">
        <f>SUMIFS(Tab_99.Trial[DEZEMBRO],Tab_99.Trial[CONTA],$B136)</f>
        <v>0</v>
      </c>
      <c r="E136" s="78">
        <f t="shared" si="202"/>
        <v>0</v>
      </c>
      <c r="F136" s="4">
        <f ca="1">SUMIFS(INDIRECT("Tab_00.Trial["&amp;F$4&amp;"]"),Tab_00.Trial[CONTA],$B136)</f>
        <v>15029.74</v>
      </c>
      <c r="G136" s="78">
        <f t="shared" ca="1" si="203"/>
        <v>2.0000000000000001E-4</v>
      </c>
      <c r="H136" s="78">
        <f t="shared" ca="1" si="204"/>
        <v>0</v>
      </c>
      <c r="I136" s="4">
        <f ca="1">SUMIFS(INDIRECT("Tab_00.Trial["&amp;I$4&amp;"]"),Tab_00.Trial[CONTA],$B136)</f>
        <v>15029.74</v>
      </c>
      <c r="J136" s="78">
        <f t="shared" ca="1" si="205"/>
        <v>2.0000000000000001E-4</v>
      </c>
      <c r="K136" s="78">
        <f t="shared" ca="1" si="206"/>
        <v>0</v>
      </c>
      <c r="L136" s="4">
        <f ca="1">SUMIFS(INDIRECT("Tab_00.Trial["&amp;L$4&amp;"]"),Tab_00.Trial[CONTA],$B136)</f>
        <v>15029.74</v>
      </c>
      <c r="M136" s="78">
        <f t="shared" ca="1" si="207"/>
        <v>2.0000000000000001E-4</v>
      </c>
      <c r="N136" s="78">
        <f t="shared" ca="1" si="208"/>
        <v>0</v>
      </c>
      <c r="O136" s="4">
        <f ca="1">SUMIFS(INDIRECT("Tab_00.Trial["&amp;O$4&amp;"]"),Tab_00.Trial[CONTA],$B136)</f>
        <v>15029.74</v>
      </c>
      <c r="P136" s="78">
        <f t="shared" ca="1" si="209"/>
        <v>2.0000000000000001E-4</v>
      </c>
      <c r="Q136" s="78">
        <f t="shared" ca="1" si="210"/>
        <v>0</v>
      </c>
      <c r="R136" s="4">
        <f ca="1">SUMIFS(INDIRECT("Tab_00.Trial["&amp;R$4&amp;"]"),Tab_00.Trial[CONTA],$B136)</f>
        <v>15029.74</v>
      </c>
      <c r="S136" s="78">
        <f t="shared" ca="1" si="211"/>
        <v>2.0000000000000001E-4</v>
      </c>
      <c r="T136" s="78">
        <f t="shared" ca="1" si="212"/>
        <v>0</v>
      </c>
      <c r="U136" s="4">
        <f ca="1">SUMIFS(INDIRECT("Tab_00.Trial["&amp;U$4&amp;"]"),Tab_00.Trial[CONTA],$B136)</f>
        <v>15029.74</v>
      </c>
      <c r="V136" s="78">
        <f t="shared" ca="1" si="213"/>
        <v>2.0000000000000001E-4</v>
      </c>
      <c r="W136" s="78">
        <f t="shared" ca="1" si="214"/>
        <v>0</v>
      </c>
      <c r="X136" s="4">
        <f ca="1">SUMIFS(INDIRECT("Tab_00.Trial["&amp;X$4&amp;"]"),Tab_00.Trial[CONTA],$B136)</f>
        <v>15029.74</v>
      </c>
      <c r="Y136" s="78">
        <f t="shared" ca="1" si="215"/>
        <v>2.0000000000000001E-4</v>
      </c>
      <c r="Z136" s="78">
        <f t="shared" ca="1" si="216"/>
        <v>0</v>
      </c>
      <c r="AA136" s="4">
        <f ca="1">SUMIFS(INDIRECT("Tab_00.Trial["&amp;AA$4&amp;"]"),Tab_00.Trial[CONTA],$B136)</f>
        <v>15029.74</v>
      </c>
      <c r="AB136" s="78">
        <f t="shared" ca="1" si="217"/>
        <v>2.0000000000000001E-4</v>
      </c>
      <c r="AC136" s="78">
        <f t="shared" ca="1" si="218"/>
        <v>0</v>
      </c>
      <c r="AD136" s="4">
        <f ca="1">SUMIFS(INDIRECT("Tab_00.Trial["&amp;AD$4&amp;"]"),Tab_00.Trial[CONTA],$B136)</f>
        <v>15029.74</v>
      </c>
      <c r="AE136" s="78">
        <f t="shared" ca="1" si="219"/>
        <v>2.0000000000000001E-4</v>
      </c>
      <c r="AF136" s="78">
        <f t="shared" ca="1" si="220"/>
        <v>0</v>
      </c>
      <c r="AG136" s="4">
        <f ca="1">SUMIFS(INDIRECT("Tab_00.Trial["&amp;AG$4&amp;"]"),Tab_00.Trial[CONTA],$B136)</f>
        <v>15029.74</v>
      </c>
      <c r="AH136" s="78">
        <f t="shared" ca="1" si="221"/>
        <v>2.0000000000000001E-4</v>
      </c>
      <c r="AI136" s="78">
        <f t="shared" ca="1" si="222"/>
        <v>0</v>
      </c>
      <c r="AJ136" s="4">
        <f ca="1">SUMIFS(INDIRECT("Tab_00.Trial["&amp;AJ$4&amp;"]"),Tab_00.Trial[CONTA],$B136)</f>
        <v>15029.74</v>
      </c>
      <c r="AK136" s="78">
        <f t="shared" ca="1" si="223"/>
        <v>2.0000000000000001E-4</v>
      </c>
      <c r="AL136" s="78">
        <f t="shared" ca="1" si="224"/>
        <v>0</v>
      </c>
      <c r="AM136" s="4">
        <f ca="1">SUMIFS(INDIRECT("Tab_00.Trial["&amp;AM$4&amp;"]"),Tab_00.Trial[CONTA],$B136)</f>
        <v>15029.74</v>
      </c>
      <c r="AN136" s="78">
        <f t="shared" ca="1" si="225"/>
        <v>2.0000000000000001E-4</v>
      </c>
      <c r="AO136" s="78">
        <f t="shared" ca="1" si="226"/>
        <v>0</v>
      </c>
    </row>
    <row r="137" spans="2:42" ht="15" hidden="1" customHeight="1" outlineLevel="1" x14ac:dyDescent="0.3">
      <c r="B137" s="14" t="s">
        <v>321</v>
      </c>
      <c r="C137" s="15" t="s">
        <v>322</v>
      </c>
      <c r="D137" s="4">
        <f>SUMIFS(Tab_99.Trial[DEZEMBRO],Tab_99.Trial[CONTA],$B137)</f>
        <v>0</v>
      </c>
      <c r="E137" s="78">
        <f t="shared" si="202"/>
        <v>0</v>
      </c>
      <c r="F137" s="4">
        <f ca="1">SUMIFS(INDIRECT("Tab_00.Trial["&amp;F$4&amp;"]"),Tab_00.Trial[CONTA],$B137)</f>
        <v>463836.5</v>
      </c>
      <c r="G137" s="78">
        <f t="shared" ca="1" si="203"/>
        <v>5.4999999999999997E-3</v>
      </c>
      <c r="H137" s="78">
        <f t="shared" ca="1" si="204"/>
        <v>0</v>
      </c>
      <c r="I137" s="4">
        <f ca="1">SUMIFS(INDIRECT("Tab_00.Trial["&amp;I$4&amp;"]"),Tab_00.Trial[CONTA],$B137)</f>
        <v>463836.5</v>
      </c>
      <c r="J137" s="78">
        <f t="shared" ca="1" si="205"/>
        <v>5.5999999999999999E-3</v>
      </c>
      <c r="K137" s="78">
        <f t="shared" ca="1" si="206"/>
        <v>0</v>
      </c>
      <c r="L137" s="4">
        <f ca="1">SUMIFS(INDIRECT("Tab_00.Trial["&amp;L$4&amp;"]"),Tab_00.Trial[CONTA],$B137)</f>
        <v>463836.5</v>
      </c>
      <c r="M137" s="78">
        <f t="shared" ca="1" si="207"/>
        <v>5.5999999999999999E-3</v>
      </c>
      <c r="N137" s="78">
        <f t="shared" ca="1" si="208"/>
        <v>0</v>
      </c>
      <c r="O137" s="4">
        <f ca="1">SUMIFS(INDIRECT("Tab_00.Trial["&amp;O$4&amp;"]"),Tab_00.Trial[CONTA],$B137)</f>
        <v>463836.5</v>
      </c>
      <c r="P137" s="78">
        <f t="shared" ca="1" si="209"/>
        <v>5.4999999999999997E-3</v>
      </c>
      <c r="Q137" s="78">
        <f t="shared" ca="1" si="210"/>
        <v>0</v>
      </c>
      <c r="R137" s="4">
        <f ca="1">SUMIFS(INDIRECT("Tab_00.Trial["&amp;R$4&amp;"]"),Tab_00.Trial[CONTA],$B137)</f>
        <v>464653.7</v>
      </c>
      <c r="S137" s="78">
        <f t="shared" ca="1" si="211"/>
        <v>5.4999999999999997E-3</v>
      </c>
      <c r="T137" s="78">
        <f t="shared" ca="1" si="212"/>
        <v>1.8E-3</v>
      </c>
      <c r="U137" s="4">
        <f ca="1">SUMIFS(INDIRECT("Tab_00.Trial["&amp;U$4&amp;"]"),Tab_00.Trial[CONTA],$B137)</f>
        <v>464653.7</v>
      </c>
      <c r="V137" s="78">
        <f t="shared" ca="1" si="213"/>
        <v>5.4999999999999997E-3</v>
      </c>
      <c r="W137" s="78">
        <f t="shared" ca="1" si="214"/>
        <v>0</v>
      </c>
      <c r="X137" s="4">
        <f ca="1">SUMIFS(INDIRECT("Tab_00.Trial["&amp;X$4&amp;"]"),Tab_00.Trial[CONTA],$B137)</f>
        <v>464653.7</v>
      </c>
      <c r="Y137" s="78">
        <f t="shared" ca="1" si="215"/>
        <v>5.4999999999999997E-3</v>
      </c>
      <c r="Z137" s="78">
        <f t="shared" ca="1" si="216"/>
        <v>0</v>
      </c>
      <c r="AA137" s="4">
        <f ca="1">SUMIFS(INDIRECT("Tab_00.Trial["&amp;AA$4&amp;"]"),Tab_00.Trial[CONTA],$B137)</f>
        <v>464653.7</v>
      </c>
      <c r="AB137" s="78">
        <f t="shared" ca="1" si="217"/>
        <v>5.4999999999999997E-3</v>
      </c>
      <c r="AC137" s="78">
        <f t="shared" ca="1" si="218"/>
        <v>0</v>
      </c>
      <c r="AD137" s="4">
        <f ca="1">SUMIFS(INDIRECT("Tab_00.Trial["&amp;AD$4&amp;"]"),Tab_00.Trial[CONTA],$B137)</f>
        <v>464653.7</v>
      </c>
      <c r="AE137" s="78">
        <f t="shared" ca="1" si="219"/>
        <v>5.4999999999999997E-3</v>
      </c>
      <c r="AF137" s="78">
        <f t="shared" ca="1" si="220"/>
        <v>0</v>
      </c>
      <c r="AG137" s="4">
        <f ca="1">SUMIFS(INDIRECT("Tab_00.Trial["&amp;AG$4&amp;"]"),Tab_00.Trial[CONTA],$B137)</f>
        <v>464653.7</v>
      </c>
      <c r="AH137" s="78">
        <f t="shared" ca="1" si="221"/>
        <v>5.4000000000000003E-3</v>
      </c>
      <c r="AI137" s="78">
        <f t="shared" ca="1" si="222"/>
        <v>0</v>
      </c>
      <c r="AJ137" s="4">
        <f ca="1">SUMIFS(INDIRECT("Tab_00.Trial["&amp;AJ$4&amp;"]"),Tab_00.Trial[CONTA],$B137)</f>
        <v>464653.7</v>
      </c>
      <c r="AK137" s="78">
        <f t="shared" ca="1" si="223"/>
        <v>5.4000000000000003E-3</v>
      </c>
      <c r="AL137" s="78">
        <f t="shared" ca="1" si="224"/>
        <v>0</v>
      </c>
      <c r="AM137" s="4">
        <f ca="1">SUMIFS(INDIRECT("Tab_00.Trial["&amp;AM$4&amp;"]"),Tab_00.Trial[CONTA],$B137)</f>
        <v>464653.7</v>
      </c>
      <c r="AN137" s="78">
        <f t="shared" ca="1" si="225"/>
        <v>5.4000000000000003E-3</v>
      </c>
      <c r="AO137" s="78">
        <f t="shared" ca="1" si="226"/>
        <v>0</v>
      </c>
    </row>
    <row r="138" spans="2:42" ht="15" hidden="1" customHeight="1" outlineLevel="1" x14ac:dyDescent="0.3">
      <c r="B138" s="14" t="s">
        <v>186</v>
      </c>
      <c r="C138" s="15" t="s">
        <v>313</v>
      </c>
      <c r="D138" s="4">
        <f>SUMIFS(Tab_99.Trial[DEZEMBRO],Tab_99.Trial[CONTA],$B138)</f>
        <v>0</v>
      </c>
      <c r="E138" s="78">
        <f t="shared" si="202"/>
        <v>0</v>
      </c>
      <c r="F138" s="4">
        <f ca="1">SUMIFS(INDIRECT("Tab_00.Trial["&amp;F$4&amp;"]"),Tab_00.Trial[CONTA],$B138)</f>
        <v>-649876.97</v>
      </c>
      <c r="G138" s="78">
        <f t="shared" ca="1" si="203"/>
        <v>-7.7999999999999996E-3</v>
      </c>
      <c r="H138" s="78">
        <f t="shared" ca="1" si="204"/>
        <v>0</v>
      </c>
      <c r="I138" s="4">
        <f ca="1">SUMIFS(INDIRECT("Tab_00.Trial["&amp;I$4&amp;"]"),Tab_00.Trial[CONTA],$B138)</f>
        <v>-652874.9</v>
      </c>
      <c r="J138" s="78">
        <f t="shared" ca="1" si="205"/>
        <v>-7.7999999999999996E-3</v>
      </c>
      <c r="K138" s="78">
        <f t="shared" ca="1" si="206"/>
        <v>-4.5999999999999999E-3</v>
      </c>
      <c r="L138" s="4">
        <f ca="1">SUMIFS(INDIRECT("Tab_00.Trial["&amp;L$4&amp;"]"),Tab_00.Trial[CONTA],$B138)</f>
        <v>-655872.82999999996</v>
      </c>
      <c r="M138" s="78">
        <f t="shared" ca="1" si="207"/>
        <v>-7.9000000000000008E-3</v>
      </c>
      <c r="N138" s="78">
        <f t="shared" ca="1" si="208"/>
        <v>-4.5999999999999999E-3</v>
      </c>
      <c r="O138" s="4">
        <f ca="1">SUMIFS(INDIRECT("Tab_00.Trial["&amp;O$4&amp;"]"),Tab_00.Trial[CONTA],$B138)</f>
        <v>-658870.76</v>
      </c>
      <c r="P138" s="78">
        <f t="shared" ca="1" si="209"/>
        <v>-7.9000000000000008E-3</v>
      </c>
      <c r="Q138" s="78">
        <f t="shared" ca="1" si="210"/>
        <v>-4.5999999999999999E-3</v>
      </c>
      <c r="R138" s="4">
        <f ca="1">SUMIFS(INDIRECT("Tab_00.Trial["&amp;R$4&amp;"]"),Tab_00.Trial[CONTA],$B138)</f>
        <v>-661868.68999999994</v>
      </c>
      <c r="S138" s="78">
        <f t="shared" ca="1" si="211"/>
        <v>-7.9000000000000008E-3</v>
      </c>
      <c r="T138" s="78">
        <f t="shared" ca="1" si="212"/>
        <v>-4.5999999999999999E-3</v>
      </c>
      <c r="U138" s="4">
        <f ca="1">SUMIFS(INDIRECT("Tab_00.Trial["&amp;U$4&amp;"]"),Tab_00.Trial[CONTA],$B138)</f>
        <v>-664866.62</v>
      </c>
      <c r="V138" s="78">
        <f t="shared" ca="1" si="213"/>
        <v>-7.9000000000000008E-3</v>
      </c>
      <c r="W138" s="78">
        <f t="shared" ca="1" si="214"/>
        <v>-4.4999999999999997E-3</v>
      </c>
      <c r="X138" s="4">
        <f ca="1">SUMIFS(INDIRECT("Tab_00.Trial["&amp;X$4&amp;"]"),Tab_00.Trial[CONTA],$B138)</f>
        <v>-667864.55000000005</v>
      </c>
      <c r="Y138" s="78">
        <f t="shared" ca="1" si="215"/>
        <v>-7.9000000000000008E-3</v>
      </c>
      <c r="Z138" s="78">
        <f t="shared" ca="1" si="216"/>
        <v>-4.4999999999999997E-3</v>
      </c>
      <c r="AA138" s="4">
        <f ca="1">SUMIFS(INDIRECT("Tab_00.Trial["&amp;AA$4&amp;"]"),Tab_00.Trial[CONTA],$B138)</f>
        <v>-667864.55000000005</v>
      </c>
      <c r="AB138" s="78">
        <f t="shared" ca="1" si="217"/>
        <v>-7.7999999999999996E-3</v>
      </c>
      <c r="AC138" s="78">
        <f t="shared" ca="1" si="218"/>
        <v>0</v>
      </c>
      <c r="AD138" s="4">
        <f ca="1">SUMIFS(INDIRECT("Tab_00.Trial["&amp;AD$4&amp;"]"),Tab_00.Trial[CONTA],$B138)</f>
        <v>-670862.48</v>
      </c>
      <c r="AE138" s="78">
        <f t="shared" ca="1" si="219"/>
        <v>-7.9000000000000008E-3</v>
      </c>
      <c r="AF138" s="78">
        <f t="shared" ca="1" si="220"/>
        <v>-4.4999999999999997E-3</v>
      </c>
      <c r="AG138" s="4">
        <f ca="1">SUMIFS(INDIRECT("Tab_00.Trial["&amp;AG$4&amp;"]"),Tab_00.Trial[CONTA],$B138)</f>
        <v>-673860.41</v>
      </c>
      <c r="AH138" s="78">
        <f t="shared" ca="1" si="221"/>
        <v>-7.9000000000000008E-3</v>
      </c>
      <c r="AI138" s="78">
        <f t="shared" ca="1" si="222"/>
        <v>-4.4999999999999997E-3</v>
      </c>
      <c r="AJ138" s="4">
        <f ca="1">SUMIFS(INDIRECT("Tab_00.Trial["&amp;AJ$4&amp;"]"),Tab_00.Trial[CONTA],$B138)</f>
        <v>-676858.34</v>
      </c>
      <c r="AK138" s="78">
        <f t="shared" ca="1" si="223"/>
        <v>-7.9000000000000008E-3</v>
      </c>
      <c r="AL138" s="78">
        <f t="shared" ca="1" si="224"/>
        <v>-4.4000000000000003E-3</v>
      </c>
      <c r="AM138" s="4">
        <f ca="1">SUMIFS(INDIRECT("Tab_00.Trial["&amp;AM$4&amp;"]"),Tab_00.Trial[CONTA],$B138)</f>
        <v>-679856.27</v>
      </c>
      <c r="AN138" s="78">
        <f t="shared" ca="1" si="225"/>
        <v>-7.9000000000000008E-3</v>
      </c>
      <c r="AO138" s="78">
        <f t="shared" ca="1" si="226"/>
        <v>-4.4000000000000003E-3</v>
      </c>
    </row>
    <row r="139" spans="2:42" ht="15" hidden="1" customHeight="1" outlineLevel="1" x14ac:dyDescent="0.3">
      <c r="B139" s="14" t="s">
        <v>187</v>
      </c>
      <c r="C139" s="15" t="s">
        <v>314</v>
      </c>
      <c r="D139" s="4">
        <f>SUMIFS(Tab_99.Trial[DEZEMBRO],Tab_99.Trial[CONTA],$B139)</f>
        <v>0</v>
      </c>
      <c r="E139" s="78">
        <f t="shared" si="202"/>
        <v>0</v>
      </c>
      <c r="F139" s="4">
        <f ca="1">SUMIFS(INDIRECT("Tab_00.Trial["&amp;F$4&amp;"]"),Tab_00.Trial[CONTA],$B139)</f>
        <v>-17058.599999999999</v>
      </c>
      <c r="G139" s="78">
        <f t="shared" ca="1" si="203"/>
        <v>-2.0000000000000001E-4</v>
      </c>
      <c r="H139" s="78">
        <f t="shared" ca="1" si="204"/>
        <v>0</v>
      </c>
      <c r="I139" s="4">
        <f ca="1">SUMIFS(INDIRECT("Tab_00.Trial["&amp;I$4&amp;"]"),Tab_00.Trial[CONTA],$B139)</f>
        <v>-17250.27</v>
      </c>
      <c r="J139" s="78">
        <f t="shared" ca="1" si="205"/>
        <v>-2.0000000000000001E-4</v>
      </c>
      <c r="K139" s="78">
        <f t="shared" ca="1" si="206"/>
        <v>-1.12E-2</v>
      </c>
      <c r="L139" s="4">
        <f ca="1">SUMIFS(INDIRECT("Tab_00.Trial["&amp;L$4&amp;"]"),Tab_00.Trial[CONTA],$B139)</f>
        <v>-17441.939999999999</v>
      </c>
      <c r="M139" s="78">
        <f t="shared" ca="1" si="207"/>
        <v>-2.0000000000000001E-4</v>
      </c>
      <c r="N139" s="78">
        <f t="shared" ca="1" si="208"/>
        <v>-1.11E-2</v>
      </c>
      <c r="O139" s="4">
        <f ca="1">SUMIFS(INDIRECT("Tab_00.Trial["&amp;O$4&amp;"]"),Tab_00.Trial[CONTA],$B139)</f>
        <v>-17633.61</v>
      </c>
      <c r="P139" s="78">
        <f t="shared" ca="1" si="209"/>
        <v>-2.0000000000000001E-4</v>
      </c>
      <c r="Q139" s="78">
        <f t="shared" ca="1" si="210"/>
        <v>-1.0999999999999999E-2</v>
      </c>
      <c r="R139" s="4">
        <f ca="1">SUMIFS(INDIRECT("Tab_00.Trial["&amp;R$4&amp;"]"),Tab_00.Trial[CONTA],$B139)</f>
        <v>-17825.28</v>
      </c>
      <c r="S139" s="78">
        <f t="shared" ca="1" si="211"/>
        <v>-2.0000000000000001E-4</v>
      </c>
      <c r="T139" s="78">
        <f t="shared" ca="1" si="212"/>
        <v>-1.09E-2</v>
      </c>
      <c r="U139" s="4">
        <f ca="1">SUMIFS(INDIRECT("Tab_00.Trial["&amp;U$4&amp;"]"),Tab_00.Trial[CONTA],$B139)</f>
        <v>-18016.95</v>
      </c>
      <c r="V139" s="78">
        <f t="shared" ca="1" si="213"/>
        <v>-2.0000000000000001E-4</v>
      </c>
      <c r="W139" s="78">
        <f t="shared" ca="1" si="214"/>
        <v>-1.0800000000000001E-2</v>
      </c>
      <c r="X139" s="4">
        <f ca="1">SUMIFS(INDIRECT("Tab_00.Trial["&amp;X$4&amp;"]"),Tab_00.Trial[CONTA],$B139)</f>
        <v>-18208.62</v>
      </c>
      <c r="Y139" s="78">
        <f t="shared" ca="1" si="215"/>
        <v>-2.0000000000000001E-4</v>
      </c>
      <c r="Z139" s="78">
        <f t="shared" ca="1" si="216"/>
        <v>-1.06E-2</v>
      </c>
      <c r="AA139" s="4">
        <f ca="1">SUMIFS(INDIRECT("Tab_00.Trial["&amp;AA$4&amp;"]"),Tab_00.Trial[CONTA],$B139)</f>
        <v>-21398.22</v>
      </c>
      <c r="AB139" s="78">
        <f t="shared" ca="1" si="217"/>
        <v>-2.9999999999999997E-4</v>
      </c>
      <c r="AC139" s="78">
        <f t="shared" ca="1" si="218"/>
        <v>-0.17519999999999999</v>
      </c>
      <c r="AD139" s="4">
        <f ca="1">SUMIFS(INDIRECT("Tab_00.Trial["&amp;AD$4&amp;"]"),Tab_00.Trial[CONTA],$B139)</f>
        <v>-21589.89</v>
      </c>
      <c r="AE139" s="78">
        <f t="shared" ca="1" si="219"/>
        <v>-2.9999999999999997E-4</v>
      </c>
      <c r="AF139" s="78">
        <f t="shared" ca="1" si="220"/>
        <v>-8.9999999999999993E-3</v>
      </c>
      <c r="AG139" s="4">
        <f ca="1">SUMIFS(INDIRECT("Tab_00.Trial["&amp;AG$4&amp;"]"),Tab_00.Trial[CONTA],$B139)</f>
        <v>-21781.56</v>
      </c>
      <c r="AH139" s="78">
        <f t="shared" ca="1" si="221"/>
        <v>-2.9999999999999997E-4</v>
      </c>
      <c r="AI139" s="78">
        <f t="shared" ca="1" si="222"/>
        <v>-8.8999999999999999E-3</v>
      </c>
      <c r="AJ139" s="4">
        <f ca="1">SUMIFS(INDIRECT("Tab_00.Trial["&amp;AJ$4&amp;"]"),Tab_00.Trial[CONTA],$B139)</f>
        <v>-21973.23</v>
      </c>
      <c r="AK139" s="78">
        <f t="shared" ca="1" si="223"/>
        <v>-2.9999999999999997E-4</v>
      </c>
      <c r="AL139" s="78">
        <f t="shared" ca="1" si="224"/>
        <v>-8.8000000000000005E-3</v>
      </c>
      <c r="AM139" s="4">
        <f ca="1">SUMIFS(INDIRECT("Tab_00.Trial["&amp;AM$4&amp;"]"),Tab_00.Trial[CONTA],$B139)</f>
        <v>-22164.9</v>
      </c>
      <c r="AN139" s="78">
        <f t="shared" ca="1" si="225"/>
        <v>-2.9999999999999997E-4</v>
      </c>
      <c r="AO139" s="78">
        <f t="shared" ca="1" si="226"/>
        <v>-8.6999999999999994E-3</v>
      </c>
    </row>
    <row r="140" spans="2:42" ht="15" hidden="1" customHeight="1" outlineLevel="1" x14ac:dyDescent="0.3">
      <c r="B140" s="14" t="s">
        <v>188</v>
      </c>
      <c r="C140" s="15" t="s">
        <v>315</v>
      </c>
      <c r="D140" s="4">
        <f>SUMIFS(Tab_99.Trial[DEZEMBRO],Tab_99.Trial[CONTA],$B140)</f>
        <v>0</v>
      </c>
      <c r="E140" s="78">
        <f t="shared" si="202"/>
        <v>0</v>
      </c>
      <c r="F140" s="4">
        <f ca="1">SUMIFS(INDIRECT("Tab_00.Trial["&amp;F$4&amp;"]"),Tab_00.Trial[CONTA],$B140)</f>
        <v>-6159.06</v>
      </c>
      <c r="G140" s="78">
        <f t="shared" ca="1" si="203"/>
        <v>-1E-4</v>
      </c>
      <c r="H140" s="78">
        <f t="shared" ca="1" si="204"/>
        <v>0</v>
      </c>
      <c r="I140" s="4">
        <f ca="1">SUMIFS(INDIRECT("Tab_00.Trial["&amp;I$4&amp;"]"),Tab_00.Trial[CONTA],$B140)</f>
        <v>-6264.01</v>
      </c>
      <c r="J140" s="78">
        <f t="shared" ca="1" si="205"/>
        <v>-1E-4</v>
      </c>
      <c r="K140" s="78">
        <f t="shared" ca="1" si="206"/>
        <v>-1.7000000000000001E-2</v>
      </c>
      <c r="L140" s="4">
        <f ca="1">SUMIFS(INDIRECT("Tab_00.Trial["&amp;L$4&amp;"]"),Tab_00.Trial[CONTA],$B140)</f>
        <v>-6368.96</v>
      </c>
      <c r="M140" s="78">
        <f t="shared" ca="1" si="207"/>
        <v>-1E-4</v>
      </c>
      <c r="N140" s="78">
        <f t="shared" ca="1" si="208"/>
        <v>-1.6799999999999999E-2</v>
      </c>
      <c r="O140" s="4">
        <f ca="1">SUMIFS(INDIRECT("Tab_00.Trial["&amp;O$4&amp;"]"),Tab_00.Trial[CONTA],$B140)</f>
        <v>-6473.91</v>
      </c>
      <c r="P140" s="78">
        <f t="shared" ca="1" si="209"/>
        <v>-1E-4</v>
      </c>
      <c r="Q140" s="78">
        <f t="shared" ca="1" si="210"/>
        <v>-1.6500000000000001E-2</v>
      </c>
      <c r="R140" s="4">
        <f ca="1">SUMIFS(INDIRECT("Tab_00.Trial["&amp;R$4&amp;"]"),Tab_00.Trial[CONTA],$B140)</f>
        <v>-6578.86</v>
      </c>
      <c r="S140" s="78">
        <f t="shared" ca="1" si="211"/>
        <v>-1E-4</v>
      </c>
      <c r="T140" s="78">
        <f t="shared" ca="1" si="212"/>
        <v>-1.6199999999999999E-2</v>
      </c>
      <c r="U140" s="4">
        <f ca="1">SUMIFS(INDIRECT("Tab_00.Trial["&amp;U$4&amp;"]"),Tab_00.Trial[CONTA],$B140)</f>
        <v>-6683.81</v>
      </c>
      <c r="V140" s="78">
        <f t="shared" ca="1" si="213"/>
        <v>-1E-4</v>
      </c>
      <c r="W140" s="78">
        <f t="shared" ca="1" si="214"/>
        <v>-1.6E-2</v>
      </c>
      <c r="X140" s="4">
        <f ca="1">SUMIFS(INDIRECT("Tab_00.Trial["&amp;X$4&amp;"]"),Tab_00.Trial[CONTA],$B140)</f>
        <v>-6788.76</v>
      </c>
      <c r="Y140" s="78">
        <f t="shared" ca="1" si="215"/>
        <v>-1E-4</v>
      </c>
      <c r="Z140" s="78">
        <f t="shared" ca="1" si="216"/>
        <v>-1.5699999999999999E-2</v>
      </c>
      <c r="AA140" s="4">
        <f ca="1">SUMIFS(INDIRECT("Tab_00.Trial["&amp;AA$4&amp;"]"),Tab_00.Trial[CONTA],$B140)</f>
        <v>-6893.71</v>
      </c>
      <c r="AB140" s="78">
        <f t="shared" ca="1" si="217"/>
        <v>-1E-4</v>
      </c>
      <c r="AC140" s="78">
        <f t="shared" ca="1" si="218"/>
        <v>-1.55E-2</v>
      </c>
      <c r="AD140" s="4">
        <f ca="1">SUMIFS(INDIRECT("Tab_00.Trial["&amp;AD$4&amp;"]"),Tab_00.Trial[CONTA],$B140)</f>
        <v>-6998.66</v>
      </c>
      <c r="AE140" s="78">
        <f t="shared" ca="1" si="219"/>
        <v>-1E-4</v>
      </c>
      <c r="AF140" s="78">
        <f t="shared" ca="1" si="220"/>
        <v>-1.52E-2</v>
      </c>
      <c r="AG140" s="4">
        <f ca="1">SUMIFS(INDIRECT("Tab_00.Trial["&amp;AG$4&amp;"]"),Tab_00.Trial[CONTA],$B140)</f>
        <v>-7103.61</v>
      </c>
      <c r="AH140" s="78">
        <f t="shared" ca="1" si="221"/>
        <v>-1E-4</v>
      </c>
      <c r="AI140" s="78">
        <f t="shared" ca="1" si="222"/>
        <v>-1.4999999999999999E-2</v>
      </c>
      <c r="AJ140" s="4">
        <f ca="1">SUMIFS(INDIRECT("Tab_00.Trial["&amp;AJ$4&amp;"]"),Tab_00.Trial[CONTA],$B140)</f>
        <v>-7208.56</v>
      </c>
      <c r="AK140" s="78">
        <f t="shared" ca="1" si="223"/>
        <v>-1E-4</v>
      </c>
      <c r="AL140" s="78">
        <f t="shared" ca="1" si="224"/>
        <v>-1.4800000000000001E-2</v>
      </c>
      <c r="AM140" s="4">
        <f ca="1">SUMIFS(INDIRECT("Tab_00.Trial["&amp;AM$4&amp;"]"),Tab_00.Trial[CONTA],$B140)</f>
        <v>-7313.51</v>
      </c>
      <c r="AN140" s="78">
        <f t="shared" ca="1" si="225"/>
        <v>-1E-4</v>
      </c>
      <c r="AO140" s="78">
        <f t="shared" ca="1" si="226"/>
        <v>-1.46E-2</v>
      </c>
    </row>
    <row r="141" spans="2:42" ht="15" hidden="1" customHeight="1" outlineLevel="1" x14ac:dyDescent="0.3">
      <c r="B141" s="14" t="s">
        <v>189</v>
      </c>
      <c r="C141" s="15" t="s">
        <v>316</v>
      </c>
      <c r="D141" s="4">
        <f>SUMIFS(Tab_99.Trial[DEZEMBRO],Tab_99.Trial[CONTA],$B141)</f>
        <v>0</v>
      </c>
      <c r="E141" s="78">
        <f t="shared" si="202"/>
        <v>0</v>
      </c>
      <c r="F141" s="4">
        <f ca="1">SUMIFS(INDIRECT("Tab_00.Trial["&amp;F$4&amp;"]"),Tab_00.Trial[CONTA],$B141)</f>
        <v>-223060.16</v>
      </c>
      <c r="G141" s="78">
        <f t="shared" ca="1" si="203"/>
        <v>-2.7000000000000001E-3</v>
      </c>
      <c r="H141" s="78">
        <f t="shared" ca="1" si="204"/>
        <v>0</v>
      </c>
      <c r="I141" s="4">
        <f ca="1">SUMIFS(INDIRECT("Tab_00.Trial["&amp;I$4&amp;"]"),Tab_00.Trial[CONTA],$B141)</f>
        <v>-224642.85</v>
      </c>
      <c r="J141" s="78">
        <f t="shared" ca="1" si="205"/>
        <v>-2.7000000000000001E-3</v>
      </c>
      <c r="K141" s="78">
        <f t="shared" ca="1" si="206"/>
        <v>-7.1000000000000004E-3</v>
      </c>
      <c r="L141" s="4">
        <f ca="1">SUMIFS(INDIRECT("Tab_00.Trial["&amp;L$4&amp;"]"),Tab_00.Trial[CONTA],$B141)</f>
        <v>-224642.85</v>
      </c>
      <c r="M141" s="78">
        <f t="shared" ca="1" si="207"/>
        <v>-2.7000000000000001E-3</v>
      </c>
      <c r="N141" s="78">
        <f t="shared" ca="1" si="208"/>
        <v>0</v>
      </c>
      <c r="O141" s="4">
        <f ca="1">SUMIFS(INDIRECT("Tab_00.Trial["&amp;O$4&amp;"]"),Tab_00.Trial[CONTA],$B141)</f>
        <v>-224642.85</v>
      </c>
      <c r="P141" s="78">
        <f t="shared" ca="1" si="209"/>
        <v>-2.7000000000000001E-3</v>
      </c>
      <c r="Q141" s="78">
        <f t="shared" ca="1" si="210"/>
        <v>0</v>
      </c>
      <c r="R141" s="4">
        <f ca="1">SUMIFS(INDIRECT("Tab_00.Trial["&amp;R$4&amp;"]"),Tab_00.Trial[CONTA],$B141)</f>
        <v>-224642.85</v>
      </c>
      <c r="S141" s="78">
        <f t="shared" ca="1" si="211"/>
        <v>-2.7000000000000001E-3</v>
      </c>
      <c r="T141" s="78">
        <f t="shared" ca="1" si="212"/>
        <v>0</v>
      </c>
      <c r="U141" s="4">
        <f ca="1">SUMIFS(INDIRECT("Tab_00.Trial["&amp;U$4&amp;"]"),Tab_00.Trial[CONTA],$B141)</f>
        <v>-224642.85</v>
      </c>
      <c r="V141" s="78">
        <f t="shared" ca="1" si="213"/>
        <v>-2.7000000000000001E-3</v>
      </c>
      <c r="W141" s="78">
        <f t="shared" ca="1" si="214"/>
        <v>0</v>
      </c>
      <c r="X141" s="4">
        <f ca="1">SUMIFS(INDIRECT("Tab_00.Trial["&amp;X$4&amp;"]"),Tab_00.Trial[CONTA],$B141)</f>
        <v>-224642.85</v>
      </c>
      <c r="Y141" s="78">
        <f t="shared" ca="1" si="215"/>
        <v>-2.7000000000000001E-3</v>
      </c>
      <c r="Z141" s="78">
        <f t="shared" ca="1" si="216"/>
        <v>0</v>
      </c>
      <c r="AA141" s="4">
        <f ca="1">SUMIFS(INDIRECT("Tab_00.Trial["&amp;AA$4&amp;"]"),Tab_00.Trial[CONTA],$B141)</f>
        <v>-224642.85</v>
      </c>
      <c r="AB141" s="78">
        <f t="shared" ca="1" si="217"/>
        <v>-2.5999999999999999E-3</v>
      </c>
      <c r="AC141" s="78">
        <f t="shared" ca="1" si="218"/>
        <v>0</v>
      </c>
      <c r="AD141" s="4">
        <f ca="1">SUMIFS(INDIRECT("Tab_00.Trial["&amp;AD$4&amp;"]"),Tab_00.Trial[CONTA],$B141)</f>
        <v>-224642.85</v>
      </c>
      <c r="AE141" s="78">
        <f t="shared" ca="1" si="219"/>
        <v>-2.5999999999999999E-3</v>
      </c>
      <c r="AF141" s="78">
        <f t="shared" ca="1" si="220"/>
        <v>0</v>
      </c>
      <c r="AG141" s="4">
        <f ca="1">SUMIFS(INDIRECT("Tab_00.Trial["&amp;AG$4&amp;"]"),Tab_00.Trial[CONTA],$B141)</f>
        <v>-224642.85</v>
      </c>
      <c r="AH141" s="78">
        <f t="shared" ca="1" si="221"/>
        <v>-2.5999999999999999E-3</v>
      </c>
      <c r="AI141" s="78">
        <f t="shared" ca="1" si="222"/>
        <v>0</v>
      </c>
      <c r="AJ141" s="4">
        <f ca="1">SUMIFS(INDIRECT("Tab_00.Trial["&amp;AJ$4&amp;"]"),Tab_00.Trial[CONTA],$B141)</f>
        <v>-224642.85</v>
      </c>
      <c r="AK141" s="78">
        <f t="shared" ca="1" si="223"/>
        <v>-2.5999999999999999E-3</v>
      </c>
      <c r="AL141" s="78">
        <f t="shared" ca="1" si="224"/>
        <v>0</v>
      </c>
      <c r="AM141" s="4">
        <f ca="1">SUMIFS(INDIRECT("Tab_00.Trial["&amp;AM$4&amp;"]"),Tab_00.Trial[CONTA],$B141)</f>
        <v>-224642.85</v>
      </c>
      <c r="AN141" s="78">
        <f t="shared" ca="1" si="225"/>
        <v>-2.5999999999999999E-3</v>
      </c>
      <c r="AO141" s="78">
        <f t="shared" ca="1" si="226"/>
        <v>0</v>
      </c>
    </row>
    <row r="142" spans="2:42" ht="15" hidden="1" customHeight="1" outlineLevel="1" x14ac:dyDescent="0.3">
      <c r="B142" s="14" t="s">
        <v>190</v>
      </c>
      <c r="C142" s="15" t="s">
        <v>318</v>
      </c>
      <c r="D142" s="4">
        <f>SUMIFS(Tab_99.Trial[DEZEMBRO],Tab_99.Trial[CONTA],$B142)</f>
        <v>0</v>
      </c>
      <c r="E142" s="78">
        <f t="shared" si="202"/>
        <v>0</v>
      </c>
      <c r="F142" s="4">
        <f ca="1">SUMIFS(INDIRECT("Tab_00.Trial["&amp;F$4&amp;"]"),Tab_00.Trial[CONTA],$B142)</f>
        <v>-3574.84</v>
      </c>
      <c r="G142" s="78">
        <f t="shared" ca="1" si="203"/>
        <v>0</v>
      </c>
      <c r="H142" s="78">
        <f t="shared" ca="1" si="204"/>
        <v>0</v>
      </c>
      <c r="I142" s="4">
        <f ca="1">SUMIFS(INDIRECT("Tab_00.Trial["&amp;I$4&amp;"]"),Tab_00.Trial[CONTA],$B142)</f>
        <v>-3697.34</v>
      </c>
      <c r="J142" s="78">
        <f t="shared" ca="1" si="205"/>
        <v>0</v>
      </c>
      <c r="K142" s="78">
        <f t="shared" ca="1" si="206"/>
        <v>-3.4299999999999997E-2</v>
      </c>
      <c r="L142" s="4">
        <f ca="1">SUMIFS(INDIRECT("Tab_00.Trial["&amp;L$4&amp;"]"),Tab_00.Trial[CONTA],$B142)</f>
        <v>-3819.84</v>
      </c>
      <c r="M142" s="78">
        <f t="shared" ca="1" si="207"/>
        <v>0</v>
      </c>
      <c r="N142" s="78">
        <f t="shared" ca="1" si="208"/>
        <v>-3.3099999999999997E-2</v>
      </c>
      <c r="O142" s="4">
        <f ca="1">SUMIFS(INDIRECT("Tab_00.Trial["&amp;O$4&amp;"]"),Tab_00.Trial[CONTA],$B142)</f>
        <v>-3942.34</v>
      </c>
      <c r="P142" s="78">
        <f t="shared" ca="1" si="209"/>
        <v>0</v>
      </c>
      <c r="Q142" s="78">
        <f t="shared" ca="1" si="210"/>
        <v>-3.2099999999999997E-2</v>
      </c>
      <c r="R142" s="4">
        <f ca="1">SUMIFS(INDIRECT("Tab_00.Trial["&amp;R$4&amp;"]"),Tab_00.Trial[CONTA],$B142)</f>
        <v>-4064.84</v>
      </c>
      <c r="S142" s="78">
        <f t="shared" ca="1" si="211"/>
        <v>0</v>
      </c>
      <c r="T142" s="78">
        <f t="shared" ca="1" si="212"/>
        <v>-3.1099999999999999E-2</v>
      </c>
      <c r="U142" s="4">
        <f ca="1">SUMIFS(INDIRECT("Tab_00.Trial["&amp;U$4&amp;"]"),Tab_00.Trial[CONTA],$B142)</f>
        <v>-4187.04</v>
      </c>
      <c r="V142" s="78">
        <f t="shared" ca="1" si="213"/>
        <v>0</v>
      </c>
      <c r="W142" s="78">
        <f t="shared" ca="1" si="214"/>
        <v>-3.0099999999999998E-2</v>
      </c>
      <c r="X142" s="4">
        <f ca="1">SUMIFS(INDIRECT("Tab_00.Trial["&amp;X$4&amp;"]"),Tab_00.Trial[CONTA],$B142)</f>
        <v>-4309.24</v>
      </c>
      <c r="Y142" s="78">
        <f t="shared" ca="1" si="215"/>
        <v>-1E-4</v>
      </c>
      <c r="Z142" s="78">
        <f t="shared" ca="1" si="216"/>
        <v>-2.92E-2</v>
      </c>
      <c r="AA142" s="4">
        <f ca="1">SUMIFS(INDIRECT("Tab_00.Trial["&amp;AA$4&amp;"]"),Tab_00.Trial[CONTA],$B142)</f>
        <v>-4431.4399999999996</v>
      </c>
      <c r="AB142" s="78">
        <f t="shared" ca="1" si="217"/>
        <v>-1E-4</v>
      </c>
      <c r="AC142" s="78">
        <f t="shared" ca="1" si="218"/>
        <v>-2.8400000000000002E-2</v>
      </c>
      <c r="AD142" s="4">
        <f ca="1">SUMIFS(INDIRECT("Tab_00.Trial["&amp;AD$4&amp;"]"),Tab_00.Trial[CONTA],$B142)</f>
        <v>-4553.6400000000003</v>
      </c>
      <c r="AE142" s="78">
        <f t="shared" ca="1" si="219"/>
        <v>-1E-4</v>
      </c>
      <c r="AF142" s="78">
        <f t="shared" ca="1" si="220"/>
        <v>-2.76E-2</v>
      </c>
      <c r="AG142" s="4">
        <f ca="1">SUMIFS(INDIRECT("Tab_00.Trial["&amp;AG$4&amp;"]"),Tab_00.Trial[CONTA],$B142)</f>
        <v>-4675.84</v>
      </c>
      <c r="AH142" s="78">
        <f t="shared" ca="1" si="221"/>
        <v>-1E-4</v>
      </c>
      <c r="AI142" s="78">
        <f t="shared" ca="1" si="222"/>
        <v>-2.6800000000000001E-2</v>
      </c>
      <c r="AJ142" s="4">
        <f ca="1">SUMIFS(INDIRECT("Tab_00.Trial["&amp;AJ$4&amp;"]"),Tab_00.Trial[CONTA],$B142)</f>
        <v>-4675.84</v>
      </c>
      <c r="AK142" s="78">
        <f t="shared" ca="1" si="223"/>
        <v>-1E-4</v>
      </c>
      <c r="AL142" s="78">
        <f t="shared" ca="1" si="224"/>
        <v>0</v>
      </c>
      <c r="AM142" s="4">
        <f ca="1">SUMIFS(INDIRECT("Tab_00.Trial["&amp;AM$4&amp;"]"),Tab_00.Trial[CONTA],$B142)</f>
        <v>-4675.84</v>
      </c>
      <c r="AN142" s="78">
        <f t="shared" ca="1" si="225"/>
        <v>-1E-4</v>
      </c>
      <c r="AO142" s="78">
        <f t="shared" ca="1" si="226"/>
        <v>0</v>
      </c>
    </row>
    <row r="143" spans="2:42" ht="15" hidden="1" customHeight="1" outlineLevel="1" x14ac:dyDescent="0.3">
      <c r="B143" s="14" t="s">
        <v>323</v>
      </c>
      <c r="C143" s="15" t="s">
        <v>319</v>
      </c>
      <c r="D143" s="4">
        <f>SUMIFS(Tab_99.Trial[DEZEMBRO],Tab_99.Trial[CONTA],$B143)</f>
        <v>0</v>
      </c>
      <c r="E143" s="78">
        <f t="shared" si="202"/>
        <v>0</v>
      </c>
      <c r="F143" s="4">
        <f ca="1">SUMIFS(INDIRECT("Tab_00.Trial["&amp;F$4&amp;"]"),Tab_00.Trial[CONTA],$B143)</f>
        <v>-128697.03</v>
      </c>
      <c r="G143" s="78">
        <f t="shared" ca="1" si="203"/>
        <v>-1.5E-3</v>
      </c>
      <c r="H143" s="78">
        <f t="shared" ca="1" si="204"/>
        <v>0</v>
      </c>
      <c r="I143" s="4">
        <f ca="1">SUMIFS(INDIRECT("Tab_00.Trial["&amp;I$4&amp;"]"),Tab_00.Trial[CONTA],$B143)</f>
        <v>-128697.03</v>
      </c>
      <c r="J143" s="78">
        <f t="shared" ca="1" si="205"/>
        <v>-1.5E-3</v>
      </c>
      <c r="K143" s="78">
        <f t="shared" ca="1" si="206"/>
        <v>0</v>
      </c>
      <c r="L143" s="4">
        <f ca="1">SUMIFS(INDIRECT("Tab_00.Trial["&amp;L$4&amp;"]"),Tab_00.Trial[CONTA],$B143)</f>
        <v>-128697.03</v>
      </c>
      <c r="M143" s="78">
        <f t="shared" ca="1" si="207"/>
        <v>-1.5E-3</v>
      </c>
      <c r="N143" s="78">
        <f t="shared" ca="1" si="208"/>
        <v>0</v>
      </c>
      <c r="O143" s="4">
        <f ca="1">SUMIFS(INDIRECT("Tab_00.Trial["&amp;O$4&amp;"]"),Tab_00.Trial[CONTA],$B143)</f>
        <v>-128697.03</v>
      </c>
      <c r="P143" s="78">
        <f t="shared" ca="1" si="209"/>
        <v>-1.5E-3</v>
      </c>
      <c r="Q143" s="78">
        <f t="shared" ca="1" si="210"/>
        <v>0</v>
      </c>
      <c r="R143" s="4">
        <f ca="1">SUMIFS(INDIRECT("Tab_00.Trial["&amp;R$4&amp;"]"),Tab_00.Trial[CONTA],$B143)</f>
        <v>-128697.03</v>
      </c>
      <c r="S143" s="78">
        <f t="shared" ca="1" si="211"/>
        <v>-1.5E-3</v>
      </c>
      <c r="T143" s="78">
        <f t="shared" ca="1" si="212"/>
        <v>0</v>
      </c>
      <c r="U143" s="4">
        <f ca="1">SUMIFS(INDIRECT("Tab_00.Trial["&amp;U$4&amp;"]"),Tab_00.Trial[CONTA],$B143)</f>
        <v>-128697.03</v>
      </c>
      <c r="V143" s="78">
        <f t="shared" ca="1" si="213"/>
        <v>-1.5E-3</v>
      </c>
      <c r="W143" s="78">
        <f t="shared" ca="1" si="214"/>
        <v>0</v>
      </c>
      <c r="X143" s="4">
        <f ca="1">SUMIFS(INDIRECT("Tab_00.Trial["&amp;X$4&amp;"]"),Tab_00.Trial[CONTA],$B143)</f>
        <v>-128697.03</v>
      </c>
      <c r="Y143" s="78">
        <f t="shared" ca="1" si="215"/>
        <v>-1.5E-3</v>
      </c>
      <c r="Z143" s="78">
        <f t="shared" ca="1" si="216"/>
        <v>0</v>
      </c>
      <c r="AA143" s="4">
        <f ca="1">SUMIFS(INDIRECT("Tab_00.Trial["&amp;AA$4&amp;"]"),Tab_00.Trial[CONTA],$B143)</f>
        <v>-128697.03</v>
      </c>
      <c r="AB143" s="78">
        <f t="shared" ca="1" si="217"/>
        <v>-1.5E-3</v>
      </c>
      <c r="AC143" s="78">
        <f t="shared" ca="1" si="218"/>
        <v>0</v>
      </c>
      <c r="AD143" s="4">
        <f ca="1">SUMIFS(INDIRECT("Tab_00.Trial["&amp;AD$4&amp;"]"),Tab_00.Trial[CONTA],$B143)</f>
        <v>-128697.03</v>
      </c>
      <c r="AE143" s="78">
        <f t="shared" ca="1" si="219"/>
        <v>-1.5E-3</v>
      </c>
      <c r="AF143" s="78">
        <f t="shared" ca="1" si="220"/>
        <v>0</v>
      </c>
      <c r="AG143" s="4">
        <f ca="1">SUMIFS(INDIRECT("Tab_00.Trial["&amp;AG$4&amp;"]"),Tab_00.Trial[CONTA],$B143)</f>
        <v>-128697.03</v>
      </c>
      <c r="AH143" s="78">
        <f t="shared" ca="1" si="221"/>
        <v>-1.5E-3</v>
      </c>
      <c r="AI143" s="78">
        <f t="shared" ca="1" si="222"/>
        <v>0</v>
      </c>
      <c r="AJ143" s="4">
        <f ca="1">SUMIFS(INDIRECT("Tab_00.Trial["&amp;AJ$4&amp;"]"),Tab_00.Trial[CONTA],$B143)</f>
        <v>-128819.23</v>
      </c>
      <c r="AK143" s="78">
        <f t="shared" ca="1" si="223"/>
        <v>-1.5E-3</v>
      </c>
      <c r="AL143" s="78">
        <f t="shared" ca="1" si="224"/>
        <v>-8.9999999999999998E-4</v>
      </c>
      <c r="AM143" s="4">
        <f ca="1">SUMIFS(INDIRECT("Tab_00.Trial["&amp;AM$4&amp;"]"),Tab_00.Trial[CONTA],$B143)</f>
        <v>-128941.43</v>
      </c>
      <c r="AN143" s="78">
        <f t="shared" ca="1" si="225"/>
        <v>-1.5E-3</v>
      </c>
      <c r="AO143" s="78">
        <f t="shared" ca="1" si="226"/>
        <v>-8.9999999999999998E-4</v>
      </c>
    </row>
    <row r="144" spans="2:42" ht="15" hidden="1" customHeight="1" outlineLevel="1" x14ac:dyDescent="0.3">
      <c r="B144" s="14" t="s">
        <v>324</v>
      </c>
      <c r="C144" s="15" t="s">
        <v>320</v>
      </c>
      <c r="D144" s="4">
        <f>SUMIFS(Tab_99.Trial[DEZEMBRO],Tab_99.Trial[CONTA],$B144)</f>
        <v>0</v>
      </c>
      <c r="E144" s="78">
        <f t="shared" si="202"/>
        <v>0</v>
      </c>
      <c r="F144" s="4">
        <f ca="1">SUMIFS(INDIRECT("Tab_00.Trial["&amp;F$4&amp;"]"),Tab_00.Trial[CONTA],$B144)</f>
        <v>-15029.74</v>
      </c>
      <c r="G144" s="78">
        <f t="shared" ca="1" si="203"/>
        <v>-2.0000000000000001E-4</v>
      </c>
      <c r="H144" s="78">
        <f t="shared" ca="1" si="204"/>
        <v>0</v>
      </c>
      <c r="I144" s="4">
        <f ca="1">SUMIFS(INDIRECT("Tab_00.Trial["&amp;I$4&amp;"]"),Tab_00.Trial[CONTA],$B144)</f>
        <v>-15029.74</v>
      </c>
      <c r="J144" s="78">
        <f t="shared" ca="1" si="205"/>
        <v>-2.0000000000000001E-4</v>
      </c>
      <c r="K144" s="78">
        <f t="shared" ca="1" si="206"/>
        <v>0</v>
      </c>
      <c r="L144" s="4">
        <f ca="1">SUMIFS(INDIRECT("Tab_00.Trial["&amp;L$4&amp;"]"),Tab_00.Trial[CONTA],$B144)</f>
        <v>-15029.74</v>
      </c>
      <c r="M144" s="78">
        <f t="shared" ca="1" si="207"/>
        <v>-2.0000000000000001E-4</v>
      </c>
      <c r="N144" s="78">
        <f t="shared" ca="1" si="208"/>
        <v>0</v>
      </c>
      <c r="O144" s="4">
        <f ca="1">SUMIFS(INDIRECT("Tab_00.Trial["&amp;O$4&amp;"]"),Tab_00.Trial[CONTA],$B144)</f>
        <v>-15029.74</v>
      </c>
      <c r="P144" s="78">
        <f t="shared" ca="1" si="209"/>
        <v>-2.0000000000000001E-4</v>
      </c>
      <c r="Q144" s="78">
        <f t="shared" ca="1" si="210"/>
        <v>0</v>
      </c>
      <c r="R144" s="4">
        <f ca="1">SUMIFS(INDIRECT("Tab_00.Trial["&amp;R$4&amp;"]"),Tab_00.Trial[CONTA],$B144)</f>
        <v>-15029.74</v>
      </c>
      <c r="S144" s="78">
        <f t="shared" ca="1" si="211"/>
        <v>-2.0000000000000001E-4</v>
      </c>
      <c r="T144" s="78">
        <f t="shared" ca="1" si="212"/>
        <v>0</v>
      </c>
      <c r="U144" s="4">
        <f ca="1">SUMIFS(INDIRECT("Tab_00.Trial["&amp;U$4&amp;"]"),Tab_00.Trial[CONTA],$B144)</f>
        <v>-15029.74</v>
      </c>
      <c r="V144" s="78">
        <f t="shared" ca="1" si="213"/>
        <v>-2.0000000000000001E-4</v>
      </c>
      <c r="W144" s="78">
        <f t="shared" ca="1" si="214"/>
        <v>0</v>
      </c>
      <c r="X144" s="4">
        <f ca="1">SUMIFS(INDIRECT("Tab_00.Trial["&amp;X$4&amp;"]"),Tab_00.Trial[CONTA],$B144)</f>
        <v>-15029.74</v>
      </c>
      <c r="Y144" s="78">
        <f t="shared" ca="1" si="215"/>
        <v>-2.0000000000000001E-4</v>
      </c>
      <c r="Z144" s="78">
        <f t="shared" ca="1" si="216"/>
        <v>0</v>
      </c>
      <c r="AA144" s="4">
        <f ca="1">SUMIFS(INDIRECT("Tab_00.Trial["&amp;AA$4&amp;"]"),Tab_00.Trial[CONTA],$B144)</f>
        <v>-15029.74</v>
      </c>
      <c r="AB144" s="78">
        <f t="shared" ca="1" si="217"/>
        <v>-2.0000000000000001E-4</v>
      </c>
      <c r="AC144" s="78">
        <f t="shared" ca="1" si="218"/>
        <v>0</v>
      </c>
      <c r="AD144" s="4">
        <f ca="1">SUMIFS(INDIRECT("Tab_00.Trial["&amp;AD$4&amp;"]"),Tab_00.Trial[CONTA],$B144)</f>
        <v>-15029.74</v>
      </c>
      <c r="AE144" s="78">
        <f t="shared" ca="1" si="219"/>
        <v>-2.0000000000000001E-4</v>
      </c>
      <c r="AF144" s="78">
        <f t="shared" ca="1" si="220"/>
        <v>0</v>
      </c>
      <c r="AG144" s="4">
        <f ca="1">SUMIFS(INDIRECT("Tab_00.Trial["&amp;AG$4&amp;"]"),Tab_00.Trial[CONTA],$B144)</f>
        <v>-15029.74</v>
      </c>
      <c r="AH144" s="78">
        <f t="shared" ca="1" si="221"/>
        <v>-2.0000000000000001E-4</v>
      </c>
      <c r="AI144" s="78">
        <f t="shared" ca="1" si="222"/>
        <v>0</v>
      </c>
      <c r="AJ144" s="4">
        <f ca="1">SUMIFS(INDIRECT("Tab_00.Trial["&amp;AJ$4&amp;"]"),Tab_00.Trial[CONTA],$B144)</f>
        <v>-15029.74</v>
      </c>
      <c r="AK144" s="78">
        <f t="shared" ca="1" si="223"/>
        <v>-2.0000000000000001E-4</v>
      </c>
      <c r="AL144" s="78">
        <f t="shared" ca="1" si="224"/>
        <v>0</v>
      </c>
      <c r="AM144" s="4">
        <f ca="1">SUMIFS(INDIRECT("Tab_00.Trial["&amp;AM$4&amp;"]"),Tab_00.Trial[CONTA],$B144)</f>
        <v>-15029.74</v>
      </c>
      <c r="AN144" s="78">
        <f t="shared" ca="1" si="225"/>
        <v>-2.0000000000000001E-4</v>
      </c>
      <c r="AO144" s="78">
        <f t="shared" ca="1" si="226"/>
        <v>0</v>
      </c>
    </row>
    <row r="145" spans="2:41" ht="15" hidden="1" customHeight="1" outlineLevel="1" x14ac:dyDescent="0.3">
      <c r="B145" s="14" t="s">
        <v>325</v>
      </c>
      <c r="C145" s="15" t="s">
        <v>322</v>
      </c>
      <c r="D145" s="4">
        <f>SUMIFS(Tab_99.Trial[DEZEMBRO],Tab_99.Trial[CONTA],$B145)</f>
        <v>0</v>
      </c>
      <c r="E145" s="78">
        <f t="shared" si="202"/>
        <v>0</v>
      </c>
      <c r="F145" s="4">
        <f ca="1">SUMIFS(INDIRECT("Tab_00.Trial["&amp;F$4&amp;"]"),Tab_00.Trial[CONTA],$B145)</f>
        <v>-113681.71</v>
      </c>
      <c r="G145" s="78">
        <f t="shared" ca="1" si="203"/>
        <v>-1.4E-3</v>
      </c>
      <c r="H145" s="78">
        <f t="shared" ca="1" si="204"/>
        <v>0</v>
      </c>
      <c r="I145" s="4">
        <f ca="1">SUMIFS(INDIRECT("Tab_00.Trial["&amp;I$4&amp;"]"),Tab_00.Trial[CONTA],$B145)</f>
        <v>-113931.71</v>
      </c>
      <c r="J145" s="78">
        <f t="shared" ca="1" si="205"/>
        <v>-1.4E-3</v>
      </c>
      <c r="K145" s="78">
        <f t="shared" ca="1" si="206"/>
        <v>-2.2000000000000001E-3</v>
      </c>
      <c r="L145" s="4">
        <f ca="1">SUMIFS(INDIRECT("Tab_00.Trial["&amp;L$4&amp;"]"),Tab_00.Trial[CONTA],$B145)</f>
        <v>-114181.71</v>
      </c>
      <c r="M145" s="78">
        <f t="shared" ca="1" si="207"/>
        <v>-1.4E-3</v>
      </c>
      <c r="N145" s="78">
        <f t="shared" ca="1" si="208"/>
        <v>-2.2000000000000001E-3</v>
      </c>
      <c r="O145" s="4">
        <f ca="1">SUMIFS(INDIRECT("Tab_00.Trial["&amp;O$4&amp;"]"),Tab_00.Trial[CONTA],$B145)</f>
        <v>-114431.71</v>
      </c>
      <c r="P145" s="78">
        <f t="shared" ca="1" si="209"/>
        <v>-1.4E-3</v>
      </c>
      <c r="Q145" s="78">
        <f t="shared" ca="1" si="210"/>
        <v>-2.2000000000000001E-3</v>
      </c>
      <c r="R145" s="4">
        <f ca="1">SUMIFS(INDIRECT("Tab_00.Trial["&amp;R$4&amp;"]"),Tab_00.Trial[CONTA],$B145)</f>
        <v>-114681.71</v>
      </c>
      <c r="S145" s="78">
        <f t="shared" ca="1" si="211"/>
        <v>-1.4E-3</v>
      </c>
      <c r="T145" s="78">
        <f t="shared" ca="1" si="212"/>
        <v>-2.2000000000000001E-3</v>
      </c>
      <c r="U145" s="4">
        <f ca="1">SUMIFS(INDIRECT("Tab_00.Trial["&amp;U$4&amp;"]"),Tab_00.Trial[CONTA],$B145)</f>
        <v>-114931.71</v>
      </c>
      <c r="V145" s="78">
        <f t="shared" ca="1" si="213"/>
        <v>-1.4E-3</v>
      </c>
      <c r="W145" s="78">
        <f t="shared" ca="1" si="214"/>
        <v>-2.2000000000000001E-3</v>
      </c>
      <c r="X145" s="4">
        <f ca="1">SUMIFS(INDIRECT("Tab_00.Trial["&amp;X$4&amp;"]"),Tab_00.Trial[CONTA],$B145)</f>
        <v>-115181.71</v>
      </c>
      <c r="Y145" s="78">
        <f t="shared" ca="1" si="215"/>
        <v>-1.4E-3</v>
      </c>
      <c r="Z145" s="78">
        <f t="shared" ca="1" si="216"/>
        <v>-2.2000000000000001E-3</v>
      </c>
      <c r="AA145" s="4">
        <f ca="1">SUMIFS(INDIRECT("Tab_00.Trial["&amp;AA$4&amp;"]"),Tab_00.Trial[CONTA],$B145)</f>
        <v>-115431.71</v>
      </c>
      <c r="AB145" s="78">
        <f t="shared" ca="1" si="217"/>
        <v>-1.4E-3</v>
      </c>
      <c r="AC145" s="78">
        <f t="shared" ca="1" si="218"/>
        <v>-2.2000000000000001E-3</v>
      </c>
      <c r="AD145" s="4">
        <f ca="1">SUMIFS(INDIRECT("Tab_00.Trial["&amp;AD$4&amp;"]"),Tab_00.Trial[CONTA],$B145)</f>
        <v>-115681.71</v>
      </c>
      <c r="AE145" s="78">
        <f t="shared" ca="1" si="219"/>
        <v>-1.4E-3</v>
      </c>
      <c r="AF145" s="78">
        <f t="shared" ca="1" si="220"/>
        <v>-2.2000000000000001E-3</v>
      </c>
      <c r="AG145" s="4">
        <f ca="1">SUMIFS(INDIRECT("Tab_00.Trial["&amp;AG$4&amp;"]"),Tab_00.Trial[CONTA],$B145)</f>
        <v>-115931.71</v>
      </c>
      <c r="AH145" s="78">
        <f t="shared" ca="1" si="221"/>
        <v>-1.4E-3</v>
      </c>
      <c r="AI145" s="78">
        <f t="shared" ca="1" si="222"/>
        <v>-2.2000000000000001E-3</v>
      </c>
      <c r="AJ145" s="4">
        <f ca="1">SUMIFS(INDIRECT("Tab_00.Trial["&amp;AJ$4&amp;"]"),Tab_00.Trial[CONTA],$B145)</f>
        <v>-116181.71</v>
      </c>
      <c r="AK145" s="78">
        <f t="shared" ca="1" si="223"/>
        <v>-1.4E-3</v>
      </c>
      <c r="AL145" s="78">
        <f t="shared" ca="1" si="224"/>
        <v>-2.2000000000000001E-3</v>
      </c>
      <c r="AM145" s="4">
        <f ca="1">SUMIFS(INDIRECT("Tab_00.Trial["&amp;AM$4&amp;"]"),Tab_00.Trial[CONTA],$B145)</f>
        <v>-116431.71</v>
      </c>
      <c r="AN145" s="78">
        <f t="shared" ca="1" si="225"/>
        <v>-1.4E-3</v>
      </c>
      <c r="AO145" s="78">
        <f t="shared" ca="1" si="226"/>
        <v>-2.2000000000000001E-3</v>
      </c>
    </row>
    <row r="146" spans="2:41" ht="15" hidden="1" customHeight="1" outlineLevel="1" x14ac:dyDescent="0.3">
      <c r="B146" s="14" t="s">
        <v>851</v>
      </c>
      <c r="C146" s="15" t="s">
        <v>832</v>
      </c>
      <c r="D146" s="4">
        <f>SUMIFS(Tab_99.Trial[DEZEMBRO],Tab_99.Trial[CONTA],$B146)</f>
        <v>0</v>
      </c>
      <c r="E146" s="78">
        <f t="shared" si="202"/>
        <v>0</v>
      </c>
      <c r="F146" s="4">
        <f ca="1">SUMIFS(INDIRECT("Tab_00.Trial["&amp;F$4&amp;"]"),Tab_00.Trial[CONTA],$B146)</f>
        <v>0</v>
      </c>
      <c r="G146" s="78">
        <f t="shared" ca="1" si="203"/>
        <v>0</v>
      </c>
      <c r="H146" s="78">
        <f t="shared" ca="1" si="204"/>
        <v>0</v>
      </c>
      <c r="I146" s="4">
        <f ca="1">SUMIFS(INDIRECT("Tab_00.Trial["&amp;I$4&amp;"]"),Tab_00.Trial[CONTA],$B146)</f>
        <v>0</v>
      </c>
      <c r="J146" s="78">
        <f t="shared" ca="1" si="205"/>
        <v>0</v>
      </c>
      <c r="K146" s="78">
        <f t="shared" ca="1" si="206"/>
        <v>0</v>
      </c>
      <c r="L146" s="4">
        <f ca="1">SUMIFS(INDIRECT("Tab_00.Trial["&amp;L$4&amp;"]"),Tab_00.Trial[CONTA],$B146)</f>
        <v>0</v>
      </c>
      <c r="M146" s="78">
        <f t="shared" ca="1" si="207"/>
        <v>0</v>
      </c>
      <c r="N146" s="78">
        <f t="shared" ca="1" si="208"/>
        <v>0</v>
      </c>
      <c r="O146" s="4">
        <f ca="1">SUMIFS(INDIRECT("Tab_00.Trial["&amp;O$4&amp;"]"),Tab_00.Trial[CONTA],$B146)</f>
        <v>0</v>
      </c>
      <c r="P146" s="78">
        <f t="shared" ca="1" si="209"/>
        <v>0</v>
      </c>
      <c r="Q146" s="78">
        <f t="shared" ca="1" si="210"/>
        <v>0</v>
      </c>
      <c r="R146" s="4">
        <f ca="1">SUMIFS(INDIRECT("Tab_00.Trial["&amp;R$4&amp;"]"),Tab_00.Trial[CONTA],$B146)</f>
        <v>0</v>
      </c>
      <c r="S146" s="78">
        <f t="shared" ca="1" si="211"/>
        <v>0</v>
      </c>
      <c r="T146" s="78">
        <f t="shared" ca="1" si="212"/>
        <v>0</v>
      </c>
      <c r="U146" s="4">
        <f ca="1">SUMIFS(INDIRECT("Tab_00.Trial["&amp;U$4&amp;"]"),Tab_00.Trial[CONTA],$B146)</f>
        <v>0</v>
      </c>
      <c r="V146" s="78">
        <f t="shared" ca="1" si="213"/>
        <v>0</v>
      </c>
      <c r="W146" s="78">
        <f t="shared" ca="1" si="214"/>
        <v>0</v>
      </c>
      <c r="X146" s="4">
        <f ca="1">SUMIFS(INDIRECT("Tab_00.Trial["&amp;X$4&amp;"]"),Tab_00.Trial[CONTA],$B146)</f>
        <v>0</v>
      </c>
      <c r="Y146" s="78">
        <f t="shared" ca="1" si="215"/>
        <v>0</v>
      </c>
      <c r="Z146" s="78">
        <f t="shared" ca="1" si="216"/>
        <v>0</v>
      </c>
      <c r="AA146" s="4">
        <f ca="1">SUMIFS(INDIRECT("Tab_00.Trial["&amp;AA$4&amp;"]"),Tab_00.Trial[CONTA],$B146)</f>
        <v>0</v>
      </c>
      <c r="AB146" s="78">
        <f t="shared" ca="1" si="217"/>
        <v>0</v>
      </c>
      <c r="AC146" s="78">
        <f t="shared" ca="1" si="218"/>
        <v>0</v>
      </c>
      <c r="AD146" s="4">
        <f ca="1">SUMIFS(INDIRECT("Tab_00.Trial["&amp;AD$4&amp;"]"),Tab_00.Trial[CONTA],$B146)</f>
        <v>0</v>
      </c>
      <c r="AE146" s="78">
        <f t="shared" ca="1" si="219"/>
        <v>0</v>
      </c>
      <c r="AF146" s="78">
        <f t="shared" ca="1" si="220"/>
        <v>0</v>
      </c>
      <c r="AG146" s="4">
        <f ca="1">SUMIFS(INDIRECT("Tab_00.Trial["&amp;AG$4&amp;"]"),Tab_00.Trial[CONTA],$B146)</f>
        <v>0</v>
      </c>
      <c r="AH146" s="78">
        <f t="shared" ca="1" si="221"/>
        <v>0</v>
      </c>
      <c r="AI146" s="78">
        <f t="shared" ca="1" si="222"/>
        <v>0</v>
      </c>
      <c r="AJ146" s="4">
        <f ca="1">SUMIFS(INDIRECT("Tab_00.Trial["&amp;AJ$4&amp;"]"),Tab_00.Trial[CONTA],$B146)</f>
        <v>0</v>
      </c>
      <c r="AK146" s="78">
        <f t="shared" ca="1" si="223"/>
        <v>0</v>
      </c>
      <c r="AL146" s="78">
        <f t="shared" ca="1" si="224"/>
        <v>0</v>
      </c>
      <c r="AM146" s="4">
        <f ca="1">SUMIFS(INDIRECT("Tab_00.Trial["&amp;AM$4&amp;"]"),Tab_00.Trial[CONTA],$B146)</f>
        <v>0</v>
      </c>
      <c r="AN146" s="78">
        <f t="shared" ref="AN146" ca="1" si="227">IFERROR(AM146/AM$160,0)</f>
        <v>0</v>
      </c>
      <c r="AO146" s="78">
        <f t="shared" ca="1" si="226"/>
        <v>0</v>
      </c>
    </row>
    <row r="147" spans="2:41" ht="15" hidden="1" customHeight="1" outlineLevel="1" x14ac:dyDescent="0.3">
      <c r="B147" s="14"/>
      <c r="C147" s="15"/>
      <c r="D147" s="4">
        <f>SUMIFS(Tab_99.Trial[DEZEMBRO],Tab_99.Trial[CONTA],$B147)</f>
        <v>0</v>
      </c>
      <c r="E147" s="78">
        <f t="shared" si="202"/>
        <v>0</v>
      </c>
      <c r="F147" s="4">
        <f ca="1">SUMIFS(INDIRECT("Tab_00.Trial["&amp;F$4&amp;"]"),Tab_00.Trial[CONTA],$B147)</f>
        <v>0</v>
      </c>
      <c r="G147" s="78">
        <f t="shared" ca="1" si="203"/>
        <v>0</v>
      </c>
      <c r="H147" s="78">
        <f t="shared" ca="1" si="204"/>
        <v>0</v>
      </c>
      <c r="I147" s="4">
        <f ca="1">SUMIFS(INDIRECT("Tab_00.Trial["&amp;I$4&amp;"]"),Tab_00.Trial[CONTA],$B147)</f>
        <v>0</v>
      </c>
      <c r="J147" s="78">
        <f t="shared" ca="1" si="205"/>
        <v>0</v>
      </c>
      <c r="K147" s="78">
        <f t="shared" ca="1" si="206"/>
        <v>0</v>
      </c>
      <c r="L147" s="4">
        <f ca="1">SUMIFS(INDIRECT("Tab_00.Trial["&amp;L$4&amp;"]"),Tab_00.Trial[CONTA],$B147)</f>
        <v>0</v>
      </c>
      <c r="M147" s="78">
        <f t="shared" ca="1" si="207"/>
        <v>0</v>
      </c>
      <c r="N147" s="78">
        <f t="shared" ca="1" si="208"/>
        <v>0</v>
      </c>
      <c r="O147" s="4">
        <f ca="1">SUMIFS(INDIRECT("Tab_00.Trial["&amp;O$4&amp;"]"),Tab_00.Trial[CONTA],$B147)</f>
        <v>0</v>
      </c>
      <c r="P147" s="78">
        <f t="shared" ca="1" si="209"/>
        <v>0</v>
      </c>
      <c r="Q147" s="78">
        <f t="shared" ca="1" si="210"/>
        <v>0</v>
      </c>
      <c r="R147" s="4">
        <f ca="1">SUMIFS(INDIRECT("Tab_00.Trial["&amp;R$4&amp;"]"),Tab_00.Trial[CONTA],$B147)</f>
        <v>0</v>
      </c>
      <c r="S147" s="78">
        <f t="shared" ca="1" si="211"/>
        <v>0</v>
      </c>
      <c r="T147" s="78">
        <f t="shared" ca="1" si="212"/>
        <v>0</v>
      </c>
      <c r="U147" s="4">
        <f ca="1">SUMIFS(INDIRECT("Tab_00.Trial["&amp;U$4&amp;"]"),Tab_00.Trial[CONTA],$B147)</f>
        <v>0</v>
      </c>
      <c r="V147" s="78">
        <f t="shared" ca="1" si="213"/>
        <v>0</v>
      </c>
      <c r="W147" s="78">
        <f t="shared" ca="1" si="214"/>
        <v>0</v>
      </c>
      <c r="X147" s="4">
        <f ca="1">SUMIFS(INDIRECT("Tab_00.Trial["&amp;X$4&amp;"]"),Tab_00.Trial[CONTA],$B147)</f>
        <v>0</v>
      </c>
      <c r="Y147" s="78">
        <f t="shared" ca="1" si="215"/>
        <v>0</v>
      </c>
      <c r="Z147" s="78">
        <f t="shared" ca="1" si="216"/>
        <v>0</v>
      </c>
      <c r="AA147" s="4">
        <f ca="1">SUMIFS(INDIRECT("Tab_00.Trial["&amp;AA$4&amp;"]"),Tab_00.Trial[CONTA],$B147)</f>
        <v>0</v>
      </c>
      <c r="AB147" s="78">
        <f t="shared" ca="1" si="217"/>
        <v>0</v>
      </c>
      <c r="AC147" s="78">
        <f t="shared" ca="1" si="218"/>
        <v>0</v>
      </c>
      <c r="AD147" s="4">
        <f ca="1">SUMIFS(INDIRECT("Tab_00.Trial["&amp;AD$4&amp;"]"),Tab_00.Trial[CONTA],$B147)</f>
        <v>0</v>
      </c>
      <c r="AE147" s="78">
        <f t="shared" ca="1" si="219"/>
        <v>0</v>
      </c>
      <c r="AF147" s="78">
        <f t="shared" ca="1" si="220"/>
        <v>0</v>
      </c>
      <c r="AG147" s="4">
        <f ca="1">SUMIFS(INDIRECT("Tab_00.Trial["&amp;AG$4&amp;"]"),Tab_00.Trial[CONTA],$B147)</f>
        <v>0</v>
      </c>
      <c r="AH147" s="78">
        <f t="shared" ca="1" si="221"/>
        <v>0</v>
      </c>
      <c r="AI147" s="78">
        <f t="shared" ca="1" si="222"/>
        <v>0</v>
      </c>
      <c r="AJ147" s="4">
        <f ca="1">SUMIFS(INDIRECT("Tab_00.Trial["&amp;AJ$4&amp;"]"),Tab_00.Trial[CONTA],$B147)</f>
        <v>0</v>
      </c>
      <c r="AK147" s="78">
        <f t="shared" ca="1" si="223"/>
        <v>0</v>
      </c>
      <c r="AL147" s="78">
        <f t="shared" ca="1" si="224"/>
        <v>0</v>
      </c>
      <c r="AM147" s="4">
        <f ca="1">SUMIFS(INDIRECT("Tab_00.Trial["&amp;AM$4&amp;"]"),Tab_00.Trial[CONTA],$B147)</f>
        <v>0</v>
      </c>
      <c r="AN147" s="78">
        <f t="shared" ca="1" si="225"/>
        <v>0</v>
      </c>
      <c r="AO147" s="78">
        <f t="shared" ca="1" si="226"/>
        <v>0</v>
      </c>
    </row>
    <row r="148" spans="2:41" ht="15" hidden="1" customHeight="1" outlineLevel="1" x14ac:dyDescent="0.3">
      <c r="B148" s="14"/>
      <c r="C148" s="15"/>
      <c r="AN148" s="78"/>
      <c r="AO148" s="78"/>
    </row>
    <row r="149" spans="2:41" ht="15" hidden="1" customHeight="1" outlineLevel="1" x14ac:dyDescent="0.3">
      <c r="B149" s="14"/>
      <c r="C149" s="15"/>
      <c r="AN149" s="78"/>
      <c r="AO149" s="78"/>
    </row>
    <row r="150" spans="2:41" ht="15" hidden="1" customHeight="1" outlineLevel="1" x14ac:dyDescent="0.3">
      <c r="B150" s="14"/>
      <c r="C150" s="15"/>
      <c r="AN150" s="78"/>
      <c r="AO150" s="78"/>
    </row>
    <row r="151" spans="2:41" ht="5.0999999999999996" hidden="1" customHeight="1" outlineLevel="1" x14ac:dyDescent="0.3">
      <c r="B151" s="74"/>
      <c r="C151" s="75"/>
      <c r="D151" s="76"/>
      <c r="E151" s="77"/>
      <c r="F151" s="76"/>
      <c r="G151" s="77"/>
      <c r="H151" s="77"/>
      <c r="I151" s="76"/>
      <c r="J151" s="77"/>
      <c r="K151" s="77"/>
      <c r="L151" s="76"/>
      <c r="M151" s="77"/>
      <c r="N151" s="77"/>
      <c r="O151" s="76"/>
      <c r="P151" s="77"/>
      <c r="Q151" s="77"/>
      <c r="R151" s="76"/>
      <c r="S151" s="77"/>
      <c r="T151" s="77"/>
      <c r="U151" s="76"/>
      <c r="V151" s="77"/>
      <c r="W151" s="77"/>
      <c r="X151" s="76"/>
      <c r="Y151" s="77"/>
      <c r="Z151" s="77"/>
      <c r="AA151" s="76"/>
      <c r="AB151" s="77"/>
      <c r="AC151" s="77"/>
      <c r="AD151" s="76"/>
      <c r="AE151" s="77"/>
      <c r="AF151" s="77"/>
      <c r="AG151" s="76"/>
      <c r="AH151" s="77"/>
      <c r="AI151" s="77"/>
      <c r="AJ151" s="76"/>
      <c r="AK151" s="77"/>
      <c r="AL151" s="77"/>
      <c r="AM151" s="76"/>
      <c r="AN151" s="77"/>
      <c r="AO151" s="77"/>
    </row>
    <row r="152" spans="2:41" ht="15" customHeight="1" collapsed="1" x14ac:dyDescent="0.3">
      <c r="B152" s="3" t="s">
        <v>143</v>
      </c>
      <c r="C152" s="14" t="s">
        <v>246</v>
      </c>
      <c r="D152" s="4">
        <f>SUBTOTAL(9,D$153:D$157)</f>
        <v>0</v>
      </c>
      <c r="E152" s="78">
        <v>6.0000000000000001E-3</v>
      </c>
      <c r="F152" s="4">
        <f ca="1">SUBTOTAL(9,F$153:F$157)</f>
        <v>0</v>
      </c>
      <c r="G152" s="78">
        <v>6.7000000000000002E-3</v>
      </c>
      <c r="H152" s="78">
        <v>-5.0999999999999997E-2</v>
      </c>
      <c r="I152" s="4">
        <f ca="1">SUBTOTAL(9,I$153:I$157)</f>
        <v>0</v>
      </c>
      <c r="J152" s="78">
        <v>7.0000000000000001E-3</v>
      </c>
      <c r="K152" s="78">
        <v>-2.5000000000000001E-3</v>
      </c>
      <c r="L152" s="4">
        <f ca="1">SUBTOTAL(9,L$153:L$157)</f>
        <v>0</v>
      </c>
      <c r="M152" s="78">
        <v>7.0000000000000001E-3</v>
      </c>
      <c r="N152" s="78">
        <v>-2.5000000000000001E-3</v>
      </c>
      <c r="O152" s="4">
        <f ca="1">SUBTOTAL(9,O$153:O$157)</f>
        <v>0</v>
      </c>
      <c r="P152" s="78">
        <v>7.1000000000000004E-3</v>
      </c>
      <c r="Q152" s="78">
        <v>-2.0999999999999999E-3</v>
      </c>
      <c r="R152" s="4">
        <f ca="1">SUBTOTAL(9,R$153:R$157)</f>
        <v>0</v>
      </c>
      <c r="S152" s="78">
        <v>6.0000000000000001E-3</v>
      </c>
      <c r="T152" s="78">
        <v>-5.9999999999999995E-4</v>
      </c>
      <c r="U152" s="4">
        <f ca="1">SUBTOTAL(9,U$153:U$157)</f>
        <v>0</v>
      </c>
      <c r="V152" s="78">
        <v>6.1000000000000004E-3</v>
      </c>
      <c r="W152" s="78">
        <v>8.6E-3</v>
      </c>
      <c r="X152" s="4">
        <f ca="1">SUBTOTAL(9,X$153:X$157)</f>
        <v>0</v>
      </c>
      <c r="Y152" s="78">
        <v>6.0000000000000001E-3</v>
      </c>
      <c r="Z152" s="78">
        <v>-8.9999999999999998E-4</v>
      </c>
      <c r="AA152" s="4">
        <f ca="1">SUBTOTAL(9,AA$153:AA$157)</f>
        <v>0</v>
      </c>
      <c r="AB152" s="78">
        <v>5.8999999999999999E-3</v>
      </c>
      <c r="AC152" s="78">
        <v>-5.9999999999999995E-4</v>
      </c>
      <c r="AD152" s="4">
        <f ca="1">SUBTOTAL(9,AD$153:AD$157)</f>
        <v>0</v>
      </c>
      <c r="AE152" s="78">
        <v>6.1000000000000004E-3</v>
      </c>
      <c r="AF152" s="78">
        <v>2.2100000000000002E-2</v>
      </c>
      <c r="AG152" s="4">
        <f ca="1">SUBTOTAL(9,AG$153:AG$157)</f>
        <v>0</v>
      </c>
      <c r="AH152" s="78">
        <v>5.8999999999999999E-3</v>
      </c>
      <c r="AI152" s="78">
        <v>6.8999999999999999E-3</v>
      </c>
      <c r="AJ152" s="4">
        <f ca="1">SUBTOTAL(9,AJ$153:AJ$157)</f>
        <v>0</v>
      </c>
      <c r="AK152" s="78">
        <v>5.7999999999999996E-3</v>
      </c>
      <c r="AL152" s="78">
        <v>-5.9999999999999995E-4</v>
      </c>
      <c r="AM152" s="4">
        <f ca="1">SUBTOTAL(9,AM$153:AM$157)</f>
        <v>0</v>
      </c>
      <c r="AN152" s="78">
        <v>6.0000000000000001E-3</v>
      </c>
      <c r="AO152" s="78">
        <v>2.53E-2</v>
      </c>
    </row>
    <row r="153" spans="2:41" ht="15" hidden="1" customHeight="1" outlineLevel="1" x14ac:dyDescent="0.3">
      <c r="B153" s="14"/>
      <c r="C153" s="15"/>
      <c r="D153" s="4">
        <f>SUMIFS(Tab_99.Trial[DEZEMBRO],Tab_99.Trial[CONTA],$B153)</f>
        <v>0</v>
      </c>
      <c r="E153" s="78">
        <f>IFERROR($D153/$D$160,0)</f>
        <v>0</v>
      </c>
      <c r="F153" s="4">
        <f ca="1">SUMIFS(INDIRECT("Tab_00.Trial["&amp;F$4&amp;"]"),Tab_00.Trial[CONTA],$B153)</f>
        <v>0</v>
      </c>
      <c r="G153" s="78">
        <f ca="1">IFERROR($F153/$F$160,0)</f>
        <v>0</v>
      </c>
      <c r="H153" s="78">
        <f t="shared" ref="H153:H156" ca="1" si="228">IFERROR(($F153-$D153)/ABS($D153),0)</f>
        <v>0</v>
      </c>
      <c r="I153" s="4">
        <f ca="1">SUMIFS(INDIRECT("Tab_00.Trial["&amp;I$4&amp;"]"),Tab_00.Trial[CONTA],$B153)</f>
        <v>0</v>
      </c>
      <c r="J153" s="78">
        <f ca="1">IFERROR($I153/$I$160,0)</f>
        <v>0</v>
      </c>
      <c r="K153" s="78">
        <f t="shared" ref="K153:K156" ca="1" si="229">IFERROR(($I153-$F153)/ABS($F153),0)</f>
        <v>0</v>
      </c>
      <c r="L153" s="4">
        <f ca="1">SUMIFS(INDIRECT("Tab_00.Trial["&amp;L$4&amp;"]"),Tab_00.Trial[CONTA],$B153)</f>
        <v>0</v>
      </c>
      <c r="M153" s="78">
        <f ca="1">IFERROR($L153/$L$160,0)</f>
        <v>0</v>
      </c>
      <c r="N153" s="78">
        <f t="shared" ref="N153:N156" ca="1" si="230">IFERROR(($L153-$I153)/ABS($I153),0)</f>
        <v>0</v>
      </c>
      <c r="O153" s="4">
        <f ca="1">SUMIFS(INDIRECT("Tab_00.Trial["&amp;O$4&amp;"]"),Tab_00.Trial[CONTA],$B153)</f>
        <v>0</v>
      </c>
      <c r="P153" s="78">
        <f ca="1">IFERROR($O153/$O$160,0)</f>
        <v>0</v>
      </c>
      <c r="Q153" s="78">
        <f t="shared" ref="Q153:Q156" ca="1" si="231">IFERROR(($O153-$L153)/ABS($L153),0)</f>
        <v>0</v>
      </c>
      <c r="R153" s="4">
        <f ca="1">SUMIFS(INDIRECT("Tab_00.Trial["&amp;R$4&amp;"]"),Tab_00.Trial[CONTA],$B153)</f>
        <v>0</v>
      </c>
      <c r="S153" s="78">
        <f ca="1">IFERROR($R153/$R$160,0)</f>
        <v>0</v>
      </c>
      <c r="T153" s="78">
        <f t="shared" ref="T153:T156" ca="1" si="232">IFERROR(($R153-$O153)/ABS($O153),0)</f>
        <v>0</v>
      </c>
      <c r="U153" s="4">
        <f ca="1">SUMIFS(INDIRECT("Tab_00.Trial["&amp;U$4&amp;"]"),Tab_00.Trial[CONTA],$B153)</f>
        <v>0</v>
      </c>
      <c r="V153" s="78">
        <f ca="1">IFERROR($U153/$U$160,0)</f>
        <v>0</v>
      </c>
      <c r="W153" s="78">
        <f t="shared" ref="W153:W156" ca="1" si="233">IFERROR(($U153-$R153)/ABS($R153),0)</f>
        <v>0</v>
      </c>
      <c r="X153" s="4">
        <f ca="1">SUMIFS(INDIRECT("Tab_00.Trial["&amp;X$4&amp;"]"),Tab_00.Trial[CONTA],$B153)</f>
        <v>0</v>
      </c>
      <c r="Y153" s="78">
        <f ca="1">IFERROR($X153/$X$160,0)</f>
        <v>0</v>
      </c>
      <c r="Z153" s="78">
        <f t="shared" ref="Z153:Z156" ca="1" si="234">IFERROR(($X153-$U153)/ABS($U153),0)</f>
        <v>0</v>
      </c>
      <c r="AA153" s="4">
        <f ca="1">SUMIFS(INDIRECT("Tab_00.Trial["&amp;AA$4&amp;"]"),Tab_00.Trial[CONTA],$B153)</f>
        <v>0</v>
      </c>
      <c r="AB153" s="78">
        <f ca="1">IFERROR($AA153/$AA$160,0)</f>
        <v>0</v>
      </c>
      <c r="AC153" s="78">
        <f t="shared" ref="AC153:AC156" ca="1" si="235">IFERROR(($AA153-$X153)/ABS($X153),0)</f>
        <v>0</v>
      </c>
      <c r="AD153" s="4">
        <f ca="1">SUMIFS(INDIRECT("Tab_00.Trial["&amp;AD$4&amp;"]"),Tab_00.Trial[CONTA],$B153)</f>
        <v>0</v>
      </c>
      <c r="AE153" s="78">
        <f ca="1">IFERROR($AD153/$AD$160,0)</f>
        <v>0</v>
      </c>
      <c r="AF153" s="78">
        <f t="shared" ref="AF153:AF156" ca="1" si="236">IFERROR(($AD153-$AA153)/ABS($AA153),0)</f>
        <v>0</v>
      </c>
      <c r="AG153" s="4">
        <f ca="1">SUMIFS(INDIRECT("Tab_00.Trial["&amp;AG$4&amp;"]"),Tab_00.Trial[CONTA],$B153)</f>
        <v>0</v>
      </c>
      <c r="AH153" s="78">
        <f ca="1">IFERROR($AG153/$AG$160,0)</f>
        <v>0</v>
      </c>
      <c r="AI153" s="78">
        <f t="shared" ref="AI153:AI156" ca="1" si="237">IFERROR(($AG153-$AD153)/ABS($AD153),0)</f>
        <v>0</v>
      </c>
      <c r="AJ153" s="4">
        <f ca="1">SUMIFS(INDIRECT("Tab_00.Trial["&amp;AJ$4&amp;"]"),Tab_00.Trial[CONTA],$B153)</f>
        <v>0</v>
      </c>
      <c r="AK153" s="78">
        <f ca="1">IFERROR($AJ153/$AJ$160,0)</f>
        <v>0</v>
      </c>
      <c r="AL153" s="78">
        <f t="shared" ref="AL153:AL156" ca="1" si="238">IFERROR(($AJ153-$AG153)/ABS($AG153),0)</f>
        <v>0</v>
      </c>
      <c r="AM153" s="4">
        <f ca="1">SUMIFS(INDIRECT("Tab_00.Trial["&amp;AM$4&amp;"]"),Tab_00.Trial[CONTA],$B153)</f>
        <v>0</v>
      </c>
      <c r="AN153" s="78">
        <f ca="1">IFERROR(AM153/AM$160,0)</f>
        <v>0</v>
      </c>
      <c r="AO153" s="78">
        <f t="shared" ref="AO153:AO156" ca="1" si="239">IFERROR(($AM153-$AJ153)/ABS($AJ153),0)</f>
        <v>0</v>
      </c>
    </row>
    <row r="154" spans="2:41" ht="15" hidden="1" customHeight="1" outlineLevel="1" x14ac:dyDescent="0.3">
      <c r="B154" s="14"/>
      <c r="C154" s="15"/>
      <c r="D154" s="4">
        <f>SUMIFS(Tab_99.Trial[DEZEMBRO],Tab_99.Trial[CONTA],$B154)</f>
        <v>0</v>
      </c>
      <c r="E154" s="78">
        <f>IFERROR($D154/$D$160,0)</f>
        <v>0</v>
      </c>
      <c r="F154" s="4">
        <f ca="1">SUMIFS(INDIRECT("Tab_00.Trial["&amp;F$4&amp;"]"),Tab_00.Trial[CONTA],$B154)</f>
        <v>0</v>
      </c>
      <c r="G154" s="78">
        <f ca="1">IFERROR($F154/$F$160,0)</f>
        <v>0</v>
      </c>
      <c r="H154" s="78">
        <f t="shared" ca="1" si="228"/>
        <v>0</v>
      </c>
      <c r="I154" s="4">
        <f ca="1">SUMIFS(INDIRECT("Tab_00.Trial["&amp;I$4&amp;"]"),Tab_00.Trial[CONTA],$B154)</f>
        <v>0</v>
      </c>
      <c r="J154" s="78">
        <f ca="1">IFERROR($I154/$I$160,0)</f>
        <v>0</v>
      </c>
      <c r="K154" s="78">
        <f t="shared" ca="1" si="229"/>
        <v>0</v>
      </c>
      <c r="L154" s="4">
        <f ca="1">SUMIFS(INDIRECT("Tab_00.Trial["&amp;L$4&amp;"]"),Tab_00.Trial[CONTA],$B154)</f>
        <v>0</v>
      </c>
      <c r="M154" s="78">
        <f ca="1">IFERROR($L154/$L$160,0)</f>
        <v>0</v>
      </c>
      <c r="N154" s="78">
        <f t="shared" ca="1" si="230"/>
        <v>0</v>
      </c>
      <c r="O154" s="4">
        <f ca="1">SUMIFS(INDIRECT("Tab_00.Trial["&amp;O$4&amp;"]"),Tab_00.Trial[CONTA],$B154)</f>
        <v>0</v>
      </c>
      <c r="P154" s="78">
        <f ca="1">IFERROR($O154/$O$160,0)</f>
        <v>0</v>
      </c>
      <c r="Q154" s="78">
        <f t="shared" ca="1" si="231"/>
        <v>0</v>
      </c>
      <c r="R154" s="4">
        <f ca="1">SUMIFS(INDIRECT("Tab_00.Trial["&amp;R$4&amp;"]"),Tab_00.Trial[CONTA],$B154)</f>
        <v>0</v>
      </c>
      <c r="S154" s="78">
        <f ca="1">IFERROR($R154/$R$160,0)</f>
        <v>0</v>
      </c>
      <c r="T154" s="78">
        <f t="shared" ca="1" si="232"/>
        <v>0</v>
      </c>
      <c r="U154" s="4">
        <f ca="1">SUMIFS(INDIRECT("Tab_00.Trial["&amp;U$4&amp;"]"),Tab_00.Trial[CONTA],$B154)</f>
        <v>0</v>
      </c>
      <c r="V154" s="78">
        <f ca="1">IFERROR($U154/$U$160,0)</f>
        <v>0</v>
      </c>
      <c r="W154" s="78">
        <f t="shared" ca="1" si="233"/>
        <v>0</v>
      </c>
      <c r="X154" s="4">
        <f ca="1">SUMIFS(INDIRECT("Tab_00.Trial["&amp;X$4&amp;"]"),Tab_00.Trial[CONTA],$B154)</f>
        <v>0</v>
      </c>
      <c r="Y154" s="78">
        <f ca="1">IFERROR($X154/$X$160,0)</f>
        <v>0</v>
      </c>
      <c r="Z154" s="78">
        <f t="shared" ca="1" si="234"/>
        <v>0</v>
      </c>
      <c r="AA154" s="4">
        <f ca="1">SUMIFS(INDIRECT("Tab_00.Trial["&amp;AA$4&amp;"]"),Tab_00.Trial[CONTA],$B154)</f>
        <v>0</v>
      </c>
      <c r="AB154" s="78">
        <f ca="1">IFERROR($AA154/$AA$160,0)</f>
        <v>0</v>
      </c>
      <c r="AC154" s="78">
        <f t="shared" ca="1" si="235"/>
        <v>0</v>
      </c>
      <c r="AD154" s="4">
        <f ca="1">SUMIFS(INDIRECT("Tab_00.Trial["&amp;AD$4&amp;"]"),Tab_00.Trial[CONTA],$B154)</f>
        <v>0</v>
      </c>
      <c r="AE154" s="78">
        <f ca="1">IFERROR($AD154/$AD$160,0)</f>
        <v>0</v>
      </c>
      <c r="AF154" s="78">
        <f t="shared" ca="1" si="236"/>
        <v>0</v>
      </c>
      <c r="AG154" s="4">
        <f ca="1">SUMIFS(INDIRECT("Tab_00.Trial["&amp;AG$4&amp;"]"),Tab_00.Trial[CONTA],$B154)</f>
        <v>0</v>
      </c>
      <c r="AH154" s="78">
        <f ca="1">IFERROR($AG154/$AG$160,0)</f>
        <v>0</v>
      </c>
      <c r="AI154" s="78">
        <f t="shared" ca="1" si="237"/>
        <v>0</v>
      </c>
      <c r="AJ154" s="4">
        <f ca="1">SUMIFS(INDIRECT("Tab_00.Trial["&amp;AJ$4&amp;"]"),Tab_00.Trial[CONTA],$B154)</f>
        <v>0</v>
      </c>
      <c r="AK154" s="78">
        <f ca="1">IFERROR($AJ154/$AJ$160,0)</f>
        <v>0</v>
      </c>
      <c r="AL154" s="78">
        <f t="shared" ca="1" si="238"/>
        <v>0</v>
      </c>
      <c r="AM154" s="4">
        <f ca="1">SUMIFS(INDIRECT("Tab_00.Trial["&amp;AM$4&amp;"]"),Tab_00.Trial[CONTA],$B154)</f>
        <v>0</v>
      </c>
      <c r="AN154" s="78">
        <f ca="1">IFERROR(AM154/AM$160,0)</f>
        <v>0</v>
      </c>
      <c r="AO154" s="78">
        <f t="shared" ca="1" si="239"/>
        <v>0</v>
      </c>
    </row>
    <row r="155" spans="2:41" ht="15" hidden="1" customHeight="1" outlineLevel="1" x14ac:dyDescent="0.3">
      <c r="B155" s="14"/>
      <c r="C155" s="15"/>
      <c r="D155" s="4">
        <f>SUMIFS(Tab_99.Trial[DEZEMBRO],Tab_99.Trial[CONTA],$B155)</f>
        <v>0</v>
      </c>
      <c r="E155" s="78">
        <f>IFERROR($D155/$D$160,0)</f>
        <v>0</v>
      </c>
      <c r="F155" s="4">
        <f ca="1">SUMIFS(INDIRECT("Tab_00.Trial["&amp;F$4&amp;"]"),Tab_00.Trial[CONTA],$B155)</f>
        <v>0</v>
      </c>
      <c r="G155" s="78">
        <f ca="1">IFERROR($F155/$F$160,0)</f>
        <v>0</v>
      </c>
      <c r="H155" s="78">
        <f t="shared" ca="1" si="228"/>
        <v>0</v>
      </c>
      <c r="I155" s="4">
        <f ca="1">SUMIFS(INDIRECT("Tab_00.Trial["&amp;I$4&amp;"]"),Tab_00.Trial[CONTA],$B155)</f>
        <v>0</v>
      </c>
      <c r="J155" s="78">
        <f ca="1">IFERROR($I155/$I$160,0)</f>
        <v>0</v>
      </c>
      <c r="K155" s="78">
        <f t="shared" ca="1" si="229"/>
        <v>0</v>
      </c>
      <c r="L155" s="4">
        <f ca="1">SUMIFS(INDIRECT("Tab_00.Trial["&amp;L$4&amp;"]"),Tab_00.Trial[CONTA],$B155)</f>
        <v>0</v>
      </c>
      <c r="M155" s="78">
        <f ca="1">IFERROR($L155/$L$160,0)</f>
        <v>0</v>
      </c>
      <c r="N155" s="78">
        <f t="shared" ca="1" si="230"/>
        <v>0</v>
      </c>
      <c r="O155" s="4">
        <f ca="1">SUMIFS(INDIRECT("Tab_00.Trial["&amp;O$4&amp;"]"),Tab_00.Trial[CONTA],$B155)</f>
        <v>0</v>
      </c>
      <c r="P155" s="78">
        <f ca="1">IFERROR($O155/$O$160,0)</f>
        <v>0</v>
      </c>
      <c r="Q155" s="78">
        <f t="shared" ca="1" si="231"/>
        <v>0</v>
      </c>
      <c r="R155" s="4">
        <f ca="1">SUMIFS(INDIRECT("Tab_00.Trial["&amp;R$4&amp;"]"),Tab_00.Trial[CONTA],$B155)</f>
        <v>0</v>
      </c>
      <c r="S155" s="78">
        <f ca="1">IFERROR($R155/$R$160,0)</f>
        <v>0</v>
      </c>
      <c r="T155" s="78">
        <f t="shared" ca="1" si="232"/>
        <v>0</v>
      </c>
      <c r="U155" s="4">
        <f ca="1">SUMIFS(INDIRECT("Tab_00.Trial["&amp;U$4&amp;"]"),Tab_00.Trial[CONTA],$B155)</f>
        <v>0</v>
      </c>
      <c r="V155" s="78">
        <f ca="1">IFERROR($U155/$U$160,0)</f>
        <v>0</v>
      </c>
      <c r="W155" s="78">
        <f t="shared" ca="1" si="233"/>
        <v>0</v>
      </c>
      <c r="X155" s="4">
        <f ca="1">SUMIFS(INDIRECT("Tab_00.Trial["&amp;X$4&amp;"]"),Tab_00.Trial[CONTA],$B155)</f>
        <v>0</v>
      </c>
      <c r="Y155" s="78">
        <f ca="1">IFERROR($X155/$X$160,0)</f>
        <v>0</v>
      </c>
      <c r="Z155" s="78">
        <f t="shared" ca="1" si="234"/>
        <v>0</v>
      </c>
      <c r="AA155" s="4">
        <f ca="1">SUMIFS(INDIRECT("Tab_00.Trial["&amp;AA$4&amp;"]"),Tab_00.Trial[CONTA],$B155)</f>
        <v>0</v>
      </c>
      <c r="AB155" s="78">
        <f ca="1">IFERROR($AA155/$AA$160,0)</f>
        <v>0</v>
      </c>
      <c r="AC155" s="78">
        <f t="shared" ca="1" si="235"/>
        <v>0</v>
      </c>
      <c r="AD155" s="4">
        <f ca="1">SUMIFS(INDIRECT("Tab_00.Trial["&amp;AD$4&amp;"]"),Tab_00.Trial[CONTA],$B155)</f>
        <v>0</v>
      </c>
      <c r="AE155" s="78">
        <f ca="1">IFERROR($AD155/$AD$160,0)</f>
        <v>0</v>
      </c>
      <c r="AF155" s="78">
        <f t="shared" ca="1" si="236"/>
        <v>0</v>
      </c>
      <c r="AG155" s="4">
        <f ca="1">SUMIFS(INDIRECT("Tab_00.Trial["&amp;AG$4&amp;"]"),Tab_00.Trial[CONTA],$B155)</f>
        <v>0</v>
      </c>
      <c r="AH155" s="78">
        <f ca="1">IFERROR($AG155/$AG$160,0)</f>
        <v>0</v>
      </c>
      <c r="AI155" s="78">
        <f t="shared" ca="1" si="237"/>
        <v>0</v>
      </c>
      <c r="AJ155" s="4">
        <f ca="1">SUMIFS(INDIRECT("Tab_00.Trial["&amp;AJ$4&amp;"]"),Tab_00.Trial[CONTA],$B155)</f>
        <v>0</v>
      </c>
      <c r="AK155" s="78">
        <f ca="1">IFERROR($AJ155/$AJ$160,0)</f>
        <v>0</v>
      </c>
      <c r="AL155" s="78">
        <f t="shared" ca="1" si="238"/>
        <v>0</v>
      </c>
      <c r="AM155" s="4">
        <f ca="1">SUMIFS(INDIRECT("Tab_00.Trial["&amp;AM$4&amp;"]"),Tab_00.Trial[CONTA],$B155)</f>
        <v>0</v>
      </c>
      <c r="AN155" s="78">
        <f ca="1">IFERROR(AM155/AM$160,0)</f>
        <v>0</v>
      </c>
      <c r="AO155" s="78">
        <f t="shared" ca="1" si="239"/>
        <v>0</v>
      </c>
    </row>
    <row r="156" spans="2:41" ht="15" hidden="1" customHeight="1" outlineLevel="1" x14ac:dyDescent="0.3">
      <c r="B156" s="14"/>
      <c r="C156" s="15"/>
      <c r="D156" s="4">
        <f>SUMIFS(Tab_99.Trial[DEZEMBRO],Tab_99.Trial[CONTA],$B156)</f>
        <v>0</v>
      </c>
      <c r="E156" s="78">
        <f>IFERROR($D156/$D$160,0)</f>
        <v>0</v>
      </c>
      <c r="F156" s="4">
        <f ca="1">SUMIFS(INDIRECT("Tab_00.Trial["&amp;F$4&amp;"]"),Tab_00.Trial[CONTA],$B156)</f>
        <v>0</v>
      </c>
      <c r="G156" s="78">
        <f ca="1">IFERROR($F156/$F$160,0)</f>
        <v>0</v>
      </c>
      <c r="H156" s="78">
        <f t="shared" ca="1" si="228"/>
        <v>0</v>
      </c>
      <c r="I156" s="4">
        <f ca="1">SUMIFS(INDIRECT("Tab_00.Trial["&amp;I$4&amp;"]"),Tab_00.Trial[CONTA],$B156)</f>
        <v>0</v>
      </c>
      <c r="J156" s="78">
        <f ca="1">IFERROR($I156/$I$160,0)</f>
        <v>0</v>
      </c>
      <c r="K156" s="78">
        <f t="shared" ca="1" si="229"/>
        <v>0</v>
      </c>
      <c r="L156" s="4">
        <f ca="1">SUMIFS(INDIRECT("Tab_00.Trial["&amp;L$4&amp;"]"),Tab_00.Trial[CONTA],$B156)</f>
        <v>0</v>
      </c>
      <c r="M156" s="78">
        <f ca="1">IFERROR($L156/$L$160,0)</f>
        <v>0</v>
      </c>
      <c r="N156" s="78">
        <f t="shared" ca="1" si="230"/>
        <v>0</v>
      </c>
      <c r="O156" s="4">
        <f ca="1">SUMIFS(INDIRECT("Tab_00.Trial["&amp;O$4&amp;"]"),Tab_00.Trial[CONTA],$B156)</f>
        <v>0</v>
      </c>
      <c r="P156" s="78">
        <f ca="1">IFERROR($O156/$O$160,0)</f>
        <v>0</v>
      </c>
      <c r="Q156" s="78">
        <f t="shared" ca="1" si="231"/>
        <v>0</v>
      </c>
      <c r="R156" s="4">
        <f ca="1">SUMIFS(INDIRECT("Tab_00.Trial["&amp;R$4&amp;"]"),Tab_00.Trial[CONTA],$B156)</f>
        <v>0</v>
      </c>
      <c r="S156" s="78">
        <f ca="1">IFERROR($R156/$R$160,0)</f>
        <v>0</v>
      </c>
      <c r="T156" s="78">
        <f t="shared" ca="1" si="232"/>
        <v>0</v>
      </c>
      <c r="U156" s="4">
        <f ca="1">SUMIFS(INDIRECT("Tab_00.Trial["&amp;U$4&amp;"]"),Tab_00.Trial[CONTA],$B156)</f>
        <v>0</v>
      </c>
      <c r="V156" s="78">
        <f ca="1">IFERROR($U156/$U$160,0)</f>
        <v>0</v>
      </c>
      <c r="W156" s="78">
        <f t="shared" ca="1" si="233"/>
        <v>0</v>
      </c>
      <c r="X156" s="4">
        <f ca="1">SUMIFS(INDIRECT("Tab_00.Trial["&amp;X$4&amp;"]"),Tab_00.Trial[CONTA],$B156)</f>
        <v>0</v>
      </c>
      <c r="Y156" s="78">
        <f ca="1">IFERROR($X156/$X$160,0)</f>
        <v>0</v>
      </c>
      <c r="Z156" s="78">
        <f t="shared" ca="1" si="234"/>
        <v>0</v>
      </c>
      <c r="AA156" s="4">
        <f ca="1">SUMIFS(INDIRECT("Tab_00.Trial["&amp;AA$4&amp;"]"),Tab_00.Trial[CONTA],$B156)</f>
        <v>0</v>
      </c>
      <c r="AB156" s="78">
        <f ca="1">IFERROR($AA156/$AA$160,0)</f>
        <v>0</v>
      </c>
      <c r="AC156" s="78">
        <f t="shared" ca="1" si="235"/>
        <v>0</v>
      </c>
      <c r="AD156" s="4">
        <f ca="1">SUMIFS(INDIRECT("Tab_00.Trial["&amp;AD$4&amp;"]"),Tab_00.Trial[CONTA],$B156)</f>
        <v>0</v>
      </c>
      <c r="AE156" s="78">
        <f ca="1">IFERROR($AD156/$AD$160,0)</f>
        <v>0</v>
      </c>
      <c r="AF156" s="78">
        <f t="shared" ca="1" si="236"/>
        <v>0</v>
      </c>
      <c r="AG156" s="4">
        <f ca="1">SUMIFS(INDIRECT("Tab_00.Trial["&amp;AG$4&amp;"]"),Tab_00.Trial[CONTA],$B156)</f>
        <v>0</v>
      </c>
      <c r="AH156" s="78">
        <f ca="1">IFERROR($AG156/$AG$160,0)</f>
        <v>0</v>
      </c>
      <c r="AI156" s="78">
        <f t="shared" ca="1" si="237"/>
        <v>0</v>
      </c>
      <c r="AJ156" s="4">
        <f ca="1">SUMIFS(INDIRECT("Tab_00.Trial["&amp;AJ$4&amp;"]"),Tab_00.Trial[CONTA],$B156)</f>
        <v>0</v>
      </c>
      <c r="AK156" s="78">
        <f ca="1">IFERROR($AJ156/$AJ$160,0)</f>
        <v>0</v>
      </c>
      <c r="AL156" s="78">
        <f t="shared" ca="1" si="238"/>
        <v>0</v>
      </c>
      <c r="AM156" s="4">
        <f ca="1">SUMIFS(INDIRECT("Tab_00.Trial["&amp;AM$4&amp;"]"),Tab_00.Trial[CONTA],$B156)</f>
        <v>0</v>
      </c>
      <c r="AN156" s="78">
        <f ca="1">IFERROR(AM156/AM$160,0)</f>
        <v>0</v>
      </c>
      <c r="AO156" s="78">
        <f t="shared" ca="1" si="239"/>
        <v>0</v>
      </c>
    </row>
    <row r="157" spans="2:41" ht="5.0999999999999996" hidden="1" customHeight="1" outlineLevel="1" x14ac:dyDescent="0.3">
      <c r="B157" s="74"/>
      <c r="C157" s="75"/>
      <c r="D157" s="76"/>
      <c r="E157" s="77"/>
      <c r="F157" s="76"/>
      <c r="G157" s="77"/>
      <c r="H157" s="77"/>
      <c r="I157" s="76"/>
      <c r="J157" s="77"/>
      <c r="K157" s="77"/>
      <c r="L157" s="76"/>
      <c r="M157" s="77"/>
      <c r="N157" s="77"/>
      <c r="O157" s="76"/>
      <c r="P157" s="77"/>
      <c r="Q157" s="77"/>
      <c r="R157" s="76"/>
      <c r="S157" s="77"/>
      <c r="T157" s="77"/>
      <c r="U157" s="76"/>
      <c r="V157" s="77"/>
      <c r="W157" s="77"/>
      <c r="X157" s="76"/>
      <c r="Y157" s="77"/>
      <c r="Z157" s="77"/>
      <c r="AA157" s="76"/>
      <c r="AB157" s="77"/>
      <c r="AC157" s="77"/>
      <c r="AD157" s="76"/>
      <c r="AE157" s="77"/>
      <c r="AF157" s="77"/>
      <c r="AG157" s="76"/>
      <c r="AH157" s="77"/>
      <c r="AI157" s="77"/>
      <c r="AJ157" s="76"/>
      <c r="AK157" s="77"/>
      <c r="AL157" s="77"/>
      <c r="AM157" s="76"/>
      <c r="AN157" s="77"/>
      <c r="AO157" s="77"/>
    </row>
    <row r="158" spans="2:41" ht="15" customHeight="1" x14ac:dyDescent="0.3">
      <c r="D158" s="16">
        <f>SUBTOTAL(9,D$93:D$157)</f>
        <v>0</v>
      </c>
      <c r="E158" s="80">
        <f>IFERROR($D158/$D$160,0)</f>
        <v>0</v>
      </c>
      <c r="F158" s="16">
        <f ca="1">SUBTOTAL(9,F$93:F$157)</f>
        <v>72629698.310000002</v>
      </c>
      <c r="G158" s="80">
        <f ca="1">IFERROR($F158/$F$160,0)</f>
        <v>0.86629999999999996</v>
      </c>
      <c r="H158" s="80">
        <f ca="1">IFERROR(($F158-$D158)/ABS($D158),0)</f>
        <v>0</v>
      </c>
      <c r="I158" s="16">
        <f ca="1">SUBTOTAL(9,I$93:I$157)</f>
        <v>72757385.430000007</v>
      </c>
      <c r="J158" s="80">
        <f ca="1">IFERROR($I158/$I$160,0)</f>
        <v>0.87470000000000003</v>
      </c>
      <c r="K158" s="80">
        <f ca="1">IFERROR(($I158-$F158)/ABS($F158),0)</f>
        <v>1.8E-3</v>
      </c>
      <c r="L158" s="16">
        <f ca="1">SUBTOTAL(9,L$93:L$157)</f>
        <v>72991121.390000001</v>
      </c>
      <c r="M158" s="80">
        <f ca="1">IFERROR($L158/$L$160,0)</f>
        <v>0.87660000000000005</v>
      </c>
      <c r="N158" s="80">
        <f ca="1">IFERROR(($L158-$I158)/ABS($I158),0)</f>
        <v>3.2000000000000002E-3</v>
      </c>
      <c r="O158" s="16">
        <f ca="1">SUBTOTAL(9,O$93:O$157)</f>
        <v>72893363.560000002</v>
      </c>
      <c r="P158" s="80">
        <f ca="1">IFERROR($O158/$O$160,0)</f>
        <v>0.87180000000000002</v>
      </c>
      <c r="Q158" s="80">
        <f ca="1">IFERROR(($O158-$L158)/ABS($L158),0)</f>
        <v>-1.2999999999999999E-3</v>
      </c>
      <c r="R158" s="16">
        <f ca="1">SUBTOTAL(9,R$93:R$157)</f>
        <v>73149210.859999999</v>
      </c>
      <c r="S158" s="80">
        <f ca="1">IFERROR($R158/$R$160,0)</f>
        <v>0.87129999999999996</v>
      </c>
      <c r="T158" s="80">
        <f ca="1">IFERROR(($R158-$O158)/ABS($O158),0)</f>
        <v>3.5000000000000001E-3</v>
      </c>
      <c r="U158" s="16">
        <f ca="1">SUBTOTAL(9,U$93:U$157)</f>
        <v>73265276.659999996</v>
      </c>
      <c r="V158" s="80">
        <f ca="1">IFERROR($U158/$U$160,0)</f>
        <v>0.87019999999999997</v>
      </c>
      <c r="W158" s="80">
        <f ca="1">IFERROR(($U158-$R158)/ABS($R158),0)</f>
        <v>1.6000000000000001E-3</v>
      </c>
      <c r="X158" s="16">
        <f ca="1">SUBTOTAL(9,X$93:X$157)</f>
        <v>73598772.5</v>
      </c>
      <c r="Y158" s="80">
        <f ca="1">IFERROR($X158/$X$160,0)</f>
        <v>0.86860000000000004</v>
      </c>
      <c r="Z158" s="80">
        <f ca="1">IFERROR(($X158-$U158)/ABS($U158),0)</f>
        <v>4.5999999999999999E-3</v>
      </c>
      <c r="AA158" s="16">
        <f ca="1">SUBTOTAL(9,AA$93:AA$157)</f>
        <v>73877380.75</v>
      </c>
      <c r="AB158" s="80">
        <f ca="1">IFERROR($AA158/$AA$160,0)</f>
        <v>0.86780000000000002</v>
      </c>
      <c r="AC158" s="80">
        <f ca="1">IFERROR(($AA158-$X158)/ABS($X158),0)</f>
        <v>3.8E-3</v>
      </c>
      <c r="AD158" s="16">
        <f ca="1">SUBTOTAL(9,AD$93:AD$157)</f>
        <v>73933394.519999996</v>
      </c>
      <c r="AE158" s="80">
        <f ca="1">IFERROR($AD158/$AD$160,0)</f>
        <v>0.86850000000000005</v>
      </c>
      <c r="AF158" s="80">
        <f ca="1">IFERROR(($AD158-$AA158)/ABS($AA158),0)</f>
        <v>8.0000000000000004E-4</v>
      </c>
      <c r="AG158" s="16">
        <f ca="1">SUBTOTAL(9,AG$93:AG$157)</f>
        <v>74040444.180000007</v>
      </c>
      <c r="AH158" s="80">
        <f ca="1">IFERROR($AG158/$AG$160,0)</f>
        <v>0.86739999999999995</v>
      </c>
      <c r="AI158" s="80">
        <f ca="1">IFERROR(($AG158-$AD158)/ABS($AD158),0)</f>
        <v>1.4E-3</v>
      </c>
      <c r="AJ158" s="16">
        <f ca="1">SUBTOTAL(9,AJ$93:AJ$157)</f>
        <v>74283168.849999994</v>
      </c>
      <c r="AK158" s="80">
        <f ca="1">IFERROR($AJ158/$AJ$160,0)</f>
        <v>0.86709999999999998</v>
      </c>
      <c r="AL158" s="80">
        <f ca="1">IFERROR(($AJ158-$AG158)/ABS($AG158),0)</f>
        <v>3.3E-3</v>
      </c>
      <c r="AM158" s="16">
        <f ca="1">SUBTOTAL(9,AM$93:AM$157)</f>
        <v>74145059.379999995</v>
      </c>
      <c r="AN158" s="80">
        <f ca="1">IFERROR(AM158/AM$160,0)</f>
        <v>0.86650000000000005</v>
      </c>
      <c r="AO158" s="80">
        <f ca="1">IFERROR(($AM158-$AJ158)/ABS($AJ158),0)</f>
        <v>-1.9E-3</v>
      </c>
    </row>
    <row r="159" spans="2:41" ht="9.9" customHeight="1" x14ac:dyDescent="0.3">
      <c r="AN159" s="78"/>
      <c r="AO159" s="78"/>
    </row>
    <row r="160" spans="2:41" ht="20.100000000000001" customHeight="1" thickBot="1" x14ac:dyDescent="0.35">
      <c r="C160" s="17" t="s">
        <v>37</v>
      </c>
      <c r="D160" s="18">
        <f>SUBTOTAL(9,D$5:D$159)</f>
        <v>0</v>
      </c>
      <c r="E160" s="81">
        <f>IFERROR($D160/$D$160,0)</f>
        <v>0</v>
      </c>
      <c r="F160" s="18">
        <f ca="1">SUBTOTAL(9,F$5:F$159)</f>
        <v>83838931.319999993</v>
      </c>
      <c r="G160" s="81">
        <f ca="1">IFERROR($F160/$F$160,0)</f>
        <v>1</v>
      </c>
      <c r="H160" s="81">
        <f ca="1">IFERROR(($F160-$D160)/ABS($D160),0)</f>
        <v>0</v>
      </c>
      <c r="I160" s="18">
        <f ca="1">SUBTOTAL(9,I$5:I$159)</f>
        <v>83183649.450000003</v>
      </c>
      <c r="J160" s="81">
        <f ca="1">IFERROR($I160/$I$160,0)</f>
        <v>1</v>
      </c>
      <c r="K160" s="81">
        <f ca="1">IFERROR(($I160-$F160)/ABS($F160),0)</f>
        <v>-7.7999999999999996E-3</v>
      </c>
      <c r="L160" s="18">
        <f ca="1">SUBTOTAL(9,L$5:L$159)</f>
        <v>83266768.689999998</v>
      </c>
      <c r="M160" s="81">
        <f ca="1">IFERROR($L160/$L$160,0)</f>
        <v>1</v>
      </c>
      <c r="N160" s="81">
        <f ca="1">IFERROR(($L160-$I160)/ABS($I160),0)</f>
        <v>1E-3</v>
      </c>
      <c r="O160" s="18">
        <f ca="1">SUBTOTAL(9,O$5:O$159)</f>
        <v>83616244.030000001</v>
      </c>
      <c r="P160" s="81">
        <f ca="1">IFERROR($O160/$O$160,0)</f>
        <v>1</v>
      </c>
      <c r="Q160" s="81">
        <f ca="1">IFERROR(($O160-$L160)/ABS($L160),0)</f>
        <v>4.1999999999999997E-3</v>
      </c>
      <c r="R160" s="18">
        <f ca="1">SUBTOTAL(9,R$5:R$159)</f>
        <v>83951070.920000002</v>
      </c>
      <c r="S160" s="81">
        <f ca="1">IFERROR($R160/$R$160,0)</f>
        <v>1</v>
      </c>
      <c r="T160" s="81">
        <f ca="1">IFERROR(($R160-$O160)/ABS($O160),0)</f>
        <v>4.0000000000000001E-3</v>
      </c>
      <c r="U160" s="18">
        <f ca="1">SUBTOTAL(9,U$5:U$159)</f>
        <v>84190298.299999997</v>
      </c>
      <c r="V160" s="81">
        <f ca="1">IFERROR($U160/$U$160,0)</f>
        <v>1</v>
      </c>
      <c r="W160" s="81">
        <f ca="1">IFERROR(($U160-$R160)/ABS($R160),0)</f>
        <v>2.8E-3</v>
      </c>
      <c r="X160" s="18">
        <f ca="1">SUBTOTAL(9,X$5:X$159)</f>
        <v>84733754.090000004</v>
      </c>
      <c r="Y160" s="81">
        <f ca="1">IFERROR($X160/$X$160,0)</f>
        <v>1</v>
      </c>
      <c r="Z160" s="81">
        <f ca="1">IFERROR(($X160-$U160)/ABS($U160),0)</f>
        <v>6.4999999999999997E-3</v>
      </c>
      <c r="AA160" s="18">
        <f ca="1">SUBTOTAL(9,AA$5:AA$159)</f>
        <v>85129496.230000004</v>
      </c>
      <c r="AB160" s="81">
        <f ca="1">IFERROR($AA160/$AA$160,0)</f>
        <v>1</v>
      </c>
      <c r="AC160" s="81">
        <f ca="1">IFERROR(($AA160-$X160)/ABS($X160),0)</f>
        <v>4.7000000000000002E-3</v>
      </c>
      <c r="AD160" s="18">
        <f ca="1">SUBTOTAL(9,AD$5:AD$159)</f>
        <v>85129419.170000002</v>
      </c>
      <c r="AE160" s="81">
        <f ca="1">IFERROR($AD160/$AD$160,0)</f>
        <v>1</v>
      </c>
      <c r="AF160" s="81">
        <f ca="1">IFERROR(($AD160-$AA160)/ABS($AA160),0)</f>
        <v>0</v>
      </c>
      <c r="AG160" s="18">
        <f ca="1">SUBTOTAL(9,AG$5:AG$159)</f>
        <v>85355176.530000001</v>
      </c>
      <c r="AH160" s="81">
        <f ca="1">IFERROR($AG160/$AG$160,0)</f>
        <v>1</v>
      </c>
      <c r="AI160" s="81">
        <f ca="1">IFERROR(($AG160-$AD160)/ABS($AD160),0)</f>
        <v>2.7000000000000001E-3</v>
      </c>
      <c r="AJ160" s="18">
        <f ca="1">SUBTOTAL(9,AJ$5:AJ$159)</f>
        <v>85670972.069999993</v>
      </c>
      <c r="AK160" s="81">
        <f ca="1">IFERROR($AJ160/$AJ$160,0)</f>
        <v>1</v>
      </c>
      <c r="AL160" s="81">
        <f ca="1">IFERROR(($AJ160-$AG160)/ABS($AG160),0)</f>
        <v>3.7000000000000002E-3</v>
      </c>
      <c r="AM160" s="18">
        <f ca="1">SUBTOTAL(9,AM$5:AM$159)</f>
        <v>85565083.819999993</v>
      </c>
      <c r="AN160" s="81">
        <f ca="1">IFERROR(AM160/AM$160,0)</f>
        <v>1</v>
      </c>
      <c r="AO160" s="81">
        <f ca="1">IFERROR(($AM160-$AJ160)/ABS($AJ160),0)</f>
        <v>-1.1999999999999999E-3</v>
      </c>
    </row>
    <row r="161" spans="3:39" ht="14.4" thickTop="1" x14ac:dyDescent="0.3"/>
    <row r="162" spans="3:39" ht="13.8" x14ac:dyDescent="0.3">
      <c r="C162" s="17" t="s">
        <v>63</v>
      </c>
      <c r="D162" s="11">
        <f ca="1">D$160-PASSIVO!D$146</f>
        <v>0</v>
      </c>
      <c r="F162" s="11">
        <f ca="1">F$160-PASSIVO!F$146</f>
        <v>0</v>
      </c>
      <c r="I162" s="11">
        <f ca="1">I$160-PASSIVO!I$146</f>
        <v>0</v>
      </c>
      <c r="L162" s="11">
        <f ca="1">L$160-PASSIVO!L$146</f>
        <v>0</v>
      </c>
      <c r="O162" s="11">
        <f ca="1">O$160-PASSIVO!O$146</f>
        <v>0</v>
      </c>
      <c r="R162" s="11">
        <f ca="1">R$160-PASSIVO!R$146</f>
        <v>0</v>
      </c>
      <c r="U162" s="11">
        <f ca="1">U$160-PASSIVO!U$146</f>
        <v>0</v>
      </c>
      <c r="X162" s="11">
        <f ca="1">X$160-PASSIVO!X$146</f>
        <v>0</v>
      </c>
      <c r="AA162" s="11">
        <f ca="1">AA$160-PASSIVO!AA$146</f>
        <v>0</v>
      </c>
      <c r="AD162" s="11">
        <f ca="1">AD$160-PASSIVO!AD$146</f>
        <v>0</v>
      </c>
      <c r="AG162" s="11">
        <f ca="1">AG$160-PASSIVO!AG$146</f>
        <v>0</v>
      </c>
      <c r="AJ162" s="11">
        <f ca="1">AJ$160-PASSIVO!AJ$146</f>
        <v>0</v>
      </c>
      <c r="AM162" s="11">
        <f ca="1">AM$160-PASSIVO!AM$146</f>
        <v>0</v>
      </c>
    </row>
  </sheetData>
  <sheetProtection autoFilter="0"/>
  <dataValidations disablePrompts="1" count="1">
    <dataValidation type="custom" allowBlank="1" showInputMessage="1" showErrorMessage="1" error="Inserir linhas acima!!!" sqref="B18:AO18 B29:AO29 B157:AO157 B90:AO90 B73:AO73 B45:AO45 B34:AO34 B97:AO97 B101:AO101 B116:AO116 B59:AO59 B67:AO67 B127:AO127 B151:AO151" xr:uid="{0D224EC8-933A-45DB-94CE-5801954CF00E}">
      <formula1>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F05B0-52F2-4AF3-B13D-EB0504F704F0}">
  <sheetPr codeName="Planilha5">
    <outlinePr summaryBelow="0" summaryRight="0"/>
  </sheetPr>
  <dimension ref="B2:AQ148"/>
  <sheetViews>
    <sheetView showGridLines="0" zoomScaleNormal="100" workbookViewId="0">
      <pane xSplit="3" ySplit="4" topLeftCell="AG124" activePane="bottomRight" state="frozen"/>
      <selection pane="topRight" activeCell="D1" sqref="D1"/>
      <selection pane="bottomLeft" activeCell="A5" sqref="A5"/>
      <selection pane="bottomRight" activeCell="AD148" sqref="AD148"/>
    </sheetView>
  </sheetViews>
  <sheetFormatPr defaultColWidth="8.88671875" defaultRowHeight="13.2" customHeight="1" outlineLevelRow="1" x14ac:dyDescent="0.3"/>
  <cols>
    <col min="1" max="1" width="2.6640625" style="1" customWidth="1"/>
    <col min="2" max="2" width="20.6640625" style="3" customWidth="1"/>
    <col min="3" max="3" width="50.6640625" style="1" customWidth="1"/>
    <col min="4" max="4" width="15.6640625" style="4" customWidth="1"/>
    <col min="5" max="5" width="8.6640625" style="78" customWidth="1"/>
    <col min="6" max="6" width="15.6640625" style="4" customWidth="1"/>
    <col min="7" max="8" width="8.6640625" style="78" customWidth="1"/>
    <col min="9" max="9" width="15.6640625" style="4" customWidth="1"/>
    <col min="10" max="11" width="8.6640625" style="78" customWidth="1"/>
    <col min="12" max="12" width="15.6640625" style="4" customWidth="1"/>
    <col min="13" max="14" width="8.6640625" style="78" customWidth="1"/>
    <col min="15" max="15" width="15.6640625" style="4" customWidth="1"/>
    <col min="16" max="17" width="8.6640625" style="78" customWidth="1"/>
    <col min="18" max="18" width="15.6640625" style="4" customWidth="1"/>
    <col min="19" max="20" width="8.6640625" style="78" customWidth="1"/>
    <col min="21" max="21" width="15.6640625" style="4" customWidth="1"/>
    <col min="22" max="23" width="8.6640625" style="78" customWidth="1"/>
    <col min="24" max="24" width="15.6640625" style="4" customWidth="1"/>
    <col min="25" max="26" width="8.6640625" style="78" customWidth="1"/>
    <col min="27" max="27" width="15.6640625" style="4" customWidth="1"/>
    <col min="28" max="29" width="8.6640625" style="78" customWidth="1"/>
    <col min="30" max="30" width="15.6640625" style="4" customWidth="1"/>
    <col min="31" max="32" width="8.6640625" style="78" customWidth="1"/>
    <col min="33" max="33" width="15.6640625" style="4" customWidth="1"/>
    <col min="34" max="35" width="8.6640625" style="78" customWidth="1"/>
    <col min="36" max="36" width="15.6640625" style="4" customWidth="1"/>
    <col min="37" max="38" width="8.6640625" style="78" customWidth="1"/>
    <col min="39" max="39" width="15.6640625" style="4" customWidth="1" collapsed="1"/>
    <col min="40" max="41" width="8.6640625" style="78" customWidth="1"/>
    <col min="42" max="42" width="8.88671875" style="1"/>
    <col min="43" max="43" width="12.44140625" style="1" bestFit="1" customWidth="1"/>
    <col min="44" max="16384" width="8.88671875" style="1"/>
  </cols>
  <sheetData>
    <row r="2" spans="2:41" ht="13.8" x14ac:dyDescent="0.3">
      <c r="C2" s="17" t="s">
        <v>30</v>
      </c>
    </row>
    <row r="4" spans="2:41" ht="24.9" customHeight="1" x14ac:dyDescent="0.3">
      <c r="D4" s="20" t="s">
        <v>36</v>
      </c>
      <c r="E4" s="84" t="s">
        <v>47</v>
      </c>
      <c r="F4" s="20" t="s">
        <v>3</v>
      </c>
      <c r="G4" s="84" t="s">
        <v>47</v>
      </c>
      <c r="H4" s="84" t="s">
        <v>48</v>
      </c>
      <c r="I4" s="20" t="s">
        <v>4</v>
      </c>
      <c r="J4" s="84" t="s">
        <v>47</v>
      </c>
      <c r="K4" s="84" t="s">
        <v>48</v>
      </c>
      <c r="L4" s="20" t="s">
        <v>5</v>
      </c>
      <c r="M4" s="84" t="s">
        <v>47</v>
      </c>
      <c r="N4" s="84" t="s">
        <v>48</v>
      </c>
      <c r="O4" s="20" t="s">
        <v>6</v>
      </c>
      <c r="P4" s="84" t="s">
        <v>47</v>
      </c>
      <c r="Q4" s="84" t="s">
        <v>48</v>
      </c>
      <c r="R4" s="20" t="s">
        <v>7</v>
      </c>
      <c r="S4" s="84" t="s">
        <v>47</v>
      </c>
      <c r="T4" s="84" t="s">
        <v>48</v>
      </c>
      <c r="U4" s="20" t="s">
        <v>8</v>
      </c>
      <c r="V4" s="84" t="s">
        <v>47</v>
      </c>
      <c r="W4" s="84" t="s">
        <v>48</v>
      </c>
      <c r="X4" s="20" t="s">
        <v>9</v>
      </c>
      <c r="Y4" s="84" t="s">
        <v>47</v>
      </c>
      <c r="Z4" s="84" t="s">
        <v>48</v>
      </c>
      <c r="AA4" s="20" t="s">
        <v>10</v>
      </c>
      <c r="AB4" s="84" t="s">
        <v>47</v>
      </c>
      <c r="AC4" s="84" t="s">
        <v>48</v>
      </c>
      <c r="AD4" s="20" t="s">
        <v>11</v>
      </c>
      <c r="AE4" s="84" t="s">
        <v>47</v>
      </c>
      <c r="AF4" s="84" t="s">
        <v>48</v>
      </c>
      <c r="AG4" s="20" t="s">
        <v>12</v>
      </c>
      <c r="AH4" s="84" t="s">
        <v>47</v>
      </c>
      <c r="AI4" s="84" t="s">
        <v>48</v>
      </c>
      <c r="AJ4" s="20" t="s">
        <v>13</v>
      </c>
      <c r="AK4" s="84" t="s">
        <v>47</v>
      </c>
      <c r="AL4" s="84" t="s">
        <v>48</v>
      </c>
      <c r="AM4" s="20" t="s">
        <v>14</v>
      </c>
      <c r="AN4" s="84" t="s">
        <v>47</v>
      </c>
      <c r="AO4" s="84" t="s">
        <v>48</v>
      </c>
    </row>
    <row r="5" spans="2:41" ht="20.100000000000001" customHeight="1" x14ac:dyDescent="0.3">
      <c r="C5" s="21" t="s">
        <v>17</v>
      </c>
    </row>
    <row r="6" spans="2:41" ht="15" customHeight="1" x14ac:dyDescent="0.3">
      <c r="C6" s="9" t="s">
        <v>31</v>
      </c>
      <c r="D6" s="7"/>
      <c r="E6" s="79"/>
      <c r="F6" s="7"/>
      <c r="G6" s="79"/>
      <c r="H6" s="79"/>
      <c r="I6" s="7"/>
      <c r="J6" s="79"/>
      <c r="K6" s="79"/>
      <c r="L6" s="7"/>
      <c r="M6" s="79"/>
      <c r="N6" s="79"/>
      <c r="O6" s="7"/>
      <c r="P6" s="79"/>
      <c r="Q6" s="79"/>
      <c r="R6" s="7"/>
      <c r="S6" s="79"/>
      <c r="T6" s="79"/>
      <c r="U6" s="7"/>
      <c r="V6" s="79"/>
      <c r="W6" s="79"/>
      <c r="X6" s="7"/>
      <c r="Y6" s="79"/>
      <c r="Z6" s="79"/>
      <c r="AA6" s="7"/>
      <c r="AB6" s="79"/>
      <c r="AC6" s="79"/>
      <c r="AD6" s="7"/>
      <c r="AE6" s="79"/>
      <c r="AF6" s="79"/>
      <c r="AG6" s="7"/>
      <c r="AH6" s="79"/>
      <c r="AI6" s="79"/>
      <c r="AJ6" s="7"/>
      <c r="AK6" s="79"/>
      <c r="AL6" s="79"/>
      <c r="AM6" s="7"/>
      <c r="AN6" s="79"/>
      <c r="AO6" s="79"/>
    </row>
    <row r="7" spans="2:41" ht="15" customHeight="1" collapsed="1" x14ac:dyDescent="0.3">
      <c r="B7" s="3" t="s">
        <v>50</v>
      </c>
      <c r="C7" s="14" t="s">
        <v>56</v>
      </c>
      <c r="D7" s="4">
        <f>SUBTOTAL(9,D$8:D$14)</f>
        <v>0</v>
      </c>
      <c r="E7" s="78">
        <f t="shared" ref="E7:E13" ca="1" si="0">IFERROR($D7/$D$146,0)</f>
        <v>0</v>
      </c>
      <c r="F7" s="4">
        <f ca="1">SUBTOTAL(9,F$8:F$14)</f>
        <v>1396034.98</v>
      </c>
      <c r="G7" s="78">
        <f t="shared" ref="G7:G13" ca="1" si="1">IFERROR($F7/$F$146,0)</f>
        <v>1.67E-2</v>
      </c>
      <c r="H7" s="78">
        <f ca="1">IFERROR(($F7-$D7)/ABS($D7),0)</f>
        <v>0</v>
      </c>
      <c r="I7" s="4">
        <f ca="1">SUBTOTAL(9,I$8:I$14)</f>
        <v>1324687.06</v>
      </c>
      <c r="J7" s="78">
        <f t="shared" ref="J7:J13" ca="1" si="2">IFERROR($I7/$I$146,0)</f>
        <v>1.5900000000000001E-2</v>
      </c>
      <c r="K7" s="78">
        <f ca="1">IFERROR(($I7-$F7)/ABS($F7),0)</f>
        <v>-5.11E-2</v>
      </c>
      <c r="L7" s="4">
        <f ca="1">SUBTOTAL(9,L$8:L$14)</f>
        <v>866291.35</v>
      </c>
      <c r="M7" s="78">
        <f t="shared" ref="M7:M13" ca="1" si="3">IFERROR($L7/$L$146,0)</f>
        <v>1.04E-2</v>
      </c>
      <c r="N7" s="78">
        <f ca="1">IFERROR(($L7-$I7)/ABS($I7),0)</f>
        <v>-0.34599999999999997</v>
      </c>
      <c r="O7" s="4">
        <f ca="1">SUBTOTAL(9,O$8:O$14)</f>
        <v>1193079.8400000001</v>
      </c>
      <c r="P7" s="78">
        <f t="shared" ref="P7:P13" ca="1" si="4">IFERROR($O7/$O$146,0)</f>
        <v>1.43E-2</v>
      </c>
      <c r="Q7" s="78">
        <f ca="1">IFERROR(($O7-$L7)/ABS($L7),0)</f>
        <v>0.37719999999999998</v>
      </c>
      <c r="R7" s="4">
        <f ca="1">SUBTOTAL(9,R$8:R$14)</f>
        <v>1040827.89</v>
      </c>
      <c r="S7" s="78">
        <f t="shared" ref="S7:S13" ca="1" si="5">IFERROR($R7/$R$146,0)</f>
        <v>1.24E-2</v>
      </c>
      <c r="T7" s="78">
        <f ca="1">IFERROR(($R7-$O7)/ABS($O7),0)</f>
        <v>-0.12759999999999999</v>
      </c>
      <c r="U7" s="4">
        <f ca="1">SUBTOTAL(9,U$8:U$14)</f>
        <v>899982.51</v>
      </c>
      <c r="V7" s="78">
        <f t="shared" ref="V7:V13" ca="1" si="6">IFERROR($U7/$U$146,0)</f>
        <v>1.0699999999999999E-2</v>
      </c>
      <c r="W7" s="78">
        <f ca="1">IFERROR(($U7-$R7)/ABS($R7),0)</f>
        <v>-0.1353</v>
      </c>
      <c r="X7" s="4">
        <f ca="1">SUBTOTAL(9,X$8:X$14)</f>
        <v>1054727.3500000001</v>
      </c>
      <c r="Y7" s="78">
        <f t="shared" ref="Y7:Y13" ca="1" si="7">IFERROR($X7/$X$146,0)</f>
        <v>1.24E-2</v>
      </c>
      <c r="Z7" s="78">
        <f ca="1">IFERROR(($X7-$U7)/ABS($U7),0)</f>
        <v>0.1719</v>
      </c>
      <c r="AA7" s="4">
        <f ca="1">SUBTOTAL(9,AA$8:AA$14)</f>
        <v>1095717.71</v>
      </c>
      <c r="AB7" s="78">
        <f t="shared" ref="AB7:AB13" ca="1" si="8">IFERROR($AA7/$AA$146,0)</f>
        <v>1.29E-2</v>
      </c>
      <c r="AC7" s="78">
        <f ca="1">IFERROR(($AA7-$X7)/ABS($X7),0)</f>
        <v>3.8899999999999997E-2</v>
      </c>
      <c r="AD7" s="4">
        <f ca="1">SUBTOTAL(9,AD$8:AD$14)</f>
        <v>1049200.8</v>
      </c>
      <c r="AE7" s="78">
        <f t="shared" ref="AE7:AE13" ca="1" si="9">IFERROR($AD7/$AD$146,0)</f>
        <v>1.23E-2</v>
      </c>
      <c r="AF7" s="78">
        <f ca="1">IFERROR(($AD7-$AA7)/ABS($AA7),0)</f>
        <v>-4.2500000000000003E-2</v>
      </c>
      <c r="AG7" s="4">
        <f ca="1">SUBTOTAL(9,AG$8:AG$14)</f>
        <v>1037217.56</v>
      </c>
      <c r="AH7" s="78">
        <f t="shared" ref="AH7:AH13" ca="1" si="10">IFERROR($AG7/$AG$146,0)</f>
        <v>1.2200000000000001E-2</v>
      </c>
      <c r="AI7" s="78">
        <f ca="1">IFERROR(($AG7-$AD7)/ABS($AD7),0)</f>
        <v>-1.14E-2</v>
      </c>
      <c r="AJ7" s="4">
        <f ca="1">SUBTOTAL(9,AJ$8:AJ$14)</f>
        <v>833406.21</v>
      </c>
      <c r="AK7" s="78">
        <f t="shared" ref="AK7:AK13" ca="1" si="11">IFERROR($AJ7/$AJ$146,0)</f>
        <v>9.7000000000000003E-3</v>
      </c>
      <c r="AL7" s="78">
        <f ca="1">IFERROR(($AJ7-$AG7)/ABS($AG7),0)</f>
        <v>-0.19650000000000001</v>
      </c>
      <c r="AM7" s="4">
        <f ca="1">SUBTOTAL(9,AM$8:AM$14)</f>
        <v>350148.93</v>
      </c>
      <c r="AN7" s="78">
        <f t="shared" ref="AN7:AN13" ca="1" si="12">IFERROR(AM7/AM$146,0)</f>
        <v>4.1000000000000003E-3</v>
      </c>
      <c r="AO7" s="78">
        <f ca="1">IFERROR(($AM7-$AJ7)/ABS($AJ7),0)</f>
        <v>-0.57989999999999997</v>
      </c>
    </row>
    <row r="8" spans="2:41" ht="15" hidden="1" customHeight="1" outlineLevel="1" x14ac:dyDescent="0.3">
      <c r="B8" s="14" t="s">
        <v>344</v>
      </c>
      <c r="C8" s="15" t="s">
        <v>56</v>
      </c>
      <c r="D8" s="4">
        <f>-SUMIFS(Tab_99.Trial[DEZEMBRO],Tab_99.Trial[CONTA],$B8)</f>
        <v>0</v>
      </c>
      <c r="E8" s="78">
        <f t="shared" ca="1" si="0"/>
        <v>0</v>
      </c>
      <c r="F8" s="4">
        <f ca="1">-SUMIFS(INDIRECT("Tab_00.Trial["&amp;F$4&amp;"]"),Tab_00.Trial[CONTA],$B8)</f>
        <v>646686.39</v>
      </c>
      <c r="G8" s="78">
        <f t="shared" ca="1" si="1"/>
        <v>7.7000000000000002E-3</v>
      </c>
      <c r="H8" s="78">
        <f ca="1">IFERROR(($F8-$D8)/ABS($D8),0)</f>
        <v>0</v>
      </c>
      <c r="I8" s="4">
        <f ca="1">-SUMIFS(INDIRECT("Tab_00.Trial["&amp;I$4&amp;"]"),Tab_00.Trial[CONTA],$B8)</f>
        <v>575338.47</v>
      </c>
      <c r="J8" s="78">
        <f t="shared" ca="1" si="2"/>
        <v>6.8999999999999999E-3</v>
      </c>
      <c r="K8" s="78">
        <f ca="1">IFERROR(($I8-$F8)/ABS($F8),0)</f>
        <v>-0.1103</v>
      </c>
      <c r="L8" s="4">
        <f ca="1">-SUMIFS(INDIRECT("Tab_00.Trial["&amp;L$4&amp;"]"),Tab_00.Trial[CONTA],$B8)</f>
        <v>116942.76</v>
      </c>
      <c r="M8" s="78">
        <f t="shared" ca="1" si="3"/>
        <v>1.4E-3</v>
      </c>
      <c r="N8" s="78">
        <f ca="1">IFERROR(($L8-$I8)/ABS($I8),0)</f>
        <v>-0.79669999999999996</v>
      </c>
      <c r="O8" s="4">
        <f ca="1">-SUMIFS(INDIRECT("Tab_00.Trial["&amp;O$4&amp;"]"),Tab_00.Trial[CONTA],$B8)</f>
        <v>443731.25</v>
      </c>
      <c r="P8" s="78">
        <f t="shared" ca="1" si="4"/>
        <v>5.3E-3</v>
      </c>
      <c r="Q8" s="78">
        <f ca="1">IFERROR(($O8-$L8)/ABS($L8),0)</f>
        <v>2.7944</v>
      </c>
      <c r="R8" s="4">
        <f ca="1">-SUMIFS(INDIRECT("Tab_00.Trial["&amp;R$4&amp;"]"),Tab_00.Trial[CONTA],$B8)</f>
        <v>84531.28</v>
      </c>
      <c r="S8" s="78">
        <f t="shared" ca="1" si="5"/>
        <v>1E-3</v>
      </c>
      <c r="T8" s="78">
        <f ca="1">IFERROR(($R8-$O8)/ABS($O8),0)</f>
        <v>-0.8095</v>
      </c>
      <c r="U8" s="4">
        <f ca="1">-SUMIFS(INDIRECT("Tab_00.Trial["&amp;U$4&amp;"]"),Tab_00.Trial[CONTA],$B8)</f>
        <v>90941.77</v>
      </c>
      <c r="V8" s="78">
        <f t="shared" ca="1" si="6"/>
        <v>1.1000000000000001E-3</v>
      </c>
      <c r="W8" s="78">
        <f ca="1">IFERROR(($U8-$R8)/ABS($R8),0)</f>
        <v>7.5800000000000006E-2</v>
      </c>
      <c r="X8" s="4">
        <f ca="1">-SUMIFS(INDIRECT("Tab_00.Trial["&amp;X$4&amp;"]"),Tab_00.Trial[CONTA],$B8)</f>
        <v>60413.4</v>
      </c>
      <c r="Y8" s="78">
        <f t="shared" ca="1" si="7"/>
        <v>6.9999999999999999E-4</v>
      </c>
      <c r="Z8" s="78">
        <f ca="1">IFERROR(($X8-$U8)/ABS($U8),0)</f>
        <v>-0.3357</v>
      </c>
      <c r="AA8" s="4">
        <f ca="1">-SUMIFS(INDIRECT("Tab_00.Trial["&amp;AA$4&amp;"]"),Tab_00.Trial[CONTA],$B8)</f>
        <v>59317.56</v>
      </c>
      <c r="AB8" s="78">
        <f t="shared" ca="1" si="8"/>
        <v>6.9999999999999999E-4</v>
      </c>
      <c r="AC8" s="78">
        <f ca="1">IFERROR(($AA8-$X8)/ABS($X8),0)</f>
        <v>-1.8100000000000002E-2</v>
      </c>
      <c r="AD8" s="4">
        <f ca="1">-SUMIFS(INDIRECT("Tab_00.Trial["&amp;AD$4&amp;"]"),Tab_00.Trial[CONTA],$B8)</f>
        <v>55466.22</v>
      </c>
      <c r="AE8" s="78">
        <f t="shared" ca="1" si="9"/>
        <v>6.9999999999999999E-4</v>
      </c>
      <c r="AF8" s="78">
        <f ca="1">IFERROR(($AD8-$AA8)/ABS($AA8),0)</f>
        <v>-6.4899999999999999E-2</v>
      </c>
      <c r="AG8" s="4">
        <f ca="1">-SUMIFS(INDIRECT("Tab_00.Trial["&amp;AG$4&amp;"]"),Tab_00.Trial[CONTA],$B8)</f>
        <v>287868.96999999997</v>
      </c>
      <c r="AH8" s="78">
        <f t="shared" ca="1" si="10"/>
        <v>3.3999999999999998E-3</v>
      </c>
      <c r="AI8" s="78">
        <f ca="1">IFERROR(($AG8-$AD8)/ABS($AD8),0)</f>
        <v>4.1900000000000004</v>
      </c>
      <c r="AJ8" s="4">
        <f ca="1">-SUMIFS(INDIRECT("Tab_00.Trial["&amp;AJ$4&amp;"]"),Tab_00.Trial[CONTA],$B8)</f>
        <v>84057.62</v>
      </c>
      <c r="AK8" s="78">
        <f t="shared" ca="1" si="11"/>
        <v>1E-3</v>
      </c>
      <c r="AL8" s="78">
        <f ca="1">IFERROR(($AJ8-$AG8)/ABS($AG8),0)</f>
        <v>-0.70799999999999996</v>
      </c>
      <c r="AM8" s="4">
        <f ca="1">-SUMIFS(INDIRECT("Tab_00.Trial["&amp;AM$4&amp;"]"),Tab_00.Trial[CONTA],$B8)</f>
        <v>41942.61</v>
      </c>
      <c r="AN8" s="78">
        <f t="shared" ca="1" si="12"/>
        <v>5.0000000000000001E-4</v>
      </c>
      <c r="AO8" s="78">
        <f ca="1">IFERROR(($AM8-$AJ8)/ABS($AJ8),0)</f>
        <v>-0.501</v>
      </c>
    </row>
    <row r="9" spans="2:41" ht="15" hidden="1" customHeight="1" outlineLevel="1" x14ac:dyDescent="0.3">
      <c r="B9" s="14" t="s">
        <v>345</v>
      </c>
      <c r="C9" s="15" t="s">
        <v>346</v>
      </c>
      <c r="D9" s="4">
        <f>-SUMIFS(Tab_99.Trial[DEZEMBRO],Tab_99.Trial[CONTA],$B9)</f>
        <v>0</v>
      </c>
      <c r="E9" s="78">
        <f t="shared" ca="1" si="0"/>
        <v>0</v>
      </c>
      <c r="F9" s="4">
        <f ca="1">-SUMIFS(INDIRECT("Tab_00.Trial["&amp;F$4&amp;"]"),Tab_00.Trial[CONTA],$B9)</f>
        <v>749348.59</v>
      </c>
      <c r="G9" s="78">
        <f t="shared" ca="1" si="1"/>
        <v>8.8999999999999999E-3</v>
      </c>
      <c r="H9" s="78">
        <f t="shared" ref="H9:H13" ca="1" si="13">IFERROR(($F9-$D9)/ABS($D9),0)</f>
        <v>0</v>
      </c>
      <c r="I9" s="4">
        <f ca="1">-SUMIFS(INDIRECT("Tab_00.Trial["&amp;I$4&amp;"]"),Tab_00.Trial[CONTA],$B9)</f>
        <v>749348.59</v>
      </c>
      <c r="J9" s="78">
        <f t="shared" ca="1" si="2"/>
        <v>8.9999999999999993E-3</v>
      </c>
      <c r="K9" s="78">
        <f t="shared" ref="K9:K13" ca="1" si="14">IFERROR(($I9-$F9)/ABS($F9),0)</f>
        <v>0</v>
      </c>
      <c r="L9" s="4">
        <f ca="1">-SUMIFS(INDIRECT("Tab_00.Trial["&amp;L$4&amp;"]"),Tab_00.Trial[CONTA],$B9)</f>
        <v>749348.59</v>
      </c>
      <c r="M9" s="78">
        <f t="shared" ca="1" si="3"/>
        <v>8.9999999999999993E-3</v>
      </c>
      <c r="N9" s="78">
        <f t="shared" ref="N9:N13" ca="1" si="15">IFERROR(($L9-$I9)/ABS($I9),0)</f>
        <v>0</v>
      </c>
      <c r="O9" s="4">
        <f ca="1">-SUMIFS(INDIRECT("Tab_00.Trial["&amp;O$4&amp;"]"),Tab_00.Trial[CONTA],$B9)</f>
        <v>749348.59</v>
      </c>
      <c r="P9" s="78">
        <f t="shared" ca="1" si="4"/>
        <v>8.9999999999999993E-3</v>
      </c>
      <c r="Q9" s="78">
        <f t="shared" ref="Q9:Q13" ca="1" si="16">IFERROR(($O9-$L9)/ABS($L9),0)</f>
        <v>0</v>
      </c>
      <c r="R9" s="4">
        <f ca="1">-SUMIFS(INDIRECT("Tab_00.Trial["&amp;R$4&amp;"]"),Tab_00.Trial[CONTA],$B9)</f>
        <v>956296.61</v>
      </c>
      <c r="S9" s="78">
        <f t="shared" ca="1" si="5"/>
        <v>1.14E-2</v>
      </c>
      <c r="T9" s="78">
        <f t="shared" ref="T9:T13" ca="1" si="17">IFERROR(($R9-$O9)/ABS($O9),0)</f>
        <v>0.2762</v>
      </c>
      <c r="U9" s="4">
        <f ca="1">-SUMIFS(INDIRECT("Tab_00.Trial["&amp;U$4&amp;"]"),Tab_00.Trial[CONTA],$B9)</f>
        <v>809040.74</v>
      </c>
      <c r="V9" s="78">
        <f t="shared" ca="1" si="6"/>
        <v>9.5999999999999992E-3</v>
      </c>
      <c r="W9" s="78">
        <f t="shared" ref="W9:W13" ca="1" si="18">IFERROR(($U9-$R9)/ABS($R9),0)</f>
        <v>-0.154</v>
      </c>
      <c r="X9" s="4">
        <f ca="1">-SUMIFS(INDIRECT("Tab_00.Trial["&amp;X$4&amp;"]"),Tab_00.Trial[CONTA],$B9)</f>
        <v>994313.95</v>
      </c>
      <c r="Y9" s="78">
        <f t="shared" ca="1" si="7"/>
        <v>1.17E-2</v>
      </c>
      <c r="Z9" s="78">
        <f t="shared" ref="Z9:Z13" ca="1" si="19">IFERROR(($X9-$U9)/ABS($U9),0)</f>
        <v>0.22900000000000001</v>
      </c>
      <c r="AA9" s="4">
        <f ca="1">-SUMIFS(INDIRECT("Tab_00.Trial["&amp;AA$4&amp;"]"),Tab_00.Trial[CONTA],$B9)</f>
        <v>1036400.15</v>
      </c>
      <c r="AB9" s="78">
        <f t="shared" ca="1" si="8"/>
        <v>1.2200000000000001E-2</v>
      </c>
      <c r="AC9" s="78">
        <f t="shared" ref="AC9:AC13" ca="1" si="20">IFERROR(($AA9-$X9)/ABS($X9),0)</f>
        <v>4.2299999999999997E-2</v>
      </c>
      <c r="AD9" s="4">
        <f ca="1">-SUMIFS(INDIRECT("Tab_00.Trial["&amp;AD$4&amp;"]"),Tab_00.Trial[CONTA],$B9)</f>
        <v>993734.58</v>
      </c>
      <c r="AE9" s="78">
        <f t="shared" ca="1" si="9"/>
        <v>1.17E-2</v>
      </c>
      <c r="AF9" s="78">
        <f t="shared" ref="AF9:AF13" ca="1" si="21">IFERROR(($AD9-$AA9)/ABS($AA9),0)</f>
        <v>-4.1200000000000001E-2</v>
      </c>
      <c r="AG9" s="4">
        <f ca="1">-SUMIFS(INDIRECT("Tab_00.Trial["&amp;AG$4&amp;"]"),Tab_00.Trial[CONTA],$B9)</f>
        <v>749348.59</v>
      </c>
      <c r="AH9" s="78">
        <f t="shared" ca="1" si="10"/>
        <v>8.8000000000000005E-3</v>
      </c>
      <c r="AI9" s="78">
        <f t="shared" ref="AI9:AI13" ca="1" si="22">IFERROR(($AG9-$AD9)/ABS($AD9),0)</f>
        <v>-0.24590000000000001</v>
      </c>
      <c r="AJ9" s="4">
        <f ca="1">-SUMIFS(INDIRECT("Tab_00.Trial["&amp;AJ$4&amp;"]"),Tab_00.Trial[CONTA],$B9)</f>
        <v>749348.59</v>
      </c>
      <c r="AK9" s="78">
        <f t="shared" ca="1" si="11"/>
        <v>8.6999999999999994E-3</v>
      </c>
      <c r="AL9" s="78">
        <f t="shared" ref="AL9:AL13" ca="1" si="23">IFERROR(($AJ9-$AG9)/ABS($AG9),0)</f>
        <v>0</v>
      </c>
      <c r="AM9" s="4">
        <f ca="1">-SUMIFS(INDIRECT("Tab_00.Trial["&amp;AM$4&amp;"]"),Tab_00.Trial[CONTA],$B9)</f>
        <v>308206.32</v>
      </c>
      <c r="AN9" s="78">
        <f t="shared" ca="1" si="12"/>
        <v>3.5999999999999999E-3</v>
      </c>
      <c r="AO9" s="78">
        <f t="shared" ref="AO9:AO13" ca="1" si="24">IFERROR(($AM9-$AJ9)/ABS($AJ9),0)</f>
        <v>-0.5887</v>
      </c>
    </row>
    <row r="10" spans="2:41" ht="15" hidden="1" customHeight="1" outlineLevel="1" x14ac:dyDescent="0.3">
      <c r="B10" s="14"/>
      <c r="C10" s="15"/>
      <c r="D10" s="4">
        <f>-SUMIFS(Tab_99.Trial[DEZEMBRO],Tab_99.Trial[CONTA],$B10)</f>
        <v>0</v>
      </c>
      <c r="E10" s="78">
        <f t="shared" ca="1" si="0"/>
        <v>0</v>
      </c>
      <c r="F10" s="4">
        <f ca="1">-SUMIFS(INDIRECT("Tab_00.Trial["&amp;F$4&amp;"]"),Tab_00.Trial[CONTA],$B10)</f>
        <v>0</v>
      </c>
      <c r="G10" s="78">
        <f t="shared" ca="1" si="1"/>
        <v>0</v>
      </c>
      <c r="H10" s="78">
        <f t="shared" ca="1" si="13"/>
        <v>0</v>
      </c>
      <c r="I10" s="4">
        <f ca="1">-SUMIFS(INDIRECT("Tab_00.Trial["&amp;I$4&amp;"]"),Tab_00.Trial[CONTA],$B10)</f>
        <v>0</v>
      </c>
      <c r="J10" s="78">
        <f t="shared" ca="1" si="2"/>
        <v>0</v>
      </c>
      <c r="K10" s="78">
        <f t="shared" ca="1" si="14"/>
        <v>0</v>
      </c>
      <c r="L10" s="4">
        <f ca="1">-SUMIFS(INDIRECT("Tab_00.Trial["&amp;L$4&amp;"]"),Tab_00.Trial[CONTA],$B10)</f>
        <v>0</v>
      </c>
      <c r="M10" s="78">
        <f t="shared" ca="1" si="3"/>
        <v>0</v>
      </c>
      <c r="N10" s="78">
        <f t="shared" ca="1" si="15"/>
        <v>0</v>
      </c>
      <c r="O10" s="4">
        <f ca="1">-SUMIFS(INDIRECT("Tab_00.Trial["&amp;O$4&amp;"]"),Tab_00.Trial[CONTA],$B10)</f>
        <v>0</v>
      </c>
      <c r="P10" s="78">
        <f t="shared" ca="1" si="4"/>
        <v>0</v>
      </c>
      <c r="Q10" s="78">
        <f t="shared" ca="1" si="16"/>
        <v>0</v>
      </c>
      <c r="R10" s="4">
        <f ca="1">-SUMIFS(INDIRECT("Tab_00.Trial["&amp;R$4&amp;"]"),Tab_00.Trial[CONTA],$B10)</f>
        <v>0</v>
      </c>
      <c r="S10" s="78">
        <f t="shared" ca="1" si="5"/>
        <v>0</v>
      </c>
      <c r="T10" s="78">
        <f t="shared" ca="1" si="17"/>
        <v>0</v>
      </c>
      <c r="U10" s="4">
        <f ca="1">-SUMIFS(INDIRECT("Tab_00.Trial["&amp;U$4&amp;"]"),Tab_00.Trial[CONTA],$B10)</f>
        <v>0</v>
      </c>
      <c r="V10" s="78">
        <f t="shared" ca="1" si="6"/>
        <v>0</v>
      </c>
      <c r="W10" s="78">
        <f t="shared" ca="1" si="18"/>
        <v>0</v>
      </c>
      <c r="X10" s="4">
        <f ca="1">-SUMIFS(INDIRECT("Tab_00.Trial["&amp;X$4&amp;"]"),Tab_00.Trial[CONTA],$B10)</f>
        <v>0</v>
      </c>
      <c r="Y10" s="78">
        <f t="shared" ca="1" si="7"/>
        <v>0</v>
      </c>
      <c r="Z10" s="78">
        <f t="shared" ca="1" si="19"/>
        <v>0</v>
      </c>
      <c r="AA10" s="4">
        <f ca="1">-SUMIFS(INDIRECT("Tab_00.Trial["&amp;AA$4&amp;"]"),Tab_00.Trial[CONTA],$B10)</f>
        <v>0</v>
      </c>
      <c r="AB10" s="78">
        <f t="shared" ca="1" si="8"/>
        <v>0</v>
      </c>
      <c r="AC10" s="78">
        <f t="shared" ca="1" si="20"/>
        <v>0</v>
      </c>
      <c r="AD10" s="4">
        <f ca="1">-SUMIFS(INDIRECT("Tab_00.Trial["&amp;AD$4&amp;"]"),Tab_00.Trial[CONTA],$B10)</f>
        <v>0</v>
      </c>
      <c r="AE10" s="78">
        <f t="shared" ca="1" si="9"/>
        <v>0</v>
      </c>
      <c r="AF10" s="78">
        <f t="shared" ca="1" si="21"/>
        <v>0</v>
      </c>
      <c r="AG10" s="4">
        <f ca="1">-SUMIFS(INDIRECT("Tab_00.Trial["&amp;AG$4&amp;"]"),Tab_00.Trial[CONTA],$B10)</f>
        <v>0</v>
      </c>
      <c r="AH10" s="78">
        <f t="shared" ca="1" si="10"/>
        <v>0</v>
      </c>
      <c r="AI10" s="78">
        <f t="shared" ca="1" si="22"/>
        <v>0</v>
      </c>
      <c r="AJ10" s="4">
        <f ca="1">-SUMIFS(INDIRECT("Tab_00.Trial["&amp;AJ$4&amp;"]"),Tab_00.Trial[CONTA],$B10)</f>
        <v>0</v>
      </c>
      <c r="AK10" s="78">
        <f t="shared" ca="1" si="11"/>
        <v>0</v>
      </c>
      <c r="AL10" s="78">
        <f t="shared" ca="1" si="23"/>
        <v>0</v>
      </c>
      <c r="AM10" s="4">
        <f ca="1">-SUMIFS(INDIRECT("Tab_00.Trial["&amp;AM$4&amp;"]"),Tab_00.Trial[CONTA],$B10)</f>
        <v>0</v>
      </c>
      <c r="AN10" s="78">
        <f t="shared" ca="1" si="12"/>
        <v>0</v>
      </c>
      <c r="AO10" s="78">
        <f t="shared" ca="1" si="24"/>
        <v>0</v>
      </c>
    </row>
    <row r="11" spans="2:41" ht="15" hidden="1" customHeight="1" outlineLevel="1" x14ac:dyDescent="0.3">
      <c r="B11" s="14"/>
      <c r="C11" s="15"/>
      <c r="D11" s="4">
        <f>-SUMIFS(Tab_99.Trial[DEZEMBRO],Tab_99.Trial[CONTA],$B11)</f>
        <v>0</v>
      </c>
      <c r="E11" s="78">
        <f t="shared" ca="1" si="0"/>
        <v>0</v>
      </c>
      <c r="F11" s="4">
        <f ca="1">-SUMIFS(INDIRECT("Tab_00.Trial["&amp;F$4&amp;"]"),Tab_00.Trial[CONTA],$B11)</f>
        <v>0</v>
      </c>
      <c r="G11" s="78">
        <f t="shared" ca="1" si="1"/>
        <v>0</v>
      </c>
      <c r="H11" s="78">
        <f t="shared" ca="1" si="13"/>
        <v>0</v>
      </c>
      <c r="I11" s="4">
        <f ca="1">-SUMIFS(INDIRECT("Tab_00.Trial["&amp;I$4&amp;"]"),Tab_00.Trial[CONTA],$B11)</f>
        <v>0</v>
      </c>
      <c r="J11" s="78">
        <f t="shared" ca="1" si="2"/>
        <v>0</v>
      </c>
      <c r="K11" s="78">
        <f t="shared" ca="1" si="14"/>
        <v>0</v>
      </c>
      <c r="L11" s="4">
        <f ca="1">-SUMIFS(INDIRECT("Tab_00.Trial["&amp;L$4&amp;"]"),Tab_00.Trial[CONTA],$B11)</f>
        <v>0</v>
      </c>
      <c r="M11" s="78">
        <f t="shared" ca="1" si="3"/>
        <v>0</v>
      </c>
      <c r="N11" s="78">
        <f t="shared" ca="1" si="15"/>
        <v>0</v>
      </c>
      <c r="O11" s="4">
        <f ca="1">-SUMIFS(INDIRECT("Tab_00.Trial["&amp;O$4&amp;"]"),Tab_00.Trial[CONTA],$B11)</f>
        <v>0</v>
      </c>
      <c r="P11" s="78">
        <f t="shared" ca="1" si="4"/>
        <v>0</v>
      </c>
      <c r="Q11" s="78">
        <f t="shared" ca="1" si="16"/>
        <v>0</v>
      </c>
      <c r="R11" s="4">
        <f ca="1">-SUMIFS(INDIRECT("Tab_00.Trial["&amp;R$4&amp;"]"),Tab_00.Trial[CONTA],$B11)</f>
        <v>0</v>
      </c>
      <c r="S11" s="78">
        <f t="shared" ca="1" si="5"/>
        <v>0</v>
      </c>
      <c r="T11" s="78">
        <f t="shared" ca="1" si="17"/>
        <v>0</v>
      </c>
      <c r="U11" s="4">
        <f ca="1">-SUMIFS(INDIRECT("Tab_00.Trial["&amp;U$4&amp;"]"),Tab_00.Trial[CONTA],$B11)</f>
        <v>0</v>
      </c>
      <c r="V11" s="78">
        <f t="shared" ca="1" si="6"/>
        <v>0</v>
      </c>
      <c r="W11" s="78">
        <f t="shared" ca="1" si="18"/>
        <v>0</v>
      </c>
      <c r="X11" s="4">
        <f ca="1">-SUMIFS(INDIRECT("Tab_00.Trial["&amp;X$4&amp;"]"),Tab_00.Trial[CONTA],$B11)</f>
        <v>0</v>
      </c>
      <c r="Y11" s="78">
        <f t="shared" ca="1" si="7"/>
        <v>0</v>
      </c>
      <c r="Z11" s="78">
        <f t="shared" ca="1" si="19"/>
        <v>0</v>
      </c>
      <c r="AA11" s="4">
        <f ca="1">-SUMIFS(INDIRECT("Tab_00.Trial["&amp;AA$4&amp;"]"),Tab_00.Trial[CONTA],$B11)</f>
        <v>0</v>
      </c>
      <c r="AB11" s="78">
        <f t="shared" ca="1" si="8"/>
        <v>0</v>
      </c>
      <c r="AC11" s="78">
        <f t="shared" ca="1" si="20"/>
        <v>0</v>
      </c>
      <c r="AD11" s="4">
        <f ca="1">-SUMIFS(INDIRECT("Tab_00.Trial["&amp;AD$4&amp;"]"),Tab_00.Trial[CONTA],$B11)</f>
        <v>0</v>
      </c>
      <c r="AE11" s="78">
        <f t="shared" ca="1" si="9"/>
        <v>0</v>
      </c>
      <c r="AF11" s="78">
        <f t="shared" ca="1" si="21"/>
        <v>0</v>
      </c>
      <c r="AG11" s="4">
        <f ca="1">-SUMIFS(INDIRECT("Tab_00.Trial["&amp;AG$4&amp;"]"),Tab_00.Trial[CONTA],$B11)</f>
        <v>0</v>
      </c>
      <c r="AH11" s="78">
        <f t="shared" ca="1" si="10"/>
        <v>0</v>
      </c>
      <c r="AI11" s="78">
        <f t="shared" ca="1" si="22"/>
        <v>0</v>
      </c>
      <c r="AJ11" s="4">
        <f ca="1">-SUMIFS(INDIRECT("Tab_00.Trial["&amp;AJ$4&amp;"]"),Tab_00.Trial[CONTA],$B11)</f>
        <v>0</v>
      </c>
      <c r="AK11" s="78">
        <f t="shared" ca="1" si="11"/>
        <v>0</v>
      </c>
      <c r="AL11" s="78">
        <f t="shared" ca="1" si="23"/>
        <v>0</v>
      </c>
      <c r="AM11" s="4">
        <f ca="1">-SUMIFS(INDIRECT("Tab_00.Trial["&amp;AM$4&amp;"]"),Tab_00.Trial[CONTA],$B11)</f>
        <v>0</v>
      </c>
      <c r="AN11" s="78">
        <f t="shared" ca="1" si="12"/>
        <v>0</v>
      </c>
      <c r="AO11" s="78">
        <f t="shared" ca="1" si="24"/>
        <v>0</v>
      </c>
    </row>
    <row r="12" spans="2:41" ht="15" hidden="1" customHeight="1" outlineLevel="1" x14ac:dyDescent="0.3">
      <c r="B12" s="14"/>
      <c r="C12" s="15"/>
      <c r="D12" s="4">
        <f>-SUMIFS(Tab_99.Trial[DEZEMBRO],Tab_99.Trial[CONTA],$B12)</f>
        <v>0</v>
      </c>
      <c r="E12" s="78">
        <f t="shared" ca="1" si="0"/>
        <v>0</v>
      </c>
      <c r="F12" s="4">
        <f ca="1">-SUMIFS(INDIRECT("Tab_00.Trial["&amp;F$4&amp;"]"),Tab_00.Trial[CONTA],$B12)</f>
        <v>0</v>
      </c>
      <c r="G12" s="78">
        <f t="shared" ca="1" si="1"/>
        <v>0</v>
      </c>
      <c r="H12" s="78">
        <f t="shared" ca="1" si="13"/>
        <v>0</v>
      </c>
      <c r="I12" s="4">
        <f ca="1">-SUMIFS(INDIRECT("Tab_00.Trial["&amp;I$4&amp;"]"),Tab_00.Trial[CONTA],$B12)</f>
        <v>0</v>
      </c>
      <c r="J12" s="78">
        <f t="shared" ca="1" si="2"/>
        <v>0</v>
      </c>
      <c r="K12" s="78">
        <f t="shared" ca="1" si="14"/>
        <v>0</v>
      </c>
      <c r="L12" s="4">
        <f ca="1">-SUMIFS(INDIRECT("Tab_00.Trial["&amp;L$4&amp;"]"),Tab_00.Trial[CONTA],$B12)</f>
        <v>0</v>
      </c>
      <c r="M12" s="78">
        <f t="shared" ca="1" si="3"/>
        <v>0</v>
      </c>
      <c r="N12" s="78">
        <f t="shared" ca="1" si="15"/>
        <v>0</v>
      </c>
      <c r="O12" s="4">
        <f ca="1">-SUMIFS(INDIRECT("Tab_00.Trial["&amp;O$4&amp;"]"),Tab_00.Trial[CONTA],$B12)</f>
        <v>0</v>
      </c>
      <c r="P12" s="78">
        <f t="shared" ca="1" si="4"/>
        <v>0</v>
      </c>
      <c r="Q12" s="78">
        <f t="shared" ca="1" si="16"/>
        <v>0</v>
      </c>
      <c r="R12" s="4">
        <f ca="1">-SUMIFS(INDIRECT("Tab_00.Trial["&amp;R$4&amp;"]"),Tab_00.Trial[CONTA],$B12)</f>
        <v>0</v>
      </c>
      <c r="S12" s="78">
        <f t="shared" ca="1" si="5"/>
        <v>0</v>
      </c>
      <c r="T12" s="78">
        <f t="shared" ca="1" si="17"/>
        <v>0</v>
      </c>
      <c r="U12" s="4">
        <f ca="1">-SUMIFS(INDIRECT("Tab_00.Trial["&amp;U$4&amp;"]"),Tab_00.Trial[CONTA],$B12)</f>
        <v>0</v>
      </c>
      <c r="V12" s="78">
        <f t="shared" ca="1" si="6"/>
        <v>0</v>
      </c>
      <c r="W12" s="78">
        <f t="shared" ca="1" si="18"/>
        <v>0</v>
      </c>
      <c r="X12" s="4">
        <f ca="1">-SUMIFS(INDIRECT("Tab_00.Trial["&amp;X$4&amp;"]"),Tab_00.Trial[CONTA],$B12)</f>
        <v>0</v>
      </c>
      <c r="Y12" s="78">
        <f t="shared" ca="1" si="7"/>
        <v>0</v>
      </c>
      <c r="Z12" s="78">
        <f t="shared" ca="1" si="19"/>
        <v>0</v>
      </c>
      <c r="AA12" s="4">
        <f ca="1">-SUMIFS(INDIRECT("Tab_00.Trial["&amp;AA$4&amp;"]"),Tab_00.Trial[CONTA],$B12)</f>
        <v>0</v>
      </c>
      <c r="AB12" s="78">
        <f t="shared" ca="1" si="8"/>
        <v>0</v>
      </c>
      <c r="AC12" s="78">
        <f t="shared" ca="1" si="20"/>
        <v>0</v>
      </c>
      <c r="AD12" s="4">
        <f ca="1">-SUMIFS(INDIRECT("Tab_00.Trial["&amp;AD$4&amp;"]"),Tab_00.Trial[CONTA],$B12)</f>
        <v>0</v>
      </c>
      <c r="AE12" s="78">
        <f t="shared" ca="1" si="9"/>
        <v>0</v>
      </c>
      <c r="AF12" s="78">
        <f t="shared" ca="1" si="21"/>
        <v>0</v>
      </c>
      <c r="AG12" s="4">
        <f ca="1">-SUMIFS(INDIRECT("Tab_00.Trial["&amp;AG$4&amp;"]"),Tab_00.Trial[CONTA],$B12)</f>
        <v>0</v>
      </c>
      <c r="AH12" s="78">
        <f t="shared" ca="1" si="10"/>
        <v>0</v>
      </c>
      <c r="AI12" s="78">
        <f t="shared" ca="1" si="22"/>
        <v>0</v>
      </c>
      <c r="AJ12" s="4">
        <f ca="1">-SUMIFS(INDIRECT("Tab_00.Trial["&amp;AJ$4&amp;"]"),Tab_00.Trial[CONTA],$B12)</f>
        <v>0</v>
      </c>
      <c r="AK12" s="78">
        <f t="shared" ca="1" si="11"/>
        <v>0</v>
      </c>
      <c r="AL12" s="78">
        <f t="shared" ca="1" si="23"/>
        <v>0</v>
      </c>
      <c r="AM12" s="4">
        <f ca="1">-SUMIFS(INDIRECT("Tab_00.Trial["&amp;AM$4&amp;"]"),Tab_00.Trial[CONTA],$B12)</f>
        <v>0</v>
      </c>
      <c r="AN12" s="78">
        <f t="shared" ca="1" si="12"/>
        <v>0</v>
      </c>
      <c r="AO12" s="78">
        <f t="shared" ca="1" si="24"/>
        <v>0</v>
      </c>
    </row>
    <row r="13" spans="2:41" ht="15" hidden="1" customHeight="1" outlineLevel="1" x14ac:dyDescent="0.3">
      <c r="B13" s="14"/>
      <c r="C13" s="15"/>
      <c r="D13" s="4">
        <f>-SUMIFS(Tab_99.Trial[DEZEMBRO],Tab_99.Trial[CONTA],$B13)</f>
        <v>0</v>
      </c>
      <c r="E13" s="78">
        <f t="shared" ca="1" si="0"/>
        <v>0</v>
      </c>
      <c r="F13" s="4">
        <f ca="1">-SUMIFS(INDIRECT("Tab_00.Trial["&amp;F$4&amp;"]"),Tab_00.Trial[CONTA],$B13)</f>
        <v>0</v>
      </c>
      <c r="G13" s="78">
        <f t="shared" ca="1" si="1"/>
        <v>0</v>
      </c>
      <c r="H13" s="78">
        <f t="shared" ca="1" si="13"/>
        <v>0</v>
      </c>
      <c r="I13" s="4">
        <f ca="1">-SUMIFS(INDIRECT("Tab_00.Trial["&amp;I$4&amp;"]"),Tab_00.Trial[CONTA],$B13)</f>
        <v>0</v>
      </c>
      <c r="J13" s="78">
        <f t="shared" ca="1" si="2"/>
        <v>0</v>
      </c>
      <c r="K13" s="78">
        <f t="shared" ca="1" si="14"/>
        <v>0</v>
      </c>
      <c r="L13" s="4">
        <f ca="1">-SUMIFS(INDIRECT("Tab_00.Trial["&amp;L$4&amp;"]"),Tab_00.Trial[CONTA],$B13)</f>
        <v>0</v>
      </c>
      <c r="M13" s="78">
        <f t="shared" ca="1" si="3"/>
        <v>0</v>
      </c>
      <c r="N13" s="78">
        <f t="shared" ca="1" si="15"/>
        <v>0</v>
      </c>
      <c r="O13" s="4">
        <f ca="1">-SUMIFS(INDIRECT("Tab_00.Trial["&amp;O$4&amp;"]"),Tab_00.Trial[CONTA],$B13)</f>
        <v>0</v>
      </c>
      <c r="P13" s="78">
        <f t="shared" ca="1" si="4"/>
        <v>0</v>
      </c>
      <c r="Q13" s="78">
        <f t="shared" ca="1" si="16"/>
        <v>0</v>
      </c>
      <c r="R13" s="4">
        <f ca="1">-SUMIFS(INDIRECT("Tab_00.Trial["&amp;R$4&amp;"]"),Tab_00.Trial[CONTA],$B13)</f>
        <v>0</v>
      </c>
      <c r="S13" s="78">
        <f t="shared" ca="1" si="5"/>
        <v>0</v>
      </c>
      <c r="T13" s="78">
        <f t="shared" ca="1" si="17"/>
        <v>0</v>
      </c>
      <c r="U13" s="4">
        <f ca="1">-SUMIFS(INDIRECT("Tab_00.Trial["&amp;U$4&amp;"]"),Tab_00.Trial[CONTA],$B13)</f>
        <v>0</v>
      </c>
      <c r="V13" s="78">
        <f t="shared" ca="1" si="6"/>
        <v>0</v>
      </c>
      <c r="W13" s="78">
        <f t="shared" ca="1" si="18"/>
        <v>0</v>
      </c>
      <c r="X13" s="4">
        <f ca="1">-SUMIFS(INDIRECT("Tab_00.Trial["&amp;X$4&amp;"]"),Tab_00.Trial[CONTA],$B13)</f>
        <v>0</v>
      </c>
      <c r="Y13" s="78">
        <f t="shared" ca="1" si="7"/>
        <v>0</v>
      </c>
      <c r="Z13" s="78">
        <f t="shared" ca="1" si="19"/>
        <v>0</v>
      </c>
      <c r="AA13" s="4">
        <f ca="1">-SUMIFS(INDIRECT("Tab_00.Trial["&amp;AA$4&amp;"]"),Tab_00.Trial[CONTA],$B13)</f>
        <v>0</v>
      </c>
      <c r="AB13" s="78">
        <f t="shared" ca="1" si="8"/>
        <v>0</v>
      </c>
      <c r="AC13" s="78">
        <f t="shared" ca="1" si="20"/>
        <v>0</v>
      </c>
      <c r="AD13" s="4">
        <f ca="1">-SUMIFS(INDIRECT("Tab_00.Trial["&amp;AD$4&amp;"]"),Tab_00.Trial[CONTA],$B13)</f>
        <v>0</v>
      </c>
      <c r="AE13" s="78">
        <f t="shared" ca="1" si="9"/>
        <v>0</v>
      </c>
      <c r="AF13" s="78">
        <f t="shared" ca="1" si="21"/>
        <v>0</v>
      </c>
      <c r="AG13" s="4">
        <f ca="1">-SUMIFS(INDIRECT("Tab_00.Trial["&amp;AG$4&amp;"]"),Tab_00.Trial[CONTA],$B13)</f>
        <v>0</v>
      </c>
      <c r="AH13" s="78">
        <f t="shared" ca="1" si="10"/>
        <v>0</v>
      </c>
      <c r="AI13" s="78">
        <f t="shared" ca="1" si="22"/>
        <v>0</v>
      </c>
      <c r="AJ13" s="4">
        <f ca="1">-SUMIFS(INDIRECT("Tab_00.Trial["&amp;AJ$4&amp;"]"),Tab_00.Trial[CONTA],$B13)</f>
        <v>0</v>
      </c>
      <c r="AK13" s="78">
        <f t="shared" ca="1" si="11"/>
        <v>0</v>
      </c>
      <c r="AL13" s="78">
        <f t="shared" ca="1" si="23"/>
        <v>0</v>
      </c>
      <c r="AM13" s="4">
        <f ca="1">-SUMIFS(INDIRECT("Tab_00.Trial["&amp;AM$4&amp;"]"),Tab_00.Trial[CONTA],$B13)</f>
        <v>0</v>
      </c>
      <c r="AN13" s="78">
        <f t="shared" ca="1" si="12"/>
        <v>0</v>
      </c>
      <c r="AO13" s="78">
        <f t="shared" ca="1" si="24"/>
        <v>0</v>
      </c>
    </row>
    <row r="14" spans="2:41" ht="5.0999999999999996" hidden="1" customHeight="1" outlineLevel="1" x14ac:dyDescent="0.3">
      <c r="B14" s="74"/>
      <c r="C14" s="75"/>
      <c r="D14" s="76"/>
      <c r="E14" s="77"/>
      <c r="F14" s="76"/>
      <c r="G14" s="77"/>
      <c r="H14" s="77"/>
      <c r="I14" s="76"/>
      <c r="J14" s="77"/>
      <c r="K14" s="77"/>
      <c r="L14" s="76"/>
      <c r="M14" s="77"/>
      <c r="N14" s="77"/>
      <c r="O14" s="76"/>
      <c r="P14" s="77"/>
      <c r="Q14" s="77"/>
      <c r="R14" s="76"/>
      <c r="S14" s="77"/>
      <c r="T14" s="77"/>
      <c r="U14" s="76"/>
      <c r="V14" s="77"/>
      <c r="W14" s="77"/>
      <c r="X14" s="76"/>
      <c r="Y14" s="77"/>
      <c r="Z14" s="77"/>
      <c r="AA14" s="76"/>
      <c r="AB14" s="77"/>
      <c r="AC14" s="77"/>
      <c r="AD14" s="76"/>
      <c r="AE14" s="77"/>
      <c r="AF14" s="77"/>
      <c r="AG14" s="76"/>
      <c r="AH14" s="77"/>
      <c r="AI14" s="77"/>
      <c r="AJ14" s="76"/>
      <c r="AK14" s="77"/>
      <c r="AL14" s="77"/>
      <c r="AM14" s="76"/>
      <c r="AN14" s="77"/>
      <c r="AO14" s="77"/>
    </row>
    <row r="15" spans="2:41" ht="15" customHeight="1" collapsed="1" x14ac:dyDescent="0.3">
      <c r="B15" s="3" t="s">
        <v>51</v>
      </c>
      <c r="C15" s="14" t="s">
        <v>57</v>
      </c>
      <c r="D15" s="4">
        <f>SUBTOTAL(9,D$16:D$19)</f>
        <v>0</v>
      </c>
      <c r="E15" s="78">
        <f ca="1">IFERROR($D15/$D$146,0)</f>
        <v>0</v>
      </c>
      <c r="F15" s="4">
        <f ca="1">SUBTOTAL(9,F$16:F$19)</f>
        <v>0</v>
      </c>
      <c r="G15" s="78">
        <f ca="1">IFERROR($F15/$F$146,0)</f>
        <v>0</v>
      </c>
      <c r="H15" s="78">
        <f ca="1">IFERROR(($F15-$D15)/ABS($D15),0)</f>
        <v>0</v>
      </c>
      <c r="I15" s="4">
        <f ca="1">SUBTOTAL(9,I$16:I$19)</f>
        <v>0</v>
      </c>
      <c r="J15" s="78">
        <f ca="1">IFERROR($I15/$I$146,0)</f>
        <v>0</v>
      </c>
      <c r="K15" s="78">
        <f ca="1">IFERROR(($I15-$F15)/ABS($F15),0)</f>
        <v>0</v>
      </c>
      <c r="L15" s="4">
        <f ca="1">SUBTOTAL(9,L$16:L$19)</f>
        <v>0</v>
      </c>
      <c r="M15" s="78">
        <f ca="1">IFERROR($L15/$L$146,0)</f>
        <v>0</v>
      </c>
      <c r="N15" s="78">
        <f ca="1">IFERROR(($L15-$I15)/ABS($I15),0)</f>
        <v>0</v>
      </c>
      <c r="O15" s="4">
        <f ca="1">SUBTOTAL(9,O$16:O$19)</f>
        <v>0</v>
      </c>
      <c r="P15" s="78">
        <f ca="1">IFERROR($O15/$O$146,0)</f>
        <v>0</v>
      </c>
      <c r="Q15" s="78">
        <f ca="1">IFERROR(($O15-$L15)/ABS($L15),0)</f>
        <v>0</v>
      </c>
      <c r="R15" s="4">
        <f ca="1">SUBTOTAL(9,R$16:R$19)</f>
        <v>0</v>
      </c>
      <c r="S15" s="78">
        <f ca="1">IFERROR($R15/$R$146,0)</f>
        <v>0</v>
      </c>
      <c r="T15" s="78">
        <f ca="1">IFERROR(($R15-$O15)/ABS($O15),0)</f>
        <v>0</v>
      </c>
      <c r="U15" s="4">
        <f ca="1">SUBTOTAL(9,U$16:U$19)</f>
        <v>0</v>
      </c>
      <c r="V15" s="78">
        <f ca="1">IFERROR($U15/$U$146,0)</f>
        <v>0</v>
      </c>
      <c r="W15" s="78">
        <f ca="1">IFERROR(($U15-$R15)/ABS($R15),0)</f>
        <v>0</v>
      </c>
      <c r="X15" s="4">
        <f ca="1">SUBTOTAL(9,X$16:X$19)</f>
        <v>0</v>
      </c>
      <c r="Y15" s="78">
        <f ca="1">IFERROR($X15/$X$146,0)</f>
        <v>0</v>
      </c>
      <c r="Z15" s="78">
        <f ca="1">IFERROR(($X15-$U15)/ABS($U15),0)</f>
        <v>0</v>
      </c>
      <c r="AA15" s="4">
        <f ca="1">SUBTOTAL(9,AA$16:AA$19)</f>
        <v>0</v>
      </c>
      <c r="AB15" s="78">
        <f ca="1">IFERROR($AA15/$AA$146,0)</f>
        <v>0</v>
      </c>
      <c r="AC15" s="78">
        <f ca="1">IFERROR(($AA15-$X15)/ABS($X15),0)</f>
        <v>0</v>
      </c>
      <c r="AD15" s="4">
        <f ca="1">SUBTOTAL(9,AD$16:AD$19)</f>
        <v>0</v>
      </c>
      <c r="AE15" s="78">
        <f ca="1">IFERROR($AD15/$AD$146,0)</f>
        <v>0</v>
      </c>
      <c r="AF15" s="78">
        <f ca="1">IFERROR(($AD15-$AA15)/ABS($AA15),0)</f>
        <v>0</v>
      </c>
      <c r="AG15" s="4">
        <f ca="1">SUBTOTAL(9,AG$16:AG$19)</f>
        <v>0</v>
      </c>
      <c r="AH15" s="78">
        <f ca="1">IFERROR($AG15/$AG$146,0)</f>
        <v>0</v>
      </c>
      <c r="AI15" s="78">
        <f ca="1">IFERROR(($AG15-$AD15)/ABS($AD15),0)</f>
        <v>0</v>
      </c>
      <c r="AJ15" s="4">
        <f ca="1">SUBTOTAL(9,AJ$16:AJ$19)</f>
        <v>0</v>
      </c>
      <c r="AK15" s="78">
        <f ca="1">IFERROR($AJ15/$AJ$146,0)</f>
        <v>0</v>
      </c>
      <c r="AL15" s="78">
        <f ca="1">IFERROR(($AJ15-$AG15)/ABS($AG15),0)</f>
        <v>0</v>
      </c>
      <c r="AM15" s="4">
        <f ca="1">SUBTOTAL(9,AM$16:AM$19)</f>
        <v>0</v>
      </c>
      <c r="AN15" s="78">
        <f ca="1">IFERROR(AM15/AM$146,0)</f>
        <v>0</v>
      </c>
      <c r="AO15" s="78">
        <f ca="1">IFERROR(($AM15-$AJ15)/ABS($AJ15),0)</f>
        <v>0</v>
      </c>
    </row>
    <row r="16" spans="2:41" ht="15" hidden="1" customHeight="1" outlineLevel="1" x14ac:dyDescent="0.3">
      <c r="B16" s="14"/>
      <c r="C16" s="15"/>
      <c r="D16" s="4">
        <f>-SUMIFS(Tab_99.Trial[DEZEMBRO],Tab_99.Trial[CONTA],$B16)</f>
        <v>0</v>
      </c>
      <c r="E16" s="78">
        <f ca="1">IFERROR($D16/$D$146,0)</f>
        <v>0</v>
      </c>
      <c r="F16" s="4">
        <f ca="1">-SUMIFS(INDIRECT("Tab_00.Trial["&amp;F$4&amp;"]"),Tab_00.Trial[CONTA],$B16)</f>
        <v>0</v>
      </c>
      <c r="G16" s="78">
        <f ca="1">IFERROR($F16/$F$146,0)</f>
        <v>0</v>
      </c>
      <c r="H16" s="78">
        <f t="shared" ref="H16:H18" ca="1" si="25">IFERROR(($F16-$D16)/ABS($D16),0)</f>
        <v>0</v>
      </c>
      <c r="I16" s="4">
        <f ca="1">-SUMIFS(INDIRECT("Tab_00.Trial["&amp;I$4&amp;"]"),Tab_00.Trial[CONTA],$B16)</f>
        <v>0</v>
      </c>
      <c r="J16" s="78">
        <f ca="1">IFERROR($I16/$I$146,0)</f>
        <v>0</v>
      </c>
      <c r="K16" s="78">
        <f t="shared" ref="K16:K18" ca="1" si="26">IFERROR(($I16-$F16)/ABS($F16),0)</f>
        <v>0</v>
      </c>
      <c r="L16" s="4">
        <f ca="1">-SUMIFS(INDIRECT("Tab_00.Trial["&amp;L$4&amp;"]"),Tab_00.Trial[CONTA],$B16)</f>
        <v>0</v>
      </c>
      <c r="M16" s="78">
        <f ca="1">IFERROR($L16/$L$146,0)</f>
        <v>0</v>
      </c>
      <c r="N16" s="78">
        <f t="shared" ref="N16:N18" ca="1" si="27">IFERROR(($L16-$I16)/ABS($I16),0)</f>
        <v>0</v>
      </c>
      <c r="O16" s="4">
        <f ca="1">-SUMIFS(INDIRECT("Tab_00.Trial["&amp;O$4&amp;"]"),Tab_00.Trial[CONTA],$B16)</f>
        <v>0</v>
      </c>
      <c r="P16" s="78">
        <f ca="1">IFERROR($O16/$O$146,0)</f>
        <v>0</v>
      </c>
      <c r="Q16" s="78">
        <f t="shared" ref="Q16:Q18" ca="1" si="28">IFERROR(($O16-$L16)/ABS($L16),0)</f>
        <v>0</v>
      </c>
      <c r="R16" s="4">
        <f ca="1">-SUMIFS(INDIRECT("Tab_00.Trial["&amp;R$4&amp;"]"),Tab_00.Trial[CONTA],$B16)</f>
        <v>0</v>
      </c>
      <c r="S16" s="78">
        <f ca="1">IFERROR($R16/$R$146,0)</f>
        <v>0</v>
      </c>
      <c r="T16" s="78">
        <f t="shared" ref="T16:T18" ca="1" si="29">IFERROR(($R16-$O16)/ABS($O16),0)</f>
        <v>0</v>
      </c>
      <c r="U16" s="4">
        <f ca="1">-SUMIFS(INDIRECT("Tab_00.Trial["&amp;U$4&amp;"]"),Tab_00.Trial[CONTA],$B16)</f>
        <v>0</v>
      </c>
      <c r="V16" s="78">
        <f ca="1">IFERROR($U16/$U$146,0)</f>
        <v>0</v>
      </c>
      <c r="W16" s="78">
        <f t="shared" ref="W16:W18" ca="1" si="30">IFERROR(($U16-$R16)/ABS($R16),0)</f>
        <v>0</v>
      </c>
      <c r="X16" s="4">
        <f ca="1">-SUMIFS(INDIRECT("Tab_00.Trial["&amp;X$4&amp;"]"),Tab_00.Trial[CONTA],$B16)</f>
        <v>0</v>
      </c>
      <c r="Y16" s="78">
        <f ca="1">IFERROR($X16/$X$146,0)</f>
        <v>0</v>
      </c>
      <c r="Z16" s="78">
        <f t="shared" ref="Z16:Z18" ca="1" si="31">IFERROR(($X16-$U16)/ABS($U16),0)</f>
        <v>0</v>
      </c>
      <c r="AA16" s="4">
        <f ca="1">-SUMIFS(INDIRECT("Tab_00.Trial["&amp;AA$4&amp;"]"),Tab_00.Trial[CONTA],$B16)</f>
        <v>0</v>
      </c>
      <c r="AB16" s="78">
        <f ca="1">IFERROR($AA16/$AA$146,0)</f>
        <v>0</v>
      </c>
      <c r="AC16" s="78">
        <f t="shared" ref="AC16:AC18" ca="1" si="32">IFERROR(($AA16-$X16)/ABS($X16),0)</f>
        <v>0</v>
      </c>
      <c r="AD16" s="4">
        <f ca="1">-SUMIFS(INDIRECT("Tab_00.Trial["&amp;AD$4&amp;"]"),Tab_00.Trial[CONTA],$B16)</f>
        <v>0</v>
      </c>
      <c r="AE16" s="78">
        <f ca="1">IFERROR($AD16/$AD$146,0)</f>
        <v>0</v>
      </c>
      <c r="AF16" s="78">
        <f t="shared" ref="AF16:AF18" ca="1" si="33">IFERROR(($AD16-$AA16)/ABS($AA16),0)</f>
        <v>0</v>
      </c>
      <c r="AG16" s="4">
        <f ca="1">-SUMIFS(INDIRECT("Tab_00.Trial["&amp;AG$4&amp;"]"),Tab_00.Trial[CONTA],$B16)</f>
        <v>0</v>
      </c>
      <c r="AH16" s="78">
        <f ca="1">IFERROR($AG16/$AG$146,0)</f>
        <v>0</v>
      </c>
      <c r="AI16" s="78">
        <f t="shared" ref="AI16:AI18" ca="1" si="34">IFERROR(($AG16-$AD16)/ABS($AD16),0)</f>
        <v>0</v>
      </c>
      <c r="AJ16" s="4">
        <f ca="1">-SUMIFS(INDIRECT("Tab_00.Trial["&amp;AJ$4&amp;"]"),Tab_00.Trial[CONTA],$B16)</f>
        <v>0</v>
      </c>
      <c r="AK16" s="78">
        <f ca="1">IFERROR($AJ16/$AJ$146,0)</f>
        <v>0</v>
      </c>
      <c r="AL16" s="78">
        <f t="shared" ref="AL16:AL18" ca="1" si="35">IFERROR(($AJ16-$AG16)/ABS($AG16),0)</f>
        <v>0</v>
      </c>
      <c r="AM16" s="4">
        <f ca="1">-SUMIFS(INDIRECT("Tab_00.Trial["&amp;AM$4&amp;"]"),Tab_00.Trial[CONTA],$B16)</f>
        <v>0</v>
      </c>
      <c r="AN16" s="78">
        <f ca="1">IFERROR(AM16/AM$146,0)</f>
        <v>0</v>
      </c>
      <c r="AO16" s="78">
        <f t="shared" ref="AO16:AO18" ca="1" si="36">IFERROR(($AM16-$AJ16)/ABS($AJ16),0)</f>
        <v>0</v>
      </c>
    </row>
    <row r="17" spans="2:41" ht="15" hidden="1" customHeight="1" outlineLevel="1" x14ac:dyDescent="0.3">
      <c r="B17" s="14"/>
      <c r="C17" s="15"/>
      <c r="D17" s="4">
        <f>-SUMIFS(Tab_99.Trial[DEZEMBRO],Tab_99.Trial[CONTA],$B17)</f>
        <v>0</v>
      </c>
      <c r="E17" s="78">
        <f ca="1">IFERROR($D17/$D$146,0)</f>
        <v>0</v>
      </c>
      <c r="F17" s="4">
        <f ca="1">-SUMIFS(INDIRECT("Tab_00.Trial["&amp;F$4&amp;"]"),Tab_00.Trial[CONTA],$B17)</f>
        <v>0</v>
      </c>
      <c r="G17" s="78">
        <f ca="1">IFERROR($F17/$F$146,0)</f>
        <v>0</v>
      </c>
      <c r="H17" s="78">
        <f t="shared" ca="1" si="25"/>
        <v>0</v>
      </c>
      <c r="I17" s="4">
        <f ca="1">-SUMIFS(INDIRECT("Tab_00.Trial["&amp;I$4&amp;"]"),Tab_00.Trial[CONTA],$B17)</f>
        <v>0</v>
      </c>
      <c r="J17" s="78">
        <f ca="1">IFERROR($I17/$I$146,0)</f>
        <v>0</v>
      </c>
      <c r="K17" s="78">
        <f t="shared" ca="1" si="26"/>
        <v>0</v>
      </c>
      <c r="L17" s="4">
        <f ca="1">-SUMIFS(INDIRECT("Tab_00.Trial["&amp;L$4&amp;"]"),Tab_00.Trial[CONTA],$B17)</f>
        <v>0</v>
      </c>
      <c r="M17" s="78">
        <f ca="1">IFERROR($L17/$L$146,0)</f>
        <v>0</v>
      </c>
      <c r="N17" s="78">
        <f t="shared" ca="1" si="27"/>
        <v>0</v>
      </c>
      <c r="O17" s="4">
        <f ca="1">-SUMIFS(INDIRECT("Tab_00.Trial["&amp;O$4&amp;"]"),Tab_00.Trial[CONTA],$B17)</f>
        <v>0</v>
      </c>
      <c r="P17" s="78">
        <f ca="1">IFERROR($O17/$O$146,0)</f>
        <v>0</v>
      </c>
      <c r="Q17" s="78">
        <f t="shared" ca="1" si="28"/>
        <v>0</v>
      </c>
      <c r="R17" s="4">
        <f ca="1">-SUMIFS(INDIRECT("Tab_00.Trial["&amp;R$4&amp;"]"),Tab_00.Trial[CONTA],$B17)</f>
        <v>0</v>
      </c>
      <c r="S17" s="78">
        <f ca="1">IFERROR($R17/$R$146,0)</f>
        <v>0</v>
      </c>
      <c r="T17" s="78">
        <f t="shared" ca="1" si="29"/>
        <v>0</v>
      </c>
      <c r="U17" s="4">
        <f ca="1">-SUMIFS(INDIRECT("Tab_00.Trial["&amp;U$4&amp;"]"),Tab_00.Trial[CONTA],$B17)</f>
        <v>0</v>
      </c>
      <c r="V17" s="78">
        <f ca="1">IFERROR($U17/$U$146,0)</f>
        <v>0</v>
      </c>
      <c r="W17" s="78">
        <f t="shared" ca="1" si="30"/>
        <v>0</v>
      </c>
      <c r="X17" s="4">
        <f ca="1">-SUMIFS(INDIRECT("Tab_00.Trial["&amp;X$4&amp;"]"),Tab_00.Trial[CONTA],$B17)</f>
        <v>0</v>
      </c>
      <c r="Y17" s="78">
        <f ca="1">IFERROR($X17/$X$146,0)</f>
        <v>0</v>
      </c>
      <c r="Z17" s="78">
        <f t="shared" ca="1" si="31"/>
        <v>0</v>
      </c>
      <c r="AA17" s="4">
        <f ca="1">-SUMIFS(INDIRECT("Tab_00.Trial["&amp;AA$4&amp;"]"),Tab_00.Trial[CONTA],$B17)</f>
        <v>0</v>
      </c>
      <c r="AB17" s="78">
        <f ca="1">IFERROR($AA17/$AA$146,0)</f>
        <v>0</v>
      </c>
      <c r="AC17" s="78">
        <f t="shared" ca="1" si="32"/>
        <v>0</v>
      </c>
      <c r="AD17" s="4">
        <f ca="1">-SUMIFS(INDIRECT("Tab_00.Trial["&amp;AD$4&amp;"]"),Tab_00.Trial[CONTA],$B17)</f>
        <v>0</v>
      </c>
      <c r="AE17" s="78">
        <f ca="1">IFERROR($AD17/$AD$146,0)</f>
        <v>0</v>
      </c>
      <c r="AF17" s="78">
        <f t="shared" ca="1" si="33"/>
        <v>0</v>
      </c>
      <c r="AG17" s="4">
        <f ca="1">-SUMIFS(INDIRECT("Tab_00.Trial["&amp;AG$4&amp;"]"),Tab_00.Trial[CONTA],$B17)</f>
        <v>0</v>
      </c>
      <c r="AH17" s="78">
        <f ca="1">IFERROR($AG17/$AG$146,0)</f>
        <v>0</v>
      </c>
      <c r="AI17" s="78">
        <f t="shared" ca="1" si="34"/>
        <v>0</v>
      </c>
      <c r="AJ17" s="4">
        <f ca="1">-SUMIFS(INDIRECT("Tab_00.Trial["&amp;AJ$4&amp;"]"),Tab_00.Trial[CONTA],$B17)</f>
        <v>0</v>
      </c>
      <c r="AK17" s="78">
        <f ca="1">IFERROR($AJ17/$AJ$146,0)</f>
        <v>0</v>
      </c>
      <c r="AL17" s="78">
        <f t="shared" ca="1" si="35"/>
        <v>0</v>
      </c>
      <c r="AM17" s="4">
        <f ca="1">-SUMIFS(INDIRECT("Tab_00.Trial["&amp;AM$4&amp;"]"),Tab_00.Trial[CONTA],$B17)</f>
        <v>0</v>
      </c>
      <c r="AN17" s="78">
        <f ca="1">IFERROR(AM17/AM$146,0)</f>
        <v>0</v>
      </c>
      <c r="AO17" s="78">
        <f t="shared" ca="1" si="36"/>
        <v>0</v>
      </c>
    </row>
    <row r="18" spans="2:41" ht="15" hidden="1" customHeight="1" outlineLevel="1" x14ac:dyDescent="0.3">
      <c r="B18" s="14"/>
      <c r="C18" s="15"/>
      <c r="D18" s="4">
        <f>-SUMIFS(Tab_99.Trial[DEZEMBRO],Tab_99.Trial[CONTA],$B18)</f>
        <v>0</v>
      </c>
      <c r="E18" s="78">
        <f ca="1">IFERROR($D18/$D$146,0)</f>
        <v>0</v>
      </c>
      <c r="F18" s="4">
        <f ca="1">-SUMIFS(INDIRECT("Tab_00.Trial["&amp;F$4&amp;"]"),Tab_00.Trial[CONTA],$B18)</f>
        <v>0</v>
      </c>
      <c r="G18" s="78">
        <f ca="1">IFERROR($F18/$F$146,0)</f>
        <v>0</v>
      </c>
      <c r="H18" s="78">
        <f t="shared" ca="1" si="25"/>
        <v>0</v>
      </c>
      <c r="I18" s="4">
        <f ca="1">-SUMIFS(INDIRECT("Tab_00.Trial["&amp;I$4&amp;"]"),Tab_00.Trial[CONTA],$B18)</f>
        <v>0</v>
      </c>
      <c r="J18" s="78">
        <f ca="1">IFERROR($I18/$I$146,0)</f>
        <v>0</v>
      </c>
      <c r="K18" s="78">
        <f t="shared" ca="1" si="26"/>
        <v>0</v>
      </c>
      <c r="L18" s="4">
        <f ca="1">-SUMIFS(INDIRECT("Tab_00.Trial["&amp;L$4&amp;"]"),Tab_00.Trial[CONTA],$B18)</f>
        <v>0</v>
      </c>
      <c r="M18" s="78">
        <f ca="1">IFERROR($L18/$L$146,0)</f>
        <v>0</v>
      </c>
      <c r="N18" s="78">
        <f t="shared" ca="1" si="27"/>
        <v>0</v>
      </c>
      <c r="O18" s="4">
        <f ca="1">-SUMIFS(INDIRECT("Tab_00.Trial["&amp;O$4&amp;"]"),Tab_00.Trial[CONTA],$B18)</f>
        <v>0</v>
      </c>
      <c r="P18" s="78">
        <f ca="1">IFERROR($O18/$O$146,0)</f>
        <v>0</v>
      </c>
      <c r="Q18" s="78">
        <f t="shared" ca="1" si="28"/>
        <v>0</v>
      </c>
      <c r="R18" s="4">
        <f ca="1">-SUMIFS(INDIRECT("Tab_00.Trial["&amp;R$4&amp;"]"),Tab_00.Trial[CONTA],$B18)</f>
        <v>0</v>
      </c>
      <c r="S18" s="78">
        <f ca="1">IFERROR($R18/$R$146,0)</f>
        <v>0</v>
      </c>
      <c r="T18" s="78">
        <f t="shared" ca="1" si="29"/>
        <v>0</v>
      </c>
      <c r="U18" s="4">
        <f ca="1">-SUMIFS(INDIRECT("Tab_00.Trial["&amp;U$4&amp;"]"),Tab_00.Trial[CONTA],$B18)</f>
        <v>0</v>
      </c>
      <c r="V18" s="78">
        <f ca="1">IFERROR($U18/$U$146,0)</f>
        <v>0</v>
      </c>
      <c r="W18" s="78">
        <f t="shared" ca="1" si="30"/>
        <v>0</v>
      </c>
      <c r="X18" s="4">
        <f ca="1">-SUMIFS(INDIRECT("Tab_00.Trial["&amp;X$4&amp;"]"),Tab_00.Trial[CONTA],$B18)</f>
        <v>0</v>
      </c>
      <c r="Y18" s="78">
        <f ca="1">IFERROR($X18/$X$146,0)</f>
        <v>0</v>
      </c>
      <c r="Z18" s="78">
        <f t="shared" ca="1" si="31"/>
        <v>0</v>
      </c>
      <c r="AA18" s="4">
        <f ca="1">-SUMIFS(INDIRECT("Tab_00.Trial["&amp;AA$4&amp;"]"),Tab_00.Trial[CONTA],$B18)</f>
        <v>0</v>
      </c>
      <c r="AB18" s="78">
        <f ca="1">IFERROR($AA18/$AA$146,0)</f>
        <v>0</v>
      </c>
      <c r="AC18" s="78">
        <f t="shared" ca="1" si="32"/>
        <v>0</v>
      </c>
      <c r="AD18" s="4">
        <f ca="1">-SUMIFS(INDIRECT("Tab_00.Trial["&amp;AD$4&amp;"]"),Tab_00.Trial[CONTA],$B18)</f>
        <v>0</v>
      </c>
      <c r="AE18" s="78">
        <f ca="1">IFERROR($AD18/$AD$146,0)</f>
        <v>0</v>
      </c>
      <c r="AF18" s="78">
        <f t="shared" ca="1" si="33"/>
        <v>0</v>
      </c>
      <c r="AG18" s="4">
        <f ca="1">-SUMIFS(INDIRECT("Tab_00.Trial["&amp;AG$4&amp;"]"),Tab_00.Trial[CONTA],$B18)</f>
        <v>0</v>
      </c>
      <c r="AH18" s="78">
        <f ca="1">IFERROR($AG18/$AG$146,0)</f>
        <v>0</v>
      </c>
      <c r="AI18" s="78">
        <f t="shared" ca="1" si="34"/>
        <v>0</v>
      </c>
      <c r="AJ18" s="4">
        <f ca="1">-SUMIFS(INDIRECT("Tab_00.Trial["&amp;AJ$4&amp;"]"),Tab_00.Trial[CONTA],$B18)</f>
        <v>0</v>
      </c>
      <c r="AK18" s="78">
        <f ca="1">IFERROR($AJ18/$AJ$146,0)</f>
        <v>0</v>
      </c>
      <c r="AL18" s="78">
        <f t="shared" ca="1" si="35"/>
        <v>0</v>
      </c>
      <c r="AM18" s="4">
        <f ca="1">-SUMIFS(INDIRECT("Tab_00.Trial["&amp;AM$4&amp;"]"),Tab_00.Trial[CONTA],$B18)</f>
        <v>0</v>
      </c>
      <c r="AN18" s="78">
        <f ca="1">IFERROR(AM18/AM$146,0)</f>
        <v>0</v>
      </c>
      <c r="AO18" s="78">
        <f t="shared" ca="1" si="36"/>
        <v>0</v>
      </c>
    </row>
    <row r="19" spans="2:41" ht="5.0999999999999996" hidden="1" customHeight="1" outlineLevel="1" x14ac:dyDescent="0.3">
      <c r="B19" s="74"/>
      <c r="C19" s="75"/>
      <c r="D19" s="76"/>
      <c r="E19" s="77"/>
      <c r="F19" s="76"/>
      <c r="G19" s="77"/>
      <c r="H19" s="77"/>
      <c r="I19" s="76"/>
      <c r="J19" s="77"/>
      <c r="K19" s="77"/>
      <c r="L19" s="76"/>
      <c r="M19" s="77"/>
      <c r="N19" s="77"/>
      <c r="O19" s="76"/>
      <c r="P19" s="77"/>
      <c r="Q19" s="77"/>
      <c r="R19" s="76"/>
      <c r="S19" s="77"/>
      <c r="T19" s="77"/>
      <c r="U19" s="76"/>
      <c r="V19" s="77"/>
      <c r="W19" s="77"/>
      <c r="X19" s="76"/>
      <c r="Y19" s="77"/>
      <c r="Z19" s="77"/>
      <c r="AA19" s="76"/>
      <c r="AB19" s="77"/>
      <c r="AC19" s="77"/>
      <c r="AD19" s="76"/>
      <c r="AE19" s="77"/>
      <c r="AF19" s="77"/>
      <c r="AG19" s="76"/>
      <c r="AH19" s="77"/>
      <c r="AI19" s="77"/>
      <c r="AJ19" s="76"/>
      <c r="AK19" s="77"/>
      <c r="AL19" s="77"/>
      <c r="AM19" s="76"/>
      <c r="AN19" s="77"/>
      <c r="AO19" s="77"/>
    </row>
    <row r="20" spans="2:41" ht="15" customHeight="1" collapsed="1" x14ac:dyDescent="0.3">
      <c r="B20" s="3" t="s">
        <v>52</v>
      </c>
      <c r="C20" s="14" t="s">
        <v>88</v>
      </c>
      <c r="D20" s="4">
        <f>SUBTOTAL(9,D$21:D$38)</f>
        <v>0</v>
      </c>
      <c r="E20" s="78">
        <f t="shared" ref="E20:E37" ca="1" si="37">IFERROR($D20/$D$146,0)</f>
        <v>0</v>
      </c>
      <c r="F20" s="4">
        <f ca="1">SUBTOTAL(9,F$21:F$38)</f>
        <v>390323.74</v>
      </c>
      <c r="G20" s="78">
        <f t="shared" ref="G20:G37" ca="1" si="38">IFERROR($F20/$F$146,0)</f>
        <v>4.7000000000000002E-3</v>
      </c>
      <c r="H20" s="78">
        <f ca="1">IFERROR(($F20-$D20)/ABS($D20),0)</f>
        <v>0</v>
      </c>
      <c r="I20" s="4">
        <f ca="1">SUBTOTAL(9,I$21:I$38)</f>
        <v>303398.53999999998</v>
      </c>
      <c r="J20" s="78">
        <f t="shared" ref="J20:J37" ca="1" si="39">IFERROR($I20/$I$146,0)</f>
        <v>3.5999999999999999E-3</v>
      </c>
      <c r="K20" s="78">
        <f ca="1">IFERROR(($I20-$F20)/ABS($F20),0)</f>
        <v>-0.22270000000000001</v>
      </c>
      <c r="L20" s="4">
        <f ca="1">SUBTOTAL(9,L$21:L$38)</f>
        <v>309402.38</v>
      </c>
      <c r="M20" s="78">
        <f t="shared" ref="M20:M37" ca="1" si="40">IFERROR($L20/$L$146,0)</f>
        <v>3.7000000000000002E-3</v>
      </c>
      <c r="N20" s="78">
        <f ca="1">IFERROR(($L20-$I20)/ABS($I20),0)</f>
        <v>1.9800000000000002E-2</v>
      </c>
      <c r="O20" s="4">
        <f ca="1">SUBTOTAL(9,O$21:O$38)</f>
        <v>328809.34000000003</v>
      </c>
      <c r="P20" s="78">
        <f t="shared" ref="P20:P37" ca="1" si="41">IFERROR($O20/$O$146,0)</f>
        <v>3.8999999999999998E-3</v>
      </c>
      <c r="Q20" s="78">
        <f ca="1">IFERROR(($O20-$L20)/ABS($L20),0)</f>
        <v>6.2700000000000006E-2</v>
      </c>
      <c r="R20" s="4">
        <f ca="1">SUBTOTAL(9,R$21:R$38)</f>
        <v>354645.77</v>
      </c>
      <c r="S20" s="78">
        <f t="shared" ref="S20:S37" ca="1" si="42">IFERROR($R20/$R$146,0)</f>
        <v>4.1999999999999997E-3</v>
      </c>
      <c r="T20" s="78">
        <f ca="1">IFERROR(($R20-$O20)/ABS($O20),0)</f>
        <v>7.8600000000000003E-2</v>
      </c>
      <c r="U20" s="4">
        <f ca="1">SUBTOTAL(9,U$21:U$38)</f>
        <v>378440.2</v>
      </c>
      <c r="V20" s="78">
        <f t="shared" ref="V20:V37" ca="1" si="43">IFERROR($U20/$U$146,0)</f>
        <v>4.4999999999999997E-3</v>
      </c>
      <c r="W20" s="78">
        <f ca="1">IFERROR(($U20-$R20)/ABS($R20),0)</f>
        <v>6.7100000000000007E-2</v>
      </c>
      <c r="X20" s="4">
        <f ca="1">SUBTOTAL(9,X$21:X$38)</f>
        <v>360564.52</v>
      </c>
      <c r="Y20" s="78">
        <f t="shared" ref="Y20:Y37" ca="1" si="44">IFERROR($X20/$X$146,0)</f>
        <v>4.3E-3</v>
      </c>
      <c r="Z20" s="78">
        <f ca="1">IFERROR(($X20-$U20)/ABS($U20),0)</f>
        <v>-4.7199999999999999E-2</v>
      </c>
      <c r="AA20" s="4">
        <f ca="1">SUBTOTAL(9,AA$21:AA$38)</f>
        <v>379718.69</v>
      </c>
      <c r="AB20" s="78">
        <f t="shared" ref="AB20:AB37" ca="1" si="45">IFERROR($AA20/$AA$146,0)</f>
        <v>4.4999999999999997E-3</v>
      </c>
      <c r="AC20" s="78">
        <f ca="1">IFERROR(($AA20-$X20)/ABS($X20),0)</f>
        <v>5.3100000000000001E-2</v>
      </c>
      <c r="AD20" s="4">
        <f ca="1">SUBTOTAL(9,AD$21:AD$38)</f>
        <v>364096.52</v>
      </c>
      <c r="AE20" s="78">
        <f t="shared" ref="AE20:AE37" ca="1" si="46">IFERROR($AD20/$AD$146,0)</f>
        <v>4.3E-3</v>
      </c>
      <c r="AF20" s="78">
        <f ca="1">IFERROR(($AD20-$AA20)/ABS($AA20),0)</f>
        <v>-4.1099999999999998E-2</v>
      </c>
      <c r="AG20" s="4">
        <f ca="1">SUBTOTAL(9,AG$21:AG$38)</f>
        <v>369659.04</v>
      </c>
      <c r="AH20" s="78">
        <f t="shared" ref="AH20:AH37" ca="1" si="47">IFERROR($AG20/$AG$146,0)</f>
        <v>4.3E-3</v>
      </c>
      <c r="AI20" s="78">
        <f ca="1">IFERROR(($AG20-$AD20)/ABS($AD20),0)</f>
        <v>1.5299999999999999E-2</v>
      </c>
      <c r="AJ20" s="4">
        <f ca="1">SUBTOTAL(9,AJ$21:AJ$38)</f>
        <v>386701.37</v>
      </c>
      <c r="AK20" s="78">
        <f t="shared" ref="AK20:AK37" ca="1" si="48">IFERROR($AJ20/$AJ$146,0)</f>
        <v>4.4999999999999997E-3</v>
      </c>
      <c r="AL20" s="78">
        <f ca="1">IFERROR(($AJ20-$AG20)/ABS($AG20),0)</f>
        <v>4.6100000000000002E-2</v>
      </c>
      <c r="AM20" s="4">
        <f ca="1">SUBTOTAL(9,AM$21:AM$38)</f>
        <v>284492.44</v>
      </c>
      <c r="AN20" s="78">
        <f t="shared" ref="AN20:AN37" ca="1" si="49">IFERROR(AM20/AM$146,0)</f>
        <v>3.3E-3</v>
      </c>
      <c r="AO20" s="78">
        <f ca="1">IFERROR(($AM20-$AJ20)/ABS($AJ20),0)</f>
        <v>-0.26429999999999998</v>
      </c>
    </row>
    <row r="21" spans="2:41" ht="15" hidden="1" customHeight="1" outlineLevel="1" x14ac:dyDescent="0.3">
      <c r="B21" s="14" t="s">
        <v>326</v>
      </c>
      <c r="C21" s="15" t="s">
        <v>327</v>
      </c>
      <c r="D21" s="4">
        <f>-SUMIFS(Tab_99.Trial[DEZEMBRO],Tab_99.Trial[CONTA],$B21)</f>
        <v>0</v>
      </c>
      <c r="E21" s="78">
        <f t="shared" ca="1" si="37"/>
        <v>0</v>
      </c>
      <c r="F21" s="4">
        <f ca="1">-SUMIFS(INDIRECT("Tab_00.Trial["&amp;F$4&amp;"]"),Tab_00.Trial[CONTA],$B21)</f>
        <v>0</v>
      </c>
      <c r="G21" s="78">
        <f t="shared" ca="1" si="38"/>
        <v>0</v>
      </c>
      <c r="H21" s="78">
        <f ca="1">IFERROR(($F21-$D21)/ABS($D21),0)</f>
        <v>0</v>
      </c>
      <c r="I21" s="4">
        <f ca="1">-SUMIFS(INDIRECT("Tab_00.Trial["&amp;I$4&amp;"]"),Tab_00.Trial[CONTA],$B21)</f>
        <v>0</v>
      </c>
      <c r="J21" s="78">
        <f t="shared" ca="1" si="39"/>
        <v>0</v>
      </c>
      <c r="K21" s="78">
        <f ca="1">IFERROR(($I21-$F21)/ABS($F21),0)</f>
        <v>0</v>
      </c>
      <c r="L21" s="4">
        <f ca="1">-SUMIFS(INDIRECT("Tab_00.Trial["&amp;L$4&amp;"]"),Tab_00.Trial[CONTA],$B21)</f>
        <v>0</v>
      </c>
      <c r="M21" s="78">
        <f t="shared" ca="1" si="40"/>
        <v>0</v>
      </c>
      <c r="N21" s="78">
        <f ca="1">IFERROR(($L21-$I21)/ABS($I21),0)</f>
        <v>0</v>
      </c>
      <c r="O21" s="4">
        <f ca="1">-SUMIFS(INDIRECT("Tab_00.Trial["&amp;O$4&amp;"]"),Tab_00.Trial[CONTA],$B21)</f>
        <v>0</v>
      </c>
      <c r="P21" s="78">
        <f t="shared" ca="1" si="41"/>
        <v>0</v>
      </c>
      <c r="Q21" s="78">
        <f ca="1">IFERROR(($O21-$L21)/ABS($L21),0)</f>
        <v>0</v>
      </c>
      <c r="R21" s="4">
        <f ca="1">-SUMIFS(INDIRECT("Tab_00.Trial["&amp;R$4&amp;"]"),Tab_00.Trial[CONTA],$B21)</f>
        <v>0</v>
      </c>
      <c r="S21" s="78">
        <f t="shared" ca="1" si="42"/>
        <v>0</v>
      </c>
      <c r="T21" s="78">
        <f ca="1">IFERROR(($R21-$O21)/ABS($O21),0)</f>
        <v>0</v>
      </c>
      <c r="U21" s="4">
        <f ca="1">-SUMIFS(INDIRECT("Tab_00.Trial["&amp;U$4&amp;"]"),Tab_00.Trial[CONTA],$B21)</f>
        <v>0</v>
      </c>
      <c r="V21" s="78">
        <f t="shared" ca="1" si="43"/>
        <v>0</v>
      </c>
      <c r="W21" s="78">
        <f ca="1">IFERROR(($U21-$R21)/ABS($R21),0)</f>
        <v>0</v>
      </c>
      <c r="X21" s="4">
        <f ca="1">-SUMIFS(INDIRECT("Tab_00.Trial["&amp;X$4&amp;"]"),Tab_00.Trial[CONTA],$B21)</f>
        <v>0</v>
      </c>
      <c r="Y21" s="78">
        <f t="shared" ca="1" si="44"/>
        <v>0</v>
      </c>
      <c r="Z21" s="78">
        <f ca="1">IFERROR(($X21-$U21)/ABS($U21),0)</f>
        <v>0</v>
      </c>
      <c r="AA21" s="4">
        <f ca="1">-SUMIFS(INDIRECT("Tab_00.Trial["&amp;AA$4&amp;"]"),Tab_00.Trial[CONTA],$B21)</f>
        <v>0</v>
      </c>
      <c r="AB21" s="78">
        <f t="shared" ca="1" si="45"/>
        <v>0</v>
      </c>
      <c r="AC21" s="78">
        <f ca="1">IFERROR(($AA21-$X21)/ABS($X21),0)</f>
        <v>0</v>
      </c>
      <c r="AD21" s="4">
        <f ca="1">-SUMIFS(INDIRECT("Tab_00.Trial["&amp;AD$4&amp;"]"),Tab_00.Trial[CONTA],$B21)</f>
        <v>0</v>
      </c>
      <c r="AE21" s="78">
        <f t="shared" ca="1" si="46"/>
        <v>0</v>
      </c>
      <c r="AF21" s="78">
        <f ca="1">IFERROR(($AD21-$AA21)/ABS($AA21),0)</f>
        <v>0</v>
      </c>
      <c r="AG21" s="4">
        <f ca="1">-SUMIFS(INDIRECT("Tab_00.Trial["&amp;AG$4&amp;"]"),Tab_00.Trial[CONTA],$B21)</f>
        <v>0</v>
      </c>
      <c r="AH21" s="78">
        <f t="shared" ca="1" si="47"/>
        <v>0</v>
      </c>
      <c r="AI21" s="78">
        <f ca="1">IFERROR(($AG21-$AD21)/ABS($AD21),0)</f>
        <v>0</v>
      </c>
      <c r="AJ21" s="4">
        <f ca="1">-SUMIFS(INDIRECT("Tab_00.Trial["&amp;AJ$4&amp;"]"),Tab_00.Trial[CONTA],$B21)</f>
        <v>0</v>
      </c>
      <c r="AK21" s="78">
        <f t="shared" ca="1" si="48"/>
        <v>0</v>
      </c>
      <c r="AL21" s="78">
        <f ca="1">IFERROR(($AJ21-$AG21)/ABS($AG21),0)</f>
        <v>0</v>
      </c>
      <c r="AM21" s="4">
        <f ca="1">-SUMIFS(INDIRECT("Tab_00.Trial["&amp;AM$4&amp;"]"),Tab_00.Trial[CONTA],$B21)</f>
        <v>0</v>
      </c>
      <c r="AN21" s="78">
        <f t="shared" ca="1" si="49"/>
        <v>0</v>
      </c>
      <c r="AO21" s="78">
        <f ca="1">IFERROR(($AM21-$AJ21)/ABS($AJ21),0)</f>
        <v>0</v>
      </c>
    </row>
    <row r="22" spans="2:41" ht="15" hidden="1" customHeight="1" outlineLevel="1" x14ac:dyDescent="0.3">
      <c r="B22" s="14" t="s">
        <v>328</v>
      </c>
      <c r="C22" s="15" t="s">
        <v>329</v>
      </c>
      <c r="D22" s="4">
        <f>-SUMIFS(Tab_99.Trial[DEZEMBRO],Tab_99.Trial[CONTA],$B22)</f>
        <v>0</v>
      </c>
      <c r="E22" s="78">
        <f t="shared" ca="1" si="37"/>
        <v>0</v>
      </c>
      <c r="F22" s="4">
        <f ca="1">-SUMIFS(INDIRECT("Tab_00.Trial["&amp;F$4&amp;"]"),Tab_00.Trial[CONTA],$B22)</f>
        <v>0</v>
      </c>
      <c r="G22" s="78">
        <f t="shared" ca="1" si="38"/>
        <v>0</v>
      </c>
      <c r="H22" s="78">
        <f t="shared" ref="H22:H37" ca="1" si="50">IFERROR(($F22-$D22)/ABS($D22),0)</f>
        <v>0</v>
      </c>
      <c r="I22" s="4">
        <f ca="1">-SUMIFS(INDIRECT("Tab_00.Trial["&amp;I$4&amp;"]"),Tab_00.Trial[CONTA],$B22)</f>
        <v>0</v>
      </c>
      <c r="J22" s="78">
        <f t="shared" ca="1" si="39"/>
        <v>0</v>
      </c>
      <c r="K22" s="78">
        <f t="shared" ref="K22:K37" ca="1" si="51">IFERROR(($I22-$F22)/ABS($F22),0)</f>
        <v>0</v>
      </c>
      <c r="L22" s="4">
        <f ca="1">-SUMIFS(INDIRECT("Tab_00.Trial["&amp;L$4&amp;"]"),Tab_00.Trial[CONTA],$B22)</f>
        <v>0</v>
      </c>
      <c r="M22" s="78">
        <f t="shared" ca="1" si="40"/>
        <v>0</v>
      </c>
      <c r="N22" s="78">
        <f t="shared" ref="N22:N37" ca="1" si="52">IFERROR(($L22-$I22)/ABS($I22),0)</f>
        <v>0</v>
      </c>
      <c r="O22" s="4">
        <f ca="1">-SUMIFS(INDIRECT("Tab_00.Trial["&amp;O$4&amp;"]"),Tab_00.Trial[CONTA],$B22)</f>
        <v>0</v>
      </c>
      <c r="P22" s="78">
        <f t="shared" ca="1" si="41"/>
        <v>0</v>
      </c>
      <c r="Q22" s="78">
        <f t="shared" ref="Q22:Q37" ca="1" si="53">IFERROR(($O22-$L22)/ABS($L22),0)</f>
        <v>0</v>
      </c>
      <c r="R22" s="4">
        <f ca="1">-SUMIFS(INDIRECT("Tab_00.Trial["&amp;R$4&amp;"]"),Tab_00.Trial[CONTA],$B22)</f>
        <v>0</v>
      </c>
      <c r="S22" s="78">
        <f t="shared" ca="1" si="42"/>
        <v>0</v>
      </c>
      <c r="T22" s="78">
        <f t="shared" ref="T22:T37" ca="1" si="54">IFERROR(($R22-$O22)/ABS($O22),0)</f>
        <v>0</v>
      </c>
      <c r="U22" s="4">
        <f ca="1">-SUMIFS(INDIRECT("Tab_00.Trial["&amp;U$4&amp;"]"),Tab_00.Trial[CONTA],$B22)</f>
        <v>0</v>
      </c>
      <c r="V22" s="78">
        <f t="shared" ca="1" si="43"/>
        <v>0</v>
      </c>
      <c r="W22" s="78">
        <f t="shared" ref="W22:W37" ca="1" si="55">IFERROR(($U22-$R22)/ABS($R22),0)</f>
        <v>0</v>
      </c>
      <c r="X22" s="4">
        <f ca="1">-SUMIFS(INDIRECT("Tab_00.Trial["&amp;X$4&amp;"]"),Tab_00.Trial[CONTA],$B22)</f>
        <v>0</v>
      </c>
      <c r="Y22" s="78">
        <f t="shared" ca="1" si="44"/>
        <v>0</v>
      </c>
      <c r="Z22" s="78">
        <f t="shared" ref="Z22:Z37" ca="1" si="56">IFERROR(($X22-$U22)/ABS($U22),0)</f>
        <v>0</v>
      </c>
      <c r="AA22" s="4">
        <f ca="1">-SUMIFS(INDIRECT("Tab_00.Trial["&amp;AA$4&amp;"]"),Tab_00.Trial[CONTA],$B22)</f>
        <v>0</v>
      </c>
      <c r="AB22" s="78">
        <f t="shared" ca="1" si="45"/>
        <v>0</v>
      </c>
      <c r="AC22" s="78">
        <f t="shared" ref="AC22:AC37" ca="1" si="57">IFERROR(($AA22-$X22)/ABS($X22),0)</f>
        <v>0</v>
      </c>
      <c r="AD22" s="4">
        <f ca="1">-SUMIFS(INDIRECT("Tab_00.Trial["&amp;AD$4&amp;"]"),Tab_00.Trial[CONTA],$B22)</f>
        <v>0</v>
      </c>
      <c r="AE22" s="78">
        <f t="shared" ca="1" si="46"/>
        <v>0</v>
      </c>
      <c r="AF22" s="78">
        <f t="shared" ref="AF22:AF37" ca="1" si="58">IFERROR(($AD22-$AA22)/ABS($AA22),0)</f>
        <v>0</v>
      </c>
      <c r="AG22" s="4">
        <f ca="1">-SUMIFS(INDIRECT("Tab_00.Trial["&amp;AG$4&amp;"]"),Tab_00.Trial[CONTA],$B22)</f>
        <v>0</v>
      </c>
      <c r="AH22" s="78">
        <f t="shared" ca="1" si="47"/>
        <v>0</v>
      </c>
      <c r="AI22" s="78">
        <f t="shared" ref="AI22:AI37" ca="1" si="59">IFERROR(($AG22-$AD22)/ABS($AD22),0)</f>
        <v>0</v>
      </c>
      <c r="AJ22" s="4">
        <f ca="1">-SUMIFS(INDIRECT("Tab_00.Trial["&amp;AJ$4&amp;"]"),Tab_00.Trial[CONTA],$B22)</f>
        <v>0</v>
      </c>
      <c r="AK22" s="78">
        <f t="shared" ca="1" si="48"/>
        <v>0</v>
      </c>
      <c r="AL22" s="78">
        <f t="shared" ref="AL22:AL37" ca="1" si="60">IFERROR(($AJ22-$AG22)/ABS($AG22),0)</f>
        <v>0</v>
      </c>
      <c r="AM22" s="4">
        <f ca="1">-SUMIFS(INDIRECT("Tab_00.Trial["&amp;AM$4&amp;"]"),Tab_00.Trial[CONTA],$B22)</f>
        <v>0</v>
      </c>
      <c r="AN22" s="78">
        <f t="shared" ca="1" si="49"/>
        <v>0</v>
      </c>
      <c r="AO22" s="78">
        <f t="shared" ref="AO22:AO37" ca="1" si="61">IFERROR(($AM22-$AJ22)/ABS($AJ22),0)</f>
        <v>0</v>
      </c>
    </row>
    <row r="23" spans="2:41" ht="15" hidden="1" customHeight="1" outlineLevel="1" x14ac:dyDescent="0.3">
      <c r="B23" s="14" t="s">
        <v>330</v>
      </c>
      <c r="C23" s="15" t="s">
        <v>331</v>
      </c>
      <c r="D23" s="4">
        <f>-SUMIFS(Tab_99.Trial[DEZEMBRO],Tab_99.Trial[CONTA],$B23)</f>
        <v>0</v>
      </c>
      <c r="E23" s="78">
        <f t="shared" ca="1" si="37"/>
        <v>0</v>
      </c>
      <c r="F23" s="4">
        <f ca="1">-SUMIFS(INDIRECT("Tab_00.Trial["&amp;F$4&amp;"]"),Tab_00.Trial[CONTA],$B23)</f>
        <v>0</v>
      </c>
      <c r="G23" s="78">
        <f t="shared" ca="1" si="38"/>
        <v>0</v>
      </c>
      <c r="H23" s="78">
        <f t="shared" ca="1" si="50"/>
        <v>0</v>
      </c>
      <c r="I23" s="4">
        <f ca="1">-SUMIFS(INDIRECT("Tab_00.Trial["&amp;I$4&amp;"]"),Tab_00.Trial[CONTA],$B23)</f>
        <v>0</v>
      </c>
      <c r="J23" s="78">
        <f t="shared" ca="1" si="39"/>
        <v>0</v>
      </c>
      <c r="K23" s="78">
        <f t="shared" ca="1" si="51"/>
        <v>0</v>
      </c>
      <c r="L23" s="4">
        <f ca="1">-SUMIFS(INDIRECT("Tab_00.Trial["&amp;L$4&amp;"]"),Tab_00.Trial[CONTA],$B23)</f>
        <v>0</v>
      </c>
      <c r="M23" s="78">
        <f t="shared" ca="1" si="40"/>
        <v>0</v>
      </c>
      <c r="N23" s="78">
        <f t="shared" ca="1" si="52"/>
        <v>0</v>
      </c>
      <c r="O23" s="4">
        <f ca="1">-SUMIFS(INDIRECT("Tab_00.Trial["&amp;O$4&amp;"]"),Tab_00.Trial[CONTA],$B23)</f>
        <v>0</v>
      </c>
      <c r="P23" s="78">
        <f t="shared" ca="1" si="41"/>
        <v>0</v>
      </c>
      <c r="Q23" s="78">
        <f t="shared" ca="1" si="53"/>
        <v>0</v>
      </c>
      <c r="R23" s="4">
        <f ca="1">-SUMIFS(INDIRECT("Tab_00.Trial["&amp;R$4&amp;"]"),Tab_00.Trial[CONTA],$B23)</f>
        <v>0</v>
      </c>
      <c r="S23" s="78">
        <f t="shared" ca="1" si="42"/>
        <v>0</v>
      </c>
      <c r="T23" s="78">
        <f t="shared" ca="1" si="54"/>
        <v>0</v>
      </c>
      <c r="U23" s="4">
        <f ca="1">-SUMIFS(INDIRECT("Tab_00.Trial["&amp;U$4&amp;"]"),Tab_00.Trial[CONTA],$B23)</f>
        <v>0</v>
      </c>
      <c r="V23" s="78">
        <f t="shared" ca="1" si="43"/>
        <v>0</v>
      </c>
      <c r="W23" s="78">
        <f t="shared" ca="1" si="55"/>
        <v>0</v>
      </c>
      <c r="X23" s="4">
        <f ca="1">-SUMIFS(INDIRECT("Tab_00.Trial["&amp;X$4&amp;"]"),Tab_00.Trial[CONTA],$B23)</f>
        <v>0</v>
      </c>
      <c r="Y23" s="78">
        <f t="shared" ca="1" si="44"/>
        <v>0</v>
      </c>
      <c r="Z23" s="78">
        <f t="shared" ca="1" si="56"/>
        <v>0</v>
      </c>
      <c r="AA23" s="4">
        <f ca="1">-SUMIFS(INDIRECT("Tab_00.Trial["&amp;AA$4&amp;"]"),Tab_00.Trial[CONTA],$B23)</f>
        <v>0</v>
      </c>
      <c r="AB23" s="78">
        <f t="shared" ca="1" si="45"/>
        <v>0</v>
      </c>
      <c r="AC23" s="78">
        <f t="shared" ca="1" si="57"/>
        <v>0</v>
      </c>
      <c r="AD23" s="4">
        <f ca="1">-SUMIFS(INDIRECT("Tab_00.Trial["&amp;AD$4&amp;"]"),Tab_00.Trial[CONTA],$B23)</f>
        <v>0</v>
      </c>
      <c r="AE23" s="78">
        <f t="shared" ca="1" si="46"/>
        <v>0</v>
      </c>
      <c r="AF23" s="78">
        <f t="shared" ca="1" si="58"/>
        <v>0</v>
      </c>
      <c r="AG23" s="4">
        <f ca="1">-SUMIFS(INDIRECT("Tab_00.Trial["&amp;AG$4&amp;"]"),Tab_00.Trial[CONTA],$B23)</f>
        <v>0</v>
      </c>
      <c r="AH23" s="78">
        <f t="shared" ca="1" si="47"/>
        <v>0</v>
      </c>
      <c r="AI23" s="78">
        <f t="shared" ca="1" si="59"/>
        <v>0</v>
      </c>
      <c r="AJ23" s="4">
        <f ca="1">-SUMIFS(INDIRECT("Tab_00.Trial["&amp;AJ$4&amp;"]"),Tab_00.Trial[CONTA],$B23)</f>
        <v>0</v>
      </c>
      <c r="AK23" s="78">
        <f t="shared" ca="1" si="48"/>
        <v>0</v>
      </c>
      <c r="AL23" s="78">
        <f t="shared" ca="1" si="60"/>
        <v>0</v>
      </c>
      <c r="AM23" s="4">
        <f ca="1">-SUMIFS(INDIRECT("Tab_00.Trial["&amp;AM$4&amp;"]"),Tab_00.Trial[CONTA],$B23)</f>
        <v>0</v>
      </c>
      <c r="AN23" s="78">
        <f t="shared" ca="1" si="49"/>
        <v>0</v>
      </c>
      <c r="AO23" s="78">
        <f t="shared" ca="1" si="61"/>
        <v>0</v>
      </c>
    </row>
    <row r="24" spans="2:41" ht="15" hidden="1" customHeight="1" outlineLevel="1" x14ac:dyDescent="0.3">
      <c r="B24" s="14" t="s">
        <v>332</v>
      </c>
      <c r="C24" s="15" t="s">
        <v>333</v>
      </c>
      <c r="D24" s="4">
        <f>-SUMIFS(Tab_99.Trial[DEZEMBRO],Tab_99.Trial[CONTA],$B24)</f>
        <v>0</v>
      </c>
      <c r="E24" s="78">
        <f t="shared" ca="1" si="37"/>
        <v>0</v>
      </c>
      <c r="F24" s="4">
        <f ca="1">-SUMIFS(INDIRECT("Tab_00.Trial["&amp;F$4&amp;"]"),Tab_00.Trial[CONTA],$B24)</f>
        <v>11268.08</v>
      </c>
      <c r="G24" s="78">
        <f t="shared" ca="1" si="38"/>
        <v>1E-4</v>
      </c>
      <c r="H24" s="78">
        <f t="shared" ca="1" si="50"/>
        <v>0</v>
      </c>
      <c r="I24" s="4">
        <f ca="1">-SUMIFS(INDIRECT("Tab_00.Trial["&amp;I$4&amp;"]"),Tab_00.Trial[CONTA],$B24)</f>
        <v>16566.759999999998</v>
      </c>
      <c r="J24" s="78">
        <f t="shared" ca="1" si="39"/>
        <v>2.0000000000000001E-4</v>
      </c>
      <c r="K24" s="78">
        <f t="shared" ca="1" si="51"/>
        <v>0.47020000000000001</v>
      </c>
      <c r="L24" s="4">
        <f ca="1">-SUMIFS(INDIRECT("Tab_00.Trial["&amp;L$4&amp;"]"),Tab_00.Trial[CONTA],$B24)</f>
        <v>24850.13</v>
      </c>
      <c r="M24" s="78">
        <f t="shared" ca="1" si="40"/>
        <v>2.9999999999999997E-4</v>
      </c>
      <c r="N24" s="78">
        <f t="shared" ca="1" si="52"/>
        <v>0.5</v>
      </c>
      <c r="O24" s="4">
        <f ca="1">-SUMIFS(INDIRECT("Tab_00.Trial["&amp;O$4&amp;"]"),Tab_00.Trial[CONTA],$B24)</f>
        <v>33133.46</v>
      </c>
      <c r="P24" s="78">
        <f t="shared" ca="1" si="41"/>
        <v>4.0000000000000002E-4</v>
      </c>
      <c r="Q24" s="78">
        <f t="shared" ca="1" si="53"/>
        <v>0.33329999999999999</v>
      </c>
      <c r="R24" s="4">
        <f ca="1">-SUMIFS(INDIRECT("Tab_00.Trial["&amp;R$4&amp;"]"),Tab_00.Trial[CONTA],$B24)</f>
        <v>41683.519999999997</v>
      </c>
      <c r="S24" s="78">
        <f t="shared" ca="1" si="42"/>
        <v>5.0000000000000001E-4</v>
      </c>
      <c r="T24" s="78">
        <f t="shared" ca="1" si="54"/>
        <v>0.25800000000000001</v>
      </c>
      <c r="U24" s="4">
        <f ca="1">-SUMIFS(INDIRECT("Tab_00.Trial["&amp;U$4&amp;"]"),Tab_00.Trial[CONTA],$B24)</f>
        <v>50233.57</v>
      </c>
      <c r="V24" s="78">
        <f t="shared" ca="1" si="43"/>
        <v>5.9999999999999995E-4</v>
      </c>
      <c r="W24" s="78">
        <f t="shared" ca="1" si="55"/>
        <v>0.2051</v>
      </c>
      <c r="X24" s="4">
        <f ca="1">-SUMIFS(INDIRECT("Tab_00.Trial["&amp;X$4&amp;"]"),Tab_00.Trial[CONTA],$B24)</f>
        <v>58783.59</v>
      </c>
      <c r="Y24" s="78">
        <f t="shared" ca="1" si="44"/>
        <v>6.9999999999999999E-4</v>
      </c>
      <c r="Z24" s="78">
        <f t="shared" ca="1" si="56"/>
        <v>0.17019999999999999</v>
      </c>
      <c r="AA24" s="4">
        <f ca="1">-SUMIFS(INDIRECT("Tab_00.Trial["&amp;AA$4&amp;"]"),Tab_00.Trial[CONTA],$B24)</f>
        <v>66073.52</v>
      </c>
      <c r="AB24" s="78">
        <f t="shared" ca="1" si="45"/>
        <v>8.0000000000000004E-4</v>
      </c>
      <c r="AC24" s="78">
        <f t="shared" ca="1" si="57"/>
        <v>0.124</v>
      </c>
      <c r="AD24" s="4">
        <f ca="1">-SUMIFS(INDIRECT("Tab_00.Trial["&amp;AD$4&amp;"]"),Tab_00.Trial[CONTA],$B24)</f>
        <v>76170.19</v>
      </c>
      <c r="AE24" s="78">
        <f t="shared" ca="1" si="46"/>
        <v>8.9999999999999998E-4</v>
      </c>
      <c r="AF24" s="78">
        <f t="shared" ca="1" si="58"/>
        <v>0.15279999999999999</v>
      </c>
      <c r="AG24" s="4">
        <f ca="1">-SUMIFS(INDIRECT("Tab_00.Trial["&amp;AG$4&amp;"]"),Tab_00.Trial[CONTA],$B24)</f>
        <v>84821.79</v>
      </c>
      <c r="AH24" s="78">
        <f t="shared" ca="1" si="47"/>
        <v>1E-3</v>
      </c>
      <c r="AI24" s="78">
        <f t="shared" ca="1" si="59"/>
        <v>0.11360000000000001</v>
      </c>
      <c r="AJ24" s="4">
        <f ca="1">-SUMIFS(INDIRECT("Tab_00.Trial["&amp;AJ$4&amp;"]"),Tab_00.Trial[CONTA],$B24)</f>
        <v>93473.41</v>
      </c>
      <c r="AK24" s="78">
        <f t="shared" ca="1" si="48"/>
        <v>1.1000000000000001E-3</v>
      </c>
      <c r="AL24" s="78">
        <f t="shared" ca="1" si="60"/>
        <v>0.10199999999999999</v>
      </c>
      <c r="AM24" s="4">
        <f ca="1">-SUMIFS(INDIRECT("Tab_00.Trial["&amp;AM$4&amp;"]"),Tab_00.Trial[CONTA],$B24)</f>
        <v>0</v>
      </c>
      <c r="AN24" s="78">
        <f t="shared" ca="1" si="49"/>
        <v>0</v>
      </c>
      <c r="AO24" s="78">
        <f t="shared" ca="1" si="61"/>
        <v>-1</v>
      </c>
    </row>
    <row r="25" spans="2:41" ht="15" hidden="1" customHeight="1" outlineLevel="1" x14ac:dyDescent="0.3">
      <c r="B25" s="14" t="s">
        <v>334</v>
      </c>
      <c r="C25" s="15" t="s">
        <v>335</v>
      </c>
      <c r="D25" s="4">
        <f>-SUMIFS(Tab_99.Trial[DEZEMBRO],Tab_99.Trial[CONTA],$B25)</f>
        <v>0</v>
      </c>
      <c r="E25" s="78">
        <f t="shared" ca="1" si="37"/>
        <v>0</v>
      </c>
      <c r="F25" s="4">
        <f ca="1">-SUMIFS(INDIRECT("Tab_00.Trial["&amp;F$4&amp;"]"),Tab_00.Trial[CONTA],$B25)</f>
        <v>207351.84</v>
      </c>
      <c r="G25" s="78">
        <f t="shared" ca="1" si="38"/>
        <v>2.5000000000000001E-3</v>
      </c>
      <c r="H25" s="78">
        <f t="shared" ca="1" si="50"/>
        <v>0</v>
      </c>
      <c r="I25" s="4">
        <f ca="1">-SUMIFS(INDIRECT("Tab_00.Trial["&amp;I$4&amp;"]"),Tab_00.Trial[CONTA],$B25)</f>
        <v>143964.95000000001</v>
      </c>
      <c r="J25" s="78">
        <f t="shared" ca="1" si="39"/>
        <v>1.6999999999999999E-3</v>
      </c>
      <c r="K25" s="78">
        <f t="shared" ca="1" si="51"/>
        <v>-0.30570000000000003</v>
      </c>
      <c r="L25" s="4">
        <f ca="1">-SUMIFS(INDIRECT("Tab_00.Trial["&amp;L$4&amp;"]"),Tab_00.Trial[CONTA],$B25)</f>
        <v>152419.89000000001</v>
      </c>
      <c r="M25" s="78">
        <f t="shared" ca="1" si="40"/>
        <v>1.8E-3</v>
      </c>
      <c r="N25" s="78">
        <f t="shared" ca="1" si="52"/>
        <v>5.8700000000000002E-2</v>
      </c>
      <c r="O25" s="4">
        <f ca="1">-SUMIFS(INDIRECT("Tab_00.Trial["&amp;O$4&amp;"]"),Tab_00.Trial[CONTA],$B25)</f>
        <v>163377.99</v>
      </c>
      <c r="P25" s="78">
        <f t="shared" ca="1" si="41"/>
        <v>2E-3</v>
      </c>
      <c r="Q25" s="78">
        <f t="shared" ca="1" si="53"/>
        <v>7.1900000000000006E-2</v>
      </c>
      <c r="R25" s="4">
        <f ca="1">-SUMIFS(INDIRECT("Tab_00.Trial["&amp;R$4&amp;"]"),Tab_00.Trial[CONTA],$B25)</f>
        <v>174044.7</v>
      </c>
      <c r="S25" s="78">
        <f t="shared" ca="1" si="42"/>
        <v>2.0999999999999999E-3</v>
      </c>
      <c r="T25" s="78">
        <f t="shared" ca="1" si="54"/>
        <v>6.5299999999999997E-2</v>
      </c>
      <c r="U25" s="4">
        <f ca="1">-SUMIFS(INDIRECT("Tab_00.Trial["&amp;U$4&amp;"]"),Tab_00.Trial[CONTA],$B25)</f>
        <v>185444.76</v>
      </c>
      <c r="V25" s="78">
        <f t="shared" ca="1" si="43"/>
        <v>2.2000000000000001E-3</v>
      </c>
      <c r="W25" s="78">
        <f t="shared" ca="1" si="55"/>
        <v>6.5500000000000003E-2</v>
      </c>
      <c r="X25" s="4">
        <f ca="1">-SUMIFS(INDIRECT("Tab_00.Trial["&amp;X$4&amp;"]"),Tab_00.Trial[CONTA],$B25)</f>
        <v>166422.66</v>
      </c>
      <c r="Y25" s="78">
        <f t="shared" ca="1" si="44"/>
        <v>2E-3</v>
      </c>
      <c r="Z25" s="78">
        <f t="shared" ca="1" si="56"/>
        <v>-0.1026</v>
      </c>
      <c r="AA25" s="4">
        <f ca="1">-SUMIFS(INDIRECT("Tab_00.Trial["&amp;AA$4&amp;"]"),Tab_00.Trial[CONTA],$B25)</f>
        <v>166254.06</v>
      </c>
      <c r="AB25" s="78">
        <f t="shared" ca="1" si="45"/>
        <v>2E-3</v>
      </c>
      <c r="AC25" s="78">
        <f t="shared" ca="1" si="57"/>
        <v>-1E-3</v>
      </c>
      <c r="AD25" s="4">
        <f ca="1">-SUMIFS(INDIRECT("Tab_00.Trial["&amp;AD$4&amp;"]"),Tab_00.Trial[CONTA],$B25)</f>
        <v>148671.13</v>
      </c>
      <c r="AE25" s="78">
        <f t="shared" ca="1" si="46"/>
        <v>1.6999999999999999E-3</v>
      </c>
      <c r="AF25" s="78">
        <f t="shared" ca="1" si="58"/>
        <v>-0.10580000000000001</v>
      </c>
      <c r="AG25" s="4">
        <f ca="1">-SUMIFS(INDIRECT("Tab_00.Trial["&amp;AG$4&amp;"]"),Tab_00.Trial[CONTA],$B25)</f>
        <v>140847.38</v>
      </c>
      <c r="AH25" s="78">
        <f t="shared" ca="1" si="47"/>
        <v>1.6999999999999999E-3</v>
      </c>
      <c r="AI25" s="78">
        <f t="shared" ca="1" si="59"/>
        <v>-5.2600000000000001E-2</v>
      </c>
      <c r="AJ25" s="4">
        <f ca="1">-SUMIFS(INDIRECT("Tab_00.Trial["&amp;AJ$4&amp;"]"),Tab_00.Trial[CONTA],$B25)</f>
        <v>147005.94</v>
      </c>
      <c r="AK25" s="78">
        <f t="shared" ca="1" si="48"/>
        <v>1.6999999999999999E-3</v>
      </c>
      <c r="AL25" s="78">
        <f t="shared" ca="1" si="60"/>
        <v>4.3700000000000003E-2</v>
      </c>
      <c r="AM25" s="4">
        <f ca="1">-SUMIFS(INDIRECT("Tab_00.Trial["&amp;AM$4&amp;"]"),Tab_00.Trial[CONTA],$B25)</f>
        <v>158957.4</v>
      </c>
      <c r="AN25" s="78">
        <f t="shared" ca="1" si="49"/>
        <v>1.9E-3</v>
      </c>
      <c r="AO25" s="78">
        <f t="shared" ca="1" si="61"/>
        <v>8.1299999999999997E-2</v>
      </c>
    </row>
    <row r="26" spans="2:41" ht="15" hidden="1" customHeight="1" outlineLevel="1" x14ac:dyDescent="0.3">
      <c r="B26" s="14" t="s">
        <v>336</v>
      </c>
      <c r="C26" s="15" t="s">
        <v>337</v>
      </c>
      <c r="D26" s="4">
        <f>-SUMIFS(Tab_99.Trial[DEZEMBRO],Tab_99.Trial[CONTA],$B26)</f>
        <v>0</v>
      </c>
      <c r="E26" s="78">
        <f t="shared" ca="1" si="37"/>
        <v>0</v>
      </c>
      <c r="F26" s="4">
        <f ca="1">-SUMIFS(INDIRECT("Tab_00.Trial["&amp;F$4&amp;"]"),Tab_00.Trial[CONTA],$B26)</f>
        <v>47261.64</v>
      </c>
      <c r="G26" s="78">
        <f t="shared" ca="1" si="38"/>
        <v>5.9999999999999995E-4</v>
      </c>
      <c r="H26" s="78">
        <f t="shared" ca="1" si="50"/>
        <v>0</v>
      </c>
      <c r="I26" s="4">
        <f ca="1">-SUMIFS(INDIRECT("Tab_00.Trial["&amp;I$4&amp;"]"),Tab_00.Trial[CONTA],$B26)</f>
        <v>45066.84</v>
      </c>
      <c r="J26" s="78">
        <f t="shared" ca="1" si="39"/>
        <v>5.0000000000000001E-4</v>
      </c>
      <c r="K26" s="78">
        <f t="shared" ca="1" si="51"/>
        <v>-4.6399999999999997E-2</v>
      </c>
      <c r="L26" s="4">
        <f ca="1">-SUMIFS(INDIRECT("Tab_00.Trial["&amp;L$4&amp;"]"),Tab_00.Trial[CONTA],$B26)</f>
        <v>36132.559999999998</v>
      </c>
      <c r="M26" s="78">
        <f t="shared" ca="1" si="40"/>
        <v>4.0000000000000002E-4</v>
      </c>
      <c r="N26" s="78">
        <f t="shared" ca="1" si="52"/>
        <v>-0.19819999999999999</v>
      </c>
      <c r="O26" s="4">
        <f ca="1">-SUMIFS(INDIRECT("Tab_00.Trial["&amp;O$4&amp;"]"),Tab_00.Trial[CONTA],$B26)</f>
        <v>30763.82</v>
      </c>
      <c r="P26" s="78">
        <f t="shared" ca="1" si="41"/>
        <v>4.0000000000000002E-4</v>
      </c>
      <c r="Q26" s="78">
        <f t="shared" ca="1" si="53"/>
        <v>-0.14860000000000001</v>
      </c>
      <c r="R26" s="4">
        <f ca="1">-SUMIFS(INDIRECT("Tab_00.Trial["&amp;R$4&amp;"]"),Tab_00.Trial[CONTA],$B26)</f>
        <v>31867.63</v>
      </c>
      <c r="S26" s="78">
        <f t="shared" ca="1" si="42"/>
        <v>4.0000000000000002E-4</v>
      </c>
      <c r="T26" s="78">
        <f t="shared" ca="1" si="54"/>
        <v>3.5900000000000001E-2</v>
      </c>
      <c r="U26" s="4">
        <f ca="1">-SUMIFS(INDIRECT("Tab_00.Trial["&amp;U$4&amp;"]"),Tab_00.Trial[CONTA],$B26)</f>
        <v>32070.07</v>
      </c>
      <c r="V26" s="78">
        <f t="shared" ca="1" si="43"/>
        <v>4.0000000000000002E-4</v>
      </c>
      <c r="W26" s="78">
        <f t="shared" ca="1" si="55"/>
        <v>6.4000000000000003E-3</v>
      </c>
      <c r="X26" s="4">
        <f ca="1">-SUMIFS(INDIRECT("Tab_00.Trial["&amp;X$4&amp;"]"),Tab_00.Trial[CONTA],$B26)</f>
        <v>32618.43</v>
      </c>
      <c r="Y26" s="78">
        <f t="shared" ca="1" si="44"/>
        <v>4.0000000000000002E-4</v>
      </c>
      <c r="Z26" s="78">
        <f t="shared" ca="1" si="56"/>
        <v>1.7100000000000001E-2</v>
      </c>
      <c r="AA26" s="4">
        <f ca="1">-SUMIFS(INDIRECT("Tab_00.Trial["&amp;AA$4&amp;"]"),Tab_00.Trial[CONTA],$B26)</f>
        <v>37003.699999999997</v>
      </c>
      <c r="AB26" s="78">
        <f t="shared" ca="1" si="45"/>
        <v>4.0000000000000002E-4</v>
      </c>
      <c r="AC26" s="78">
        <f t="shared" ca="1" si="57"/>
        <v>0.13439999999999999</v>
      </c>
      <c r="AD26" s="4">
        <f ca="1">-SUMIFS(INDIRECT("Tab_00.Trial["&amp;AD$4&amp;"]"),Tab_00.Trial[CONTA],$B26)</f>
        <v>35995.78</v>
      </c>
      <c r="AE26" s="78">
        <f t="shared" ca="1" si="46"/>
        <v>4.0000000000000002E-4</v>
      </c>
      <c r="AF26" s="78">
        <f t="shared" ca="1" si="58"/>
        <v>-2.7199999999999998E-2</v>
      </c>
      <c r="AG26" s="4">
        <f ca="1">-SUMIFS(INDIRECT("Tab_00.Trial["&amp;AG$4&amp;"]"),Tab_00.Trial[CONTA],$B26)</f>
        <v>36050.230000000003</v>
      </c>
      <c r="AH26" s="78">
        <f t="shared" ca="1" si="47"/>
        <v>4.0000000000000002E-4</v>
      </c>
      <c r="AI26" s="78">
        <f t="shared" ca="1" si="59"/>
        <v>1.5E-3</v>
      </c>
      <c r="AJ26" s="4">
        <f ca="1">-SUMIFS(INDIRECT("Tab_00.Trial["&amp;AJ$4&amp;"]"),Tab_00.Trial[CONTA],$B26)</f>
        <v>35088.22</v>
      </c>
      <c r="AK26" s="78">
        <f t="shared" ca="1" si="48"/>
        <v>4.0000000000000002E-4</v>
      </c>
      <c r="AL26" s="78">
        <f t="shared" ca="1" si="60"/>
        <v>-2.6700000000000002E-2</v>
      </c>
      <c r="AM26" s="4">
        <f ca="1">-SUMIFS(INDIRECT("Tab_00.Trial["&amp;AM$4&amp;"]"),Tab_00.Trial[CONTA],$B26)</f>
        <v>34679.800000000003</v>
      </c>
      <c r="AN26" s="78">
        <f t="shared" ca="1" si="49"/>
        <v>4.0000000000000002E-4</v>
      </c>
      <c r="AO26" s="78">
        <f t="shared" ca="1" si="61"/>
        <v>-1.1599999999999999E-2</v>
      </c>
    </row>
    <row r="27" spans="2:41" ht="15" hidden="1" customHeight="1" outlineLevel="1" x14ac:dyDescent="0.3">
      <c r="B27" s="14" t="s">
        <v>338</v>
      </c>
      <c r="C27" s="15" t="s">
        <v>339</v>
      </c>
      <c r="D27" s="4">
        <f>-SUMIFS(Tab_99.Trial[DEZEMBRO],Tab_99.Trial[CONTA],$B27)</f>
        <v>0</v>
      </c>
      <c r="E27" s="78">
        <f t="shared" ca="1" si="37"/>
        <v>0</v>
      </c>
      <c r="F27" s="4">
        <f ca="1">-SUMIFS(INDIRECT("Tab_00.Trial["&amp;F$4&amp;"]"),Tab_00.Trial[CONTA],$B27)</f>
        <v>1025.94</v>
      </c>
      <c r="G27" s="78">
        <f t="shared" ca="1" si="38"/>
        <v>0</v>
      </c>
      <c r="H27" s="78">
        <f t="shared" ca="1" si="50"/>
        <v>0</v>
      </c>
      <c r="I27" s="4">
        <f ca="1">-SUMIFS(INDIRECT("Tab_00.Trial["&amp;I$4&amp;"]"),Tab_00.Trial[CONTA],$B27)</f>
        <v>1025.94</v>
      </c>
      <c r="J27" s="78">
        <f t="shared" ca="1" si="39"/>
        <v>0</v>
      </c>
      <c r="K27" s="78">
        <f t="shared" ca="1" si="51"/>
        <v>0</v>
      </c>
      <c r="L27" s="4">
        <f ca="1">-SUMIFS(INDIRECT("Tab_00.Trial["&amp;L$4&amp;"]"),Tab_00.Trial[CONTA],$B27)</f>
        <v>512.98</v>
      </c>
      <c r="M27" s="78">
        <f t="shared" ca="1" si="40"/>
        <v>0</v>
      </c>
      <c r="N27" s="78">
        <f t="shared" ca="1" si="52"/>
        <v>-0.5</v>
      </c>
      <c r="O27" s="4">
        <f ca="1">-SUMIFS(INDIRECT("Tab_00.Trial["&amp;O$4&amp;"]"),Tab_00.Trial[CONTA],$B27)</f>
        <v>787.98</v>
      </c>
      <c r="P27" s="78">
        <f t="shared" ca="1" si="41"/>
        <v>0</v>
      </c>
      <c r="Q27" s="78">
        <f t="shared" ca="1" si="53"/>
        <v>0.53610000000000002</v>
      </c>
      <c r="R27" s="4">
        <f ca="1">-SUMIFS(INDIRECT("Tab_00.Trial["&amp;R$4&amp;"]"),Tab_00.Trial[CONTA],$B27)</f>
        <v>512.98</v>
      </c>
      <c r="S27" s="78">
        <f t="shared" ca="1" si="42"/>
        <v>0</v>
      </c>
      <c r="T27" s="78">
        <f t="shared" ca="1" si="54"/>
        <v>-0.34899999999999998</v>
      </c>
      <c r="U27" s="4">
        <f ca="1">-SUMIFS(INDIRECT("Tab_00.Trial["&amp;U$4&amp;"]"),Tab_00.Trial[CONTA],$B27)</f>
        <v>512.98</v>
      </c>
      <c r="V27" s="78">
        <f t="shared" ca="1" si="43"/>
        <v>0</v>
      </c>
      <c r="W27" s="78">
        <f t="shared" ca="1" si="55"/>
        <v>0</v>
      </c>
      <c r="X27" s="4">
        <f ca="1">-SUMIFS(INDIRECT("Tab_00.Trial["&amp;X$4&amp;"]"),Tab_00.Trial[CONTA],$B27)</f>
        <v>584.08000000000004</v>
      </c>
      <c r="Y27" s="78">
        <f t="shared" ca="1" si="44"/>
        <v>0</v>
      </c>
      <c r="Z27" s="78">
        <f t="shared" ca="1" si="56"/>
        <v>0.1386</v>
      </c>
      <c r="AA27" s="4">
        <f ca="1">-SUMIFS(INDIRECT("Tab_00.Trial["&amp;AA$4&amp;"]"),Tab_00.Trial[CONTA],$B27)</f>
        <v>584.08000000000004</v>
      </c>
      <c r="AB27" s="78">
        <f t="shared" ca="1" si="45"/>
        <v>0</v>
      </c>
      <c r="AC27" s="78">
        <f t="shared" ca="1" si="57"/>
        <v>0</v>
      </c>
      <c r="AD27" s="4">
        <f ca="1">-SUMIFS(INDIRECT("Tab_00.Trial["&amp;AD$4&amp;"]"),Tab_00.Trial[CONTA],$B27)</f>
        <v>0</v>
      </c>
      <c r="AE27" s="78">
        <f t="shared" ca="1" si="46"/>
        <v>0</v>
      </c>
      <c r="AF27" s="78">
        <f t="shared" ca="1" si="58"/>
        <v>-1</v>
      </c>
      <c r="AG27" s="4">
        <f ca="1">-SUMIFS(INDIRECT("Tab_00.Trial["&amp;AG$4&amp;"]"),Tab_00.Trial[CONTA],$B27)</f>
        <v>584.08000000000004</v>
      </c>
      <c r="AH27" s="78">
        <f t="shared" ca="1" si="47"/>
        <v>0</v>
      </c>
      <c r="AI27" s="78">
        <f t="shared" ca="1" si="59"/>
        <v>0</v>
      </c>
      <c r="AJ27" s="4">
        <f ca="1">-SUMIFS(INDIRECT("Tab_00.Trial["&amp;AJ$4&amp;"]"),Tab_00.Trial[CONTA],$B27)</f>
        <v>543.45000000000005</v>
      </c>
      <c r="AK27" s="78">
        <f t="shared" ca="1" si="48"/>
        <v>0</v>
      </c>
      <c r="AL27" s="78">
        <f t="shared" ca="1" si="60"/>
        <v>-6.9599999999999995E-2</v>
      </c>
      <c r="AM27" s="4">
        <f ca="1">-SUMIFS(INDIRECT("Tab_00.Trial["&amp;AM$4&amp;"]"),Tab_00.Trial[CONTA],$B27)</f>
        <v>543.45000000000005</v>
      </c>
      <c r="AN27" s="78">
        <f t="shared" ca="1" si="49"/>
        <v>0</v>
      </c>
      <c r="AO27" s="78">
        <f t="shared" ca="1" si="61"/>
        <v>0</v>
      </c>
    </row>
    <row r="28" spans="2:41" ht="15" hidden="1" customHeight="1" outlineLevel="1" x14ac:dyDescent="0.3">
      <c r="B28" s="14" t="s">
        <v>340</v>
      </c>
      <c r="C28" s="15" t="s">
        <v>341</v>
      </c>
      <c r="D28" s="4">
        <f>-SUMIFS(Tab_99.Trial[DEZEMBRO],Tab_99.Trial[CONTA],$B28)</f>
        <v>0</v>
      </c>
      <c r="E28" s="78">
        <f t="shared" ca="1" si="37"/>
        <v>0</v>
      </c>
      <c r="F28" s="4">
        <f ca="1">-SUMIFS(INDIRECT("Tab_00.Trial["&amp;F$4&amp;"]"),Tab_00.Trial[CONTA],$B28)</f>
        <v>21799.74</v>
      </c>
      <c r="G28" s="78">
        <f t="shared" ca="1" si="38"/>
        <v>2.9999999999999997E-4</v>
      </c>
      <c r="H28" s="78">
        <f t="shared" ca="1" si="50"/>
        <v>0</v>
      </c>
      <c r="I28" s="4">
        <f ca="1">-SUMIFS(INDIRECT("Tab_00.Trial["&amp;I$4&amp;"]"),Tab_00.Trial[CONTA],$B28)</f>
        <v>17091.669999999998</v>
      </c>
      <c r="J28" s="78">
        <f t="shared" ca="1" si="39"/>
        <v>2.0000000000000001E-4</v>
      </c>
      <c r="K28" s="78">
        <f t="shared" ca="1" si="51"/>
        <v>-0.216</v>
      </c>
      <c r="L28" s="4">
        <f ca="1">-SUMIFS(INDIRECT("Tab_00.Trial["&amp;L$4&amp;"]"),Tab_00.Trial[CONTA],$B28)</f>
        <v>15520.52</v>
      </c>
      <c r="M28" s="78">
        <f t="shared" ca="1" si="40"/>
        <v>2.0000000000000001E-4</v>
      </c>
      <c r="N28" s="78">
        <f t="shared" ca="1" si="52"/>
        <v>-9.1899999999999996E-2</v>
      </c>
      <c r="O28" s="4">
        <f ca="1">-SUMIFS(INDIRECT("Tab_00.Trial["&amp;O$4&amp;"]"),Tab_00.Trial[CONTA],$B28)</f>
        <v>13962.75</v>
      </c>
      <c r="P28" s="78">
        <f t="shared" ca="1" si="41"/>
        <v>2.0000000000000001E-4</v>
      </c>
      <c r="Q28" s="78">
        <f t="shared" ca="1" si="53"/>
        <v>-0.1004</v>
      </c>
      <c r="R28" s="4">
        <f ca="1">-SUMIFS(INDIRECT("Tab_00.Trial["&amp;R$4&amp;"]"),Tab_00.Trial[CONTA],$B28)</f>
        <v>12585.64</v>
      </c>
      <c r="S28" s="78">
        <f t="shared" ca="1" si="42"/>
        <v>1E-4</v>
      </c>
      <c r="T28" s="78">
        <f t="shared" ca="1" si="54"/>
        <v>-9.8599999999999993E-2</v>
      </c>
      <c r="U28" s="4">
        <f ca="1">-SUMIFS(INDIRECT("Tab_00.Trial["&amp;U$4&amp;"]"),Tab_00.Trial[CONTA],$B28)</f>
        <v>9043.31</v>
      </c>
      <c r="V28" s="78">
        <f t="shared" ca="1" si="43"/>
        <v>1E-4</v>
      </c>
      <c r="W28" s="78">
        <f t="shared" ca="1" si="55"/>
        <v>-0.28149999999999997</v>
      </c>
      <c r="X28" s="4">
        <f ca="1">-SUMIFS(INDIRECT("Tab_00.Trial["&amp;X$4&amp;"]"),Tab_00.Trial[CONTA],$B28)</f>
        <v>9187.0499999999993</v>
      </c>
      <c r="Y28" s="78">
        <f t="shared" ca="1" si="44"/>
        <v>1E-4</v>
      </c>
      <c r="Z28" s="78">
        <f t="shared" ca="1" si="56"/>
        <v>1.5900000000000001E-2</v>
      </c>
      <c r="AA28" s="4">
        <f ca="1">-SUMIFS(INDIRECT("Tab_00.Trial["&amp;AA$4&amp;"]"),Tab_00.Trial[CONTA],$B28)</f>
        <v>8992.7800000000007</v>
      </c>
      <c r="AB28" s="78">
        <f t="shared" ca="1" si="45"/>
        <v>1E-4</v>
      </c>
      <c r="AC28" s="78">
        <f t="shared" ca="1" si="57"/>
        <v>-2.1100000000000001E-2</v>
      </c>
      <c r="AD28" s="4">
        <f ca="1">-SUMIFS(INDIRECT("Tab_00.Trial["&amp;AD$4&amp;"]"),Tab_00.Trial[CONTA],$B28)</f>
        <v>8680.81</v>
      </c>
      <c r="AE28" s="78">
        <f t="shared" ca="1" si="46"/>
        <v>1E-4</v>
      </c>
      <c r="AF28" s="78">
        <f t="shared" ca="1" si="58"/>
        <v>-3.4700000000000002E-2</v>
      </c>
      <c r="AG28" s="4">
        <f ca="1">-SUMIFS(INDIRECT("Tab_00.Trial["&amp;AG$4&amp;"]"),Tab_00.Trial[CONTA],$B28)</f>
        <v>8724.19</v>
      </c>
      <c r="AH28" s="78">
        <f t="shared" ca="1" si="47"/>
        <v>1E-4</v>
      </c>
      <c r="AI28" s="78">
        <f t="shared" ca="1" si="59"/>
        <v>5.0000000000000001E-3</v>
      </c>
      <c r="AJ28" s="4">
        <f ca="1">-SUMIFS(INDIRECT("Tab_00.Trial["&amp;AJ$4&amp;"]"),Tab_00.Trial[CONTA],$B28)</f>
        <v>8430.9500000000007</v>
      </c>
      <c r="AK28" s="78">
        <f t="shared" ca="1" si="48"/>
        <v>1E-4</v>
      </c>
      <c r="AL28" s="78">
        <f t="shared" ca="1" si="60"/>
        <v>-3.3599999999999998E-2</v>
      </c>
      <c r="AM28" s="4">
        <f ca="1">-SUMIFS(INDIRECT("Tab_00.Trial["&amp;AM$4&amp;"]"),Tab_00.Trial[CONTA],$B28)</f>
        <v>16384.63</v>
      </c>
      <c r="AN28" s="78">
        <f t="shared" ca="1" si="49"/>
        <v>2.0000000000000001E-4</v>
      </c>
      <c r="AO28" s="78">
        <f t="shared" ca="1" si="61"/>
        <v>0.94340000000000002</v>
      </c>
    </row>
    <row r="29" spans="2:41" ht="15" hidden="1" customHeight="1" outlineLevel="1" x14ac:dyDescent="0.3">
      <c r="B29" s="14" t="s">
        <v>342</v>
      </c>
      <c r="C29" s="15" t="s">
        <v>343</v>
      </c>
      <c r="D29" s="4">
        <f>-SUMIFS(Tab_99.Trial[DEZEMBRO],Tab_99.Trial[CONTA],$B29)</f>
        <v>0</v>
      </c>
      <c r="E29" s="78">
        <f t="shared" ca="1" si="37"/>
        <v>0</v>
      </c>
      <c r="F29" s="4">
        <f ca="1">-SUMIFS(INDIRECT("Tab_00.Trial["&amp;F$4&amp;"]"),Tab_00.Trial[CONTA],$B29)</f>
        <v>1449.13</v>
      </c>
      <c r="G29" s="78">
        <f t="shared" ca="1" si="38"/>
        <v>0</v>
      </c>
      <c r="H29" s="78">
        <f t="shared" ca="1" si="50"/>
        <v>0</v>
      </c>
      <c r="I29" s="4">
        <f ca="1">-SUMIFS(INDIRECT("Tab_00.Trial["&amp;I$4&amp;"]"),Tab_00.Trial[CONTA],$B29)</f>
        <v>1289.68</v>
      </c>
      <c r="J29" s="78">
        <f t="shared" ca="1" si="39"/>
        <v>0</v>
      </c>
      <c r="K29" s="78">
        <f t="shared" ca="1" si="51"/>
        <v>-0.11</v>
      </c>
      <c r="L29" s="4">
        <f ca="1">-SUMIFS(INDIRECT("Tab_00.Trial["&amp;L$4&amp;"]"),Tab_00.Trial[CONTA],$B29)</f>
        <v>985.1</v>
      </c>
      <c r="M29" s="78">
        <f t="shared" ca="1" si="40"/>
        <v>0</v>
      </c>
      <c r="N29" s="78">
        <f t="shared" ca="1" si="52"/>
        <v>-0.23619999999999999</v>
      </c>
      <c r="O29" s="4">
        <f ca="1">-SUMIFS(INDIRECT("Tab_00.Trial["&amp;O$4&amp;"]"),Tab_00.Trial[CONTA],$B29)</f>
        <v>939.21</v>
      </c>
      <c r="P29" s="78">
        <f t="shared" ca="1" si="41"/>
        <v>0</v>
      </c>
      <c r="Q29" s="78">
        <f t="shared" ca="1" si="53"/>
        <v>-4.6600000000000003E-2</v>
      </c>
      <c r="R29" s="4">
        <f ca="1">-SUMIFS(INDIRECT("Tab_00.Trial["&amp;R$4&amp;"]"),Tab_00.Trial[CONTA],$B29)</f>
        <v>1015.58</v>
      </c>
      <c r="S29" s="78">
        <f t="shared" ca="1" si="42"/>
        <v>0</v>
      </c>
      <c r="T29" s="78">
        <f t="shared" ca="1" si="54"/>
        <v>8.1299999999999997E-2</v>
      </c>
      <c r="U29" s="4">
        <f ca="1">-SUMIFS(INDIRECT("Tab_00.Trial["&amp;U$4&amp;"]"),Tab_00.Trial[CONTA],$B29)</f>
        <v>1029.46</v>
      </c>
      <c r="V29" s="78">
        <f t="shared" ca="1" si="43"/>
        <v>0</v>
      </c>
      <c r="W29" s="78">
        <f t="shared" ca="1" si="55"/>
        <v>1.37E-2</v>
      </c>
      <c r="X29" s="4">
        <f ca="1">-SUMIFS(INDIRECT("Tab_00.Trial["&amp;X$4&amp;"]"),Tab_00.Trial[CONTA],$B29)</f>
        <v>1105.52</v>
      </c>
      <c r="Y29" s="78">
        <f t="shared" ca="1" si="44"/>
        <v>0</v>
      </c>
      <c r="Z29" s="78">
        <f t="shared" ca="1" si="56"/>
        <v>7.3899999999999993E-2</v>
      </c>
      <c r="AA29" s="4">
        <f ca="1">-SUMIFS(INDIRECT("Tab_00.Trial["&amp;AA$4&amp;"]"),Tab_00.Trial[CONTA],$B29)</f>
        <v>1177.22</v>
      </c>
      <c r="AB29" s="78">
        <f t="shared" ca="1" si="45"/>
        <v>0</v>
      </c>
      <c r="AC29" s="78">
        <f t="shared" ca="1" si="57"/>
        <v>6.4899999999999999E-2</v>
      </c>
      <c r="AD29" s="4">
        <f ca="1">-SUMIFS(INDIRECT("Tab_00.Trial["&amp;AD$4&amp;"]"),Tab_00.Trial[CONTA],$B29)</f>
        <v>1158.27</v>
      </c>
      <c r="AE29" s="78">
        <f t="shared" ca="1" si="46"/>
        <v>0</v>
      </c>
      <c r="AF29" s="78">
        <f t="shared" ca="1" si="58"/>
        <v>-1.61E-2</v>
      </c>
      <c r="AG29" s="4">
        <f ca="1">-SUMIFS(INDIRECT("Tab_00.Trial["&amp;AG$4&amp;"]"),Tab_00.Trial[CONTA],$B29)</f>
        <v>1163.71</v>
      </c>
      <c r="AH29" s="78">
        <f t="shared" ca="1" si="47"/>
        <v>0</v>
      </c>
      <c r="AI29" s="78">
        <f t="shared" ca="1" si="59"/>
        <v>4.7000000000000002E-3</v>
      </c>
      <c r="AJ29" s="4">
        <f ca="1">-SUMIFS(INDIRECT("Tab_00.Trial["&amp;AJ$4&amp;"]"),Tab_00.Trial[CONTA],$B29)</f>
        <v>1127.07</v>
      </c>
      <c r="AK29" s="78">
        <f t="shared" ca="1" si="48"/>
        <v>0</v>
      </c>
      <c r="AL29" s="78">
        <f t="shared" ca="1" si="60"/>
        <v>-3.15E-2</v>
      </c>
      <c r="AM29" s="4">
        <f ca="1">-SUMIFS(INDIRECT("Tab_00.Trial["&amp;AM$4&amp;"]"),Tab_00.Trial[CONTA],$B29)</f>
        <v>1039.3900000000001</v>
      </c>
      <c r="AN29" s="78">
        <f t="shared" ca="1" si="49"/>
        <v>0</v>
      </c>
      <c r="AO29" s="78">
        <f t="shared" ca="1" si="61"/>
        <v>-7.7799999999999994E-2</v>
      </c>
    </row>
    <row r="30" spans="2:41" ht="15" hidden="1" customHeight="1" outlineLevel="1" x14ac:dyDescent="0.3">
      <c r="B30" s="14" t="s">
        <v>192</v>
      </c>
      <c r="C30" s="15" t="s">
        <v>348</v>
      </c>
      <c r="D30" s="4">
        <f>-SUMIFS(Tab_99.Trial[DEZEMBRO],Tab_99.Trial[CONTA],$B30)</f>
        <v>0</v>
      </c>
      <c r="E30" s="78">
        <f t="shared" ca="1" si="37"/>
        <v>0</v>
      </c>
      <c r="F30" s="4">
        <f ca="1">-SUMIFS(INDIRECT("Tab_00.Trial["&amp;F$4&amp;"]"),Tab_00.Trial[CONTA],$B30)</f>
        <v>21686.36</v>
      </c>
      <c r="G30" s="78">
        <f t="shared" ca="1" si="38"/>
        <v>2.9999999999999997E-4</v>
      </c>
      <c r="H30" s="78">
        <f t="shared" ca="1" si="50"/>
        <v>0</v>
      </c>
      <c r="I30" s="4">
        <f ca="1">-SUMIFS(INDIRECT("Tab_00.Trial["&amp;I$4&amp;"]"),Tab_00.Trial[CONTA],$B30)</f>
        <v>20806.93</v>
      </c>
      <c r="J30" s="78">
        <f t="shared" ca="1" si="39"/>
        <v>2.9999999999999997E-4</v>
      </c>
      <c r="K30" s="78">
        <f t="shared" ca="1" si="51"/>
        <v>-4.0599999999999997E-2</v>
      </c>
      <c r="L30" s="4">
        <f ca="1">-SUMIFS(INDIRECT("Tab_00.Trial["&amp;L$4&amp;"]"),Tab_00.Trial[CONTA],$B30)</f>
        <v>15479.24</v>
      </c>
      <c r="M30" s="78">
        <f t="shared" ca="1" si="40"/>
        <v>2.0000000000000001E-4</v>
      </c>
      <c r="N30" s="78">
        <f t="shared" ca="1" si="52"/>
        <v>-0.25609999999999999</v>
      </c>
      <c r="O30" s="4">
        <f ca="1">-SUMIFS(INDIRECT("Tab_00.Trial["&amp;O$4&amp;"]"),Tab_00.Trial[CONTA],$B30)</f>
        <v>15492.44</v>
      </c>
      <c r="P30" s="78">
        <f t="shared" ca="1" si="41"/>
        <v>2.0000000000000001E-4</v>
      </c>
      <c r="Q30" s="78">
        <f t="shared" ca="1" si="53"/>
        <v>8.9999999999999998E-4</v>
      </c>
      <c r="R30" s="4">
        <f ca="1">-SUMIFS(INDIRECT("Tab_00.Trial["&amp;R$4&amp;"]"),Tab_00.Trial[CONTA],$B30)</f>
        <v>15450.8</v>
      </c>
      <c r="S30" s="78">
        <f t="shared" ca="1" si="42"/>
        <v>2.0000000000000001E-4</v>
      </c>
      <c r="T30" s="78">
        <f t="shared" ca="1" si="54"/>
        <v>-2.7000000000000001E-3</v>
      </c>
      <c r="U30" s="4">
        <f ca="1">-SUMIFS(INDIRECT("Tab_00.Trial["&amp;U$4&amp;"]"),Tab_00.Trial[CONTA],$B30)</f>
        <v>15479</v>
      </c>
      <c r="V30" s="78">
        <f t="shared" ca="1" si="43"/>
        <v>2.0000000000000001E-4</v>
      </c>
      <c r="W30" s="78">
        <f t="shared" ca="1" si="55"/>
        <v>1.8E-3</v>
      </c>
      <c r="X30" s="4">
        <f ca="1">-SUMIFS(INDIRECT("Tab_00.Trial["&amp;X$4&amp;"]"),Tab_00.Trial[CONTA],$B30)</f>
        <v>10986.12</v>
      </c>
      <c r="Y30" s="78">
        <f t="shared" ca="1" si="44"/>
        <v>1E-4</v>
      </c>
      <c r="Z30" s="78">
        <f t="shared" ca="1" si="56"/>
        <v>-0.2903</v>
      </c>
      <c r="AA30" s="4">
        <f ca="1">-SUMIFS(INDIRECT("Tab_00.Trial["&amp;AA$4&amp;"]"),Tab_00.Trial[CONTA],$B30)</f>
        <v>15739.83</v>
      </c>
      <c r="AB30" s="78">
        <f t="shared" ca="1" si="45"/>
        <v>2.0000000000000001E-4</v>
      </c>
      <c r="AC30" s="78">
        <f t="shared" ca="1" si="57"/>
        <v>0.43269999999999997</v>
      </c>
      <c r="AD30" s="4">
        <f ca="1">-SUMIFS(INDIRECT("Tab_00.Trial["&amp;AD$4&amp;"]"),Tab_00.Trial[CONTA],$B30)</f>
        <v>12489.94</v>
      </c>
      <c r="AE30" s="78">
        <f t="shared" ca="1" si="46"/>
        <v>1E-4</v>
      </c>
      <c r="AF30" s="78">
        <f t="shared" ca="1" si="58"/>
        <v>-0.20649999999999999</v>
      </c>
      <c r="AG30" s="4">
        <f ca="1">-SUMIFS(INDIRECT("Tab_00.Trial["&amp;AG$4&amp;"]"),Tab_00.Trial[CONTA],$B30)</f>
        <v>16402</v>
      </c>
      <c r="AH30" s="78">
        <f t="shared" ca="1" si="47"/>
        <v>2.0000000000000001E-4</v>
      </c>
      <c r="AI30" s="78">
        <f t="shared" ca="1" si="59"/>
        <v>0.31319999999999998</v>
      </c>
      <c r="AJ30" s="4">
        <f ca="1">-SUMIFS(INDIRECT("Tab_00.Trial["&amp;AJ$4&amp;"]"),Tab_00.Trial[CONTA],$B30)</f>
        <v>14692.56</v>
      </c>
      <c r="AK30" s="78">
        <f t="shared" ca="1" si="48"/>
        <v>2.0000000000000001E-4</v>
      </c>
      <c r="AL30" s="78">
        <f t="shared" ca="1" si="60"/>
        <v>-0.1042</v>
      </c>
      <c r="AM30" s="4">
        <f ca="1">-SUMIFS(INDIRECT("Tab_00.Trial["&amp;AM$4&amp;"]"),Tab_00.Trial[CONTA],$B30)</f>
        <v>15708.71</v>
      </c>
      <c r="AN30" s="78">
        <f t="shared" ca="1" si="49"/>
        <v>2.0000000000000001E-4</v>
      </c>
      <c r="AO30" s="78">
        <f t="shared" ca="1" si="61"/>
        <v>6.9199999999999998E-2</v>
      </c>
    </row>
    <row r="31" spans="2:41" ht="15" hidden="1" customHeight="1" outlineLevel="1" x14ac:dyDescent="0.3">
      <c r="B31" s="14" t="s">
        <v>778</v>
      </c>
      <c r="C31" s="15" t="s">
        <v>779</v>
      </c>
      <c r="D31" s="4">
        <f>-SUMIFS(Tab_99.Trial[DEZEMBRO],Tab_99.Trial[CONTA],$B31)</f>
        <v>0</v>
      </c>
      <c r="E31" s="78">
        <f t="shared" ca="1" si="37"/>
        <v>0</v>
      </c>
      <c r="F31" s="4">
        <f ca="1">-SUMIFS(INDIRECT("Tab_00.Trial["&amp;F$4&amp;"]"),Tab_00.Trial[CONTA],$B31)</f>
        <v>901.38</v>
      </c>
      <c r="G31" s="78">
        <f t="shared" ca="1" si="38"/>
        <v>0</v>
      </c>
      <c r="H31" s="78">
        <f t="shared" ca="1" si="50"/>
        <v>0</v>
      </c>
      <c r="I31" s="4">
        <f ca="1">-SUMIFS(INDIRECT("Tab_00.Trial["&amp;I$4&amp;"]"),Tab_00.Trial[CONTA],$B31)</f>
        <v>1325.29</v>
      </c>
      <c r="J31" s="78">
        <f t="shared" ca="1" si="39"/>
        <v>0</v>
      </c>
      <c r="K31" s="78">
        <f t="shared" ca="1" si="51"/>
        <v>0.4703</v>
      </c>
      <c r="L31" s="4">
        <f ca="1">-SUMIFS(INDIRECT("Tab_00.Trial["&amp;L$4&amp;"]"),Tab_00.Trial[CONTA],$B31)</f>
        <v>1987.97</v>
      </c>
      <c r="M31" s="78">
        <f t="shared" ca="1" si="40"/>
        <v>0</v>
      </c>
      <c r="N31" s="78">
        <f t="shared" ca="1" si="52"/>
        <v>0.5</v>
      </c>
      <c r="O31" s="4">
        <f ca="1">-SUMIFS(INDIRECT("Tab_00.Trial["&amp;O$4&amp;"]"),Tab_00.Trial[CONTA],$B31)</f>
        <v>2650.62</v>
      </c>
      <c r="P31" s="78">
        <f t="shared" ca="1" si="41"/>
        <v>0</v>
      </c>
      <c r="Q31" s="78">
        <f t="shared" ca="1" si="53"/>
        <v>0.33329999999999999</v>
      </c>
      <c r="R31" s="4">
        <f ca="1">-SUMIFS(INDIRECT("Tab_00.Trial["&amp;R$4&amp;"]"),Tab_00.Trial[CONTA],$B31)</f>
        <v>3334.64</v>
      </c>
      <c r="S31" s="78">
        <f t="shared" ca="1" si="42"/>
        <v>0</v>
      </c>
      <c r="T31" s="78">
        <f t="shared" ca="1" si="54"/>
        <v>0.2581</v>
      </c>
      <c r="U31" s="4">
        <f ca="1">-SUMIFS(INDIRECT("Tab_00.Trial["&amp;U$4&amp;"]"),Tab_00.Trial[CONTA],$B31)</f>
        <v>4018.63</v>
      </c>
      <c r="V31" s="78">
        <f t="shared" ca="1" si="43"/>
        <v>0</v>
      </c>
      <c r="W31" s="78">
        <f t="shared" ca="1" si="55"/>
        <v>0.2051</v>
      </c>
      <c r="X31" s="4">
        <f ca="1">-SUMIFS(INDIRECT("Tab_00.Trial["&amp;X$4&amp;"]"),Tab_00.Trial[CONTA],$B31)</f>
        <v>4702.63</v>
      </c>
      <c r="Y31" s="78">
        <f t="shared" ca="1" si="44"/>
        <v>1E-4</v>
      </c>
      <c r="Z31" s="78">
        <f t="shared" ca="1" si="56"/>
        <v>0.17019999999999999</v>
      </c>
      <c r="AA31" s="4">
        <f ca="1">-SUMIFS(INDIRECT("Tab_00.Trial["&amp;AA$4&amp;"]"),Tab_00.Trial[CONTA],$B31)</f>
        <v>5285.81</v>
      </c>
      <c r="AB31" s="78">
        <f t="shared" ca="1" si="45"/>
        <v>1E-4</v>
      </c>
      <c r="AC31" s="78">
        <f t="shared" ca="1" si="57"/>
        <v>0.124</v>
      </c>
      <c r="AD31" s="4">
        <f ca="1">-SUMIFS(INDIRECT("Tab_00.Trial["&amp;AD$4&amp;"]"),Tab_00.Trial[CONTA],$B31)</f>
        <v>6093.55</v>
      </c>
      <c r="AE31" s="78">
        <f t="shared" ca="1" si="46"/>
        <v>1E-4</v>
      </c>
      <c r="AF31" s="78">
        <f t="shared" ca="1" si="58"/>
        <v>0.15279999999999999</v>
      </c>
      <c r="AG31" s="4">
        <f ca="1">-SUMIFS(INDIRECT("Tab_00.Trial["&amp;AG$4&amp;"]"),Tab_00.Trial[CONTA],$B31)</f>
        <v>6785.69</v>
      </c>
      <c r="AH31" s="78">
        <f t="shared" ca="1" si="47"/>
        <v>1E-4</v>
      </c>
      <c r="AI31" s="78">
        <f t="shared" ca="1" si="59"/>
        <v>0.11360000000000001</v>
      </c>
      <c r="AJ31" s="4">
        <f ca="1">-SUMIFS(INDIRECT("Tab_00.Trial["&amp;AJ$4&amp;"]"),Tab_00.Trial[CONTA],$B31)</f>
        <v>7477.8</v>
      </c>
      <c r="AK31" s="78">
        <f t="shared" ca="1" si="48"/>
        <v>1E-4</v>
      </c>
      <c r="AL31" s="78">
        <f t="shared" ca="1" si="60"/>
        <v>0.10199999999999999</v>
      </c>
      <c r="AM31" s="4">
        <f ca="1">-SUMIFS(INDIRECT("Tab_00.Trial["&amp;AM$4&amp;"]"),Tab_00.Trial[CONTA],$B31)</f>
        <v>0</v>
      </c>
      <c r="AN31" s="78">
        <f t="shared" ca="1" si="49"/>
        <v>0</v>
      </c>
      <c r="AO31" s="78">
        <f t="shared" ca="1" si="61"/>
        <v>-1</v>
      </c>
    </row>
    <row r="32" spans="2:41" ht="15" hidden="1" customHeight="1" outlineLevel="1" x14ac:dyDescent="0.3">
      <c r="B32" s="14" t="s">
        <v>780</v>
      </c>
      <c r="C32" s="15" t="s">
        <v>781</v>
      </c>
      <c r="D32" s="4">
        <f>-SUMIFS(Tab_99.Trial[DEZEMBRO],Tab_99.Trial[CONTA],$B32)</f>
        <v>0</v>
      </c>
      <c r="E32" s="78">
        <f t="shared" ca="1" si="37"/>
        <v>0</v>
      </c>
      <c r="F32" s="4">
        <f ca="1">-SUMIFS(INDIRECT("Tab_00.Trial["&amp;F$4&amp;"]"),Tab_00.Trial[CONTA],$B32)</f>
        <v>112.67</v>
      </c>
      <c r="G32" s="78">
        <f t="shared" ca="1" si="38"/>
        <v>0</v>
      </c>
      <c r="H32" s="78">
        <f t="shared" ca="1" si="50"/>
        <v>0</v>
      </c>
      <c r="I32" s="4">
        <f ca="1">-SUMIFS(INDIRECT("Tab_00.Trial["&amp;I$4&amp;"]"),Tab_00.Trial[CONTA],$B32)</f>
        <v>165.68</v>
      </c>
      <c r="J32" s="78">
        <f t="shared" ca="1" si="39"/>
        <v>0</v>
      </c>
      <c r="K32" s="78">
        <f t="shared" ca="1" si="51"/>
        <v>0.47049999999999997</v>
      </c>
      <c r="L32" s="4">
        <f ca="1">-SUMIFS(INDIRECT("Tab_00.Trial["&amp;L$4&amp;"]"),Tab_00.Trial[CONTA],$B32)</f>
        <v>248.5</v>
      </c>
      <c r="M32" s="78">
        <f t="shared" ca="1" si="40"/>
        <v>0</v>
      </c>
      <c r="N32" s="78">
        <f t="shared" ca="1" si="52"/>
        <v>0.49990000000000001</v>
      </c>
      <c r="O32" s="4">
        <f ca="1">-SUMIFS(INDIRECT("Tab_00.Trial["&amp;O$4&amp;"]"),Tab_00.Trial[CONTA],$B32)</f>
        <v>331.34</v>
      </c>
      <c r="P32" s="78">
        <f t="shared" ca="1" si="41"/>
        <v>0</v>
      </c>
      <c r="Q32" s="78">
        <f t="shared" ca="1" si="53"/>
        <v>0.33339999999999997</v>
      </c>
      <c r="R32" s="4">
        <f ca="1">-SUMIFS(INDIRECT("Tab_00.Trial["&amp;R$4&amp;"]"),Tab_00.Trial[CONTA],$B32)</f>
        <v>416.83</v>
      </c>
      <c r="S32" s="78">
        <f t="shared" ca="1" si="42"/>
        <v>0</v>
      </c>
      <c r="T32" s="78">
        <f t="shared" ca="1" si="54"/>
        <v>0.25800000000000001</v>
      </c>
      <c r="U32" s="4">
        <f ca="1">-SUMIFS(INDIRECT("Tab_00.Trial["&amp;U$4&amp;"]"),Tab_00.Trial[CONTA],$B32)</f>
        <v>502.32</v>
      </c>
      <c r="V32" s="78">
        <f t="shared" ca="1" si="43"/>
        <v>0</v>
      </c>
      <c r="W32" s="78">
        <f t="shared" ca="1" si="55"/>
        <v>0.2051</v>
      </c>
      <c r="X32" s="4">
        <f ca="1">-SUMIFS(INDIRECT("Tab_00.Trial["&amp;X$4&amp;"]"),Tab_00.Trial[CONTA],$B32)</f>
        <v>587.80999999999995</v>
      </c>
      <c r="Y32" s="78">
        <f t="shared" ca="1" si="44"/>
        <v>0</v>
      </c>
      <c r="Z32" s="78">
        <f t="shared" ca="1" si="56"/>
        <v>0.17019999999999999</v>
      </c>
      <c r="AA32" s="4">
        <f ca="1">-SUMIFS(INDIRECT("Tab_00.Trial["&amp;AA$4&amp;"]"),Tab_00.Trial[CONTA],$B32)</f>
        <v>680.79</v>
      </c>
      <c r="AB32" s="78">
        <f t="shared" ca="1" si="45"/>
        <v>0</v>
      </c>
      <c r="AC32" s="78">
        <f t="shared" ca="1" si="57"/>
        <v>0.15820000000000001</v>
      </c>
      <c r="AD32" s="4">
        <f ca="1">-SUMIFS(INDIRECT("Tab_00.Trial["&amp;AD$4&amp;"]"),Tab_00.Trial[CONTA],$B32)</f>
        <v>768.18</v>
      </c>
      <c r="AE32" s="78">
        <f t="shared" ca="1" si="46"/>
        <v>0</v>
      </c>
      <c r="AF32" s="78">
        <f t="shared" ca="1" si="58"/>
        <v>0.12839999999999999</v>
      </c>
      <c r="AG32" s="4">
        <f ca="1">-SUMIFS(INDIRECT("Tab_00.Trial["&amp;AG$4&amp;"]"),Tab_00.Trial[CONTA],$B32)</f>
        <v>854.63</v>
      </c>
      <c r="AH32" s="78">
        <f t="shared" ca="1" si="47"/>
        <v>0</v>
      </c>
      <c r="AI32" s="78">
        <f t="shared" ca="1" si="59"/>
        <v>0.1125</v>
      </c>
      <c r="AJ32" s="4">
        <f ca="1">-SUMIFS(INDIRECT("Tab_00.Trial["&amp;AJ$4&amp;"]"),Tab_00.Trial[CONTA],$B32)</f>
        <v>941.08</v>
      </c>
      <c r="AK32" s="78">
        <f t="shared" ca="1" si="48"/>
        <v>0</v>
      </c>
      <c r="AL32" s="78">
        <f t="shared" ca="1" si="60"/>
        <v>0.1012</v>
      </c>
      <c r="AM32" s="4">
        <f ca="1">-SUMIFS(INDIRECT("Tab_00.Trial["&amp;AM$4&amp;"]"),Tab_00.Trial[CONTA],$B32)</f>
        <v>0</v>
      </c>
      <c r="AN32" s="78">
        <f t="shared" ca="1" si="49"/>
        <v>0</v>
      </c>
      <c r="AO32" s="78">
        <f t="shared" ca="1" si="61"/>
        <v>-1</v>
      </c>
    </row>
    <row r="33" spans="2:41" ht="15" hidden="1" customHeight="1" outlineLevel="1" x14ac:dyDescent="0.3">
      <c r="B33" s="14" t="s">
        <v>782</v>
      </c>
      <c r="C33" s="15" t="s">
        <v>783</v>
      </c>
      <c r="D33" s="4">
        <f>-SUMIFS(Tab_99.Trial[DEZEMBRO],Tab_99.Trial[CONTA],$B33)</f>
        <v>0</v>
      </c>
      <c r="E33" s="78">
        <f t="shared" ca="1" si="37"/>
        <v>0</v>
      </c>
      <c r="F33" s="4">
        <f ca="1">-SUMIFS(INDIRECT("Tab_00.Trial["&amp;F$4&amp;"]"),Tab_00.Trial[CONTA],$B33)</f>
        <v>3019.84</v>
      </c>
      <c r="G33" s="78">
        <f t="shared" ca="1" si="38"/>
        <v>0</v>
      </c>
      <c r="H33" s="78">
        <f t="shared" ca="1" si="50"/>
        <v>0</v>
      </c>
      <c r="I33" s="4">
        <f ca="1">-SUMIFS(INDIRECT("Tab_00.Trial["&amp;I$4&amp;"]"),Tab_00.Trial[CONTA],$B33)</f>
        <v>4439.8900000000003</v>
      </c>
      <c r="J33" s="78">
        <f t="shared" ca="1" si="39"/>
        <v>1E-4</v>
      </c>
      <c r="K33" s="78">
        <f t="shared" ca="1" si="51"/>
        <v>0.47020000000000001</v>
      </c>
      <c r="L33" s="4">
        <f ca="1">-SUMIFS(INDIRECT("Tab_00.Trial["&amp;L$4&amp;"]"),Tab_00.Trial[CONTA],$B33)</f>
        <v>6659.85</v>
      </c>
      <c r="M33" s="78">
        <f t="shared" ca="1" si="40"/>
        <v>1E-4</v>
      </c>
      <c r="N33" s="78">
        <f t="shared" ca="1" si="52"/>
        <v>0.5</v>
      </c>
      <c r="O33" s="4">
        <f ca="1">-SUMIFS(INDIRECT("Tab_00.Trial["&amp;O$4&amp;"]"),Tab_00.Trial[CONTA],$B33)</f>
        <v>8879.77</v>
      </c>
      <c r="P33" s="78">
        <f t="shared" ca="1" si="41"/>
        <v>1E-4</v>
      </c>
      <c r="Q33" s="78">
        <f t="shared" ca="1" si="53"/>
        <v>0.33329999999999999</v>
      </c>
      <c r="R33" s="4">
        <f ca="1">-SUMIFS(INDIRECT("Tab_00.Trial["&amp;R$4&amp;"]"),Tab_00.Trial[CONTA],$B33)</f>
        <v>11171.18</v>
      </c>
      <c r="S33" s="78">
        <f t="shared" ca="1" si="42"/>
        <v>1E-4</v>
      </c>
      <c r="T33" s="78">
        <f t="shared" ca="1" si="54"/>
        <v>0.25800000000000001</v>
      </c>
      <c r="U33" s="4">
        <f ca="1">-SUMIFS(INDIRECT("Tab_00.Trial["&amp;U$4&amp;"]"),Tab_00.Trial[CONTA],$B33)</f>
        <v>13462.57</v>
      </c>
      <c r="V33" s="78">
        <f t="shared" ca="1" si="43"/>
        <v>2.0000000000000001E-4</v>
      </c>
      <c r="W33" s="78">
        <f t="shared" ca="1" si="55"/>
        <v>0.2051</v>
      </c>
      <c r="X33" s="4">
        <f ca="1">-SUMIFS(INDIRECT("Tab_00.Trial["&amp;X$4&amp;"]"),Tab_00.Trial[CONTA],$B33)</f>
        <v>15753</v>
      </c>
      <c r="Y33" s="78">
        <f t="shared" ca="1" si="44"/>
        <v>2.0000000000000001E-4</v>
      </c>
      <c r="Z33" s="78">
        <f t="shared" ca="1" si="56"/>
        <v>0.1701</v>
      </c>
      <c r="AA33" s="4">
        <f ca="1">-SUMIFS(INDIRECT("Tab_00.Trial["&amp;AA$4&amp;"]"),Tab_00.Trial[CONTA],$B33)</f>
        <v>18243.509999999998</v>
      </c>
      <c r="AB33" s="78">
        <f t="shared" ca="1" si="45"/>
        <v>2.0000000000000001E-4</v>
      </c>
      <c r="AC33" s="78">
        <f t="shared" ca="1" si="57"/>
        <v>0.15809999999999999</v>
      </c>
      <c r="AD33" s="4">
        <f ca="1">-SUMIFS(INDIRECT("Tab_00.Trial["&amp;AD$4&amp;"]"),Tab_00.Trial[CONTA],$B33)</f>
        <v>20587.400000000001</v>
      </c>
      <c r="AE33" s="78">
        <f t="shared" ca="1" si="46"/>
        <v>2.0000000000000001E-4</v>
      </c>
      <c r="AF33" s="78">
        <f t="shared" ca="1" si="58"/>
        <v>0.1285</v>
      </c>
      <c r="AG33" s="4">
        <f ca="1">-SUMIFS(INDIRECT("Tab_00.Trial["&amp;AG$4&amp;"]"),Tab_00.Trial[CONTA],$B33)</f>
        <v>22903.94</v>
      </c>
      <c r="AH33" s="78">
        <f t="shared" ca="1" si="47"/>
        <v>2.9999999999999997E-4</v>
      </c>
      <c r="AI33" s="78">
        <f t="shared" ca="1" si="59"/>
        <v>0.1125</v>
      </c>
      <c r="AJ33" s="4">
        <f ca="1">-SUMIFS(INDIRECT("Tab_00.Trial["&amp;AJ$4&amp;"]"),Tab_00.Trial[CONTA],$B33)</f>
        <v>25220.720000000001</v>
      </c>
      <c r="AK33" s="78">
        <f t="shared" ca="1" si="48"/>
        <v>2.9999999999999997E-4</v>
      </c>
      <c r="AL33" s="78">
        <f t="shared" ca="1" si="60"/>
        <v>0.1012</v>
      </c>
      <c r="AM33" s="4">
        <f ca="1">-SUMIFS(INDIRECT("Tab_00.Trial["&amp;AM$4&amp;"]"),Tab_00.Trial[CONTA],$B33)</f>
        <v>0</v>
      </c>
      <c r="AN33" s="78">
        <f t="shared" ca="1" si="49"/>
        <v>0</v>
      </c>
      <c r="AO33" s="78">
        <f t="shared" ca="1" si="61"/>
        <v>-1</v>
      </c>
    </row>
    <row r="34" spans="2:41" ht="15" hidden="1" customHeight="1" outlineLevel="1" x14ac:dyDescent="0.3">
      <c r="B34" s="14" t="s">
        <v>784</v>
      </c>
      <c r="C34" s="15" t="s">
        <v>785</v>
      </c>
      <c r="D34" s="4">
        <f>-SUMIFS(Tab_99.Trial[DEZEMBRO],Tab_99.Trial[CONTA],$B34)</f>
        <v>0</v>
      </c>
      <c r="E34" s="78">
        <f t="shared" ca="1" si="37"/>
        <v>0</v>
      </c>
      <c r="F34" s="4">
        <f ca="1">-SUMIFS(INDIRECT("Tab_00.Trial["&amp;F$4&amp;"]"),Tab_00.Trial[CONTA],$B34)</f>
        <v>16551.36</v>
      </c>
      <c r="G34" s="78">
        <f t="shared" ca="1" si="38"/>
        <v>2.0000000000000001E-4</v>
      </c>
      <c r="H34" s="78">
        <f t="shared" ca="1" si="50"/>
        <v>0</v>
      </c>
      <c r="I34" s="4">
        <f ca="1">-SUMIFS(INDIRECT("Tab_00.Trial["&amp;I$4&amp;"]"),Tab_00.Trial[CONTA],$B34)</f>
        <v>11473.03</v>
      </c>
      <c r="J34" s="78">
        <f t="shared" ca="1" si="39"/>
        <v>1E-4</v>
      </c>
      <c r="K34" s="78">
        <f t="shared" ca="1" si="51"/>
        <v>-0.30680000000000002</v>
      </c>
      <c r="L34" s="4">
        <f ca="1">-SUMIFS(INDIRECT("Tab_00.Trial["&amp;L$4&amp;"]"),Tab_00.Trial[CONTA],$B34)</f>
        <v>12142.12</v>
      </c>
      <c r="M34" s="78">
        <f t="shared" ca="1" si="40"/>
        <v>1E-4</v>
      </c>
      <c r="N34" s="78">
        <f t="shared" ca="1" si="52"/>
        <v>5.8299999999999998E-2</v>
      </c>
      <c r="O34" s="4">
        <f ca="1">-SUMIFS(INDIRECT("Tab_00.Trial["&amp;O$4&amp;"]"),Tab_00.Trial[CONTA],$B34)</f>
        <v>13011.43</v>
      </c>
      <c r="P34" s="78">
        <f t="shared" ca="1" si="41"/>
        <v>2.0000000000000001E-4</v>
      </c>
      <c r="Q34" s="78">
        <f t="shared" ca="1" si="53"/>
        <v>7.1599999999999997E-2</v>
      </c>
      <c r="R34" s="4">
        <f ca="1">-SUMIFS(INDIRECT("Tab_00.Trial["&amp;R$4&amp;"]"),Tab_00.Trial[CONTA],$B34)</f>
        <v>13923.42</v>
      </c>
      <c r="S34" s="78">
        <f t="shared" ca="1" si="42"/>
        <v>2.0000000000000001E-4</v>
      </c>
      <c r="T34" s="78">
        <f t="shared" ca="1" si="54"/>
        <v>7.0099999999999996E-2</v>
      </c>
      <c r="U34" s="4">
        <f ca="1">-SUMIFS(INDIRECT("Tab_00.Trial["&amp;U$4&amp;"]"),Tab_00.Trial[CONTA],$B34)</f>
        <v>14835.41</v>
      </c>
      <c r="V34" s="78">
        <f t="shared" ca="1" si="43"/>
        <v>2.0000000000000001E-4</v>
      </c>
      <c r="W34" s="78">
        <f t="shared" ca="1" si="55"/>
        <v>6.5500000000000003E-2</v>
      </c>
      <c r="X34" s="4">
        <f ca="1">-SUMIFS(INDIRECT("Tab_00.Trial["&amp;X$4&amp;"]"),Tab_00.Trial[CONTA],$B34)</f>
        <v>13313.66</v>
      </c>
      <c r="Y34" s="78">
        <f t="shared" ca="1" si="44"/>
        <v>2.0000000000000001E-4</v>
      </c>
      <c r="Z34" s="78">
        <f t="shared" ca="1" si="56"/>
        <v>-0.1026</v>
      </c>
      <c r="AA34" s="4">
        <f ca="1">-SUMIFS(INDIRECT("Tab_00.Trial["&amp;AA$4&amp;"]"),Tab_00.Trial[CONTA],$B34)</f>
        <v>13292.85</v>
      </c>
      <c r="AB34" s="78">
        <f t="shared" ca="1" si="45"/>
        <v>2.0000000000000001E-4</v>
      </c>
      <c r="AC34" s="78">
        <f t="shared" ca="1" si="57"/>
        <v>-1.6000000000000001E-3</v>
      </c>
      <c r="AD34" s="4">
        <f ca="1">-SUMIFS(INDIRECT("Tab_00.Trial["&amp;AD$4&amp;"]"),Tab_00.Trial[CONTA],$B34)</f>
        <v>11878.87</v>
      </c>
      <c r="AE34" s="78">
        <f t="shared" ca="1" si="46"/>
        <v>1E-4</v>
      </c>
      <c r="AF34" s="78">
        <f t="shared" ca="1" si="58"/>
        <v>-0.10639999999999999</v>
      </c>
      <c r="AG34" s="4">
        <f ca="1">-SUMIFS(INDIRECT("Tab_00.Trial["&amp;AG$4&amp;"]"),Tab_00.Trial[CONTA],$B34)</f>
        <v>11245.64</v>
      </c>
      <c r="AH34" s="78">
        <f t="shared" ca="1" si="47"/>
        <v>1E-4</v>
      </c>
      <c r="AI34" s="78">
        <f t="shared" ca="1" si="59"/>
        <v>-5.33E-2</v>
      </c>
      <c r="AJ34" s="4">
        <f ca="1">-SUMIFS(INDIRECT("Tab_00.Trial["&amp;AJ$4&amp;"]"),Tab_00.Trial[CONTA],$B34)</f>
        <v>11730.99</v>
      </c>
      <c r="AK34" s="78">
        <f t="shared" ca="1" si="48"/>
        <v>1E-4</v>
      </c>
      <c r="AL34" s="78">
        <f t="shared" ca="1" si="60"/>
        <v>4.3200000000000002E-2</v>
      </c>
      <c r="AM34" s="4">
        <f ca="1">-SUMIFS(INDIRECT("Tab_00.Trial["&amp;AM$4&amp;"]"),Tab_00.Trial[CONTA],$B34)</f>
        <v>12734.09</v>
      </c>
      <c r="AN34" s="78">
        <f t="shared" ca="1" si="49"/>
        <v>1E-4</v>
      </c>
      <c r="AO34" s="78">
        <f t="shared" ca="1" si="61"/>
        <v>8.5500000000000007E-2</v>
      </c>
    </row>
    <row r="35" spans="2:41" ht="15" hidden="1" customHeight="1" outlineLevel="1" x14ac:dyDescent="0.3">
      <c r="B35" s="14" t="s">
        <v>786</v>
      </c>
      <c r="C35" s="15" t="s">
        <v>787</v>
      </c>
      <c r="D35" s="4">
        <f>-SUMIFS(Tab_99.Trial[DEZEMBRO],Tab_99.Trial[CONTA],$B35)</f>
        <v>0</v>
      </c>
      <c r="E35" s="78">
        <f t="shared" ca="1" si="37"/>
        <v>0</v>
      </c>
      <c r="F35" s="4">
        <f ca="1">-SUMIFS(INDIRECT("Tab_00.Trial["&amp;F$4&amp;"]"),Tab_00.Trial[CONTA],$B35)</f>
        <v>2448.34</v>
      </c>
      <c r="G35" s="78">
        <f t="shared" ca="1" si="38"/>
        <v>0</v>
      </c>
      <c r="H35" s="78">
        <f t="shared" ca="1" si="50"/>
        <v>0</v>
      </c>
      <c r="I35" s="4">
        <f ca="1">-SUMIFS(INDIRECT("Tab_00.Trial["&amp;I$4&amp;"]"),Tab_00.Trial[CONTA],$B35)</f>
        <v>1746.64</v>
      </c>
      <c r="J35" s="78">
        <f t="shared" ca="1" si="39"/>
        <v>0</v>
      </c>
      <c r="K35" s="78">
        <f t="shared" ca="1" si="51"/>
        <v>-0.28660000000000002</v>
      </c>
      <c r="L35" s="4">
        <f ca="1">-SUMIFS(INDIRECT("Tab_00.Trial["&amp;L$4&amp;"]"),Tab_00.Trial[CONTA],$B35)</f>
        <v>1786.86</v>
      </c>
      <c r="M35" s="78">
        <f t="shared" ca="1" si="40"/>
        <v>0</v>
      </c>
      <c r="N35" s="78">
        <f t="shared" ca="1" si="52"/>
        <v>2.3E-2</v>
      </c>
      <c r="O35" s="4">
        <f ca="1">-SUMIFS(INDIRECT("Tab_00.Trial["&amp;O$4&amp;"]"),Tab_00.Trial[CONTA],$B35)</f>
        <v>1889.75</v>
      </c>
      <c r="P35" s="78">
        <f t="shared" ca="1" si="41"/>
        <v>0</v>
      </c>
      <c r="Q35" s="78">
        <f t="shared" ca="1" si="53"/>
        <v>5.7599999999999998E-2</v>
      </c>
      <c r="R35" s="4">
        <f ca="1">-SUMIFS(INDIRECT("Tab_00.Trial["&amp;R$4&amp;"]"),Tab_00.Trial[CONTA],$B35)</f>
        <v>1994.85</v>
      </c>
      <c r="S35" s="78">
        <f t="shared" ca="1" si="42"/>
        <v>0</v>
      </c>
      <c r="T35" s="78">
        <f t="shared" ca="1" si="54"/>
        <v>5.5599999999999997E-2</v>
      </c>
      <c r="U35" s="4">
        <f ca="1">-SUMIFS(INDIRECT("Tab_00.Trial["&amp;U$4&amp;"]"),Tab_00.Trial[CONTA],$B35)</f>
        <v>2108.85</v>
      </c>
      <c r="V35" s="78">
        <f t="shared" ca="1" si="43"/>
        <v>0</v>
      </c>
      <c r="W35" s="78">
        <f t="shared" ca="1" si="55"/>
        <v>5.7099999999999998E-2</v>
      </c>
      <c r="X35" s="4">
        <f ca="1">-SUMIFS(INDIRECT("Tab_00.Trial["&amp;X$4&amp;"]"),Tab_00.Trial[CONTA],$B35)</f>
        <v>1918.65</v>
      </c>
      <c r="Y35" s="78">
        <f t="shared" ca="1" si="44"/>
        <v>0</v>
      </c>
      <c r="Z35" s="78">
        <f t="shared" ca="1" si="56"/>
        <v>-9.0200000000000002E-2</v>
      </c>
      <c r="AA35" s="4">
        <f ca="1">-SUMIFS(INDIRECT("Tab_00.Trial["&amp;AA$4&amp;"]"),Tab_00.Trial[CONTA],$B35)</f>
        <v>1859</v>
      </c>
      <c r="AB35" s="78">
        <f t="shared" ca="1" si="45"/>
        <v>0</v>
      </c>
      <c r="AC35" s="78">
        <f t="shared" ca="1" si="57"/>
        <v>-3.1099999999999999E-2</v>
      </c>
      <c r="AD35" s="4">
        <f ca="1">-SUMIFS(INDIRECT("Tab_00.Trial["&amp;AD$4&amp;"]"),Tab_00.Trial[CONTA],$B35)</f>
        <v>1807.67</v>
      </c>
      <c r="AE35" s="78">
        <f t="shared" ca="1" si="46"/>
        <v>0</v>
      </c>
      <c r="AF35" s="78">
        <f t="shared" ca="1" si="58"/>
        <v>-2.76E-2</v>
      </c>
      <c r="AG35" s="4">
        <f ca="1">-SUMIFS(INDIRECT("Tab_00.Trial["&amp;AG$4&amp;"]"),Tab_00.Trial[CONTA],$B35)</f>
        <v>1602.33</v>
      </c>
      <c r="AH35" s="78">
        <f t="shared" ca="1" si="47"/>
        <v>0</v>
      </c>
      <c r="AI35" s="78">
        <f t="shared" ca="1" si="59"/>
        <v>-0.11360000000000001</v>
      </c>
      <c r="AJ35" s="4">
        <f ca="1">-SUMIFS(INDIRECT("Tab_00.Trial["&amp;AJ$4&amp;"]"),Tab_00.Trial[CONTA],$B35)</f>
        <v>1669.81</v>
      </c>
      <c r="AK35" s="78">
        <f t="shared" ca="1" si="48"/>
        <v>0</v>
      </c>
      <c r="AL35" s="78">
        <f t="shared" ca="1" si="60"/>
        <v>4.2099999999999999E-2</v>
      </c>
      <c r="AM35" s="4">
        <f ca="1">-SUMIFS(INDIRECT("Tab_00.Trial["&amp;AM$4&amp;"]"),Tab_00.Trial[CONTA],$B35)</f>
        <v>1785.18</v>
      </c>
      <c r="AN35" s="78">
        <f t="shared" ca="1" si="49"/>
        <v>0</v>
      </c>
      <c r="AO35" s="78">
        <f t="shared" ca="1" si="61"/>
        <v>6.9099999999999995E-2</v>
      </c>
    </row>
    <row r="36" spans="2:41" ht="15" hidden="1" customHeight="1" outlineLevel="1" x14ac:dyDescent="0.3">
      <c r="B36" s="14" t="s">
        <v>788</v>
      </c>
      <c r="C36" s="15" t="s">
        <v>789</v>
      </c>
      <c r="D36" s="4">
        <f>-SUMIFS(Tab_99.Trial[DEZEMBRO],Tab_99.Trial[CONTA],$B36)</f>
        <v>0</v>
      </c>
      <c r="E36" s="78">
        <f t="shared" ca="1" si="37"/>
        <v>0</v>
      </c>
      <c r="F36" s="4">
        <f ca="1">-SUMIFS(INDIRECT("Tab_00.Trial["&amp;F$4&amp;"]"),Tab_00.Trial[CONTA],$B36)</f>
        <v>55447.42</v>
      </c>
      <c r="G36" s="78">
        <f t="shared" ca="1" si="38"/>
        <v>6.9999999999999999E-4</v>
      </c>
      <c r="H36" s="78">
        <f t="shared" ca="1" si="50"/>
        <v>0</v>
      </c>
      <c r="I36" s="4">
        <f ca="1">-SUMIFS(INDIRECT("Tab_00.Trial["&amp;I$4&amp;"]"),Tab_00.Trial[CONTA],$B36)</f>
        <v>38435.24</v>
      </c>
      <c r="J36" s="78">
        <f t="shared" ca="1" si="39"/>
        <v>5.0000000000000001E-4</v>
      </c>
      <c r="K36" s="78">
        <f t="shared" ca="1" si="51"/>
        <v>-0.30680000000000002</v>
      </c>
      <c r="L36" s="4">
        <f ca="1">-SUMIFS(INDIRECT("Tab_00.Trial["&amp;L$4&amp;"]"),Tab_00.Trial[CONTA],$B36)</f>
        <v>40676.660000000003</v>
      </c>
      <c r="M36" s="78">
        <f t="shared" ca="1" si="40"/>
        <v>5.0000000000000001E-4</v>
      </c>
      <c r="N36" s="78">
        <f t="shared" ca="1" si="52"/>
        <v>5.8299999999999998E-2</v>
      </c>
      <c r="O36" s="4">
        <f ca="1">-SUMIFS(INDIRECT("Tab_00.Trial["&amp;O$4&amp;"]"),Tab_00.Trial[CONTA],$B36)</f>
        <v>43588.78</v>
      </c>
      <c r="P36" s="78">
        <f t="shared" ca="1" si="41"/>
        <v>5.0000000000000001E-4</v>
      </c>
      <c r="Q36" s="78">
        <f t="shared" ca="1" si="53"/>
        <v>7.1599999999999997E-2</v>
      </c>
      <c r="R36" s="4">
        <f ca="1">-SUMIFS(INDIRECT("Tab_00.Trial["&amp;R$4&amp;"]"),Tab_00.Trial[CONTA],$B36)</f>
        <v>46644</v>
      </c>
      <c r="S36" s="78">
        <f t="shared" ca="1" si="42"/>
        <v>5.9999999999999995E-4</v>
      </c>
      <c r="T36" s="78">
        <f t="shared" ca="1" si="54"/>
        <v>7.0099999999999996E-2</v>
      </c>
      <c r="U36" s="4">
        <f ca="1">-SUMIFS(INDIRECT("Tab_00.Trial["&amp;U$4&amp;"]"),Tab_00.Trial[CONTA],$B36)</f>
        <v>49699.27</v>
      </c>
      <c r="V36" s="78">
        <f t="shared" ca="1" si="43"/>
        <v>5.9999999999999995E-4</v>
      </c>
      <c r="W36" s="78">
        <f t="shared" ca="1" si="55"/>
        <v>6.5500000000000003E-2</v>
      </c>
      <c r="X36" s="4">
        <f ca="1">-SUMIFS(INDIRECT("Tab_00.Trial["&amp;X$4&amp;"]"),Tab_00.Trial[CONTA],$B36)</f>
        <v>44601.32</v>
      </c>
      <c r="Y36" s="78">
        <f t="shared" ca="1" si="44"/>
        <v>5.0000000000000001E-4</v>
      </c>
      <c r="Z36" s="78">
        <f t="shared" ca="1" si="56"/>
        <v>-0.1026</v>
      </c>
      <c r="AA36" s="4">
        <f ca="1">-SUMIFS(INDIRECT("Tab_00.Trial["&amp;AA$4&amp;"]"),Tab_00.Trial[CONTA],$B36)</f>
        <v>44531.54</v>
      </c>
      <c r="AB36" s="78">
        <f t="shared" ca="1" si="45"/>
        <v>5.0000000000000001E-4</v>
      </c>
      <c r="AC36" s="78">
        <f t="shared" ca="1" si="57"/>
        <v>-1.6000000000000001E-3</v>
      </c>
      <c r="AD36" s="4">
        <f ca="1">-SUMIFS(INDIRECT("Tab_00.Trial["&amp;AD$4&amp;"]"),Tab_00.Trial[CONTA],$B36)</f>
        <v>39794.730000000003</v>
      </c>
      <c r="AE36" s="78">
        <f t="shared" ca="1" si="46"/>
        <v>5.0000000000000001E-4</v>
      </c>
      <c r="AF36" s="78">
        <f t="shared" ca="1" si="58"/>
        <v>-0.10639999999999999</v>
      </c>
      <c r="AG36" s="4">
        <f ca="1">-SUMIFS(INDIRECT("Tab_00.Trial["&amp;AG$4&amp;"]"),Tab_00.Trial[CONTA],$B36)</f>
        <v>37673.43</v>
      </c>
      <c r="AH36" s="78">
        <f t="shared" ca="1" si="47"/>
        <v>4.0000000000000002E-4</v>
      </c>
      <c r="AI36" s="78">
        <f t="shared" ca="1" si="59"/>
        <v>-5.33E-2</v>
      </c>
      <c r="AJ36" s="4">
        <f ca="1">-SUMIFS(INDIRECT("Tab_00.Trial["&amp;AJ$4&amp;"]"),Tab_00.Trial[CONTA],$B36)</f>
        <v>39299.370000000003</v>
      </c>
      <c r="AK36" s="78">
        <f t="shared" ca="1" si="48"/>
        <v>5.0000000000000001E-4</v>
      </c>
      <c r="AL36" s="78">
        <f t="shared" ca="1" si="60"/>
        <v>4.3200000000000002E-2</v>
      </c>
      <c r="AM36" s="4">
        <f ca="1">-SUMIFS(INDIRECT("Tab_00.Trial["&amp;AM$4&amp;"]"),Tab_00.Trial[CONTA],$B36)</f>
        <v>42659.79</v>
      </c>
      <c r="AN36" s="78">
        <f t="shared" ca="1" si="49"/>
        <v>5.0000000000000001E-4</v>
      </c>
      <c r="AO36" s="78">
        <f t="shared" ca="1" si="61"/>
        <v>8.5500000000000007E-2</v>
      </c>
    </row>
    <row r="37" spans="2:41" ht="15" hidden="1" customHeight="1" outlineLevel="1" x14ac:dyDescent="0.3">
      <c r="B37" s="14"/>
      <c r="C37" s="15"/>
      <c r="D37" s="4">
        <f>-SUMIFS(Tab_99.Trial[DEZEMBRO],Tab_99.Trial[CONTA],$B37)</f>
        <v>0</v>
      </c>
      <c r="E37" s="78">
        <f t="shared" ca="1" si="37"/>
        <v>0</v>
      </c>
      <c r="F37" s="4">
        <f ca="1">-SUMIFS(INDIRECT("Tab_00.Trial["&amp;F$4&amp;"]"),Tab_00.Trial[CONTA],$B37)</f>
        <v>0</v>
      </c>
      <c r="G37" s="78">
        <f t="shared" ca="1" si="38"/>
        <v>0</v>
      </c>
      <c r="H37" s="78">
        <f t="shared" ca="1" si="50"/>
        <v>0</v>
      </c>
      <c r="I37" s="4">
        <f ca="1">-SUMIFS(INDIRECT("Tab_00.Trial["&amp;I$4&amp;"]"),Tab_00.Trial[CONTA],$B37)</f>
        <v>0</v>
      </c>
      <c r="J37" s="78">
        <f t="shared" ca="1" si="39"/>
        <v>0</v>
      </c>
      <c r="K37" s="78">
        <f t="shared" ca="1" si="51"/>
        <v>0</v>
      </c>
      <c r="L37" s="4">
        <f ca="1">-SUMIFS(INDIRECT("Tab_00.Trial["&amp;L$4&amp;"]"),Tab_00.Trial[CONTA],$B37)</f>
        <v>0</v>
      </c>
      <c r="M37" s="78">
        <f t="shared" ca="1" si="40"/>
        <v>0</v>
      </c>
      <c r="N37" s="78">
        <f t="shared" ca="1" si="52"/>
        <v>0</v>
      </c>
      <c r="O37" s="4">
        <f ca="1">-SUMIFS(INDIRECT("Tab_00.Trial["&amp;O$4&amp;"]"),Tab_00.Trial[CONTA],$B37)</f>
        <v>0</v>
      </c>
      <c r="P37" s="78">
        <f t="shared" ca="1" si="41"/>
        <v>0</v>
      </c>
      <c r="Q37" s="78">
        <f t="shared" ca="1" si="53"/>
        <v>0</v>
      </c>
      <c r="R37" s="4">
        <f ca="1">-SUMIFS(INDIRECT("Tab_00.Trial["&amp;R$4&amp;"]"),Tab_00.Trial[CONTA],$B37)</f>
        <v>0</v>
      </c>
      <c r="S37" s="78">
        <f t="shared" ca="1" si="42"/>
        <v>0</v>
      </c>
      <c r="T37" s="78">
        <f t="shared" ca="1" si="54"/>
        <v>0</v>
      </c>
      <c r="U37" s="4">
        <f ca="1">-SUMIFS(INDIRECT("Tab_00.Trial["&amp;U$4&amp;"]"),Tab_00.Trial[CONTA],$B37)</f>
        <v>0</v>
      </c>
      <c r="V37" s="78">
        <f t="shared" ca="1" si="43"/>
        <v>0</v>
      </c>
      <c r="W37" s="78">
        <f t="shared" ca="1" si="55"/>
        <v>0</v>
      </c>
      <c r="X37" s="4">
        <f ca="1">-SUMIFS(INDIRECT("Tab_00.Trial["&amp;X$4&amp;"]"),Tab_00.Trial[CONTA],$B37)</f>
        <v>0</v>
      </c>
      <c r="Y37" s="78">
        <f t="shared" ca="1" si="44"/>
        <v>0</v>
      </c>
      <c r="Z37" s="78">
        <f t="shared" ca="1" si="56"/>
        <v>0</v>
      </c>
      <c r="AA37" s="4">
        <f ca="1">-SUMIFS(INDIRECT("Tab_00.Trial["&amp;AA$4&amp;"]"),Tab_00.Trial[CONTA],$B37)</f>
        <v>0</v>
      </c>
      <c r="AB37" s="78">
        <f t="shared" ca="1" si="45"/>
        <v>0</v>
      </c>
      <c r="AC37" s="78">
        <f t="shared" ca="1" si="57"/>
        <v>0</v>
      </c>
      <c r="AD37" s="4">
        <f ca="1">-SUMIFS(INDIRECT("Tab_00.Trial["&amp;AD$4&amp;"]"),Tab_00.Trial[CONTA],$B37)</f>
        <v>0</v>
      </c>
      <c r="AE37" s="78">
        <f t="shared" ca="1" si="46"/>
        <v>0</v>
      </c>
      <c r="AF37" s="78">
        <f t="shared" ca="1" si="58"/>
        <v>0</v>
      </c>
      <c r="AG37" s="4">
        <f ca="1">-SUMIFS(INDIRECT("Tab_00.Trial["&amp;AG$4&amp;"]"),Tab_00.Trial[CONTA],$B37)</f>
        <v>0</v>
      </c>
      <c r="AH37" s="78">
        <f t="shared" ca="1" si="47"/>
        <v>0</v>
      </c>
      <c r="AI37" s="78">
        <f t="shared" ca="1" si="59"/>
        <v>0</v>
      </c>
      <c r="AJ37" s="4">
        <f ca="1">-SUMIFS(INDIRECT("Tab_00.Trial["&amp;AJ$4&amp;"]"),Tab_00.Trial[CONTA],$B37)</f>
        <v>0</v>
      </c>
      <c r="AK37" s="78">
        <f t="shared" ca="1" si="48"/>
        <v>0</v>
      </c>
      <c r="AL37" s="78">
        <f t="shared" ca="1" si="60"/>
        <v>0</v>
      </c>
      <c r="AM37" s="4">
        <f ca="1">-SUMIFS(INDIRECT("Tab_00.Trial["&amp;AM$4&amp;"]"),Tab_00.Trial[CONTA],$B37)</f>
        <v>0</v>
      </c>
      <c r="AN37" s="78">
        <f t="shared" ca="1" si="49"/>
        <v>0</v>
      </c>
      <c r="AO37" s="78">
        <f t="shared" ca="1" si="61"/>
        <v>0</v>
      </c>
    </row>
    <row r="38" spans="2:41" ht="5.0999999999999996" hidden="1" customHeight="1" outlineLevel="1" x14ac:dyDescent="0.3">
      <c r="B38" s="74"/>
      <c r="C38" s="75"/>
      <c r="D38" s="76"/>
      <c r="E38" s="77"/>
      <c r="F38" s="76"/>
      <c r="G38" s="77"/>
      <c r="H38" s="77"/>
      <c r="I38" s="76"/>
      <c r="J38" s="77"/>
      <c r="K38" s="77"/>
      <c r="L38" s="76"/>
      <c r="M38" s="77"/>
      <c r="N38" s="77"/>
      <c r="O38" s="76"/>
      <c r="P38" s="77"/>
      <c r="Q38" s="77"/>
      <c r="R38" s="76"/>
      <c r="S38" s="77"/>
      <c r="T38" s="77"/>
      <c r="U38" s="76"/>
      <c r="V38" s="77"/>
      <c r="W38" s="77"/>
      <c r="X38" s="76"/>
      <c r="Y38" s="77"/>
      <c r="Z38" s="77"/>
      <c r="AA38" s="76"/>
      <c r="AB38" s="77"/>
      <c r="AC38" s="77"/>
      <c r="AD38" s="76"/>
      <c r="AE38" s="77"/>
      <c r="AF38" s="77"/>
      <c r="AG38" s="76"/>
      <c r="AH38" s="77"/>
      <c r="AI38" s="77"/>
      <c r="AJ38" s="76"/>
      <c r="AK38" s="77"/>
      <c r="AL38" s="77"/>
      <c r="AM38" s="76"/>
      <c r="AN38" s="77"/>
      <c r="AO38" s="77"/>
    </row>
    <row r="39" spans="2:41" ht="15" customHeight="1" collapsed="1" x14ac:dyDescent="0.3">
      <c r="B39" s="3" t="s">
        <v>53</v>
      </c>
      <c r="C39" s="14" t="s">
        <v>58</v>
      </c>
      <c r="D39" s="4">
        <f>SUBTOTAL(9,D$40:D$53)</f>
        <v>0</v>
      </c>
      <c r="E39" s="78">
        <f t="shared" ref="E39:E52" ca="1" si="62">IFERROR($D39/$D$146,0)</f>
        <v>0</v>
      </c>
      <c r="F39" s="4">
        <f ca="1">SUBTOTAL(9,F$40:F$53)</f>
        <v>2617.48</v>
      </c>
      <c r="G39" s="78">
        <f t="shared" ref="G39:G52" ca="1" si="63">IFERROR($F39/$F$146,0)</f>
        <v>0</v>
      </c>
      <c r="H39" s="78">
        <f ca="1">IFERROR(($F39-$D39)/ABS($D39),0)</f>
        <v>0</v>
      </c>
      <c r="I39" s="4">
        <f ca="1">SUBTOTAL(9,I$40:I$53)</f>
        <v>1970.84</v>
      </c>
      <c r="J39" s="78">
        <f t="shared" ref="J39:J52" ca="1" si="64">IFERROR($I39/$I$146,0)</f>
        <v>0</v>
      </c>
      <c r="K39" s="78">
        <f ca="1">IFERROR(($I39-$F39)/ABS($F39),0)</f>
        <v>-0.247</v>
      </c>
      <c r="L39" s="4">
        <f ca="1">SUBTOTAL(9,L$40:L$53)</f>
        <v>2184.66</v>
      </c>
      <c r="M39" s="78">
        <f t="shared" ref="M39:M52" ca="1" si="65">IFERROR($L39/$L$146,0)</f>
        <v>0</v>
      </c>
      <c r="N39" s="78">
        <f ca="1">IFERROR(($L39-$I39)/ABS($I39),0)</f>
        <v>0.1085</v>
      </c>
      <c r="O39" s="4">
        <f ca="1">SUBTOTAL(9,O$40:O$53)</f>
        <v>2946.97</v>
      </c>
      <c r="P39" s="78">
        <f t="shared" ref="P39:P52" ca="1" si="66">IFERROR($O39/$O$146,0)</f>
        <v>0</v>
      </c>
      <c r="Q39" s="78">
        <f ca="1">IFERROR(($O39-$L39)/ABS($L39),0)</f>
        <v>0.34889999999999999</v>
      </c>
      <c r="R39" s="4">
        <f ca="1">SUBTOTAL(9,R$40:R$53)</f>
        <v>1937.47</v>
      </c>
      <c r="S39" s="78">
        <f t="shared" ref="S39:S52" ca="1" si="67">IFERROR($R39/$R$146,0)</f>
        <v>0</v>
      </c>
      <c r="T39" s="78">
        <f ca="1">IFERROR(($R39-$O39)/ABS($O39),0)</f>
        <v>-0.34260000000000002</v>
      </c>
      <c r="U39" s="4">
        <f ca="1">SUBTOTAL(9,U$40:U$53)</f>
        <v>6600.6</v>
      </c>
      <c r="V39" s="78">
        <f t="shared" ref="V39:V52" ca="1" si="68">IFERROR($U39/$U$146,0)</f>
        <v>1E-4</v>
      </c>
      <c r="W39" s="78">
        <f ca="1">IFERROR(($U39-$R39)/ABS($R39),0)</f>
        <v>2.4068000000000001</v>
      </c>
      <c r="X39" s="4">
        <f ca="1">SUBTOTAL(9,X$40:X$53)</f>
        <v>4276.43</v>
      </c>
      <c r="Y39" s="78">
        <f t="shared" ref="Y39:Y52" ca="1" si="69">IFERROR($X39/$X$146,0)</f>
        <v>1E-4</v>
      </c>
      <c r="Z39" s="78">
        <f ca="1">IFERROR(($X39-$U39)/ABS($U39),0)</f>
        <v>-0.35210000000000002</v>
      </c>
      <c r="AA39" s="4">
        <f ca="1">SUBTOTAL(9,AA$40:AA$53)</f>
        <v>3442.38</v>
      </c>
      <c r="AB39" s="78">
        <f t="shared" ref="AB39:AB52" ca="1" si="70">IFERROR($AA39/$AA$146,0)</f>
        <v>0</v>
      </c>
      <c r="AC39" s="78">
        <f ca="1">IFERROR(($AA39-$X39)/ABS($X39),0)</f>
        <v>-0.19500000000000001</v>
      </c>
      <c r="AD39" s="4">
        <f ca="1">SUBTOTAL(9,AD$40:AD$53)</f>
        <v>2829.9</v>
      </c>
      <c r="AE39" s="78">
        <f t="shared" ref="AE39:AE52" ca="1" si="71">IFERROR($AD39/$AD$146,0)</f>
        <v>0</v>
      </c>
      <c r="AF39" s="78">
        <f ca="1">IFERROR(($AD39-$AA39)/ABS($AA39),0)</f>
        <v>-0.1779</v>
      </c>
      <c r="AG39" s="4">
        <f ca="1">SUBTOTAL(9,AG$40:AG$53)</f>
        <v>7466.31</v>
      </c>
      <c r="AH39" s="78">
        <f t="shared" ref="AH39:AH52" ca="1" si="72">IFERROR($AG39/$AG$146,0)</f>
        <v>1E-4</v>
      </c>
      <c r="AI39" s="78">
        <f ca="1">IFERROR(($AG39-$AD39)/ABS($AD39),0)</f>
        <v>1.6384000000000001</v>
      </c>
      <c r="AJ39" s="4">
        <f ca="1">SUBTOTAL(9,AJ$40:AJ$53)</f>
        <v>8656.51</v>
      </c>
      <c r="AK39" s="78">
        <f t="shared" ref="AK39:AK52" ca="1" si="73">IFERROR($AJ39/$AJ$146,0)</f>
        <v>1E-4</v>
      </c>
      <c r="AL39" s="78">
        <f ca="1">IFERROR(($AJ39-$AG39)/ABS($AG39),0)</f>
        <v>0.15939999999999999</v>
      </c>
      <c r="AM39" s="4">
        <f ca="1">SUBTOTAL(9,AM$40:AM$53)</f>
        <v>8253.76</v>
      </c>
      <c r="AN39" s="78">
        <f t="shared" ref="AN39:AN52" ca="1" si="74">IFERROR(AM39/AM$146,0)</f>
        <v>1E-4</v>
      </c>
      <c r="AO39" s="78">
        <f ca="1">IFERROR(($AM39-$AJ39)/ABS($AJ39),0)</f>
        <v>-4.65E-2</v>
      </c>
    </row>
    <row r="40" spans="2:41" ht="15" hidden="1" customHeight="1" outlineLevel="1" x14ac:dyDescent="0.3">
      <c r="B40" s="14" t="s">
        <v>191</v>
      </c>
      <c r="C40" s="15" t="s">
        <v>347</v>
      </c>
      <c r="D40" s="4">
        <f>-SUMIFS(Tab_99.Trial[DEZEMBRO],Tab_99.Trial[CONTA],$B40)</f>
        <v>0</v>
      </c>
      <c r="E40" s="78">
        <f t="shared" ca="1" si="62"/>
        <v>0</v>
      </c>
      <c r="F40" s="4">
        <f ca="1">-SUMIFS(INDIRECT("Tab_00.Trial["&amp;F$4&amp;"]"),Tab_00.Trial[CONTA],$B40)</f>
        <v>409</v>
      </c>
      <c r="G40" s="78">
        <f t="shared" ca="1" si="63"/>
        <v>0</v>
      </c>
      <c r="H40" s="78">
        <f ca="1">IFERROR(($F40-$D40)/ABS($D40),0)</f>
        <v>0</v>
      </c>
      <c r="I40" s="4">
        <f ca="1">-SUMIFS(INDIRECT("Tab_00.Trial["&amp;I$4&amp;"]"),Tab_00.Trial[CONTA],$B40)</f>
        <v>418.31</v>
      </c>
      <c r="J40" s="78">
        <f t="shared" ca="1" si="64"/>
        <v>0</v>
      </c>
      <c r="K40" s="78">
        <f ca="1">IFERROR(($I40-$F40)/ABS($F40),0)</f>
        <v>2.2800000000000001E-2</v>
      </c>
      <c r="L40" s="4">
        <f ca="1">-SUMIFS(INDIRECT("Tab_00.Trial["&amp;L$4&amp;"]"),Tab_00.Trial[CONTA],$B40)</f>
        <v>404.18</v>
      </c>
      <c r="M40" s="78">
        <f t="shared" ca="1" si="65"/>
        <v>0</v>
      </c>
      <c r="N40" s="78">
        <f ca="1">IFERROR(($L40-$I40)/ABS($I40),0)</f>
        <v>-3.3799999999999997E-2</v>
      </c>
      <c r="O40" s="4">
        <f ca="1">-SUMIFS(INDIRECT("Tab_00.Trial["&amp;O$4&amp;"]"),Tab_00.Trial[CONTA],$B40)</f>
        <v>555.79999999999995</v>
      </c>
      <c r="P40" s="78">
        <f t="shared" ca="1" si="66"/>
        <v>0</v>
      </c>
      <c r="Q40" s="78">
        <f ca="1">IFERROR(($O40-$L40)/ABS($L40),0)</f>
        <v>0.37509999999999999</v>
      </c>
      <c r="R40" s="4">
        <f ca="1">-SUMIFS(INDIRECT("Tab_00.Trial["&amp;R$4&amp;"]"),Tab_00.Trial[CONTA],$B40)</f>
        <v>417.28</v>
      </c>
      <c r="S40" s="78">
        <f t="shared" ca="1" si="67"/>
        <v>0</v>
      </c>
      <c r="T40" s="78">
        <f ca="1">IFERROR(($R40-$O40)/ABS($O40),0)</f>
        <v>-0.2492</v>
      </c>
      <c r="U40" s="4">
        <f ca="1">-SUMIFS(INDIRECT("Tab_00.Trial["&amp;U$4&amp;"]"),Tab_00.Trial[CONTA],$B40)</f>
        <v>1612.21</v>
      </c>
      <c r="V40" s="78">
        <f t="shared" ca="1" si="68"/>
        <v>0</v>
      </c>
      <c r="W40" s="78">
        <f ca="1">IFERROR(($U40-$R40)/ABS($R40),0)</f>
        <v>2.8635999999999999</v>
      </c>
      <c r="X40" s="4">
        <f ca="1">-SUMIFS(INDIRECT("Tab_00.Trial["&amp;X$4&amp;"]"),Tab_00.Trial[CONTA],$B40)</f>
        <v>884.23</v>
      </c>
      <c r="Y40" s="78">
        <f t="shared" ca="1" si="69"/>
        <v>0</v>
      </c>
      <c r="Z40" s="78">
        <f ca="1">IFERROR(($X40-$U40)/ABS($U40),0)</f>
        <v>-0.45150000000000001</v>
      </c>
      <c r="AA40" s="4">
        <f ca="1">-SUMIFS(INDIRECT("Tab_00.Trial["&amp;AA$4&amp;"]"),Tab_00.Trial[CONTA],$B40)</f>
        <v>925.74</v>
      </c>
      <c r="AB40" s="78">
        <f t="shared" ca="1" si="70"/>
        <v>0</v>
      </c>
      <c r="AC40" s="78">
        <f ca="1">IFERROR(($AA40-$X40)/ABS($X40),0)</f>
        <v>4.6899999999999997E-2</v>
      </c>
      <c r="AD40" s="4">
        <f ca="1">-SUMIFS(INDIRECT("Tab_00.Trial["&amp;AD$4&amp;"]"),Tab_00.Trial[CONTA],$B40)</f>
        <v>834.01</v>
      </c>
      <c r="AE40" s="78">
        <f t="shared" ca="1" si="71"/>
        <v>0</v>
      </c>
      <c r="AF40" s="78">
        <f ca="1">IFERROR(($AD40-$AA40)/ABS($AA40),0)</f>
        <v>-9.9099999999999994E-2</v>
      </c>
      <c r="AG40" s="4">
        <f ca="1">-SUMIFS(INDIRECT("Tab_00.Trial["&amp;AG$4&amp;"]"),Tab_00.Trial[CONTA],$B40)</f>
        <v>1890.47</v>
      </c>
      <c r="AH40" s="78">
        <f t="shared" ca="1" si="72"/>
        <v>0</v>
      </c>
      <c r="AI40" s="78">
        <f ca="1">IFERROR(($AG40-$AD40)/ABS($AD40),0)</f>
        <v>1.2666999999999999</v>
      </c>
      <c r="AJ40" s="4">
        <f ca="1">-SUMIFS(INDIRECT("Tab_00.Trial["&amp;AJ$4&amp;"]"),Tab_00.Trial[CONTA],$B40)</f>
        <v>2182.15</v>
      </c>
      <c r="AK40" s="78">
        <f t="shared" ca="1" si="73"/>
        <v>0</v>
      </c>
      <c r="AL40" s="78">
        <f ca="1">IFERROR(($AJ40-$AG40)/ABS($AG40),0)</f>
        <v>0.15429999999999999</v>
      </c>
      <c r="AM40" s="4">
        <f ca="1">-SUMIFS(INDIRECT("Tab_00.Trial["&amp;AM$4&amp;"]"),Tab_00.Trial[CONTA],$B40)</f>
        <v>1846.28</v>
      </c>
      <c r="AN40" s="78">
        <f t="shared" ca="1" si="74"/>
        <v>0</v>
      </c>
      <c r="AO40" s="78">
        <f ca="1">IFERROR(($AM40-$AJ40)/ABS($AJ40),0)</f>
        <v>-0.15390000000000001</v>
      </c>
    </row>
    <row r="41" spans="2:41" ht="15" hidden="1" customHeight="1" outlineLevel="1" x14ac:dyDescent="0.3">
      <c r="B41" s="14" t="s">
        <v>264</v>
      </c>
      <c r="C41" s="15" t="s">
        <v>349</v>
      </c>
      <c r="D41" s="4">
        <f>-SUMIFS(Tab_99.Trial[DEZEMBRO],Tab_99.Trial[CONTA],$B41)</f>
        <v>0</v>
      </c>
      <c r="E41" s="78">
        <f t="shared" ca="1" si="62"/>
        <v>0</v>
      </c>
      <c r="F41" s="4">
        <f ca="1">-SUMIFS(INDIRECT("Tab_00.Trial["&amp;F$4&amp;"]"),Tab_00.Trial[CONTA],$B41)</f>
        <v>120.94</v>
      </c>
      <c r="G41" s="78">
        <f t="shared" ca="1" si="63"/>
        <v>0</v>
      </c>
      <c r="H41" s="78">
        <f t="shared" ref="H41:H48" ca="1" si="75">IFERROR(($F41-$D41)/ABS($D41),0)</f>
        <v>0</v>
      </c>
      <c r="I41" s="4">
        <f ca="1">-SUMIFS(INDIRECT("Tab_00.Trial["&amp;I$4&amp;"]"),Tab_00.Trial[CONTA],$B41)</f>
        <v>120.94</v>
      </c>
      <c r="J41" s="78">
        <f t="shared" ca="1" si="64"/>
        <v>0</v>
      </c>
      <c r="K41" s="78">
        <f t="shared" ref="K41:K48" ca="1" si="76">IFERROR(($I41-$F41)/ABS($F41),0)</f>
        <v>0</v>
      </c>
      <c r="L41" s="4">
        <f ca="1">-SUMIFS(INDIRECT("Tab_00.Trial["&amp;L$4&amp;"]"),Tab_00.Trial[CONTA],$B41)</f>
        <v>134.13999999999999</v>
      </c>
      <c r="M41" s="78">
        <f t="shared" ca="1" si="65"/>
        <v>0</v>
      </c>
      <c r="N41" s="78">
        <f t="shared" ref="N41:N48" ca="1" si="77">IFERROR(($L41-$I41)/ABS($I41),0)</f>
        <v>0.1091</v>
      </c>
      <c r="O41" s="4">
        <f ca="1">-SUMIFS(INDIRECT("Tab_00.Trial["&amp;O$4&amp;"]"),Tab_00.Trial[CONTA],$B41)</f>
        <v>120.94</v>
      </c>
      <c r="P41" s="78">
        <f t="shared" ca="1" si="66"/>
        <v>0</v>
      </c>
      <c r="Q41" s="78">
        <f t="shared" ref="Q41:Q48" ca="1" si="78">IFERROR(($O41-$L41)/ABS($L41),0)</f>
        <v>-9.8400000000000001E-2</v>
      </c>
      <c r="R41" s="4">
        <f ca="1">-SUMIFS(INDIRECT("Tab_00.Trial["&amp;R$4&amp;"]"),Tab_00.Trial[CONTA],$B41)</f>
        <v>559.29999999999995</v>
      </c>
      <c r="S41" s="78">
        <f t="shared" ca="1" si="67"/>
        <v>0</v>
      </c>
      <c r="T41" s="78">
        <f t="shared" ref="T41:T48" ca="1" si="79">IFERROR(($R41-$O41)/ABS($O41),0)</f>
        <v>3.6246</v>
      </c>
      <c r="U41" s="4">
        <f ca="1">-SUMIFS(INDIRECT("Tab_00.Trial["&amp;U$4&amp;"]"),Tab_00.Trial[CONTA],$B41)</f>
        <v>335.15</v>
      </c>
      <c r="V41" s="78">
        <f t="shared" ca="1" si="68"/>
        <v>0</v>
      </c>
      <c r="W41" s="78">
        <f t="shared" ref="W41:W48" ca="1" si="80">IFERROR(($U41-$R41)/ABS($R41),0)</f>
        <v>-0.40079999999999999</v>
      </c>
      <c r="X41" s="4">
        <f ca="1">-SUMIFS(INDIRECT("Tab_00.Trial["&amp;X$4&amp;"]"),Tab_00.Trial[CONTA],$B41)</f>
        <v>0</v>
      </c>
      <c r="Y41" s="78">
        <f t="shared" ca="1" si="69"/>
        <v>0</v>
      </c>
      <c r="Z41" s="78">
        <f t="shared" ref="Z41:Z48" ca="1" si="81">IFERROR(($X41-$U41)/ABS($U41),0)</f>
        <v>-1</v>
      </c>
      <c r="AA41" s="4">
        <f ca="1">-SUMIFS(INDIRECT("Tab_00.Trial["&amp;AA$4&amp;"]"),Tab_00.Trial[CONTA],$B41)</f>
        <v>0</v>
      </c>
      <c r="AB41" s="78">
        <f t="shared" ca="1" si="70"/>
        <v>0</v>
      </c>
      <c r="AC41" s="78">
        <f t="shared" ref="AC41:AC48" ca="1" si="82">IFERROR(($AA41-$X41)/ABS($X41),0)</f>
        <v>0</v>
      </c>
      <c r="AD41" s="4">
        <f ca="1">-SUMIFS(INDIRECT("Tab_00.Trial["&amp;AD$4&amp;"]"),Tab_00.Trial[CONTA],$B41)</f>
        <v>0</v>
      </c>
      <c r="AE41" s="78">
        <f t="shared" ca="1" si="71"/>
        <v>0</v>
      </c>
      <c r="AF41" s="78">
        <f t="shared" ref="AF41:AF48" ca="1" si="83">IFERROR(($AD41-$AA41)/ABS($AA41),0)</f>
        <v>0</v>
      </c>
      <c r="AG41" s="4">
        <f ca="1">-SUMIFS(INDIRECT("Tab_00.Trial["&amp;AG$4&amp;"]"),Tab_00.Trial[CONTA],$B41)</f>
        <v>0</v>
      </c>
      <c r="AH41" s="78">
        <f t="shared" ca="1" si="72"/>
        <v>0</v>
      </c>
      <c r="AI41" s="78">
        <f t="shared" ref="AI41:AI48" ca="1" si="84">IFERROR(($AG41-$AD41)/ABS($AD41),0)</f>
        <v>0</v>
      </c>
      <c r="AJ41" s="4">
        <f ca="1">-SUMIFS(INDIRECT("Tab_00.Trial["&amp;AJ$4&amp;"]"),Tab_00.Trial[CONTA],$B41)</f>
        <v>0</v>
      </c>
      <c r="AK41" s="78">
        <f t="shared" ca="1" si="73"/>
        <v>0</v>
      </c>
      <c r="AL41" s="78">
        <f t="shared" ref="AL41:AL48" ca="1" si="85">IFERROR(($AJ41-$AG41)/ABS($AG41),0)</f>
        <v>0</v>
      </c>
      <c r="AM41" s="4">
        <f ca="1">-SUMIFS(INDIRECT("Tab_00.Trial["&amp;AM$4&amp;"]"),Tab_00.Trial[CONTA],$B41)</f>
        <v>0</v>
      </c>
      <c r="AN41" s="78">
        <f t="shared" ca="1" si="74"/>
        <v>0</v>
      </c>
      <c r="AO41" s="78">
        <f t="shared" ref="AO41:AO48" ca="1" si="86">IFERROR(($AM41-$AJ41)/ABS($AJ41),0)</f>
        <v>0</v>
      </c>
    </row>
    <row r="42" spans="2:41" ht="15" hidden="1" customHeight="1" outlineLevel="1" x14ac:dyDescent="0.3">
      <c r="B42" s="14" t="s">
        <v>350</v>
      </c>
      <c r="C42" s="15" t="s">
        <v>351</v>
      </c>
      <c r="D42" s="4">
        <f>-SUMIFS(Tab_99.Trial[DEZEMBRO],Tab_99.Trial[CONTA],$B42)</f>
        <v>0</v>
      </c>
      <c r="E42" s="78">
        <f t="shared" ca="1" si="62"/>
        <v>0</v>
      </c>
      <c r="F42" s="4">
        <f ca="1">-SUMIFS(INDIRECT("Tab_00.Trial["&amp;F$4&amp;"]"),Tab_00.Trial[CONTA],$B42)</f>
        <v>1580.91</v>
      </c>
      <c r="G42" s="78">
        <f t="shared" ca="1" si="63"/>
        <v>0</v>
      </c>
      <c r="H42" s="78">
        <f t="shared" ca="1" si="75"/>
        <v>0</v>
      </c>
      <c r="I42" s="4">
        <f ca="1">-SUMIFS(INDIRECT("Tab_00.Trial["&amp;I$4&amp;"]"),Tab_00.Trial[CONTA],$B42)</f>
        <v>924.96</v>
      </c>
      <c r="J42" s="78">
        <f t="shared" ca="1" si="64"/>
        <v>0</v>
      </c>
      <c r="K42" s="78">
        <f t="shared" ca="1" si="76"/>
        <v>-0.41489999999999999</v>
      </c>
      <c r="L42" s="4">
        <f ca="1">-SUMIFS(INDIRECT("Tab_00.Trial["&amp;L$4&amp;"]"),Tab_00.Trial[CONTA],$B42)</f>
        <v>1139.71</v>
      </c>
      <c r="M42" s="78">
        <f t="shared" ca="1" si="65"/>
        <v>0</v>
      </c>
      <c r="N42" s="78">
        <f t="shared" ca="1" si="77"/>
        <v>0.23219999999999999</v>
      </c>
      <c r="O42" s="4">
        <f ca="1">-SUMIFS(INDIRECT("Tab_00.Trial["&amp;O$4&amp;"]"),Tab_00.Trial[CONTA],$B42)</f>
        <v>2247.7800000000002</v>
      </c>
      <c r="P42" s="78">
        <f t="shared" ca="1" si="66"/>
        <v>0</v>
      </c>
      <c r="Q42" s="78">
        <f t="shared" ca="1" si="78"/>
        <v>0.97219999999999995</v>
      </c>
      <c r="R42" s="4">
        <f ca="1">-SUMIFS(INDIRECT("Tab_00.Trial["&amp;R$4&amp;"]"),Tab_00.Trial[CONTA],$B42)</f>
        <v>938.44</v>
      </c>
      <c r="S42" s="78">
        <f t="shared" ca="1" si="67"/>
        <v>0</v>
      </c>
      <c r="T42" s="78">
        <f t="shared" ca="1" si="79"/>
        <v>-0.58250000000000002</v>
      </c>
      <c r="U42" s="4">
        <f ca="1">-SUMIFS(INDIRECT("Tab_00.Trial["&amp;U$4&amp;"]"),Tab_00.Trial[CONTA],$B42)</f>
        <v>4630.79</v>
      </c>
      <c r="V42" s="78">
        <f t="shared" ca="1" si="68"/>
        <v>1E-4</v>
      </c>
      <c r="W42" s="78">
        <f t="shared" ca="1" si="80"/>
        <v>3.9346000000000001</v>
      </c>
      <c r="X42" s="4">
        <f ca="1">-SUMIFS(INDIRECT("Tab_00.Trial["&amp;X$4&amp;"]"),Tab_00.Trial[CONTA],$B42)</f>
        <v>3369.75</v>
      </c>
      <c r="Y42" s="78">
        <f t="shared" ca="1" si="69"/>
        <v>0</v>
      </c>
      <c r="Z42" s="78">
        <f t="shared" ca="1" si="81"/>
        <v>-0.27229999999999999</v>
      </c>
      <c r="AA42" s="4">
        <f ca="1">-SUMIFS(INDIRECT("Tab_00.Trial["&amp;AA$4&amp;"]"),Tab_00.Trial[CONTA],$B42)</f>
        <v>2494.19</v>
      </c>
      <c r="AB42" s="78">
        <f t="shared" ca="1" si="70"/>
        <v>0</v>
      </c>
      <c r="AC42" s="78">
        <f t="shared" ca="1" si="82"/>
        <v>-0.25979999999999998</v>
      </c>
      <c r="AD42" s="4">
        <f ca="1">-SUMIFS(INDIRECT("Tab_00.Trial["&amp;AD$4&amp;"]"),Tab_00.Trial[CONTA],$B42)</f>
        <v>1984.61</v>
      </c>
      <c r="AE42" s="78">
        <f t="shared" ca="1" si="71"/>
        <v>0</v>
      </c>
      <c r="AF42" s="78">
        <f t="shared" ca="1" si="83"/>
        <v>-0.20430000000000001</v>
      </c>
      <c r="AG42" s="4">
        <f ca="1">-SUMIFS(INDIRECT("Tab_00.Trial["&amp;AG$4&amp;"]"),Tab_00.Trial[CONTA],$B42)</f>
        <v>5564.56</v>
      </c>
      <c r="AH42" s="78">
        <f t="shared" ca="1" si="72"/>
        <v>1E-4</v>
      </c>
      <c r="AI42" s="78">
        <f t="shared" ca="1" si="84"/>
        <v>1.8039000000000001</v>
      </c>
      <c r="AJ42" s="4">
        <f ca="1">-SUMIFS(INDIRECT("Tab_00.Trial["&amp;AJ$4&amp;"]"),Tab_00.Trial[CONTA],$B42)</f>
        <v>6463.08</v>
      </c>
      <c r="AK42" s="78">
        <f t="shared" ca="1" si="73"/>
        <v>1E-4</v>
      </c>
      <c r="AL42" s="78">
        <f t="shared" ca="1" si="85"/>
        <v>0.1615</v>
      </c>
      <c r="AM42" s="4">
        <f ca="1">-SUMIFS(INDIRECT("Tab_00.Trial["&amp;AM$4&amp;"]"),Tab_00.Trial[CONTA],$B42)</f>
        <v>6395.77</v>
      </c>
      <c r="AN42" s="78">
        <f t="shared" ca="1" si="74"/>
        <v>1E-4</v>
      </c>
      <c r="AO42" s="78">
        <f t="shared" ca="1" si="86"/>
        <v>-1.04E-2</v>
      </c>
    </row>
    <row r="43" spans="2:41" ht="15" hidden="1" customHeight="1" outlineLevel="1" x14ac:dyDescent="0.3">
      <c r="B43" s="14" t="s">
        <v>352</v>
      </c>
      <c r="C43" s="15" t="s">
        <v>353</v>
      </c>
      <c r="D43" s="4">
        <f>-SUMIFS(Tab_99.Trial[DEZEMBRO],Tab_99.Trial[CONTA],$B43)</f>
        <v>0</v>
      </c>
      <c r="E43" s="78">
        <f t="shared" ca="1" si="62"/>
        <v>0</v>
      </c>
      <c r="F43" s="4">
        <f ca="1">-SUMIFS(INDIRECT("Tab_00.Trial["&amp;F$4&amp;"]"),Tab_00.Trial[CONTA],$B43)</f>
        <v>22.45</v>
      </c>
      <c r="G43" s="78">
        <f t="shared" ca="1" si="63"/>
        <v>0</v>
      </c>
      <c r="H43" s="78">
        <f t="shared" ca="1" si="75"/>
        <v>0</v>
      </c>
      <c r="I43" s="4">
        <f ca="1">-SUMIFS(INDIRECT("Tab_00.Trial["&amp;I$4&amp;"]"),Tab_00.Trial[CONTA],$B43)</f>
        <v>22.45</v>
      </c>
      <c r="J43" s="78">
        <f t="shared" ca="1" si="64"/>
        <v>0</v>
      </c>
      <c r="K43" s="78">
        <f t="shared" ca="1" si="76"/>
        <v>0</v>
      </c>
      <c r="L43" s="4">
        <f ca="1">-SUMIFS(INDIRECT("Tab_00.Trial["&amp;L$4&amp;"]"),Tab_00.Trial[CONTA],$B43)</f>
        <v>22.45</v>
      </c>
      <c r="M43" s="78">
        <f t="shared" ca="1" si="65"/>
        <v>0</v>
      </c>
      <c r="N43" s="78">
        <f t="shared" ca="1" si="77"/>
        <v>0</v>
      </c>
      <c r="O43" s="4">
        <f ca="1">-SUMIFS(INDIRECT("Tab_00.Trial["&amp;O$4&amp;"]"),Tab_00.Trial[CONTA],$B43)</f>
        <v>22.45</v>
      </c>
      <c r="P43" s="78">
        <f t="shared" ca="1" si="66"/>
        <v>0</v>
      </c>
      <c r="Q43" s="78">
        <f t="shared" ca="1" si="78"/>
        <v>0</v>
      </c>
      <c r="R43" s="4">
        <f ca="1">-SUMIFS(INDIRECT("Tab_00.Trial["&amp;R$4&amp;"]"),Tab_00.Trial[CONTA],$B43)</f>
        <v>22.45</v>
      </c>
      <c r="S43" s="78">
        <f t="shared" ca="1" si="67"/>
        <v>0</v>
      </c>
      <c r="T43" s="78">
        <f t="shared" ca="1" si="79"/>
        <v>0</v>
      </c>
      <c r="U43" s="4">
        <f ca="1">-SUMIFS(INDIRECT("Tab_00.Trial["&amp;U$4&amp;"]"),Tab_00.Trial[CONTA],$B43)</f>
        <v>22.45</v>
      </c>
      <c r="V43" s="78">
        <f t="shared" ca="1" si="68"/>
        <v>0</v>
      </c>
      <c r="W43" s="78">
        <f t="shared" ca="1" si="80"/>
        <v>0</v>
      </c>
      <c r="X43" s="4">
        <f ca="1">-SUMIFS(INDIRECT("Tab_00.Trial["&amp;X$4&amp;"]"),Tab_00.Trial[CONTA],$B43)</f>
        <v>22.45</v>
      </c>
      <c r="Y43" s="78">
        <f t="shared" ca="1" si="69"/>
        <v>0</v>
      </c>
      <c r="Z43" s="78">
        <f t="shared" ca="1" si="81"/>
        <v>0</v>
      </c>
      <c r="AA43" s="4">
        <f ca="1">-SUMIFS(INDIRECT("Tab_00.Trial["&amp;AA$4&amp;"]"),Tab_00.Trial[CONTA],$B43)</f>
        <v>22.45</v>
      </c>
      <c r="AB43" s="78">
        <f t="shared" ca="1" si="70"/>
        <v>0</v>
      </c>
      <c r="AC43" s="78">
        <f t="shared" ca="1" si="82"/>
        <v>0</v>
      </c>
      <c r="AD43" s="4">
        <f ca="1">-SUMIFS(INDIRECT("Tab_00.Trial["&amp;AD$4&amp;"]"),Tab_00.Trial[CONTA],$B43)</f>
        <v>11.28</v>
      </c>
      <c r="AE43" s="78">
        <f t="shared" ca="1" si="71"/>
        <v>0</v>
      </c>
      <c r="AF43" s="78">
        <f t="shared" ca="1" si="83"/>
        <v>-0.49759999999999999</v>
      </c>
      <c r="AG43" s="4">
        <f ca="1">-SUMIFS(INDIRECT("Tab_00.Trial["&amp;AG$4&amp;"]"),Tab_00.Trial[CONTA],$B43)</f>
        <v>11.28</v>
      </c>
      <c r="AH43" s="78">
        <f t="shared" ca="1" si="72"/>
        <v>0</v>
      </c>
      <c r="AI43" s="78">
        <f t="shared" ca="1" si="84"/>
        <v>0</v>
      </c>
      <c r="AJ43" s="4">
        <f ca="1">-SUMIFS(INDIRECT("Tab_00.Trial["&amp;AJ$4&amp;"]"),Tab_00.Trial[CONTA],$B43)</f>
        <v>11.28</v>
      </c>
      <c r="AK43" s="78">
        <f t="shared" ca="1" si="73"/>
        <v>0</v>
      </c>
      <c r="AL43" s="78">
        <f t="shared" ca="1" si="85"/>
        <v>0</v>
      </c>
      <c r="AM43" s="4">
        <f ca="1">-SUMIFS(INDIRECT("Tab_00.Trial["&amp;AM$4&amp;"]"),Tab_00.Trial[CONTA],$B43)</f>
        <v>11.71</v>
      </c>
      <c r="AN43" s="78">
        <f t="shared" ca="1" si="74"/>
        <v>0</v>
      </c>
      <c r="AO43" s="78">
        <f t="shared" ca="1" si="86"/>
        <v>3.8100000000000002E-2</v>
      </c>
    </row>
    <row r="44" spans="2:41" ht="15" hidden="1" customHeight="1" outlineLevel="1" x14ac:dyDescent="0.3">
      <c r="B44" s="14" t="s">
        <v>354</v>
      </c>
      <c r="C44" s="15" t="s">
        <v>355</v>
      </c>
      <c r="D44" s="4">
        <f>-SUMIFS(Tab_99.Trial[DEZEMBRO],Tab_99.Trial[CONTA],$B44)</f>
        <v>0</v>
      </c>
      <c r="E44" s="78">
        <f t="shared" ca="1" si="62"/>
        <v>0</v>
      </c>
      <c r="F44" s="4">
        <f ca="1">-SUMIFS(INDIRECT("Tab_00.Trial["&amp;F$4&amp;"]"),Tab_00.Trial[CONTA],$B44)</f>
        <v>484.18</v>
      </c>
      <c r="G44" s="78">
        <f t="shared" ca="1" si="63"/>
        <v>0</v>
      </c>
      <c r="H44" s="78">
        <f t="shared" ca="1" si="75"/>
        <v>0</v>
      </c>
      <c r="I44" s="4">
        <f ca="1">-SUMIFS(INDIRECT("Tab_00.Trial["&amp;I$4&amp;"]"),Tab_00.Trial[CONTA],$B44)</f>
        <v>484.18</v>
      </c>
      <c r="J44" s="78">
        <f t="shared" ca="1" si="64"/>
        <v>0</v>
      </c>
      <c r="K44" s="78">
        <f t="shared" ca="1" si="76"/>
        <v>0</v>
      </c>
      <c r="L44" s="4">
        <f ca="1">-SUMIFS(INDIRECT("Tab_00.Trial["&amp;L$4&amp;"]"),Tab_00.Trial[CONTA],$B44)</f>
        <v>484.18</v>
      </c>
      <c r="M44" s="78">
        <f t="shared" ca="1" si="65"/>
        <v>0</v>
      </c>
      <c r="N44" s="78">
        <f t="shared" ca="1" si="77"/>
        <v>0</v>
      </c>
      <c r="O44" s="4">
        <f ca="1">-SUMIFS(INDIRECT("Tab_00.Trial["&amp;O$4&amp;"]"),Tab_00.Trial[CONTA],$B44)</f>
        <v>0</v>
      </c>
      <c r="P44" s="78">
        <f t="shared" ca="1" si="66"/>
        <v>0</v>
      </c>
      <c r="Q44" s="78">
        <f t="shared" ca="1" si="78"/>
        <v>-1</v>
      </c>
      <c r="R44" s="4">
        <f ca="1">-SUMIFS(INDIRECT("Tab_00.Trial["&amp;R$4&amp;"]"),Tab_00.Trial[CONTA],$B44)</f>
        <v>0</v>
      </c>
      <c r="S44" s="78">
        <f t="shared" ca="1" si="67"/>
        <v>0</v>
      </c>
      <c r="T44" s="78">
        <f t="shared" ca="1" si="79"/>
        <v>0</v>
      </c>
      <c r="U44" s="4">
        <f ca="1">-SUMIFS(INDIRECT("Tab_00.Trial["&amp;U$4&amp;"]"),Tab_00.Trial[CONTA],$B44)</f>
        <v>0</v>
      </c>
      <c r="V44" s="78">
        <f t="shared" ca="1" si="68"/>
        <v>0</v>
      </c>
      <c r="W44" s="78">
        <f t="shared" ca="1" si="80"/>
        <v>0</v>
      </c>
      <c r="X44" s="4">
        <f ca="1">-SUMIFS(INDIRECT("Tab_00.Trial["&amp;X$4&amp;"]"),Tab_00.Trial[CONTA],$B44)</f>
        <v>0</v>
      </c>
      <c r="Y44" s="78">
        <f t="shared" ca="1" si="69"/>
        <v>0</v>
      </c>
      <c r="Z44" s="78">
        <f t="shared" ca="1" si="81"/>
        <v>0</v>
      </c>
      <c r="AA44" s="4">
        <f ca="1">-SUMIFS(INDIRECT("Tab_00.Trial["&amp;AA$4&amp;"]"),Tab_00.Trial[CONTA],$B44)</f>
        <v>0</v>
      </c>
      <c r="AB44" s="78">
        <f t="shared" ca="1" si="70"/>
        <v>0</v>
      </c>
      <c r="AC44" s="78">
        <f t="shared" ca="1" si="82"/>
        <v>0</v>
      </c>
      <c r="AD44" s="4">
        <f ca="1">-SUMIFS(INDIRECT("Tab_00.Trial["&amp;AD$4&amp;"]"),Tab_00.Trial[CONTA],$B44)</f>
        <v>0</v>
      </c>
      <c r="AE44" s="78">
        <f t="shared" ca="1" si="71"/>
        <v>0</v>
      </c>
      <c r="AF44" s="78">
        <f t="shared" ca="1" si="83"/>
        <v>0</v>
      </c>
      <c r="AG44" s="4">
        <f ca="1">-SUMIFS(INDIRECT("Tab_00.Trial["&amp;AG$4&amp;"]"),Tab_00.Trial[CONTA],$B44)</f>
        <v>0</v>
      </c>
      <c r="AH44" s="78">
        <f t="shared" ca="1" si="72"/>
        <v>0</v>
      </c>
      <c r="AI44" s="78">
        <f t="shared" ca="1" si="84"/>
        <v>0</v>
      </c>
      <c r="AJ44" s="4">
        <f ca="1">-SUMIFS(INDIRECT("Tab_00.Trial["&amp;AJ$4&amp;"]"),Tab_00.Trial[CONTA],$B44)</f>
        <v>0</v>
      </c>
      <c r="AK44" s="78">
        <f t="shared" ca="1" si="73"/>
        <v>0</v>
      </c>
      <c r="AL44" s="78">
        <f t="shared" ca="1" si="85"/>
        <v>0</v>
      </c>
      <c r="AM44" s="4">
        <f ca="1">-SUMIFS(INDIRECT("Tab_00.Trial["&amp;AM$4&amp;"]"),Tab_00.Trial[CONTA],$B44)</f>
        <v>0</v>
      </c>
      <c r="AN44" s="78">
        <f t="shared" ca="1" si="74"/>
        <v>0</v>
      </c>
      <c r="AO44" s="78">
        <f t="shared" ca="1" si="86"/>
        <v>0</v>
      </c>
    </row>
    <row r="45" spans="2:41" ht="15" hidden="1" customHeight="1" outlineLevel="1" x14ac:dyDescent="0.3">
      <c r="B45" s="14"/>
      <c r="C45" s="15"/>
      <c r="D45" s="4">
        <f>-SUMIFS(Tab_99.Trial[DEZEMBRO],Tab_99.Trial[CONTA],$B45)</f>
        <v>0</v>
      </c>
      <c r="E45" s="78">
        <f t="shared" ca="1" si="62"/>
        <v>0</v>
      </c>
      <c r="F45" s="4">
        <f ca="1">-SUMIFS(INDIRECT("Tab_00.Trial["&amp;F$4&amp;"]"),Tab_00.Trial[CONTA],$B45)</f>
        <v>0</v>
      </c>
      <c r="G45" s="78">
        <f t="shared" ca="1" si="63"/>
        <v>0</v>
      </c>
      <c r="H45" s="78">
        <f t="shared" ca="1" si="75"/>
        <v>0</v>
      </c>
      <c r="I45" s="4">
        <f ca="1">-SUMIFS(INDIRECT("Tab_00.Trial["&amp;I$4&amp;"]"),Tab_00.Trial[CONTA],$B45)</f>
        <v>0</v>
      </c>
      <c r="J45" s="78">
        <f t="shared" ca="1" si="64"/>
        <v>0</v>
      </c>
      <c r="K45" s="78">
        <f t="shared" ca="1" si="76"/>
        <v>0</v>
      </c>
      <c r="L45" s="4">
        <f ca="1">-SUMIFS(INDIRECT("Tab_00.Trial["&amp;L$4&amp;"]"),Tab_00.Trial[CONTA],$B45)</f>
        <v>0</v>
      </c>
      <c r="M45" s="78">
        <f t="shared" ca="1" si="65"/>
        <v>0</v>
      </c>
      <c r="N45" s="78">
        <f t="shared" ca="1" si="77"/>
        <v>0</v>
      </c>
      <c r="O45" s="4">
        <f ca="1">-SUMIFS(INDIRECT("Tab_00.Trial["&amp;O$4&amp;"]"),Tab_00.Trial[CONTA],$B45)</f>
        <v>0</v>
      </c>
      <c r="P45" s="78">
        <f t="shared" ca="1" si="66"/>
        <v>0</v>
      </c>
      <c r="Q45" s="78">
        <f t="shared" ca="1" si="78"/>
        <v>0</v>
      </c>
      <c r="R45" s="4">
        <f ca="1">-SUMIFS(INDIRECT("Tab_00.Trial["&amp;R$4&amp;"]"),Tab_00.Trial[CONTA],$B45)</f>
        <v>0</v>
      </c>
      <c r="S45" s="78">
        <f t="shared" ca="1" si="67"/>
        <v>0</v>
      </c>
      <c r="T45" s="78">
        <f t="shared" ca="1" si="79"/>
        <v>0</v>
      </c>
      <c r="U45" s="4">
        <f ca="1">-SUMIFS(INDIRECT("Tab_00.Trial["&amp;U$4&amp;"]"),Tab_00.Trial[CONTA],$B45)</f>
        <v>0</v>
      </c>
      <c r="V45" s="78">
        <f t="shared" ca="1" si="68"/>
        <v>0</v>
      </c>
      <c r="W45" s="78">
        <f t="shared" ca="1" si="80"/>
        <v>0</v>
      </c>
      <c r="X45" s="4">
        <f ca="1">-SUMIFS(INDIRECT("Tab_00.Trial["&amp;X$4&amp;"]"),Tab_00.Trial[CONTA],$B45)</f>
        <v>0</v>
      </c>
      <c r="Y45" s="78">
        <f t="shared" ca="1" si="69"/>
        <v>0</v>
      </c>
      <c r="Z45" s="78">
        <f t="shared" ca="1" si="81"/>
        <v>0</v>
      </c>
      <c r="AA45" s="4">
        <f ca="1">-SUMIFS(INDIRECT("Tab_00.Trial["&amp;AA$4&amp;"]"),Tab_00.Trial[CONTA],$B45)</f>
        <v>0</v>
      </c>
      <c r="AB45" s="78">
        <f t="shared" ca="1" si="70"/>
        <v>0</v>
      </c>
      <c r="AC45" s="78">
        <f t="shared" ca="1" si="82"/>
        <v>0</v>
      </c>
      <c r="AD45" s="4">
        <f ca="1">-SUMIFS(INDIRECT("Tab_00.Trial["&amp;AD$4&amp;"]"),Tab_00.Trial[CONTA],$B45)</f>
        <v>0</v>
      </c>
      <c r="AE45" s="78">
        <f t="shared" ca="1" si="71"/>
        <v>0</v>
      </c>
      <c r="AF45" s="78">
        <f t="shared" ca="1" si="83"/>
        <v>0</v>
      </c>
      <c r="AG45" s="4">
        <f ca="1">-SUMIFS(INDIRECT("Tab_00.Trial["&amp;AG$4&amp;"]"),Tab_00.Trial[CONTA],$B45)</f>
        <v>0</v>
      </c>
      <c r="AH45" s="78">
        <f t="shared" ca="1" si="72"/>
        <v>0</v>
      </c>
      <c r="AI45" s="78">
        <f t="shared" ca="1" si="84"/>
        <v>0</v>
      </c>
      <c r="AJ45" s="4">
        <f ca="1">-SUMIFS(INDIRECT("Tab_00.Trial["&amp;AJ$4&amp;"]"),Tab_00.Trial[CONTA],$B45)</f>
        <v>0</v>
      </c>
      <c r="AK45" s="78">
        <f t="shared" ca="1" si="73"/>
        <v>0</v>
      </c>
      <c r="AL45" s="78">
        <f t="shared" ca="1" si="85"/>
        <v>0</v>
      </c>
      <c r="AM45" s="4">
        <f ca="1">-SUMIFS(INDIRECT("Tab_00.Trial["&amp;AM$4&amp;"]"),Tab_00.Trial[CONTA],$B45)</f>
        <v>0</v>
      </c>
      <c r="AN45" s="78">
        <f t="shared" ca="1" si="74"/>
        <v>0</v>
      </c>
      <c r="AO45" s="78">
        <f t="shared" ca="1" si="86"/>
        <v>0</v>
      </c>
    </row>
    <row r="46" spans="2:41" ht="15" hidden="1" customHeight="1" outlineLevel="1" x14ac:dyDescent="0.3">
      <c r="B46" s="14"/>
      <c r="C46" s="15"/>
      <c r="D46" s="4">
        <f>-SUMIFS(Tab_99.Trial[DEZEMBRO],Tab_99.Trial[CONTA],$B46)</f>
        <v>0</v>
      </c>
      <c r="E46" s="78">
        <f t="shared" ca="1" si="62"/>
        <v>0</v>
      </c>
      <c r="F46" s="4">
        <f ca="1">-SUMIFS(INDIRECT("Tab_00.Trial["&amp;F$4&amp;"]"),Tab_00.Trial[CONTA],$B46)</f>
        <v>0</v>
      </c>
      <c r="G46" s="78">
        <f t="shared" ca="1" si="63"/>
        <v>0</v>
      </c>
      <c r="H46" s="78">
        <f t="shared" ca="1" si="75"/>
        <v>0</v>
      </c>
      <c r="I46" s="4">
        <f ca="1">-SUMIFS(INDIRECT("Tab_00.Trial["&amp;I$4&amp;"]"),Tab_00.Trial[CONTA],$B46)</f>
        <v>0</v>
      </c>
      <c r="J46" s="78">
        <f t="shared" ca="1" si="64"/>
        <v>0</v>
      </c>
      <c r="K46" s="78">
        <f t="shared" ca="1" si="76"/>
        <v>0</v>
      </c>
      <c r="L46" s="4">
        <f ca="1">-SUMIFS(INDIRECT("Tab_00.Trial["&amp;L$4&amp;"]"),Tab_00.Trial[CONTA],$B46)</f>
        <v>0</v>
      </c>
      <c r="M46" s="78">
        <f t="shared" ca="1" si="65"/>
        <v>0</v>
      </c>
      <c r="N46" s="78">
        <f t="shared" ca="1" si="77"/>
        <v>0</v>
      </c>
      <c r="O46" s="4">
        <f ca="1">-SUMIFS(INDIRECT("Tab_00.Trial["&amp;O$4&amp;"]"),Tab_00.Trial[CONTA],$B46)</f>
        <v>0</v>
      </c>
      <c r="P46" s="78">
        <f t="shared" ca="1" si="66"/>
        <v>0</v>
      </c>
      <c r="Q46" s="78">
        <f t="shared" ca="1" si="78"/>
        <v>0</v>
      </c>
      <c r="R46" s="4">
        <f ca="1">-SUMIFS(INDIRECT("Tab_00.Trial["&amp;R$4&amp;"]"),Tab_00.Trial[CONTA],$B46)</f>
        <v>0</v>
      </c>
      <c r="S46" s="78">
        <f t="shared" ca="1" si="67"/>
        <v>0</v>
      </c>
      <c r="T46" s="78">
        <f t="shared" ca="1" si="79"/>
        <v>0</v>
      </c>
      <c r="U46" s="4">
        <f ca="1">-SUMIFS(INDIRECT("Tab_00.Trial["&amp;U$4&amp;"]"),Tab_00.Trial[CONTA],$B46)</f>
        <v>0</v>
      </c>
      <c r="V46" s="78">
        <f t="shared" ca="1" si="68"/>
        <v>0</v>
      </c>
      <c r="W46" s="78">
        <f t="shared" ca="1" si="80"/>
        <v>0</v>
      </c>
      <c r="X46" s="4">
        <f ca="1">-SUMIFS(INDIRECT("Tab_00.Trial["&amp;X$4&amp;"]"),Tab_00.Trial[CONTA],$B46)</f>
        <v>0</v>
      </c>
      <c r="Y46" s="78">
        <f t="shared" ca="1" si="69"/>
        <v>0</v>
      </c>
      <c r="Z46" s="78">
        <f t="shared" ca="1" si="81"/>
        <v>0</v>
      </c>
      <c r="AA46" s="4">
        <f ca="1">-SUMIFS(INDIRECT("Tab_00.Trial["&amp;AA$4&amp;"]"),Tab_00.Trial[CONTA],$B46)</f>
        <v>0</v>
      </c>
      <c r="AB46" s="78">
        <f t="shared" ca="1" si="70"/>
        <v>0</v>
      </c>
      <c r="AC46" s="78">
        <f t="shared" ca="1" si="82"/>
        <v>0</v>
      </c>
      <c r="AD46" s="4">
        <f ca="1">-SUMIFS(INDIRECT("Tab_00.Trial["&amp;AD$4&amp;"]"),Tab_00.Trial[CONTA],$B46)</f>
        <v>0</v>
      </c>
      <c r="AE46" s="78">
        <f t="shared" ca="1" si="71"/>
        <v>0</v>
      </c>
      <c r="AF46" s="78">
        <f t="shared" ca="1" si="83"/>
        <v>0</v>
      </c>
      <c r="AG46" s="4">
        <f ca="1">-SUMIFS(INDIRECT("Tab_00.Trial["&amp;AG$4&amp;"]"),Tab_00.Trial[CONTA],$B46)</f>
        <v>0</v>
      </c>
      <c r="AH46" s="78">
        <f t="shared" ca="1" si="72"/>
        <v>0</v>
      </c>
      <c r="AI46" s="78">
        <f t="shared" ca="1" si="84"/>
        <v>0</v>
      </c>
      <c r="AJ46" s="4">
        <f ca="1">-SUMIFS(INDIRECT("Tab_00.Trial["&amp;AJ$4&amp;"]"),Tab_00.Trial[CONTA],$B46)</f>
        <v>0</v>
      </c>
      <c r="AK46" s="78">
        <f t="shared" ca="1" si="73"/>
        <v>0</v>
      </c>
      <c r="AL46" s="78">
        <f t="shared" ca="1" si="85"/>
        <v>0</v>
      </c>
      <c r="AM46" s="4">
        <f ca="1">-SUMIFS(INDIRECT("Tab_00.Trial["&amp;AM$4&amp;"]"),Tab_00.Trial[CONTA],$B46)</f>
        <v>0</v>
      </c>
      <c r="AN46" s="78">
        <f t="shared" ca="1" si="74"/>
        <v>0</v>
      </c>
      <c r="AO46" s="78">
        <f t="shared" ca="1" si="86"/>
        <v>0</v>
      </c>
    </row>
    <row r="47" spans="2:41" ht="15" hidden="1" customHeight="1" outlineLevel="1" x14ac:dyDescent="0.3">
      <c r="B47" s="14"/>
      <c r="C47" s="15"/>
      <c r="D47" s="4">
        <f>-SUMIFS(Tab_99.Trial[DEZEMBRO],Tab_99.Trial[CONTA],$B47)</f>
        <v>0</v>
      </c>
      <c r="E47" s="78">
        <f t="shared" ca="1" si="62"/>
        <v>0</v>
      </c>
      <c r="F47" s="4">
        <f ca="1">-SUMIFS(INDIRECT("Tab_00.Trial["&amp;F$4&amp;"]"),Tab_00.Trial[CONTA],$B47)</f>
        <v>0</v>
      </c>
      <c r="G47" s="78">
        <f t="shared" ca="1" si="63"/>
        <v>0</v>
      </c>
      <c r="H47" s="78">
        <f t="shared" ca="1" si="75"/>
        <v>0</v>
      </c>
      <c r="I47" s="4">
        <f ca="1">-SUMIFS(INDIRECT("Tab_00.Trial["&amp;I$4&amp;"]"),Tab_00.Trial[CONTA],$B47)</f>
        <v>0</v>
      </c>
      <c r="J47" s="78">
        <f t="shared" ca="1" si="64"/>
        <v>0</v>
      </c>
      <c r="K47" s="78">
        <f t="shared" ca="1" si="76"/>
        <v>0</v>
      </c>
      <c r="L47" s="4">
        <f ca="1">-SUMIFS(INDIRECT("Tab_00.Trial["&amp;L$4&amp;"]"),Tab_00.Trial[CONTA],$B47)</f>
        <v>0</v>
      </c>
      <c r="M47" s="78">
        <f t="shared" ca="1" si="65"/>
        <v>0</v>
      </c>
      <c r="N47" s="78">
        <f t="shared" ca="1" si="77"/>
        <v>0</v>
      </c>
      <c r="O47" s="4">
        <f ca="1">-SUMIFS(INDIRECT("Tab_00.Trial["&amp;O$4&amp;"]"),Tab_00.Trial[CONTA],$B47)</f>
        <v>0</v>
      </c>
      <c r="P47" s="78">
        <f t="shared" ca="1" si="66"/>
        <v>0</v>
      </c>
      <c r="Q47" s="78">
        <f t="shared" ca="1" si="78"/>
        <v>0</v>
      </c>
      <c r="R47" s="4">
        <f ca="1">-SUMIFS(INDIRECT("Tab_00.Trial["&amp;R$4&amp;"]"),Tab_00.Trial[CONTA],$B47)</f>
        <v>0</v>
      </c>
      <c r="S47" s="78">
        <f t="shared" ca="1" si="67"/>
        <v>0</v>
      </c>
      <c r="T47" s="78">
        <f t="shared" ca="1" si="79"/>
        <v>0</v>
      </c>
      <c r="U47" s="4">
        <f ca="1">-SUMIFS(INDIRECT("Tab_00.Trial["&amp;U$4&amp;"]"),Tab_00.Trial[CONTA],$B47)</f>
        <v>0</v>
      </c>
      <c r="V47" s="78">
        <f t="shared" ca="1" si="68"/>
        <v>0</v>
      </c>
      <c r="W47" s="78">
        <f t="shared" ca="1" si="80"/>
        <v>0</v>
      </c>
      <c r="X47" s="4">
        <f ca="1">-SUMIFS(INDIRECT("Tab_00.Trial["&amp;X$4&amp;"]"),Tab_00.Trial[CONTA],$B47)</f>
        <v>0</v>
      </c>
      <c r="Y47" s="78">
        <f t="shared" ca="1" si="69"/>
        <v>0</v>
      </c>
      <c r="Z47" s="78">
        <f t="shared" ca="1" si="81"/>
        <v>0</v>
      </c>
      <c r="AA47" s="4">
        <f ca="1">-SUMIFS(INDIRECT("Tab_00.Trial["&amp;AA$4&amp;"]"),Tab_00.Trial[CONTA],$B47)</f>
        <v>0</v>
      </c>
      <c r="AB47" s="78">
        <f t="shared" ca="1" si="70"/>
        <v>0</v>
      </c>
      <c r="AC47" s="78">
        <f t="shared" ca="1" si="82"/>
        <v>0</v>
      </c>
      <c r="AD47" s="4">
        <f ca="1">-SUMIFS(INDIRECT("Tab_00.Trial["&amp;AD$4&amp;"]"),Tab_00.Trial[CONTA],$B47)</f>
        <v>0</v>
      </c>
      <c r="AE47" s="78">
        <f t="shared" ca="1" si="71"/>
        <v>0</v>
      </c>
      <c r="AF47" s="78">
        <f t="shared" ca="1" si="83"/>
        <v>0</v>
      </c>
      <c r="AG47" s="4">
        <f ca="1">-SUMIFS(INDIRECT("Tab_00.Trial["&amp;AG$4&amp;"]"),Tab_00.Trial[CONTA],$B47)</f>
        <v>0</v>
      </c>
      <c r="AH47" s="78">
        <f t="shared" ca="1" si="72"/>
        <v>0</v>
      </c>
      <c r="AI47" s="78">
        <f t="shared" ca="1" si="84"/>
        <v>0</v>
      </c>
      <c r="AJ47" s="4">
        <f ca="1">-SUMIFS(INDIRECT("Tab_00.Trial["&amp;AJ$4&amp;"]"),Tab_00.Trial[CONTA],$B47)</f>
        <v>0</v>
      </c>
      <c r="AK47" s="78">
        <f t="shared" ca="1" si="73"/>
        <v>0</v>
      </c>
      <c r="AL47" s="78">
        <f t="shared" ca="1" si="85"/>
        <v>0</v>
      </c>
      <c r="AM47" s="4">
        <f ca="1">-SUMIFS(INDIRECT("Tab_00.Trial["&amp;AM$4&amp;"]"),Tab_00.Trial[CONTA],$B47)</f>
        <v>0</v>
      </c>
      <c r="AN47" s="78">
        <f t="shared" ca="1" si="74"/>
        <v>0</v>
      </c>
      <c r="AO47" s="78">
        <f t="shared" ca="1" si="86"/>
        <v>0</v>
      </c>
    </row>
    <row r="48" spans="2:41" ht="15" hidden="1" customHeight="1" outlineLevel="1" x14ac:dyDescent="0.3">
      <c r="B48" s="14"/>
      <c r="C48" s="15"/>
      <c r="D48" s="4">
        <f>-SUMIFS(Tab_99.Trial[DEZEMBRO],Tab_99.Trial[CONTA],$B48)</f>
        <v>0</v>
      </c>
      <c r="E48" s="78">
        <f t="shared" ca="1" si="62"/>
        <v>0</v>
      </c>
      <c r="F48" s="4">
        <f ca="1">-SUMIFS(INDIRECT("Tab_00.Trial["&amp;F$4&amp;"]"),Tab_00.Trial[CONTA],$B48)</f>
        <v>0</v>
      </c>
      <c r="G48" s="78">
        <f t="shared" ca="1" si="63"/>
        <v>0</v>
      </c>
      <c r="H48" s="78">
        <f t="shared" ca="1" si="75"/>
        <v>0</v>
      </c>
      <c r="I48" s="4">
        <f ca="1">-SUMIFS(INDIRECT("Tab_00.Trial["&amp;I$4&amp;"]"),Tab_00.Trial[CONTA],$B48)</f>
        <v>0</v>
      </c>
      <c r="J48" s="78">
        <f t="shared" ca="1" si="64"/>
        <v>0</v>
      </c>
      <c r="K48" s="78">
        <f t="shared" ca="1" si="76"/>
        <v>0</v>
      </c>
      <c r="L48" s="4">
        <f ca="1">-SUMIFS(INDIRECT("Tab_00.Trial["&amp;L$4&amp;"]"),Tab_00.Trial[CONTA],$B48)</f>
        <v>0</v>
      </c>
      <c r="M48" s="78">
        <f t="shared" ca="1" si="65"/>
        <v>0</v>
      </c>
      <c r="N48" s="78">
        <f t="shared" ca="1" si="77"/>
        <v>0</v>
      </c>
      <c r="O48" s="4">
        <f ca="1">-SUMIFS(INDIRECT("Tab_00.Trial["&amp;O$4&amp;"]"),Tab_00.Trial[CONTA],$B48)</f>
        <v>0</v>
      </c>
      <c r="P48" s="78">
        <f t="shared" ca="1" si="66"/>
        <v>0</v>
      </c>
      <c r="Q48" s="78">
        <f t="shared" ca="1" si="78"/>
        <v>0</v>
      </c>
      <c r="R48" s="4">
        <f ca="1">-SUMIFS(INDIRECT("Tab_00.Trial["&amp;R$4&amp;"]"),Tab_00.Trial[CONTA],$B48)</f>
        <v>0</v>
      </c>
      <c r="S48" s="78">
        <f t="shared" ca="1" si="67"/>
        <v>0</v>
      </c>
      <c r="T48" s="78">
        <f t="shared" ca="1" si="79"/>
        <v>0</v>
      </c>
      <c r="U48" s="4">
        <f ca="1">-SUMIFS(INDIRECT("Tab_00.Trial["&amp;U$4&amp;"]"),Tab_00.Trial[CONTA],$B48)</f>
        <v>0</v>
      </c>
      <c r="V48" s="78">
        <f t="shared" ca="1" si="68"/>
        <v>0</v>
      </c>
      <c r="W48" s="78">
        <f t="shared" ca="1" si="80"/>
        <v>0</v>
      </c>
      <c r="X48" s="4">
        <f ca="1">-SUMIFS(INDIRECT("Tab_00.Trial["&amp;X$4&amp;"]"),Tab_00.Trial[CONTA],$B48)</f>
        <v>0</v>
      </c>
      <c r="Y48" s="78">
        <f t="shared" ca="1" si="69"/>
        <v>0</v>
      </c>
      <c r="Z48" s="78">
        <f t="shared" ca="1" si="81"/>
        <v>0</v>
      </c>
      <c r="AA48" s="4">
        <f ca="1">-SUMIFS(INDIRECT("Tab_00.Trial["&amp;AA$4&amp;"]"),Tab_00.Trial[CONTA],$B48)</f>
        <v>0</v>
      </c>
      <c r="AB48" s="78">
        <f t="shared" ca="1" si="70"/>
        <v>0</v>
      </c>
      <c r="AC48" s="78">
        <f t="shared" ca="1" si="82"/>
        <v>0</v>
      </c>
      <c r="AD48" s="4">
        <f ca="1">-SUMIFS(INDIRECT("Tab_00.Trial["&amp;AD$4&amp;"]"),Tab_00.Trial[CONTA],$B48)</f>
        <v>0</v>
      </c>
      <c r="AE48" s="78">
        <f t="shared" ca="1" si="71"/>
        <v>0</v>
      </c>
      <c r="AF48" s="78">
        <f t="shared" ca="1" si="83"/>
        <v>0</v>
      </c>
      <c r="AG48" s="4">
        <f ca="1">-SUMIFS(INDIRECT("Tab_00.Trial["&amp;AG$4&amp;"]"),Tab_00.Trial[CONTA],$B48)</f>
        <v>0</v>
      </c>
      <c r="AH48" s="78">
        <f t="shared" ca="1" si="72"/>
        <v>0</v>
      </c>
      <c r="AI48" s="78">
        <f t="shared" ca="1" si="84"/>
        <v>0</v>
      </c>
      <c r="AJ48" s="4">
        <f ca="1">-SUMIFS(INDIRECT("Tab_00.Trial["&amp;AJ$4&amp;"]"),Tab_00.Trial[CONTA],$B48)</f>
        <v>0</v>
      </c>
      <c r="AK48" s="78">
        <f t="shared" ca="1" si="73"/>
        <v>0</v>
      </c>
      <c r="AL48" s="78">
        <f t="shared" ca="1" si="85"/>
        <v>0</v>
      </c>
      <c r="AM48" s="4">
        <f ca="1">-SUMIFS(INDIRECT("Tab_00.Trial["&amp;AM$4&amp;"]"),Tab_00.Trial[CONTA],$B48)</f>
        <v>0</v>
      </c>
      <c r="AN48" s="78">
        <f t="shared" ca="1" si="74"/>
        <v>0</v>
      </c>
      <c r="AO48" s="78">
        <f t="shared" ca="1" si="86"/>
        <v>0</v>
      </c>
    </row>
    <row r="49" spans="2:41" ht="15" hidden="1" customHeight="1" outlineLevel="1" x14ac:dyDescent="0.3">
      <c r="B49" s="14"/>
      <c r="C49" s="15"/>
      <c r="D49" s="4">
        <f>-SUMIFS(Tab_99.Trial[DEZEMBRO],Tab_99.Trial[CONTA],$B49)</f>
        <v>0</v>
      </c>
      <c r="E49" s="78">
        <f t="shared" ca="1" si="62"/>
        <v>0</v>
      </c>
      <c r="F49" s="4">
        <f ca="1">-SUMIFS(INDIRECT("Tab_00.Trial["&amp;F$4&amp;"]"),Tab_00.Trial[CONTA],$B49)</f>
        <v>0</v>
      </c>
      <c r="G49" s="78">
        <f t="shared" ca="1" si="63"/>
        <v>0</v>
      </c>
      <c r="H49" s="78">
        <f t="shared" ref="H49:H52" ca="1" si="87">IFERROR(($F49-$D49)/ABS($D49),0)</f>
        <v>0</v>
      </c>
      <c r="I49" s="4">
        <f ca="1">-SUMIFS(INDIRECT("Tab_00.Trial["&amp;I$4&amp;"]"),Tab_00.Trial[CONTA],$B49)</f>
        <v>0</v>
      </c>
      <c r="J49" s="78">
        <f t="shared" ca="1" si="64"/>
        <v>0</v>
      </c>
      <c r="K49" s="78">
        <f t="shared" ref="K49:K52" ca="1" si="88">IFERROR(($I49-$F49)/ABS($F49),0)</f>
        <v>0</v>
      </c>
      <c r="L49" s="4">
        <f ca="1">-SUMIFS(INDIRECT("Tab_00.Trial["&amp;L$4&amp;"]"),Tab_00.Trial[CONTA],$B49)</f>
        <v>0</v>
      </c>
      <c r="M49" s="78">
        <f t="shared" ca="1" si="65"/>
        <v>0</v>
      </c>
      <c r="N49" s="78">
        <f t="shared" ref="N49:N52" ca="1" si="89">IFERROR(($L49-$I49)/ABS($I49),0)</f>
        <v>0</v>
      </c>
      <c r="O49" s="4">
        <f ca="1">-SUMIFS(INDIRECT("Tab_00.Trial["&amp;O$4&amp;"]"),Tab_00.Trial[CONTA],$B49)</f>
        <v>0</v>
      </c>
      <c r="P49" s="78">
        <f t="shared" ca="1" si="66"/>
        <v>0</v>
      </c>
      <c r="Q49" s="78">
        <f t="shared" ref="Q49:Q52" ca="1" si="90">IFERROR(($O49-$L49)/ABS($L49),0)</f>
        <v>0</v>
      </c>
      <c r="R49" s="4">
        <f ca="1">-SUMIFS(INDIRECT("Tab_00.Trial["&amp;R$4&amp;"]"),Tab_00.Trial[CONTA],$B49)</f>
        <v>0</v>
      </c>
      <c r="S49" s="78">
        <f t="shared" ca="1" si="67"/>
        <v>0</v>
      </c>
      <c r="T49" s="78">
        <f t="shared" ref="T49:T52" ca="1" si="91">IFERROR(($R49-$O49)/ABS($O49),0)</f>
        <v>0</v>
      </c>
      <c r="U49" s="4">
        <f ca="1">-SUMIFS(INDIRECT("Tab_00.Trial["&amp;U$4&amp;"]"),Tab_00.Trial[CONTA],$B49)</f>
        <v>0</v>
      </c>
      <c r="V49" s="78">
        <f t="shared" ca="1" si="68"/>
        <v>0</v>
      </c>
      <c r="W49" s="78">
        <f t="shared" ref="W49:W52" ca="1" si="92">IFERROR(($U49-$R49)/ABS($R49),0)</f>
        <v>0</v>
      </c>
      <c r="X49" s="4">
        <f ca="1">-SUMIFS(INDIRECT("Tab_00.Trial["&amp;X$4&amp;"]"),Tab_00.Trial[CONTA],$B49)</f>
        <v>0</v>
      </c>
      <c r="Y49" s="78">
        <f t="shared" ca="1" si="69"/>
        <v>0</v>
      </c>
      <c r="Z49" s="78">
        <f t="shared" ref="Z49:Z52" ca="1" si="93">IFERROR(($X49-$U49)/ABS($U49),0)</f>
        <v>0</v>
      </c>
      <c r="AA49" s="4">
        <f ca="1">-SUMIFS(INDIRECT("Tab_00.Trial["&amp;AA$4&amp;"]"),Tab_00.Trial[CONTA],$B49)</f>
        <v>0</v>
      </c>
      <c r="AB49" s="78">
        <f t="shared" ca="1" si="70"/>
        <v>0</v>
      </c>
      <c r="AC49" s="78">
        <f t="shared" ref="AC49:AC52" ca="1" si="94">IFERROR(($AA49-$X49)/ABS($X49),0)</f>
        <v>0</v>
      </c>
      <c r="AD49" s="4">
        <f ca="1">-SUMIFS(INDIRECT("Tab_00.Trial["&amp;AD$4&amp;"]"),Tab_00.Trial[CONTA],$B49)</f>
        <v>0</v>
      </c>
      <c r="AE49" s="78">
        <f t="shared" ca="1" si="71"/>
        <v>0</v>
      </c>
      <c r="AF49" s="78">
        <f t="shared" ref="AF49:AF52" ca="1" si="95">IFERROR(($AD49-$AA49)/ABS($AA49),0)</f>
        <v>0</v>
      </c>
      <c r="AG49" s="4">
        <f ca="1">-SUMIFS(INDIRECT("Tab_00.Trial["&amp;AG$4&amp;"]"),Tab_00.Trial[CONTA],$B49)</f>
        <v>0</v>
      </c>
      <c r="AH49" s="78">
        <f t="shared" ca="1" si="72"/>
        <v>0</v>
      </c>
      <c r="AI49" s="78">
        <f t="shared" ref="AI49:AI52" ca="1" si="96">IFERROR(($AG49-$AD49)/ABS($AD49),0)</f>
        <v>0</v>
      </c>
      <c r="AJ49" s="4">
        <f ca="1">-SUMIFS(INDIRECT("Tab_00.Trial["&amp;AJ$4&amp;"]"),Tab_00.Trial[CONTA],$B49)</f>
        <v>0</v>
      </c>
      <c r="AK49" s="78">
        <f t="shared" ca="1" si="73"/>
        <v>0</v>
      </c>
      <c r="AL49" s="78">
        <f t="shared" ref="AL49:AL52" ca="1" si="97">IFERROR(($AJ49-$AG49)/ABS($AG49),0)</f>
        <v>0</v>
      </c>
      <c r="AM49" s="4">
        <f ca="1">-SUMIFS(INDIRECT("Tab_00.Trial["&amp;AM$4&amp;"]"),Tab_00.Trial[CONTA],$B49)</f>
        <v>0</v>
      </c>
      <c r="AN49" s="78">
        <f t="shared" ca="1" si="74"/>
        <v>0</v>
      </c>
      <c r="AO49" s="78">
        <f t="shared" ref="AO49:AO52" ca="1" si="98">IFERROR(($AM49-$AJ49)/ABS($AJ49),0)</f>
        <v>0</v>
      </c>
    </row>
    <row r="50" spans="2:41" ht="15" hidden="1" customHeight="1" outlineLevel="1" x14ac:dyDescent="0.3">
      <c r="B50" s="14"/>
      <c r="C50" s="15"/>
      <c r="D50" s="4">
        <f>-SUMIFS(Tab_99.Trial[DEZEMBRO],Tab_99.Trial[CONTA],$B50)</f>
        <v>0</v>
      </c>
      <c r="E50" s="78">
        <f t="shared" ca="1" si="62"/>
        <v>0</v>
      </c>
      <c r="F50" s="4">
        <f ca="1">-SUMIFS(INDIRECT("Tab_00.Trial["&amp;F$4&amp;"]"),Tab_00.Trial[CONTA],$B50)</f>
        <v>0</v>
      </c>
      <c r="G50" s="78">
        <f t="shared" ca="1" si="63"/>
        <v>0</v>
      </c>
      <c r="H50" s="78">
        <f t="shared" ca="1" si="87"/>
        <v>0</v>
      </c>
      <c r="I50" s="4">
        <f ca="1">-SUMIFS(INDIRECT("Tab_00.Trial["&amp;I$4&amp;"]"),Tab_00.Trial[CONTA],$B50)</f>
        <v>0</v>
      </c>
      <c r="J50" s="78">
        <f t="shared" ca="1" si="64"/>
        <v>0</v>
      </c>
      <c r="K50" s="78">
        <f t="shared" ca="1" si="88"/>
        <v>0</v>
      </c>
      <c r="L50" s="4">
        <f ca="1">-SUMIFS(INDIRECT("Tab_00.Trial["&amp;L$4&amp;"]"),Tab_00.Trial[CONTA],$B50)</f>
        <v>0</v>
      </c>
      <c r="M50" s="78">
        <f t="shared" ca="1" si="65"/>
        <v>0</v>
      </c>
      <c r="N50" s="78">
        <f t="shared" ca="1" si="89"/>
        <v>0</v>
      </c>
      <c r="O50" s="4">
        <f ca="1">-SUMIFS(INDIRECT("Tab_00.Trial["&amp;O$4&amp;"]"),Tab_00.Trial[CONTA],$B50)</f>
        <v>0</v>
      </c>
      <c r="P50" s="78">
        <f t="shared" ca="1" si="66"/>
        <v>0</v>
      </c>
      <c r="Q50" s="78">
        <f t="shared" ca="1" si="90"/>
        <v>0</v>
      </c>
      <c r="R50" s="4">
        <f ca="1">-SUMIFS(INDIRECT("Tab_00.Trial["&amp;R$4&amp;"]"),Tab_00.Trial[CONTA],$B50)</f>
        <v>0</v>
      </c>
      <c r="S50" s="78">
        <f t="shared" ca="1" si="67"/>
        <v>0</v>
      </c>
      <c r="T50" s="78">
        <f t="shared" ca="1" si="91"/>
        <v>0</v>
      </c>
      <c r="U50" s="4">
        <f ca="1">-SUMIFS(INDIRECT("Tab_00.Trial["&amp;U$4&amp;"]"),Tab_00.Trial[CONTA],$B50)</f>
        <v>0</v>
      </c>
      <c r="V50" s="78">
        <f t="shared" ca="1" si="68"/>
        <v>0</v>
      </c>
      <c r="W50" s="78">
        <f t="shared" ca="1" si="92"/>
        <v>0</v>
      </c>
      <c r="X50" s="4">
        <f ca="1">-SUMIFS(INDIRECT("Tab_00.Trial["&amp;X$4&amp;"]"),Tab_00.Trial[CONTA],$B50)</f>
        <v>0</v>
      </c>
      <c r="Y50" s="78">
        <f t="shared" ca="1" si="69"/>
        <v>0</v>
      </c>
      <c r="Z50" s="78">
        <f t="shared" ca="1" si="93"/>
        <v>0</v>
      </c>
      <c r="AA50" s="4">
        <f ca="1">-SUMIFS(INDIRECT("Tab_00.Trial["&amp;AA$4&amp;"]"),Tab_00.Trial[CONTA],$B50)</f>
        <v>0</v>
      </c>
      <c r="AB50" s="78">
        <f t="shared" ca="1" si="70"/>
        <v>0</v>
      </c>
      <c r="AC50" s="78">
        <f t="shared" ca="1" si="94"/>
        <v>0</v>
      </c>
      <c r="AD50" s="4">
        <f ca="1">-SUMIFS(INDIRECT("Tab_00.Trial["&amp;AD$4&amp;"]"),Tab_00.Trial[CONTA],$B50)</f>
        <v>0</v>
      </c>
      <c r="AE50" s="78">
        <f t="shared" ca="1" si="71"/>
        <v>0</v>
      </c>
      <c r="AF50" s="78">
        <f t="shared" ca="1" si="95"/>
        <v>0</v>
      </c>
      <c r="AG50" s="4">
        <f ca="1">-SUMIFS(INDIRECT("Tab_00.Trial["&amp;AG$4&amp;"]"),Tab_00.Trial[CONTA],$B50)</f>
        <v>0</v>
      </c>
      <c r="AH50" s="78">
        <f t="shared" ca="1" si="72"/>
        <v>0</v>
      </c>
      <c r="AI50" s="78">
        <f t="shared" ca="1" si="96"/>
        <v>0</v>
      </c>
      <c r="AJ50" s="4">
        <f ca="1">-SUMIFS(INDIRECT("Tab_00.Trial["&amp;AJ$4&amp;"]"),Tab_00.Trial[CONTA],$B50)</f>
        <v>0</v>
      </c>
      <c r="AK50" s="78">
        <f t="shared" ca="1" si="73"/>
        <v>0</v>
      </c>
      <c r="AL50" s="78">
        <f t="shared" ca="1" si="97"/>
        <v>0</v>
      </c>
      <c r="AM50" s="4">
        <f ca="1">-SUMIFS(INDIRECT("Tab_00.Trial["&amp;AM$4&amp;"]"),Tab_00.Trial[CONTA],$B50)</f>
        <v>0</v>
      </c>
      <c r="AN50" s="78">
        <f t="shared" ca="1" si="74"/>
        <v>0</v>
      </c>
      <c r="AO50" s="78">
        <f t="shared" ca="1" si="98"/>
        <v>0</v>
      </c>
    </row>
    <row r="51" spans="2:41" ht="15" hidden="1" customHeight="1" outlineLevel="1" x14ac:dyDescent="0.3">
      <c r="B51" s="14"/>
      <c r="C51" s="15"/>
      <c r="D51" s="4">
        <f>-SUMIFS(Tab_99.Trial[DEZEMBRO],Tab_99.Trial[CONTA],$B51)</f>
        <v>0</v>
      </c>
      <c r="E51" s="78">
        <f t="shared" ca="1" si="62"/>
        <v>0</v>
      </c>
      <c r="F51" s="4">
        <f ca="1">-SUMIFS(INDIRECT("Tab_00.Trial["&amp;F$4&amp;"]"),Tab_00.Trial[CONTA],$B51)</f>
        <v>0</v>
      </c>
      <c r="G51" s="78">
        <f t="shared" ca="1" si="63"/>
        <v>0</v>
      </c>
      <c r="H51" s="78">
        <f t="shared" ca="1" si="87"/>
        <v>0</v>
      </c>
      <c r="I51" s="4">
        <f ca="1">-SUMIFS(INDIRECT("Tab_00.Trial["&amp;I$4&amp;"]"),Tab_00.Trial[CONTA],$B51)</f>
        <v>0</v>
      </c>
      <c r="J51" s="78">
        <f t="shared" ca="1" si="64"/>
        <v>0</v>
      </c>
      <c r="K51" s="78">
        <f t="shared" ca="1" si="88"/>
        <v>0</v>
      </c>
      <c r="L51" s="4">
        <f ca="1">-SUMIFS(INDIRECT("Tab_00.Trial["&amp;L$4&amp;"]"),Tab_00.Trial[CONTA],$B51)</f>
        <v>0</v>
      </c>
      <c r="M51" s="78">
        <f t="shared" ca="1" si="65"/>
        <v>0</v>
      </c>
      <c r="N51" s="78">
        <f t="shared" ca="1" si="89"/>
        <v>0</v>
      </c>
      <c r="O51" s="4">
        <f ca="1">-SUMIFS(INDIRECT("Tab_00.Trial["&amp;O$4&amp;"]"),Tab_00.Trial[CONTA],$B51)</f>
        <v>0</v>
      </c>
      <c r="P51" s="78">
        <f t="shared" ca="1" si="66"/>
        <v>0</v>
      </c>
      <c r="Q51" s="78">
        <f t="shared" ca="1" si="90"/>
        <v>0</v>
      </c>
      <c r="R51" s="4">
        <f ca="1">-SUMIFS(INDIRECT("Tab_00.Trial["&amp;R$4&amp;"]"),Tab_00.Trial[CONTA],$B51)</f>
        <v>0</v>
      </c>
      <c r="S51" s="78">
        <f t="shared" ca="1" si="67"/>
        <v>0</v>
      </c>
      <c r="T51" s="78">
        <f t="shared" ca="1" si="91"/>
        <v>0</v>
      </c>
      <c r="U51" s="4">
        <f ca="1">-SUMIFS(INDIRECT("Tab_00.Trial["&amp;U$4&amp;"]"),Tab_00.Trial[CONTA],$B51)</f>
        <v>0</v>
      </c>
      <c r="V51" s="78">
        <f t="shared" ca="1" si="68"/>
        <v>0</v>
      </c>
      <c r="W51" s="78">
        <f t="shared" ca="1" si="92"/>
        <v>0</v>
      </c>
      <c r="X51" s="4">
        <f ca="1">-SUMIFS(INDIRECT("Tab_00.Trial["&amp;X$4&amp;"]"),Tab_00.Trial[CONTA],$B51)</f>
        <v>0</v>
      </c>
      <c r="Y51" s="78">
        <f t="shared" ca="1" si="69"/>
        <v>0</v>
      </c>
      <c r="Z51" s="78">
        <f t="shared" ca="1" si="93"/>
        <v>0</v>
      </c>
      <c r="AA51" s="4">
        <f ca="1">-SUMIFS(INDIRECT("Tab_00.Trial["&amp;AA$4&amp;"]"),Tab_00.Trial[CONTA],$B51)</f>
        <v>0</v>
      </c>
      <c r="AB51" s="78">
        <f t="shared" ca="1" si="70"/>
        <v>0</v>
      </c>
      <c r="AC51" s="78">
        <f t="shared" ca="1" si="94"/>
        <v>0</v>
      </c>
      <c r="AD51" s="4">
        <f ca="1">-SUMIFS(INDIRECT("Tab_00.Trial["&amp;AD$4&amp;"]"),Tab_00.Trial[CONTA],$B51)</f>
        <v>0</v>
      </c>
      <c r="AE51" s="78">
        <f t="shared" ca="1" si="71"/>
        <v>0</v>
      </c>
      <c r="AF51" s="78">
        <f t="shared" ca="1" si="95"/>
        <v>0</v>
      </c>
      <c r="AG51" s="4">
        <f ca="1">-SUMIFS(INDIRECT("Tab_00.Trial["&amp;AG$4&amp;"]"),Tab_00.Trial[CONTA],$B51)</f>
        <v>0</v>
      </c>
      <c r="AH51" s="78">
        <f t="shared" ca="1" si="72"/>
        <v>0</v>
      </c>
      <c r="AI51" s="78">
        <f t="shared" ca="1" si="96"/>
        <v>0</v>
      </c>
      <c r="AJ51" s="4">
        <f ca="1">-SUMIFS(INDIRECT("Tab_00.Trial["&amp;AJ$4&amp;"]"),Tab_00.Trial[CONTA],$B51)</f>
        <v>0</v>
      </c>
      <c r="AK51" s="78">
        <f t="shared" ca="1" si="73"/>
        <v>0</v>
      </c>
      <c r="AL51" s="78">
        <f t="shared" ca="1" si="97"/>
        <v>0</v>
      </c>
      <c r="AM51" s="4">
        <f ca="1">-SUMIFS(INDIRECT("Tab_00.Trial["&amp;AM$4&amp;"]"),Tab_00.Trial[CONTA],$B51)</f>
        <v>0</v>
      </c>
      <c r="AN51" s="78">
        <f t="shared" ca="1" si="74"/>
        <v>0</v>
      </c>
      <c r="AO51" s="78">
        <f t="shared" ca="1" si="98"/>
        <v>0</v>
      </c>
    </row>
    <row r="52" spans="2:41" ht="15" hidden="1" customHeight="1" outlineLevel="1" x14ac:dyDescent="0.3">
      <c r="B52" s="14"/>
      <c r="C52" s="15"/>
      <c r="D52" s="4">
        <f>-SUMIFS(Tab_99.Trial[DEZEMBRO],Tab_99.Trial[CONTA],$B52)</f>
        <v>0</v>
      </c>
      <c r="E52" s="78">
        <f t="shared" ca="1" si="62"/>
        <v>0</v>
      </c>
      <c r="F52" s="4">
        <f ca="1">-SUMIFS(INDIRECT("Tab_00.Trial["&amp;F$4&amp;"]"),Tab_00.Trial[CONTA],$B52)</f>
        <v>0</v>
      </c>
      <c r="G52" s="78">
        <f t="shared" ca="1" si="63"/>
        <v>0</v>
      </c>
      <c r="H52" s="78">
        <f t="shared" ca="1" si="87"/>
        <v>0</v>
      </c>
      <c r="I52" s="4">
        <f ca="1">-SUMIFS(INDIRECT("Tab_00.Trial["&amp;I$4&amp;"]"),Tab_00.Trial[CONTA],$B52)</f>
        <v>0</v>
      </c>
      <c r="J52" s="78">
        <f t="shared" ca="1" si="64"/>
        <v>0</v>
      </c>
      <c r="K52" s="78">
        <f t="shared" ca="1" si="88"/>
        <v>0</v>
      </c>
      <c r="L52" s="4">
        <f ca="1">-SUMIFS(INDIRECT("Tab_00.Trial["&amp;L$4&amp;"]"),Tab_00.Trial[CONTA],$B52)</f>
        <v>0</v>
      </c>
      <c r="M52" s="78">
        <f t="shared" ca="1" si="65"/>
        <v>0</v>
      </c>
      <c r="N52" s="78">
        <f t="shared" ca="1" si="89"/>
        <v>0</v>
      </c>
      <c r="O52" s="4">
        <f ca="1">-SUMIFS(INDIRECT("Tab_00.Trial["&amp;O$4&amp;"]"),Tab_00.Trial[CONTA],$B52)</f>
        <v>0</v>
      </c>
      <c r="P52" s="78">
        <f t="shared" ca="1" si="66"/>
        <v>0</v>
      </c>
      <c r="Q52" s="78">
        <f t="shared" ca="1" si="90"/>
        <v>0</v>
      </c>
      <c r="R52" s="4">
        <f ca="1">-SUMIFS(INDIRECT("Tab_00.Trial["&amp;R$4&amp;"]"),Tab_00.Trial[CONTA],$B52)</f>
        <v>0</v>
      </c>
      <c r="S52" s="78">
        <f t="shared" ca="1" si="67"/>
        <v>0</v>
      </c>
      <c r="T52" s="78">
        <f t="shared" ca="1" si="91"/>
        <v>0</v>
      </c>
      <c r="U52" s="4">
        <f ca="1">-SUMIFS(INDIRECT("Tab_00.Trial["&amp;U$4&amp;"]"),Tab_00.Trial[CONTA],$B52)</f>
        <v>0</v>
      </c>
      <c r="V52" s="78">
        <f t="shared" ca="1" si="68"/>
        <v>0</v>
      </c>
      <c r="W52" s="78">
        <f t="shared" ca="1" si="92"/>
        <v>0</v>
      </c>
      <c r="X52" s="4">
        <f ca="1">-SUMIFS(INDIRECT("Tab_00.Trial["&amp;X$4&amp;"]"),Tab_00.Trial[CONTA],$B52)</f>
        <v>0</v>
      </c>
      <c r="Y52" s="78">
        <f t="shared" ca="1" si="69"/>
        <v>0</v>
      </c>
      <c r="Z52" s="78">
        <f t="shared" ca="1" si="93"/>
        <v>0</v>
      </c>
      <c r="AA52" s="4">
        <f ca="1">-SUMIFS(INDIRECT("Tab_00.Trial["&amp;AA$4&amp;"]"),Tab_00.Trial[CONTA],$B52)</f>
        <v>0</v>
      </c>
      <c r="AB52" s="78">
        <f t="shared" ca="1" si="70"/>
        <v>0</v>
      </c>
      <c r="AC52" s="78">
        <f t="shared" ca="1" si="94"/>
        <v>0</v>
      </c>
      <c r="AD52" s="4">
        <f ca="1">-SUMIFS(INDIRECT("Tab_00.Trial["&amp;AD$4&amp;"]"),Tab_00.Trial[CONTA],$B52)</f>
        <v>0</v>
      </c>
      <c r="AE52" s="78">
        <f t="shared" ca="1" si="71"/>
        <v>0</v>
      </c>
      <c r="AF52" s="78">
        <f t="shared" ca="1" si="95"/>
        <v>0</v>
      </c>
      <c r="AG52" s="4">
        <f ca="1">-SUMIFS(INDIRECT("Tab_00.Trial["&amp;AG$4&amp;"]"),Tab_00.Trial[CONTA],$B52)</f>
        <v>0</v>
      </c>
      <c r="AH52" s="78">
        <f t="shared" ca="1" si="72"/>
        <v>0</v>
      </c>
      <c r="AI52" s="78">
        <f t="shared" ca="1" si="96"/>
        <v>0</v>
      </c>
      <c r="AJ52" s="4">
        <f ca="1">-SUMIFS(INDIRECT("Tab_00.Trial["&amp;AJ$4&amp;"]"),Tab_00.Trial[CONTA],$B52)</f>
        <v>0</v>
      </c>
      <c r="AK52" s="78">
        <f t="shared" ca="1" si="73"/>
        <v>0</v>
      </c>
      <c r="AL52" s="78">
        <f t="shared" ca="1" si="97"/>
        <v>0</v>
      </c>
      <c r="AM52" s="4">
        <f ca="1">-SUMIFS(INDIRECT("Tab_00.Trial["&amp;AM$4&amp;"]"),Tab_00.Trial[CONTA],$B52)</f>
        <v>0</v>
      </c>
      <c r="AN52" s="78">
        <f t="shared" ca="1" si="74"/>
        <v>0</v>
      </c>
      <c r="AO52" s="78">
        <f t="shared" ca="1" si="98"/>
        <v>0</v>
      </c>
    </row>
    <row r="53" spans="2:41" ht="5.0999999999999996" hidden="1" customHeight="1" outlineLevel="1" x14ac:dyDescent="0.3">
      <c r="B53" s="74"/>
      <c r="C53" s="75"/>
      <c r="D53" s="76"/>
      <c r="E53" s="77"/>
      <c r="F53" s="76"/>
      <c r="G53" s="77"/>
      <c r="H53" s="77"/>
      <c r="I53" s="76"/>
      <c r="J53" s="77"/>
      <c r="K53" s="77"/>
      <c r="L53" s="76"/>
      <c r="M53" s="77"/>
      <c r="N53" s="77"/>
      <c r="O53" s="76"/>
      <c r="P53" s="77"/>
      <c r="Q53" s="77"/>
      <c r="R53" s="76"/>
      <c r="S53" s="77"/>
      <c r="T53" s="77"/>
      <c r="U53" s="76"/>
      <c r="V53" s="77"/>
      <c r="W53" s="77"/>
      <c r="X53" s="76"/>
      <c r="Y53" s="77"/>
      <c r="Z53" s="77"/>
      <c r="AA53" s="76"/>
      <c r="AB53" s="77"/>
      <c r="AC53" s="77"/>
      <c r="AD53" s="76"/>
      <c r="AE53" s="77"/>
      <c r="AF53" s="77"/>
      <c r="AG53" s="76"/>
      <c r="AH53" s="77"/>
      <c r="AI53" s="77"/>
      <c r="AJ53" s="76"/>
      <c r="AK53" s="77"/>
      <c r="AL53" s="77"/>
      <c r="AM53" s="76"/>
      <c r="AN53" s="77"/>
      <c r="AO53" s="77"/>
    </row>
    <row r="54" spans="2:41" ht="15" customHeight="1" collapsed="1" x14ac:dyDescent="0.3">
      <c r="B54" s="3" t="s">
        <v>54</v>
      </c>
      <c r="C54" s="14" t="s">
        <v>144</v>
      </c>
      <c r="D54" s="4">
        <f>SUBTOTAL(9,D$55:D$57)</f>
        <v>0</v>
      </c>
      <c r="E54" s="78">
        <f ca="1">IFERROR($D54/$D$146,0)</f>
        <v>0</v>
      </c>
      <c r="F54" s="4">
        <f ca="1">SUBTOTAL(9,F$55:F$57)</f>
        <v>3849.2</v>
      </c>
      <c r="G54" s="78">
        <f ca="1">IFERROR($F54/$F$146,0)</f>
        <v>0</v>
      </c>
      <c r="H54" s="78">
        <f ca="1">IFERROR(($F54-$D54)/ABS($D54),0)</f>
        <v>0</v>
      </c>
      <c r="I54" s="4">
        <f ca="1">SUBTOTAL(9,I$55:I$57)</f>
        <v>3849.2</v>
      </c>
      <c r="J54" s="78">
        <f ca="1">IFERROR($I54/$I$146,0)</f>
        <v>0</v>
      </c>
      <c r="K54" s="78">
        <f ca="1">IFERROR(($I54-$F54)/ABS($F54),0)</f>
        <v>0</v>
      </c>
      <c r="L54" s="4">
        <f ca="1">SUBTOTAL(9,L$55:L$57)</f>
        <v>3849.2</v>
      </c>
      <c r="M54" s="78">
        <f ca="1">IFERROR($L54/$L$146,0)</f>
        <v>0</v>
      </c>
      <c r="N54" s="78">
        <f ca="1">IFERROR(($L54-$I54)/ABS($I54),0)</f>
        <v>0</v>
      </c>
      <c r="O54" s="4">
        <f ca="1">SUBTOTAL(9,O$55:O$57)</f>
        <v>3849.2</v>
      </c>
      <c r="P54" s="78">
        <f ca="1">IFERROR($O54/$O$146,0)</f>
        <v>0</v>
      </c>
      <c r="Q54" s="78">
        <f ca="1">IFERROR(($O54-$L54)/ABS($L54),0)</f>
        <v>0</v>
      </c>
      <c r="R54" s="4">
        <f ca="1">SUBTOTAL(9,R$55:R$57)</f>
        <v>3849.2</v>
      </c>
      <c r="S54" s="78">
        <f ca="1">IFERROR($R54/$R$146,0)</f>
        <v>0</v>
      </c>
      <c r="T54" s="78">
        <f ca="1">IFERROR(($R54-$O54)/ABS($O54),0)</f>
        <v>0</v>
      </c>
      <c r="U54" s="4">
        <f ca="1">SUBTOTAL(9,U$55:U$57)</f>
        <v>3849.2</v>
      </c>
      <c r="V54" s="78">
        <f ca="1">IFERROR($U54/$U$146,0)</f>
        <v>0</v>
      </c>
      <c r="W54" s="78">
        <f ca="1">IFERROR(($U54-$R54)/ABS($R54),0)</f>
        <v>0</v>
      </c>
      <c r="X54" s="4">
        <f ca="1">SUBTOTAL(9,X$55:X$57)</f>
        <v>3849.2</v>
      </c>
      <c r="Y54" s="78">
        <f ca="1">IFERROR($X54/$X$146,0)</f>
        <v>0</v>
      </c>
      <c r="Z54" s="78">
        <f ca="1">IFERROR(($X54-$U54)/ABS($U54),0)</f>
        <v>0</v>
      </c>
      <c r="AA54" s="4">
        <f ca="1">SUBTOTAL(9,AA$55:AA$57)</f>
        <v>3849.2</v>
      </c>
      <c r="AB54" s="78">
        <f ca="1">IFERROR($AA54/$AA$146,0)</f>
        <v>0</v>
      </c>
      <c r="AC54" s="78">
        <f ca="1">IFERROR(($AA54-$X54)/ABS($X54),0)</f>
        <v>0</v>
      </c>
      <c r="AD54" s="4">
        <f ca="1">SUBTOTAL(9,AD$55:AD$57)</f>
        <v>3849.2</v>
      </c>
      <c r="AE54" s="78">
        <f ca="1">IFERROR($AD54/$AD$146,0)</f>
        <v>0</v>
      </c>
      <c r="AF54" s="78">
        <f ca="1">IFERROR(($AD54-$AA54)/ABS($AA54),0)</f>
        <v>0</v>
      </c>
      <c r="AG54" s="4">
        <f ca="1">SUBTOTAL(9,AG$55:AG$57)</f>
        <v>3849.2</v>
      </c>
      <c r="AH54" s="78">
        <f ca="1">IFERROR($AG54/$AG$146,0)</f>
        <v>0</v>
      </c>
      <c r="AI54" s="78">
        <f ca="1">IFERROR(($AG54-$AD54)/ABS($AD54),0)</f>
        <v>0</v>
      </c>
      <c r="AJ54" s="4">
        <f ca="1">SUBTOTAL(9,AJ$55:AJ$57)</f>
        <v>3849.2</v>
      </c>
      <c r="AK54" s="78">
        <f ca="1">IFERROR($AJ54/$AJ$146,0)</f>
        <v>0</v>
      </c>
      <c r="AL54" s="78">
        <f ca="1">IFERROR(($AJ54-$AG54)/ABS($AG54),0)</f>
        <v>0</v>
      </c>
      <c r="AM54" s="4">
        <f ca="1">SUBTOTAL(9,AM$55:AM$57)</f>
        <v>3849.2</v>
      </c>
      <c r="AN54" s="78">
        <f ca="1">IFERROR(AM54/AM$146,0)</f>
        <v>0</v>
      </c>
      <c r="AO54" s="78">
        <f ca="1">IFERROR(($AM54-$AJ54)/ABS($AJ54),0)</f>
        <v>0</v>
      </c>
    </row>
    <row r="55" spans="2:41" ht="15" hidden="1" customHeight="1" outlineLevel="1" x14ac:dyDescent="0.3">
      <c r="B55" s="14" t="s">
        <v>358</v>
      </c>
      <c r="C55" s="15" t="s">
        <v>359</v>
      </c>
      <c r="D55" s="4">
        <f>-SUMIFS(Tab_99.Trial[DEZEMBRO],Tab_99.Trial[CONTA],$B55)</f>
        <v>0</v>
      </c>
      <c r="E55" s="78">
        <f ca="1">IFERROR($D55/$D$146,0)</f>
        <v>0</v>
      </c>
      <c r="F55" s="4">
        <f ca="1">-SUMIFS(INDIRECT("Tab_00.Trial["&amp;F$4&amp;"]"),Tab_00.Trial[CONTA],$B55)</f>
        <v>3849.2</v>
      </c>
      <c r="G55" s="78">
        <f ca="1">IFERROR($F55/$F$146,0)</f>
        <v>0</v>
      </c>
      <c r="H55" s="78">
        <f ca="1">IFERROR(($F55-$D55)/ABS($D55),0)</f>
        <v>0</v>
      </c>
      <c r="I55" s="4">
        <f ca="1">-SUMIFS(INDIRECT("Tab_00.Trial["&amp;I$4&amp;"]"),Tab_00.Trial[CONTA],$B55)</f>
        <v>3849.2</v>
      </c>
      <c r="J55" s="78">
        <f ca="1">IFERROR($I55/$I$146,0)</f>
        <v>0</v>
      </c>
      <c r="K55" s="78">
        <f ca="1">IFERROR(($I55-$F55)/ABS($F55),0)</f>
        <v>0</v>
      </c>
      <c r="L55" s="4">
        <f ca="1">-SUMIFS(INDIRECT("Tab_00.Trial["&amp;L$4&amp;"]"),Tab_00.Trial[CONTA],$B55)</f>
        <v>3849.2</v>
      </c>
      <c r="M55" s="78">
        <f ca="1">IFERROR($L55/$L$146,0)</f>
        <v>0</v>
      </c>
      <c r="N55" s="78">
        <f ca="1">IFERROR(($L55-$I55)/ABS($I55),0)</f>
        <v>0</v>
      </c>
      <c r="O55" s="4">
        <f ca="1">-SUMIFS(INDIRECT("Tab_00.Trial["&amp;O$4&amp;"]"),Tab_00.Trial[CONTA],$B55)</f>
        <v>3849.2</v>
      </c>
      <c r="P55" s="78">
        <f ca="1">IFERROR($O55/$O$146,0)</f>
        <v>0</v>
      </c>
      <c r="Q55" s="78">
        <f ca="1">IFERROR(($O55-$L55)/ABS($L55),0)</f>
        <v>0</v>
      </c>
      <c r="R55" s="4">
        <f ca="1">-SUMIFS(INDIRECT("Tab_00.Trial["&amp;R$4&amp;"]"),Tab_00.Trial[CONTA],$B55)</f>
        <v>3849.2</v>
      </c>
      <c r="S55" s="78">
        <f ca="1">IFERROR($R55/$R$146,0)</f>
        <v>0</v>
      </c>
      <c r="T55" s="78">
        <f ca="1">IFERROR(($R55-$O55)/ABS($O55),0)</f>
        <v>0</v>
      </c>
      <c r="U55" s="4">
        <f ca="1">-SUMIFS(INDIRECT("Tab_00.Trial["&amp;U$4&amp;"]"),Tab_00.Trial[CONTA],$B55)</f>
        <v>3849.2</v>
      </c>
      <c r="V55" s="78">
        <f ca="1">IFERROR($U55/$U$146,0)</f>
        <v>0</v>
      </c>
      <c r="W55" s="78">
        <f ca="1">IFERROR(($U55-$R55)/ABS($R55),0)</f>
        <v>0</v>
      </c>
      <c r="X55" s="4">
        <f ca="1">-SUMIFS(INDIRECT("Tab_00.Trial["&amp;X$4&amp;"]"),Tab_00.Trial[CONTA],$B55)</f>
        <v>3849.2</v>
      </c>
      <c r="Y55" s="78">
        <f ca="1">IFERROR($X55/$X$146,0)</f>
        <v>0</v>
      </c>
      <c r="Z55" s="78">
        <f ca="1">IFERROR(($X55-$U55)/ABS($U55),0)</f>
        <v>0</v>
      </c>
      <c r="AA55" s="4">
        <f ca="1">-SUMIFS(INDIRECT("Tab_00.Trial["&amp;AA$4&amp;"]"),Tab_00.Trial[CONTA],$B55)</f>
        <v>3849.2</v>
      </c>
      <c r="AB55" s="78">
        <f ca="1">IFERROR($AA55/$AA$146,0)</f>
        <v>0</v>
      </c>
      <c r="AC55" s="78">
        <f ca="1">IFERROR(($AA55-$X55)/ABS($X55),0)</f>
        <v>0</v>
      </c>
      <c r="AD55" s="4">
        <f ca="1">-SUMIFS(INDIRECT("Tab_00.Trial["&amp;AD$4&amp;"]"),Tab_00.Trial[CONTA],$B55)</f>
        <v>3849.2</v>
      </c>
      <c r="AE55" s="78">
        <f ca="1">IFERROR($AD55/$AD$146,0)</f>
        <v>0</v>
      </c>
      <c r="AF55" s="78">
        <f ca="1">IFERROR(($AD55-$AA55)/ABS($AA55),0)</f>
        <v>0</v>
      </c>
      <c r="AG55" s="4">
        <f ca="1">-SUMIFS(INDIRECT("Tab_00.Trial["&amp;AG$4&amp;"]"),Tab_00.Trial[CONTA],$B55)</f>
        <v>3849.2</v>
      </c>
      <c r="AH55" s="78">
        <f ca="1">IFERROR($AG55/$AG$146,0)</f>
        <v>0</v>
      </c>
      <c r="AI55" s="78">
        <f ca="1">IFERROR(($AG55-$AD55)/ABS($AD55),0)</f>
        <v>0</v>
      </c>
      <c r="AJ55" s="4">
        <f ca="1">-SUMIFS(INDIRECT("Tab_00.Trial["&amp;AJ$4&amp;"]"),Tab_00.Trial[CONTA],$B55)</f>
        <v>3849.2</v>
      </c>
      <c r="AK55" s="78">
        <f ca="1">IFERROR($AJ55/$AJ$146,0)</f>
        <v>0</v>
      </c>
      <c r="AL55" s="78">
        <f ca="1">IFERROR(($AJ55-$AG55)/ABS($AG55),0)</f>
        <v>0</v>
      </c>
      <c r="AM55" s="4">
        <f ca="1">-SUMIFS(INDIRECT("Tab_00.Trial["&amp;AM$4&amp;"]"),Tab_00.Trial[CONTA],$B55)</f>
        <v>3849.2</v>
      </c>
      <c r="AN55" s="78">
        <f ca="1">IFERROR(AM55/AM$146,0)</f>
        <v>0</v>
      </c>
      <c r="AO55" s="78">
        <f ca="1">IFERROR(($AM55-$AJ55)/ABS($AJ55),0)</f>
        <v>0</v>
      </c>
    </row>
    <row r="56" spans="2:41" ht="15" hidden="1" customHeight="1" outlineLevel="1" x14ac:dyDescent="0.3">
      <c r="B56" s="14"/>
      <c r="C56" s="15"/>
      <c r="D56" s="4">
        <f>-SUMIFS(Tab_99.Trial[DEZEMBRO],Tab_99.Trial[CONTA],$B56)</f>
        <v>0</v>
      </c>
      <c r="E56" s="78">
        <f ca="1">IFERROR($D56/$D$146,0)</f>
        <v>0</v>
      </c>
      <c r="F56" s="4">
        <f ca="1">-SUMIFS(INDIRECT("Tab_00.Trial["&amp;F$4&amp;"]"),Tab_00.Trial[CONTA],$B56)</f>
        <v>0</v>
      </c>
      <c r="G56" s="78">
        <f ca="1">IFERROR($F56/$F$146,0)</f>
        <v>0</v>
      </c>
      <c r="H56" s="78">
        <f t="shared" ref="H56" ca="1" si="99">IFERROR(($F56-$D56)/ABS($D56),0)</f>
        <v>0</v>
      </c>
      <c r="I56" s="4">
        <f ca="1">-SUMIFS(INDIRECT("Tab_00.Trial["&amp;I$4&amp;"]"),Tab_00.Trial[CONTA],$B56)</f>
        <v>0</v>
      </c>
      <c r="J56" s="78">
        <f ca="1">IFERROR($I56/$I$146,0)</f>
        <v>0</v>
      </c>
      <c r="K56" s="78">
        <f t="shared" ref="K56" ca="1" si="100">IFERROR(($I56-$F56)/ABS($F56),0)</f>
        <v>0</v>
      </c>
      <c r="L56" s="4">
        <f ca="1">-SUMIFS(INDIRECT("Tab_00.Trial["&amp;L$4&amp;"]"),Tab_00.Trial[CONTA],$B56)</f>
        <v>0</v>
      </c>
      <c r="M56" s="78">
        <f ca="1">IFERROR($L56/$L$146,0)</f>
        <v>0</v>
      </c>
      <c r="N56" s="78">
        <f t="shared" ref="N56" ca="1" si="101">IFERROR(($L56-$I56)/ABS($I56),0)</f>
        <v>0</v>
      </c>
      <c r="O56" s="4">
        <f ca="1">-SUMIFS(INDIRECT("Tab_00.Trial["&amp;O$4&amp;"]"),Tab_00.Trial[CONTA],$B56)</f>
        <v>0</v>
      </c>
      <c r="P56" s="78">
        <f ca="1">IFERROR($O56/$O$146,0)</f>
        <v>0</v>
      </c>
      <c r="Q56" s="78">
        <f t="shared" ref="Q56" ca="1" si="102">IFERROR(($O56-$L56)/ABS($L56),0)</f>
        <v>0</v>
      </c>
      <c r="R56" s="4">
        <f ca="1">-SUMIFS(INDIRECT("Tab_00.Trial["&amp;R$4&amp;"]"),Tab_00.Trial[CONTA],$B56)</f>
        <v>0</v>
      </c>
      <c r="S56" s="78">
        <f ca="1">IFERROR($R56/$R$146,0)</f>
        <v>0</v>
      </c>
      <c r="T56" s="78">
        <f t="shared" ref="T56" ca="1" si="103">IFERROR(($R56-$O56)/ABS($O56),0)</f>
        <v>0</v>
      </c>
      <c r="U56" s="4">
        <f ca="1">-SUMIFS(INDIRECT("Tab_00.Trial["&amp;U$4&amp;"]"),Tab_00.Trial[CONTA],$B56)</f>
        <v>0</v>
      </c>
      <c r="V56" s="78">
        <f ca="1">IFERROR($U56/$U$146,0)</f>
        <v>0</v>
      </c>
      <c r="W56" s="78">
        <f t="shared" ref="W56" ca="1" si="104">IFERROR(($U56-$R56)/ABS($R56),0)</f>
        <v>0</v>
      </c>
      <c r="X56" s="4">
        <f ca="1">-SUMIFS(INDIRECT("Tab_00.Trial["&amp;X$4&amp;"]"),Tab_00.Trial[CONTA],$B56)</f>
        <v>0</v>
      </c>
      <c r="Y56" s="78">
        <f ca="1">IFERROR($X56/$X$146,0)</f>
        <v>0</v>
      </c>
      <c r="Z56" s="78">
        <f t="shared" ref="Z56" ca="1" si="105">IFERROR(($X56-$U56)/ABS($U56),0)</f>
        <v>0</v>
      </c>
      <c r="AA56" s="4">
        <f ca="1">-SUMIFS(INDIRECT("Tab_00.Trial["&amp;AA$4&amp;"]"),Tab_00.Trial[CONTA],$B56)</f>
        <v>0</v>
      </c>
      <c r="AB56" s="78">
        <f ca="1">IFERROR($AA56/$AA$146,0)</f>
        <v>0</v>
      </c>
      <c r="AC56" s="78">
        <f t="shared" ref="AC56" ca="1" si="106">IFERROR(($AA56-$X56)/ABS($X56),0)</f>
        <v>0</v>
      </c>
      <c r="AD56" s="4">
        <f ca="1">-SUMIFS(INDIRECT("Tab_00.Trial["&amp;AD$4&amp;"]"),Tab_00.Trial[CONTA],$B56)</f>
        <v>0</v>
      </c>
      <c r="AE56" s="78">
        <f ca="1">IFERROR($AD56/$AD$146,0)</f>
        <v>0</v>
      </c>
      <c r="AF56" s="78">
        <f t="shared" ref="AF56" ca="1" si="107">IFERROR(($AD56-$AA56)/ABS($AA56),0)</f>
        <v>0</v>
      </c>
      <c r="AG56" s="4">
        <f ca="1">-SUMIFS(INDIRECT("Tab_00.Trial["&amp;AG$4&amp;"]"),Tab_00.Trial[CONTA],$B56)</f>
        <v>0</v>
      </c>
      <c r="AH56" s="78">
        <f ca="1">IFERROR($AG56/$AG$146,0)</f>
        <v>0</v>
      </c>
      <c r="AI56" s="78">
        <f t="shared" ref="AI56" ca="1" si="108">IFERROR(($AG56-$AD56)/ABS($AD56),0)</f>
        <v>0</v>
      </c>
      <c r="AJ56" s="4">
        <f ca="1">-SUMIFS(INDIRECT("Tab_00.Trial["&amp;AJ$4&amp;"]"),Tab_00.Trial[CONTA],$B56)</f>
        <v>0</v>
      </c>
      <c r="AK56" s="78">
        <f ca="1">IFERROR($AJ56/$AJ$146,0)</f>
        <v>0</v>
      </c>
      <c r="AL56" s="78">
        <f t="shared" ref="AL56" ca="1" si="109">IFERROR(($AJ56-$AG56)/ABS($AG56),0)</f>
        <v>0</v>
      </c>
      <c r="AM56" s="4">
        <f ca="1">-SUMIFS(INDIRECT("Tab_00.Trial["&amp;AM$4&amp;"]"),Tab_00.Trial[CONTA],$B56)</f>
        <v>0</v>
      </c>
      <c r="AN56" s="78">
        <f ca="1">IFERROR(AM56/AM$146,0)</f>
        <v>0</v>
      </c>
      <c r="AO56" s="78">
        <f t="shared" ref="AO56" ca="1" si="110">IFERROR(($AM56-$AJ56)/ABS($AJ56),0)</f>
        <v>0</v>
      </c>
    </row>
    <row r="57" spans="2:41" ht="5.0999999999999996" hidden="1" customHeight="1" outlineLevel="1" x14ac:dyDescent="0.3">
      <c r="B57" s="74"/>
      <c r="C57" s="75"/>
      <c r="D57" s="76"/>
      <c r="E57" s="77"/>
      <c r="F57" s="76"/>
      <c r="G57" s="77"/>
      <c r="H57" s="77"/>
      <c r="I57" s="76"/>
      <c r="J57" s="77"/>
      <c r="K57" s="77"/>
      <c r="L57" s="76"/>
      <c r="M57" s="77"/>
      <c r="N57" s="77"/>
      <c r="O57" s="76"/>
      <c r="P57" s="77"/>
      <c r="Q57" s="77"/>
      <c r="R57" s="76"/>
      <c r="S57" s="77"/>
      <c r="T57" s="77"/>
      <c r="U57" s="76"/>
      <c r="V57" s="77"/>
      <c r="W57" s="77"/>
      <c r="X57" s="76"/>
      <c r="Y57" s="77"/>
      <c r="Z57" s="77"/>
      <c r="AA57" s="76"/>
      <c r="AB57" s="77"/>
      <c r="AC57" s="77"/>
      <c r="AD57" s="76"/>
      <c r="AE57" s="77"/>
      <c r="AF57" s="77"/>
      <c r="AG57" s="76"/>
      <c r="AH57" s="77"/>
      <c r="AI57" s="77"/>
      <c r="AJ57" s="76"/>
      <c r="AK57" s="77"/>
      <c r="AL57" s="77"/>
      <c r="AM57" s="76"/>
      <c r="AN57" s="77"/>
      <c r="AO57" s="77"/>
    </row>
    <row r="58" spans="2:41" ht="15" customHeight="1" collapsed="1" x14ac:dyDescent="0.3">
      <c r="B58" s="3" t="s">
        <v>55</v>
      </c>
      <c r="C58" s="14" t="s">
        <v>89</v>
      </c>
      <c r="D58" s="4">
        <f>SUBTOTAL(9,D$59:D$62)</f>
        <v>0</v>
      </c>
      <c r="E58" s="78">
        <f ca="1">IFERROR($D58/$D$146,0)</f>
        <v>0</v>
      </c>
      <c r="F58" s="4">
        <f ca="1">SUBTOTAL(9,F$59:F$62)</f>
        <v>22468.91</v>
      </c>
      <c r="G58" s="78">
        <f ca="1">IFERROR($F58/$F$146,0)</f>
        <v>2.9999999999999997E-4</v>
      </c>
      <c r="H58" s="78">
        <f ca="1">IFERROR(($F58-$D58)/ABS($D58),0)</f>
        <v>0</v>
      </c>
      <c r="I58" s="4">
        <f ca="1">SUBTOTAL(9,I$59:I$62)</f>
        <v>22506.69</v>
      </c>
      <c r="J58" s="78">
        <f ca="1">IFERROR($I58/$I$146,0)</f>
        <v>2.9999999999999997E-4</v>
      </c>
      <c r="K58" s="78">
        <f ca="1">IFERROR(($I58-$F58)/ABS($F58),0)</f>
        <v>1.6999999999999999E-3</v>
      </c>
      <c r="L58" s="4">
        <f ca="1">SUBTOTAL(9,L$59:L$62)</f>
        <v>22488.11</v>
      </c>
      <c r="M58" s="78">
        <f ca="1">IFERROR($L58/$L$146,0)</f>
        <v>2.9999999999999997E-4</v>
      </c>
      <c r="N58" s="78">
        <f ca="1">IFERROR(($L58-$I58)/ABS($I58),0)</f>
        <v>-8.0000000000000004E-4</v>
      </c>
      <c r="O58" s="4">
        <f ca="1">SUBTOTAL(9,O$59:O$62)</f>
        <v>22727.49</v>
      </c>
      <c r="P58" s="78">
        <f ca="1">IFERROR($O58/$O$146,0)</f>
        <v>2.9999999999999997E-4</v>
      </c>
      <c r="Q58" s="78">
        <f ca="1">IFERROR(($O58-$L58)/ABS($L58),0)</f>
        <v>1.06E-2</v>
      </c>
      <c r="R58" s="4">
        <f ca="1">SUBTOTAL(9,R$59:R$62)</f>
        <v>22473.51</v>
      </c>
      <c r="S58" s="78">
        <f ca="1">IFERROR($R58/$R$146,0)</f>
        <v>2.9999999999999997E-4</v>
      </c>
      <c r="T58" s="78">
        <f ca="1">IFERROR(($R58-$O58)/ABS($O58),0)</f>
        <v>-1.12E-2</v>
      </c>
      <c r="U58" s="4">
        <f ca="1">SUBTOTAL(9,U$59:U$62)</f>
        <v>22524.71</v>
      </c>
      <c r="V58" s="78">
        <f ca="1">IFERROR($U58/$U$146,0)</f>
        <v>2.9999999999999997E-4</v>
      </c>
      <c r="W58" s="78">
        <f ca="1">IFERROR(($U58-$R58)/ABS($R58),0)</f>
        <v>2.3E-3</v>
      </c>
      <c r="X58" s="4">
        <f ca="1">SUBTOTAL(9,X$59:X$62)</f>
        <v>22355.56</v>
      </c>
      <c r="Y58" s="78">
        <f ca="1">IFERROR($X58/$X$146,0)</f>
        <v>2.9999999999999997E-4</v>
      </c>
      <c r="Z58" s="78">
        <f ca="1">IFERROR(($X58-$U58)/ABS($U58),0)</f>
        <v>-7.4999999999999997E-3</v>
      </c>
      <c r="AA58" s="4">
        <f ca="1">SUBTOTAL(9,AA$59:AA$62)</f>
        <v>22401.27</v>
      </c>
      <c r="AB58" s="78">
        <f ca="1">IFERROR($AA58/$AA$146,0)</f>
        <v>2.9999999999999997E-4</v>
      </c>
      <c r="AC58" s="78">
        <f ca="1">IFERROR(($AA58-$X58)/ABS($X58),0)</f>
        <v>2E-3</v>
      </c>
      <c r="AD58" s="4">
        <f ca="1">SUBTOTAL(9,AD$59:AD$62)</f>
        <v>22447.71</v>
      </c>
      <c r="AE58" s="78">
        <f ca="1">IFERROR($AD58/$AD$146,0)</f>
        <v>2.9999999999999997E-4</v>
      </c>
      <c r="AF58" s="78">
        <f ca="1">IFERROR(($AD58-$AA58)/ABS($AA58),0)</f>
        <v>2.0999999999999999E-3</v>
      </c>
      <c r="AG58" s="4">
        <f ca="1">SUBTOTAL(9,AG$59:AG$62)</f>
        <v>23058.2</v>
      </c>
      <c r="AH58" s="78">
        <f ca="1">IFERROR($AG58/$AG$146,0)</f>
        <v>2.9999999999999997E-4</v>
      </c>
      <c r="AI58" s="78">
        <f ca="1">IFERROR(($AG58-$AD58)/ABS($AD58),0)</f>
        <v>2.7199999999999998E-2</v>
      </c>
      <c r="AJ58" s="4">
        <f ca="1">SUBTOTAL(9,AJ$59:AJ$62)</f>
        <v>23073.63</v>
      </c>
      <c r="AK58" s="78">
        <f ca="1">IFERROR($AJ58/$AJ$146,0)</f>
        <v>2.9999999999999997E-4</v>
      </c>
      <c r="AL58" s="78">
        <f ca="1">IFERROR(($AJ58-$AG58)/ABS($AG58),0)</f>
        <v>6.9999999999999999E-4</v>
      </c>
      <c r="AM58" s="4">
        <f ca="1">SUBTOTAL(9,AM$59:AM$62)</f>
        <v>3198.94</v>
      </c>
      <c r="AN58" s="78">
        <f ca="1">IFERROR(AM58/AM$146,0)</f>
        <v>0</v>
      </c>
      <c r="AO58" s="78">
        <f ca="1">IFERROR(($AM58-$AJ58)/ABS($AJ58),0)</f>
        <v>-0.86140000000000005</v>
      </c>
    </row>
    <row r="59" spans="2:41" ht="15" hidden="1" customHeight="1" outlineLevel="1" x14ac:dyDescent="0.3">
      <c r="B59" s="14" t="s">
        <v>356</v>
      </c>
      <c r="C59" s="15" t="s">
        <v>357</v>
      </c>
      <c r="D59" s="4">
        <f>-SUMIFS(Tab_99.Trial[DEZEMBRO],Tab_99.Trial[CONTA],$B59)</f>
        <v>0</v>
      </c>
      <c r="E59" s="78">
        <f ca="1">IFERROR($D59/$D$146,0)</f>
        <v>0</v>
      </c>
      <c r="F59" s="4">
        <f ca="1">-SUMIFS(INDIRECT("Tab_00.Trial["&amp;F$4&amp;"]"),Tab_00.Trial[CONTA],$B59)</f>
        <v>22468.91</v>
      </c>
      <c r="G59" s="78">
        <f ca="1">IFERROR($F59/$F$146,0)</f>
        <v>2.9999999999999997E-4</v>
      </c>
      <c r="H59" s="78">
        <f t="shared" ref="H59:H61" ca="1" si="111">IFERROR(($F59-$D59)/ABS($D59),0)</f>
        <v>0</v>
      </c>
      <c r="I59" s="4">
        <f ca="1">-SUMIFS(INDIRECT("Tab_00.Trial["&amp;I$4&amp;"]"),Tab_00.Trial[CONTA],$B59)</f>
        <v>22506.69</v>
      </c>
      <c r="J59" s="78">
        <f ca="1">IFERROR($I59/$I$146,0)</f>
        <v>2.9999999999999997E-4</v>
      </c>
      <c r="K59" s="78">
        <f t="shared" ref="K59:K61" ca="1" si="112">IFERROR(($I59-$F59)/ABS($F59),0)</f>
        <v>1.6999999999999999E-3</v>
      </c>
      <c r="L59" s="4">
        <f ca="1">-SUMIFS(INDIRECT("Tab_00.Trial["&amp;L$4&amp;"]"),Tab_00.Trial[CONTA],$B59)</f>
        <v>22488.11</v>
      </c>
      <c r="M59" s="78">
        <f ca="1">IFERROR($L59/$L$146,0)</f>
        <v>2.9999999999999997E-4</v>
      </c>
      <c r="N59" s="78">
        <f t="shared" ref="N59:N61" ca="1" si="113">IFERROR(($L59-$I59)/ABS($I59),0)</f>
        <v>-8.0000000000000004E-4</v>
      </c>
      <c r="O59" s="4">
        <f ca="1">-SUMIFS(INDIRECT("Tab_00.Trial["&amp;O$4&amp;"]"),Tab_00.Trial[CONTA],$B59)</f>
        <v>22727.49</v>
      </c>
      <c r="P59" s="78">
        <f ca="1">IFERROR($O59/$O$146,0)</f>
        <v>2.9999999999999997E-4</v>
      </c>
      <c r="Q59" s="78">
        <f t="shared" ref="Q59:Q61" ca="1" si="114">IFERROR(($O59-$L59)/ABS($L59),0)</f>
        <v>1.06E-2</v>
      </c>
      <c r="R59" s="4">
        <f ca="1">-SUMIFS(INDIRECT("Tab_00.Trial["&amp;R$4&amp;"]"),Tab_00.Trial[CONTA],$B59)</f>
        <v>22473.51</v>
      </c>
      <c r="S59" s="78">
        <f ca="1">IFERROR($R59/$R$146,0)</f>
        <v>2.9999999999999997E-4</v>
      </c>
      <c r="T59" s="78">
        <f t="shared" ref="T59:T61" ca="1" si="115">IFERROR(($R59-$O59)/ABS($O59),0)</f>
        <v>-1.12E-2</v>
      </c>
      <c r="U59" s="4">
        <f ca="1">-SUMIFS(INDIRECT("Tab_00.Trial["&amp;U$4&amp;"]"),Tab_00.Trial[CONTA],$B59)</f>
        <v>22524.71</v>
      </c>
      <c r="V59" s="78">
        <f ca="1">IFERROR($U59/$U$146,0)</f>
        <v>2.9999999999999997E-4</v>
      </c>
      <c r="W59" s="78">
        <f t="shared" ref="W59:W61" ca="1" si="116">IFERROR(($U59-$R59)/ABS($R59),0)</f>
        <v>2.3E-3</v>
      </c>
      <c r="X59" s="4">
        <f ca="1">-SUMIFS(INDIRECT("Tab_00.Trial["&amp;X$4&amp;"]"),Tab_00.Trial[CONTA],$B59)</f>
        <v>22355.56</v>
      </c>
      <c r="Y59" s="78">
        <f ca="1">IFERROR($X59/$X$146,0)</f>
        <v>2.9999999999999997E-4</v>
      </c>
      <c r="Z59" s="78">
        <f t="shared" ref="Z59:Z61" ca="1" si="117">IFERROR(($X59-$U59)/ABS($U59),0)</f>
        <v>-7.4999999999999997E-3</v>
      </c>
      <c r="AA59" s="4">
        <f ca="1">-SUMIFS(INDIRECT("Tab_00.Trial["&amp;AA$4&amp;"]"),Tab_00.Trial[CONTA],$B59)</f>
        <v>22401.27</v>
      </c>
      <c r="AB59" s="78">
        <f ca="1">IFERROR($AA59/$AA$146,0)</f>
        <v>2.9999999999999997E-4</v>
      </c>
      <c r="AC59" s="78">
        <f t="shared" ref="AC59:AC61" ca="1" si="118">IFERROR(($AA59-$X59)/ABS($X59),0)</f>
        <v>2E-3</v>
      </c>
      <c r="AD59" s="4">
        <f ca="1">-SUMIFS(INDIRECT("Tab_00.Trial["&amp;AD$4&amp;"]"),Tab_00.Trial[CONTA],$B59)</f>
        <v>22447.71</v>
      </c>
      <c r="AE59" s="78">
        <f ca="1">IFERROR($AD59/$AD$146,0)</f>
        <v>2.9999999999999997E-4</v>
      </c>
      <c r="AF59" s="78">
        <f t="shared" ref="AF59:AF61" ca="1" si="119">IFERROR(($AD59-$AA59)/ABS($AA59),0)</f>
        <v>2.0999999999999999E-3</v>
      </c>
      <c r="AG59" s="4">
        <f ca="1">-SUMIFS(INDIRECT("Tab_00.Trial["&amp;AG$4&amp;"]"),Tab_00.Trial[CONTA],$B59)</f>
        <v>23058.2</v>
      </c>
      <c r="AH59" s="78">
        <f ca="1">IFERROR($AG59/$AG$146,0)</f>
        <v>2.9999999999999997E-4</v>
      </c>
      <c r="AI59" s="78">
        <f t="shared" ref="AI59:AI61" ca="1" si="120">IFERROR(($AG59-$AD59)/ABS($AD59),0)</f>
        <v>2.7199999999999998E-2</v>
      </c>
      <c r="AJ59" s="4">
        <f ca="1">-SUMIFS(INDIRECT("Tab_00.Trial["&amp;AJ$4&amp;"]"),Tab_00.Trial[CONTA],$B59)</f>
        <v>23073.63</v>
      </c>
      <c r="AK59" s="78">
        <f ca="1">IFERROR($AJ59/$AJ$146,0)</f>
        <v>2.9999999999999997E-4</v>
      </c>
      <c r="AL59" s="78">
        <f t="shared" ref="AL59:AL61" ca="1" si="121">IFERROR(($AJ59-$AG59)/ABS($AG59),0)</f>
        <v>6.9999999999999999E-4</v>
      </c>
      <c r="AM59" s="4">
        <f ca="1">-SUMIFS(INDIRECT("Tab_00.Trial["&amp;AM$4&amp;"]"),Tab_00.Trial[CONTA],$B59)</f>
        <v>3198.94</v>
      </c>
      <c r="AN59" s="78">
        <f ca="1">IFERROR(AM59/AM$146,0)</f>
        <v>0</v>
      </c>
      <c r="AO59" s="78">
        <f t="shared" ref="AO59:AO61" ca="1" si="122">IFERROR(($AM59-$AJ59)/ABS($AJ59),0)</f>
        <v>-0.86140000000000005</v>
      </c>
    </row>
    <row r="60" spans="2:41" ht="15" hidden="1" customHeight="1" outlineLevel="1" x14ac:dyDescent="0.3">
      <c r="B60" s="14"/>
      <c r="C60" s="15"/>
      <c r="D60" s="4">
        <f>-SUMIFS(Tab_99.Trial[DEZEMBRO],Tab_99.Trial[CONTA],$B60)</f>
        <v>0</v>
      </c>
      <c r="E60" s="78">
        <f ca="1">IFERROR($D60/$D$146,0)</f>
        <v>0</v>
      </c>
      <c r="F60" s="4">
        <f ca="1">-SUMIFS(INDIRECT("Tab_00.Trial["&amp;F$4&amp;"]"),Tab_00.Trial[CONTA],$B60)</f>
        <v>0</v>
      </c>
      <c r="G60" s="78">
        <f ca="1">IFERROR($F60/$F$146,0)</f>
        <v>0</v>
      </c>
      <c r="H60" s="78">
        <f t="shared" ca="1" si="111"/>
        <v>0</v>
      </c>
      <c r="I60" s="4">
        <f ca="1">-SUMIFS(INDIRECT("Tab_00.Trial["&amp;I$4&amp;"]"),Tab_00.Trial[CONTA],$B60)</f>
        <v>0</v>
      </c>
      <c r="J60" s="78">
        <f ca="1">IFERROR($I60/$I$146,0)</f>
        <v>0</v>
      </c>
      <c r="K60" s="78">
        <f t="shared" ca="1" si="112"/>
        <v>0</v>
      </c>
      <c r="L60" s="4">
        <f ca="1">-SUMIFS(INDIRECT("Tab_00.Trial["&amp;L$4&amp;"]"),Tab_00.Trial[CONTA],$B60)</f>
        <v>0</v>
      </c>
      <c r="M60" s="78">
        <f ca="1">IFERROR($L60/$L$146,0)</f>
        <v>0</v>
      </c>
      <c r="N60" s="78">
        <f t="shared" ca="1" si="113"/>
        <v>0</v>
      </c>
      <c r="O60" s="4">
        <f ca="1">-SUMIFS(INDIRECT("Tab_00.Trial["&amp;O$4&amp;"]"),Tab_00.Trial[CONTA],$B60)</f>
        <v>0</v>
      </c>
      <c r="P60" s="78">
        <f ca="1">IFERROR($O60/$O$146,0)</f>
        <v>0</v>
      </c>
      <c r="Q60" s="78">
        <f t="shared" ca="1" si="114"/>
        <v>0</v>
      </c>
      <c r="R60" s="4">
        <f ca="1">-SUMIFS(INDIRECT("Tab_00.Trial["&amp;R$4&amp;"]"),Tab_00.Trial[CONTA],$B60)</f>
        <v>0</v>
      </c>
      <c r="S60" s="78">
        <f ca="1">IFERROR($R60/$R$146,0)</f>
        <v>0</v>
      </c>
      <c r="T60" s="78">
        <f t="shared" ca="1" si="115"/>
        <v>0</v>
      </c>
      <c r="U60" s="4">
        <f ca="1">-SUMIFS(INDIRECT("Tab_00.Trial["&amp;U$4&amp;"]"),Tab_00.Trial[CONTA],$B60)</f>
        <v>0</v>
      </c>
      <c r="V60" s="78">
        <f ca="1">IFERROR($U60/$U$146,0)</f>
        <v>0</v>
      </c>
      <c r="W60" s="78">
        <f t="shared" ca="1" si="116"/>
        <v>0</v>
      </c>
      <c r="X60" s="4">
        <f ca="1">-SUMIFS(INDIRECT("Tab_00.Trial["&amp;X$4&amp;"]"),Tab_00.Trial[CONTA],$B60)</f>
        <v>0</v>
      </c>
      <c r="Y60" s="78">
        <f ca="1">IFERROR($X60/$X$146,0)</f>
        <v>0</v>
      </c>
      <c r="Z60" s="78">
        <f t="shared" ca="1" si="117"/>
        <v>0</v>
      </c>
      <c r="AA60" s="4">
        <f ca="1">-SUMIFS(INDIRECT("Tab_00.Trial["&amp;AA$4&amp;"]"),Tab_00.Trial[CONTA],$B60)</f>
        <v>0</v>
      </c>
      <c r="AB60" s="78">
        <f ca="1">IFERROR($AA60/$AA$146,0)</f>
        <v>0</v>
      </c>
      <c r="AC60" s="78">
        <f t="shared" ca="1" si="118"/>
        <v>0</v>
      </c>
      <c r="AD60" s="4">
        <f ca="1">-SUMIFS(INDIRECT("Tab_00.Trial["&amp;AD$4&amp;"]"),Tab_00.Trial[CONTA],$B60)</f>
        <v>0</v>
      </c>
      <c r="AE60" s="78">
        <f ca="1">IFERROR($AD60/$AD$146,0)</f>
        <v>0</v>
      </c>
      <c r="AF60" s="78">
        <f t="shared" ca="1" si="119"/>
        <v>0</v>
      </c>
      <c r="AG60" s="4">
        <f ca="1">-SUMIFS(INDIRECT("Tab_00.Trial["&amp;AG$4&amp;"]"),Tab_00.Trial[CONTA],$B60)</f>
        <v>0</v>
      </c>
      <c r="AH60" s="78">
        <f ca="1">IFERROR($AG60/$AG$146,0)</f>
        <v>0</v>
      </c>
      <c r="AI60" s="78">
        <f t="shared" ca="1" si="120"/>
        <v>0</v>
      </c>
      <c r="AJ60" s="4">
        <f ca="1">-SUMIFS(INDIRECT("Tab_00.Trial["&amp;AJ$4&amp;"]"),Tab_00.Trial[CONTA],$B60)</f>
        <v>0</v>
      </c>
      <c r="AK60" s="78">
        <f ca="1">IFERROR($AJ60/$AJ$146,0)</f>
        <v>0</v>
      </c>
      <c r="AL60" s="78">
        <f t="shared" ca="1" si="121"/>
        <v>0</v>
      </c>
      <c r="AM60" s="4">
        <f ca="1">-SUMIFS(INDIRECT("Tab_00.Trial["&amp;AM$4&amp;"]"),Tab_00.Trial[CONTA],$B60)</f>
        <v>0</v>
      </c>
      <c r="AN60" s="78">
        <f ca="1">IFERROR(AM60/AM$146,0)</f>
        <v>0</v>
      </c>
      <c r="AO60" s="78">
        <f t="shared" ca="1" si="122"/>
        <v>0</v>
      </c>
    </row>
    <row r="61" spans="2:41" ht="15" hidden="1" customHeight="1" outlineLevel="1" x14ac:dyDescent="0.3">
      <c r="B61" s="14"/>
      <c r="C61" s="15"/>
      <c r="D61" s="4">
        <f>-SUMIFS(Tab_99.Trial[DEZEMBRO],Tab_99.Trial[CONTA],$B61)</f>
        <v>0</v>
      </c>
      <c r="E61" s="78">
        <f ca="1">IFERROR($D61/$D$146,0)</f>
        <v>0</v>
      </c>
      <c r="F61" s="4">
        <f ca="1">-SUMIFS(INDIRECT("Tab_00.Trial["&amp;F$4&amp;"]"),Tab_00.Trial[CONTA],$B61)</f>
        <v>0</v>
      </c>
      <c r="G61" s="78">
        <f ca="1">IFERROR($F61/$F$146,0)</f>
        <v>0</v>
      </c>
      <c r="H61" s="78">
        <f t="shared" ca="1" si="111"/>
        <v>0</v>
      </c>
      <c r="I61" s="4">
        <f ca="1">-SUMIFS(INDIRECT("Tab_00.Trial["&amp;I$4&amp;"]"),Tab_00.Trial[CONTA],$B61)</f>
        <v>0</v>
      </c>
      <c r="J61" s="78">
        <f ca="1">IFERROR($I61/$I$146,0)</f>
        <v>0</v>
      </c>
      <c r="K61" s="78">
        <f t="shared" ca="1" si="112"/>
        <v>0</v>
      </c>
      <c r="L61" s="4">
        <f ca="1">-SUMIFS(INDIRECT("Tab_00.Trial["&amp;L$4&amp;"]"),Tab_00.Trial[CONTA],$B61)</f>
        <v>0</v>
      </c>
      <c r="M61" s="78">
        <f ca="1">IFERROR($L61/$L$146,0)</f>
        <v>0</v>
      </c>
      <c r="N61" s="78">
        <f t="shared" ca="1" si="113"/>
        <v>0</v>
      </c>
      <c r="O61" s="4">
        <f ca="1">-SUMIFS(INDIRECT("Tab_00.Trial["&amp;O$4&amp;"]"),Tab_00.Trial[CONTA],$B61)</f>
        <v>0</v>
      </c>
      <c r="P61" s="78">
        <f ca="1">IFERROR($O61/$O$146,0)</f>
        <v>0</v>
      </c>
      <c r="Q61" s="78">
        <f t="shared" ca="1" si="114"/>
        <v>0</v>
      </c>
      <c r="R61" s="4">
        <f ca="1">-SUMIFS(INDIRECT("Tab_00.Trial["&amp;R$4&amp;"]"),Tab_00.Trial[CONTA],$B61)</f>
        <v>0</v>
      </c>
      <c r="S61" s="78">
        <f ca="1">IFERROR($R61/$R$146,0)</f>
        <v>0</v>
      </c>
      <c r="T61" s="78">
        <f t="shared" ca="1" si="115"/>
        <v>0</v>
      </c>
      <c r="U61" s="4">
        <f ca="1">-SUMIFS(INDIRECT("Tab_00.Trial["&amp;U$4&amp;"]"),Tab_00.Trial[CONTA],$B61)</f>
        <v>0</v>
      </c>
      <c r="V61" s="78">
        <f ca="1">IFERROR($U61/$U$146,0)</f>
        <v>0</v>
      </c>
      <c r="W61" s="78">
        <f t="shared" ca="1" si="116"/>
        <v>0</v>
      </c>
      <c r="X61" s="4">
        <f ca="1">-SUMIFS(INDIRECT("Tab_00.Trial["&amp;X$4&amp;"]"),Tab_00.Trial[CONTA],$B61)</f>
        <v>0</v>
      </c>
      <c r="Y61" s="78">
        <f ca="1">IFERROR($X61/$X$146,0)</f>
        <v>0</v>
      </c>
      <c r="Z61" s="78">
        <f t="shared" ca="1" si="117"/>
        <v>0</v>
      </c>
      <c r="AA61" s="4">
        <f ca="1">-SUMIFS(INDIRECT("Tab_00.Trial["&amp;AA$4&amp;"]"),Tab_00.Trial[CONTA],$B61)</f>
        <v>0</v>
      </c>
      <c r="AB61" s="78">
        <f ca="1">IFERROR($AA61/$AA$146,0)</f>
        <v>0</v>
      </c>
      <c r="AC61" s="78">
        <f t="shared" ca="1" si="118"/>
        <v>0</v>
      </c>
      <c r="AD61" s="4">
        <f ca="1">-SUMIFS(INDIRECT("Tab_00.Trial["&amp;AD$4&amp;"]"),Tab_00.Trial[CONTA],$B61)</f>
        <v>0</v>
      </c>
      <c r="AE61" s="78">
        <f ca="1">IFERROR($AD61/$AD$146,0)</f>
        <v>0</v>
      </c>
      <c r="AF61" s="78">
        <f t="shared" ca="1" si="119"/>
        <v>0</v>
      </c>
      <c r="AG61" s="4">
        <f ca="1">-SUMIFS(INDIRECT("Tab_00.Trial["&amp;AG$4&amp;"]"),Tab_00.Trial[CONTA],$B61)</f>
        <v>0</v>
      </c>
      <c r="AH61" s="78">
        <f ca="1">IFERROR($AG61/$AG$146,0)</f>
        <v>0</v>
      </c>
      <c r="AI61" s="78">
        <f t="shared" ca="1" si="120"/>
        <v>0</v>
      </c>
      <c r="AJ61" s="4">
        <f ca="1">-SUMIFS(INDIRECT("Tab_00.Trial["&amp;AJ$4&amp;"]"),Tab_00.Trial[CONTA],$B61)</f>
        <v>0</v>
      </c>
      <c r="AK61" s="78">
        <f ca="1">IFERROR($AJ61/$AJ$146,0)</f>
        <v>0</v>
      </c>
      <c r="AL61" s="78">
        <f t="shared" ca="1" si="121"/>
        <v>0</v>
      </c>
      <c r="AM61" s="4">
        <f ca="1">-SUMIFS(INDIRECT("Tab_00.Trial["&amp;AM$4&amp;"]"),Tab_00.Trial[CONTA],$B61)</f>
        <v>0</v>
      </c>
      <c r="AN61" s="78">
        <f ca="1">IFERROR(AM61/AM$146,0)</f>
        <v>0</v>
      </c>
      <c r="AO61" s="78">
        <f t="shared" ca="1" si="122"/>
        <v>0</v>
      </c>
    </row>
    <row r="62" spans="2:41" ht="5.0999999999999996" hidden="1" customHeight="1" outlineLevel="1" x14ac:dyDescent="0.3">
      <c r="B62" s="74"/>
      <c r="C62" s="75"/>
      <c r="D62" s="76"/>
      <c r="E62" s="77"/>
      <c r="F62" s="76"/>
      <c r="G62" s="77"/>
      <c r="H62" s="77"/>
      <c r="I62" s="76"/>
      <c r="J62" s="77"/>
      <c r="K62" s="77"/>
      <c r="L62" s="76"/>
      <c r="M62" s="77"/>
      <c r="N62" s="77"/>
      <c r="O62" s="76"/>
      <c r="P62" s="77"/>
      <c r="Q62" s="77"/>
      <c r="R62" s="76"/>
      <c r="S62" s="77"/>
      <c r="T62" s="77"/>
      <c r="U62" s="76"/>
      <c r="V62" s="77"/>
      <c r="W62" s="77"/>
      <c r="X62" s="76"/>
      <c r="Y62" s="77"/>
      <c r="Z62" s="77"/>
      <c r="AA62" s="76"/>
      <c r="AB62" s="77"/>
      <c r="AC62" s="77"/>
      <c r="AD62" s="76"/>
      <c r="AE62" s="77"/>
      <c r="AF62" s="77"/>
      <c r="AG62" s="76"/>
      <c r="AH62" s="77"/>
      <c r="AI62" s="77"/>
      <c r="AJ62" s="76"/>
      <c r="AK62" s="77"/>
      <c r="AL62" s="77"/>
      <c r="AM62" s="76"/>
      <c r="AN62" s="77"/>
      <c r="AO62" s="77"/>
    </row>
    <row r="63" spans="2:41" ht="15" customHeight="1" collapsed="1" x14ac:dyDescent="0.3">
      <c r="C63" s="3"/>
      <c r="D63" s="16">
        <f>SUBTOTAL(9,D$6:D$62)</f>
        <v>0</v>
      </c>
      <c r="E63" s="80">
        <f ca="1">IFERROR($D63/$D$146,0)</f>
        <v>0</v>
      </c>
      <c r="F63" s="16">
        <f ca="1">SUBTOTAL(9,F$6:F$62)</f>
        <v>1815294.31</v>
      </c>
      <c r="G63" s="80">
        <f ca="1">IFERROR($F63/$F$146,0)</f>
        <v>2.1700000000000001E-2</v>
      </c>
      <c r="H63" s="80">
        <f t="shared" ref="H63" ca="1" si="123">IFERROR(($F63-$D63)/ABS($D63),0)</f>
        <v>0</v>
      </c>
      <c r="I63" s="16">
        <f ca="1">SUBTOTAL(9,I$6:I$62)</f>
        <v>1656412.33</v>
      </c>
      <c r="J63" s="80">
        <f ca="1">IFERROR($I63/$I$146,0)</f>
        <v>1.9900000000000001E-2</v>
      </c>
      <c r="K63" s="80">
        <f t="shared" ref="K63" ca="1" si="124">IFERROR(($I63-$F63)/ABS($F63),0)</f>
        <v>-8.7499999999999994E-2</v>
      </c>
      <c r="L63" s="16">
        <f ca="1">SUBTOTAL(9,L$6:L$62)</f>
        <v>1204215.7</v>
      </c>
      <c r="M63" s="80">
        <f ca="1">IFERROR($L63/$L$146,0)</f>
        <v>1.4500000000000001E-2</v>
      </c>
      <c r="N63" s="80">
        <f t="shared" ref="N63" ca="1" si="125">IFERROR(($L63-$I63)/ABS($I63),0)</f>
        <v>-0.27300000000000002</v>
      </c>
      <c r="O63" s="16">
        <f ca="1">SUBTOTAL(9,O$6:O$62)</f>
        <v>1551412.84</v>
      </c>
      <c r="P63" s="80">
        <f ca="1">IFERROR($O63/$O$146,0)</f>
        <v>1.8599999999999998E-2</v>
      </c>
      <c r="Q63" s="80">
        <f t="shared" ref="Q63" ca="1" si="126">IFERROR(($O63-$L63)/ABS($L63),0)</f>
        <v>0.2883</v>
      </c>
      <c r="R63" s="16">
        <f ca="1">SUBTOTAL(9,R$6:R$62)</f>
        <v>1423733.84</v>
      </c>
      <c r="S63" s="80">
        <f ca="1">IFERROR($R63/$R$146,0)</f>
        <v>1.7000000000000001E-2</v>
      </c>
      <c r="T63" s="80">
        <f t="shared" ref="T63" ca="1" si="127">IFERROR(($R63-$O63)/ABS($O63),0)</f>
        <v>-8.2299999999999998E-2</v>
      </c>
      <c r="U63" s="16">
        <f ca="1">SUBTOTAL(9,U$6:U$62)</f>
        <v>1311397.22</v>
      </c>
      <c r="V63" s="80">
        <f ca="1">IFERROR($U63/$U$146,0)</f>
        <v>1.5599999999999999E-2</v>
      </c>
      <c r="W63" s="80">
        <f t="shared" ref="W63" ca="1" si="128">IFERROR(($U63-$R63)/ABS($R63),0)</f>
        <v>-7.8899999999999998E-2</v>
      </c>
      <c r="X63" s="16">
        <f ca="1">SUBTOTAL(9,X$6:X$62)</f>
        <v>1445773.06</v>
      </c>
      <c r="Y63" s="80">
        <f ca="1">IFERROR($X63/$X$146,0)</f>
        <v>1.7100000000000001E-2</v>
      </c>
      <c r="Z63" s="80">
        <f t="shared" ref="Z63" ca="1" si="129">IFERROR(($X63-$U63)/ABS($U63),0)</f>
        <v>0.10249999999999999</v>
      </c>
      <c r="AA63" s="16">
        <f ca="1">SUBTOTAL(9,AA$6:AA$62)</f>
        <v>1505129.25</v>
      </c>
      <c r="AB63" s="80">
        <f ca="1">IFERROR($AA63/$AA$146,0)</f>
        <v>1.77E-2</v>
      </c>
      <c r="AC63" s="80">
        <f t="shared" ref="AC63" ca="1" si="130">IFERROR(($AA63-$X63)/ABS($X63),0)</f>
        <v>4.1099999999999998E-2</v>
      </c>
      <c r="AD63" s="16">
        <f ca="1">SUBTOTAL(9,AD$6:AD$62)</f>
        <v>1442424.13</v>
      </c>
      <c r="AE63" s="80">
        <f ca="1">IFERROR($AD63/$AD$146,0)</f>
        <v>1.6899999999999998E-2</v>
      </c>
      <c r="AF63" s="80">
        <f t="shared" ref="AF63" ca="1" si="131">IFERROR(($AD63-$AA63)/ABS($AA63),0)</f>
        <v>-4.1700000000000001E-2</v>
      </c>
      <c r="AG63" s="16">
        <f ca="1">SUBTOTAL(9,AG$6:AG$62)</f>
        <v>1441250.31</v>
      </c>
      <c r="AH63" s="80">
        <f ca="1">IFERROR($AG63/$AG$146,0)</f>
        <v>1.6899999999999998E-2</v>
      </c>
      <c r="AI63" s="80">
        <f t="shared" ref="AI63" ca="1" si="132">IFERROR(($AG63-$AD63)/ABS($AD63),0)</f>
        <v>-8.0000000000000004E-4</v>
      </c>
      <c r="AJ63" s="16">
        <f ca="1">SUBTOTAL(9,AJ$6:AJ$62)</f>
        <v>1255686.92</v>
      </c>
      <c r="AK63" s="80">
        <f ca="1">IFERROR($AJ63/$AJ$146,0)</f>
        <v>1.47E-2</v>
      </c>
      <c r="AL63" s="80">
        <f t="shared" ref="AL63" ca="1" si="133">IFERROR(($AJ63-$AG63)/ABS($AG63),0)</f>
        <v>-0.1288</v>
      </c>
      <c r="AM63" s="16">
        <f ca="1">SUBTOTAL(9,AM$6:AM$62)</f>
        <v>649943.27</v>
      </c>
      <c r="AN63" s="80">
        <f ca="1">IFERROR(AM63/AM$146,0)</f>
        <v>7.6E-3</v>
      </c>
      <c r="AO63" s="80">
        <f t="shared" ref="AO63" ca="1" si="134">IFERROR(($AM63-$AJ63)/ABS($AJ63),0)</f>
        <v>-0.4824</v>
      </c>
    </row>
    <row r="64" spans="2:41" ht="15" customHeight="1" x14ac:dyDescent="0.3">
      <c r="C64" s="3"/>
      <c r="D64" s="7"/>
      <c r="E64" s="79"/>
      <c r="F64" s="7"/>
      <c r="G64" s="79"/>
      <c r="H64" s="79"/>
      <c r="I64" s="7"/>
      <c r="J64" s="79"/>
      <c r="K64" s="79"/>
      <c r="L64" s="7"/>
      <c r="M64" s="79"/>
      <c r="N64" s="79"/>
      <c r="O64" s="7"/>
      <c r="P64" s="79"/>
      <c r="Q64" s="79"/>
      <c r="R64" s="7"/>
      <c r="S64" s="79"/>
      <c r="T64" s="79"/>
      <c r="U64" s="7"/>
      <c r="V64" s="79"/>
      <c r="W64" s="79"/>
      <c r="X64" s="7"/>
      <c r="Y64" s="79"/>
      <c r="Z64" s="79"/>
      <c r="AA64" s="7"/>
      <c r="AB64" s="79"/>
      <c r="AC64" s="79"/>
      <c r="AD64" s="7"/>
      <c r="AE64" s="79"/>
      <c r="AF64" s="79"/>
      <c r="AG64" s="7"/>
      <c r="AH64" s="79"/>
      <c r="AI64" s="79"/>
      <c r="AJ64" s="7"/>
      <c r="AK64" s="79"/>
      <c r="AL64" s="79"/>
      <c r="AM64" s="7"/>
      <c r="AN64" s="79"/>
      <c r="AO64" s="79"/>
    </row>
    <row r="65" spans="2:41" ht="9.9" customHeight="1" x14ac:dyDescent="0.3">
      <c r="C65" s="9" t="s">
        <v>34</v>
      </c>
    </row>
    <row r="66" spans="2:41" ht="15" customHeight="1" collapsed="1" x14ac:dyDescent="0.3">
      <c r="B66" s="3" t="s">
        <v>95</v>
      </c>
      <c r="C66" s="14" t="s">
        <v>57</v>
      </c>
      <c r="D66" s="4">
        <f>SUBTOTAL(9,D$67:D$103)</f>
        <v>0</v>
      </c>
      <c r="E66" s="78">
        <f ca="1">IFERROR($F66/$F$146,0)</f>
        <v>0</v>
      </c>
      <c r="F66" s="4">
        <f ca="1">SUBTOTAL(9,F$67:F$103)</f>
        <v>0</v>
      </c>
      <c r="G66" s="78">
        <f t="shared" ref="G66:G102" ca="1" si="135">IFERROR($F66/$F$146,0)</f>
        <v>0</v>
      </c>
      <c r="H66" s="78">
        <f ca="1">IFERROR(($F66-$D66)/ABS($D66),0)</f>
        <v>0</v>
      </c>
      <c r="I66" s="4">
        <f ca="1">SUBTOTAL(9,I$68:I$81)</f>
        <v>0</v>
      </c>
      <c r="J66" s="78">
        <f t="shared" ref="J66:J102" ca="1" si="136">IFERROR($I66/$I$146,0)</f>
        <v>0</v>
      </c>
      <c r="K66" s="78">
        <f ca="1">IFERROR(($I66-$F66)/ABS($F66),0)</f>
        <v>0</v>
      </c>
      <c r="L66" s="4">
        <f ca="1">SUBTOTAL(9,L$40:L$53)</f>
        <v>2184.66</v>
      </c>
      <c r="M66" s="78">
        <f t="shared" ref="M66:M102" ca="1" si="137">IFERROR($L66/$L$146,0)</f>
        <v>0</v>
      </c>
      <c r="N66" s="78">
        <f ca="1">IFERROR(($L66-$I66)/ABS($I66),0)</f>
        <v>0</v>
      </c>
      <c r="O66" s="4">
        <f ca="1">SUBTOTAL(9,O$40:O$53)</f>
        <v>2946.97</v>
      </c>
      <c r="P66" s="78">
        <f t="shared" ref="P66:P102" ca="1" si="138">IFERROR($O66/$O$146,0)</f>
        <v>0</v>
      </c>
      <c r="Q66" s="78">
        <f ca="1">IFERROR(($O66-$L66)/ABS($L66),0)</f>
        <v>0.34889999999999999</v>
      </c>
      <c r="R66" s="4">
        <f ca="1">SUBTOTAL(9,R$40:R$53)</f>
        <v>1937.47</v>
      </c>
      <c r="S66" s="78">
        <f t="shared" ref="S66:S102" ca="1" si="139">IFERROR($R66/$R$146,0)</f>
        <v>0</v>
      </c>
      <c r="T66" s="78">
        <f ca="1">IFERROR(($R66-$O66)/ABS($O66),0)</f>
        <v>-0.34260000000000002</v>
      </c>
      <c r="U66" s="4">
        <f ca="1">SUBTOTAL(9,U$67:U$102)</f>
        <v>0</v>
      </c>
      <c r="V66" s="78">
        <f t="shared" ref="V66:V102" ca="1" si="140">IFERROR($U66/$U$146,0)</f>
        <v>0</v>
      </c>
      <c r="W66" s="78">
        <f ca="1">IFERROR(($U66-$R66)/ABS($R66),0)</f>
        <v>-1</v>
      </c>
      <c r="X66" s="4">
        <f ca="1">SUBTOTAL(9,X$40:X$53)</f>
        <v>4276.43</v>
      </c>
      <c r="Y66" s="78">
        <f t="shared" ref="Y66:Y102" ca="1" si="141">IFERROR($X66/$X$146,0)</f>
        <v>1E-4</v>
      </c>
      <c r="Z66" s="78">
        <f ca="1">IFERROR(($X66-$U66)/ABS($U66),0)</f>
        <v>0</v>
      </c>
      <c r="AA66" s="4">
        <f ca="1">SUBTOTAL(9,AA$40:AA$53)</f>
        <v>3442.38</v>
      </c>
      <c r="AB66" s="78">
        <f t="shared" ref="AB66:AB102" ca="1" si="142">IFERROR($AA66/$AA$146,0)</f>
        <v>0</v>
      </c>
      <c r="AC66" s="78">
        <f ca="1">IFERROR(($AA66-$X66)/ABS($X66),0)</f>
        <v>-0.19500000000000001</v>
      </c>
      <c r="AD66" s="4">
        <f ca="1">SUBTOTAL(9,AD$40:AD$53)</f>
        <v>2829.9</v>
      </c>
      <c r="AE66" s="78">
        <f t="shared" ref="AE66:AE102" ca="1" si="143">IFERROR($AD66/$AD$146,0)</f>
        <v>0</v>
      </c>
      <c r="AF66" s="78">
        <f ca="1">IFERROR(($AD66-$AA66)/ABS($AA66),0)</f>
        <v>-0.1779</v>
      </c>
      <c r="AG66" s="4">
        <f ca="1">SUBTOTAL(9,AG$40:AG$53)</f>
        <v>7466.31</v>
      </c>
      <c r="AH66" s="78">
        <f t="shared" ref="AH66:AH102" ca="1" si="144">IFERROR($AG66/$AG$146,0)</f>
        <v>1E-4</v>
      </c>
      <c r="AI66" s="78">
        <f ca="1">IFERROR(($AG66-$AD66)/ABS($AD66),0)</f>
        <v>1.6384000000000001</v>
      </c>
      <c r="AJ66" s="4">
        <f ca="1">SUBTOTAL(9,AJ$67:AJ$102)</f>
        <v>0</v>
      </c>
      <c r="AK66" s="78">
        <f t="shared" ref="AK66:AK102" ca="1" si="145">IFERROR($AJ66/$AJ$146,0)</f>
        <v>0</v>
      </c>
      <c r="AL66" s="78">
        <f ca="1">IFERROR(($AJ66-$AG66)/ABS($AG66),0)</f>
        <v>-1</v>
      </c>
      <c r="AM66" s="4">
        <f ca="1">SUBTOTAL(9,AM$67:AM$102)</f>
        <v>0</v>
      </c>
      <c r="AN66" s="78">
        <f t="shared" ref="AN66:AN102" ca="1" si="146">IFERROR(AM66/AM$146,0)</f>
        <v>0</v>
      </c>
      <c r="AO66" s="78">
        <f ca="1">IFERROR(($AM66-$AJ66)/ABS($AJ66),0)</f>
        <v>0</v>
      </c>
    </row>
    <row r="67" spans="2:41" ht="15" hidden="1" customHeight="1" outlineLevel="1" x14ac:dyDescent="0.3">
      <c r="B67" s="14"/>
      <c r="C67" s="15"/>
      <c r="D67" s="4">
        <f>-SUMIFS(Tab_99.Trial[DEZEMBRO],Tab_99.Trial[CONTA],$B67)</f>
        <v>0</v>
      </c>
      <c r="E67" s="78">
        <f t="shared" ref="E67:E102" ca="1" si="147">IFERROR($D67/$D$146,0)</f>
        <v>0</v>
      </c>
      <c r="F67" s="4">
        <f ca="1">-SUMIFS(INDIRECT("Tab_00.Trial["&amp;F$4&amp;"]"),Tab_00.Trial[CONTA],$B67)</f>
        <v>0</v>
      </c>
      <c r="G67" s="78">
        <f t="shared" ca="1" si="135"/>
        <v>0</v>
      </c>
      <c r="H67" s="78">
        <f ca="1">IFERROR(($F67-$D67)/ABS($D67),0)</f>
        <v>0</v>
      </c>
      <c r="I67" s="4">
        <f ca="1">-SUMIFS(INDIRECT("Tab_00.Trial["&amp;I$4&amp;"]"),Tab_00.Trial[CONTA],$B67)</f>
        <v>0</v>
      </c>
      <c r="J67" s="78">
        <f t="shared" ca="1" si="136"/>
        <v>0</v>
      </c>
      <c r="K67" s="78">
        <f ca="1">IFERROR(($I67-$F67)/ABS($F67),0)</f>
        <v>0</v>
      </c>
      <c r="L67" s="4">
        <f ca="1">-SUMIFS(INDIRECT("Tab_00.Trial["&amp;L$4&amp;"]"),Tab_00.Trial[CONTA],$B67)</f>
        <v>0</v>
      </c>
      <c r="M67" s="78">
        <f t="shared" ca="1" si="137"/>
        <v>0</v>
      </c>
      <c r="N67" s="78">
        <f ca="1">IFERROR(($L67-$I67)/ABS($I67),0)</f>
        <v>0</v>
      </c>
      <c r="O67" s="4">
        <f ca="1">-SUMIFS(INDIRECT("Tab_00.Trial["&amp;O$4&amp;"]"),Tab_00.Trial[CONTA],$B67)</f>
        <v>0</v>
      </c>
      <c r="P67" s="78">
        <f t="shared" ca="1" si="138"/>
        <v>0</v>
      </c>
      <c r="Q67" s="78">
        <f ca="1">IFERROR(($O67-$L67)/ABS($L67),0)</f>
        <v>0</v>
      </c>
      <c r="R67" s="4">
        <f ca="1">-SUMIFS(INDIRECT("Tab_00.Trial["&amp;R$4&amp;"]"),Tab_00.Trial[CONTA],$B67)</f>
        <v>0</v>
      </c>
      <c r="S67" s="78">
        <f t="shared" ca="1" si="139"/>
        <v>0</v>
      </c>
      <c r="T67" s="78">
        <f ca="1">IFERROR(($R67-$O67)/ABS($O67),0)</f>
        <v>0</v>
      </c>
      <c r="U67" s="4">
        <f ca="1">-SUMIFS(INDIRECT("Tab_00.Trial["&amp;U$4&amp;"]"),Tab_00.Trial[CONTA],$B67)</f>
        <v>0</v>
      </c>
      <c r="V67" s="78">
        <f t="shared" ca="1" si="140"/>
        <v>0</v>
      </c>
      <c r="W67" s="78">
        <f ca="1">IFERROR(($U67-$R67)/ABS($R67),0)</f>
        <v>0</v>
      </c>
      <c r="X67" s="4">
        <f ca="1">-SUMIFS(INDIRECT("Tab_00.Trial["&amp;X$4&amp;"]"),Tab_00.Trial[CONTA],$B67)</f>
        <v>0</v>
      </c>
      <c r="Y67" s="78">
        <f t="shared" ca="1" si="141"/>
        <v>0</v>
      </c>
      <c r="Z67" s="78">
        <f ca="1">IFERROR(($X67-$U67)/ABS($U67),0)</f>
        <v>0</v>
      </c>
      <c r="AA67" s="4">
        <f ca="1">-SUMIFS(INDIRECT("Tab_00.Trial["&amp;AA$4&amp;"]"),Tab_00.Trial[CONTA],$B67)</f>
        <v>0</v>
      </c>
      <c r="AB67" s="78">
        <f t="shared" ca="1" si="142"/>
        <v>0</v>
      </c>
      <c r="AC67" s="78">
        <f ca="1">IFERROR(($AA67-$X67)/ABS($X67),0)</f>
        <v>0</v>
      </c>
      <c r="AD67" s="4">
        <f ca="1">-SUMIFS(INDIRECT("Tab_00.Trial["&amp;AD$4&amp;"]"),Tab_00.Trial[CONTA],$B67)</f>
        <v>0</v>
      </c>
      <c r="AE67" s="78">
        <f t="shared" ca="1" si="143"/>
        <v>0</v>
      </c>
      <c r="AF67" s="78">
        <f ca="1">IFERROR(($AD67-$AA67)/ABS($AA67),0)</f>
        <v>0</v>
      </c>
      <c r="AG67" s="4">
        <f ca="1">-SUMIFS(INDIRECT("Tab_00.Trial["&amp;AG$4&amp;"]"),Tab_00.Trial[CONTA],$B67)</f>
        <v>0</v>
      </c>
      <c r="AH67" s="78">
        <f t="shared" ca="1" si="144"/>
        <v>0</v>
      </c>
      <c r="AI67" s="78">
        <f ca="1">IFERROR(($AG67-$AD67)/ABS($AD67),0)</f>
        <v>0</v>
      </c>
      <c r="AJ67" s="4">
        <f ca="1">-SUMIFS(INDIRECT("Tab_00.Trial["&amp;AJ$4&amp;"]"),Tab_00.Trial[CONTA],$B67)</f>
        <v>0</v>
      </c>
      <c r="AK67" s="78">
        <f t="shared" ca="1" si="145"/>
        <v>0</v>
      </c>
      <c r="AL67" s="78">
        <f ca="1">IFERROR(($AJ67-$AG67)/ABS($AG67),0)</f>
        <v>0</v>
      </c>
      <c r="AM67" s="4">
        <f ca="1">-SUMIFS(INDIRECT("Tab_00.Trial["&amp;AM$4&amp;"]"),Tab_00.Trial[CONTA],$B67)</f>
        <v>0</v>
      </c>
      <c r="AN67" s="78">
        <f t="shared" ca="1" si="146"/>
        <v>0</v>
      </c>
      <c r="AO67" s="78">
        <f ca="1">IFERROR(($AM67-$AJ67)/ABS($AJ67),0)</f>
        <v>0</v>
      </c>
    </row>
    <row r="68" spans="2:41" ht="15" hidden="1" customHeight="1" outlineLevel="1" x14ac:dyDescent="0.3">
      <c r="B68" s="14"/>
      <c r="C68" s="15"/>
      <c r="D68" s="4">
        <f>-SUMIFS(Tab_99.Trial[DEZEMBRO],Tab_99.Trial[CONTA],$B68)</f>
        <v>0</v>
      </c>
      <c r="E68" s="78">
        <f t="shared" ca="1" si="147"/>
        <v>0</v>
      </c>
      <c r="F68" s="4">
        <f ca="1">-SUMIFS(INDIRECT("Tab_00.Trial["&amp;F$4&amp;"]"),Tab_00.Trial[CONTA],$B68)</f>
        <v>0</v>
      </c>
      <c r="G68" s="78">
        <f t="shared" ca="1" si="135"/>
        <v>0</v>
      </c>
      <c r="H68" s="78">
        <f ca="1">IFERROR(($F68-$D68)/ABS($D68),0)</f>
        <v>0</v>
      </c>
      <c r="I68" s="4">
        <f ca="1">-SUMIFS(INDIRECT("Tab_00.Trial["&amp;I$4&amp;"]"),Tab_00.Trial[CONTA],$B68)</f>
        <v>0</v>
      </c>
      <c r="J68" s="78">
        <f t="shared" ca="1" si="136"/>
        <v>0</v>
      </c>
      <c r="K68" s="78">
        <f ca="1">IFERROR(($I68-$F68)/ABS($F68),0)</f>
        <v>0</v>
      </c>
      <c r="L68" s="4">
        <f ca="1">-SUMIFS(INDIRECT("Tab_00.Trial["&amp;L$4&amp;"]"),Tab_00.Trial[CONTA],$B68)</f>
        <v>0</v>
      </c>
      <c r="M68" s="78">
        <f t="shared" ca="1" si="137"/>
        <v>0</v>
      </c>
      <c r="N68" s="78">
        <f ca="1">IFERROR(($L68-$I68)/ABS($I68),0)</f>
        <v>0</v>
      </c>
      <c r="O68" s="4">
        <f ca="1">-SUMIFS(INDIRECT("Tab_00.Trial["&amp;O$4&amp;"]"),Tab_00.Trial[CONTA],$B68)</f>
        <v>0</v>
      </c>
      <c r="P68" s="78">
        <f t="shared" ca="1" si="138"/>
        <v>0</v>
      </c>
      <c r="Q68" s="78">
        <f ca="1">IFERROR(($O68-$L68)/ABS($L68),0)</f>
        <v>0</v>
      </c>
      <c r="R68" s="4">
        <f ca="1">-SUMIFS(INDIRECT("Tab_00.Trial["&amp;R$4&amp;"]"),Tab_00.Trial[CONTA],$B68)</f>
        <v>0</v>
      </c>
      <c r="S68" s="78">
        <f t="shared" ca="1" si="139"/>
        <v>0</v>
      </c>
      <c r="T68" s="78">
        <f ca="1">IFERROR(($R68-$O68)/ABS($O68),0)</f>
        <v>0</v>
      </c>
      <c r="U68" s="4">
        <f ca="1">-SUMIFS(INDIRECT("Tab_00.Trial["&amp;U$4&amp;"]"),Tab_00.Trial[CONTA],$B68)</f>
        <v>0</v>
      </c>
      <c r="V68" s="78">
        <f t="shared" ca="1" si="140"/>
        <v>0</v>
      </c>
      <c r="W68" s="78">
        <f ca="1">IFERROR(($U68-$R68)/ABS($R68),0)</f>
        <v>0</v>
      </c>
      <c r="X68" s="4">
        <f ca="1">-SUMIFS(INDIRECT("Tab_00.Trial["&amp;X$4&amp;"]"),Tab_00.Trial[CONTA],$B68)</f>
        <v>0</v>
      </c>
      <c r="Y68" s="78">
        <f t="shared" ca="1" si="141"/>
        <v>0</v>
      </c>
      <c r="Z68" s="78">
        <f ca="1">IFERROR(($X68-$U68)/ABS($U68),0)</f>
        <v>0</v>
      </c>
      <c r="AA68" s="4">
        <f ca="1">-SUMIFS(INDIRECT("Tab_00.Trial["&amp;AA$4&amp;"]"),Tab_00.Trial[CONTA],$B68)</f>
        <v>0</v>
      </c>
      <c r="AB68" s="78">
        <f t="shared" ca="1" si="142"/>
        <v>0</v>
      </c>
      <c r="AC68" s="78">
        <f ca="1">IFERROR(($AA68-$X68)/ABS($X68),0)</f>
        <v>0</v>
      </c>
      <c r="AD68" s="4">
        <f ca="1">-SUMIFS(INDIRECT("Tab_00.Trial["&amp;AD$4&amp;"]"),Tab_00.Trial[CONTA],$B68)</f>
        <v>0</v>
      </c>
      <c r="AE68" s="78">
        <f t="shared" ca="1" si="143"/>
        <v>0</v>
      </c>
      <c r="AF68" s="78">
        <f ca="1">IFERROR(($AD68-$AA68)/ABS($AA68),0)</f>
        <v>0</v>
      </c>
      <c r="AG68" s="4">
        <f ca="1">-SUMIFS(INDIRECT("Tab_00.Trial["&amp;AG$4&amp;"]"),Tab_00.Trial[CONTA],$B68)</f>
        <v>0</v>
      </c>
      <c r="AH68" s="78">
        <f t="shared" ca="1" si="144"/>
        <v>0</v>
      </c>
      <c r="AI68" s="78">
        <f ca="1">IFERROR(($AG68-$AD68)/ABS($AD68),0)</f>
        <v>0</v>
      </c>
      <c r="AJ68" s="4">
        <f ca="1">-SUMIFS(INDIRECT("Tab_00.Trial["&amp;AJ$4&amp;"]"),Tab_00.Trial[CONTA],$B68)</f>
        <v>0</v>
      </c>
      <c r="AK68" s="78">
        <f t="shared" ca="1" si="145"/>
        <v>0</v>
      </c>
      <c r="AL68" s="78">
        <f ca="1">IFERROR(($AJ68-$AG68)/ABS($AG68),0)</f>
        <v>0</v>
      </c>
      <c r="AM68" s="4">
        <f ca="1">-SUMIFS(INDIRECT("Tab_00.Trial["&amp;AM$4&amp;"]"),Tab_00.Trial[CONTA],$B68)</f>
        <v>0</v>
      </c>
      <c r="AN68" s="78">
        <f t="shared" ca="1" si="146"/>
        <v>0</v>
      </c>
      <c r="AO68" s="78">
        <f ca="1">IFERROR(($AM68-$AJ68)/ABS($AJ68),0)</f>
        <v>0</v>
      </c>
    </row>
    <row r="69" spans="2:41" ht="15" hidden="1" customHeight="1" outlineLevel="1" x14ac:dyDescent="0.3">
      <c r="B69" s="14"/>
      <c r="C69" s="15"/>
      <c r="D69" s="4">
        <f>-SUMIFS(Tab_99.Trial[DEZEMBRO],Tab_99.Trial[CONTA],$B69)</f>
        <v>0</v>
      </c>
      <c r="E69" s="78">
        <f t="shared" ca="1" si="147"/>
        <v>0</v>
      </c>
      <c r="F69" s="4">
        <f ca="1">-SUMIFS(INDIRECT("Tab_00.Trial["&amp;F$4&amp;"]"),Tab_00.Trial[CONTA],$B69)</f>
        <v>0</v>
      </c>
      <c r="G69" s="78">
        <f t="shared" ca="1" si="135"/>
        <v>0</v>
      </c>
      <c r="H69" s="78">
        <f t="shared" ref="H69:H101" ca="1" si="148">IFERROR(($F69-$D69)/ABS($D69),0)</f>
        <v>0</v>
      </c>
      <c r="I69" s="4">
        <f ca="1">-SUMIFS(INDIRECT("Tab_00.Trial["&amp;I$4&amp;"]"),Tab_00.Trial[CONTA],$B69)</f>
        <v>0</v>
      </c>
      <c r="J69" s="78">
        <f t="shared" ca="1" si="136"/>
        <v>0</v>
      </c>
      <c r="K69" s="78">
        <f t="shared" ref="K69:K101" ca="1" si="149">IFERROR(($I69-$F69)/ABS($F69),0)</f>
        <v>0</v>
      </c>
      <c r="L69" s="4">
        <f ca="1">-SUMIFS(INDIRECT("Tab_00.Trial["&amp;L$4&amp;"]"),Tab_00.Trial[CONTA],$B69)</f>
        <v>0</v>
      </c>
      <c r="M69" s="78">
        <f t="shared" ca="1" si="137"/>
        <v>0</v>
      </c>
      <c r="N69" s="78">
        <f t="shared" ref="N69:N101" ca="1" si="150">IFERROR(($L69-$I69)/ABS($I69),0)</f>
        <v>0</v>
      </c>
      <c r="O69" s="4">
        <f ca="1">-SUMIFS(INDIRECT("Tab_00.Trial["&amp;O$4&amp;"]"),Tab_00.Trial[CONTA],$B69)</f>
        <v>0</v>
      </c>
      <c r="P69" s="78">
        <f t="shared" ca="1" si="138"/>
        <v>0</v>
      </c>
      <c r="Q69" s="78">
        <f t="shared" ref="Q69:Q101" ca="1" si="151">IFERROR(($O69-$L69)/ABS($L69),0)</f>
        <v>0</v>
      </c>
      <c r="R69" s="4">
        <f ca="1">-SUMIFS(INDIRECT("Tab_00.Trial["&amp;R$4&amp;"]"),Tab_00.Trial[CONTA],$B69)</f>
        <v>0</v>
      </c>
      <c r="S69" s="78">
        <f t="shared" ca="1" si="139"/>
        <v>0</v>
      </c>
      <c r="T69" s="78">
        <f t="shared" ref="T69:T101" ca="1" si="152">IFERROR(($R69-$O69)/ABS($O69),0)</f>
        <v>0</v>
      </c>
      <c r="U69" s="4">
        <f ca="1">-SUMIFS(INDIRECT("Tab_00.Trial["&amp;U$4&amp;"]"),Tab_00.Trial[CONTA],$B69)</f>
        <v>0</v>
      </c>
      <c r="V69" s="78">
        <f t="shared" ca="1" si="140"/>
        <v>0</v>
      </c>
      <c r="W69" s="78">
        <f t="shared" ref="W69:W101" ca="1" si="153">IFERROR(($U69-$R69)/ABS($R69),0)</f>
        <v>0</v>
      </c>
      <c r="X69" s="4">
        <f ca="1">-SUMIFS(INDIRECT("Tab_00.Trial["&amp;X$4&amp;"]"),Tab_00.Trial[CONTA],$B69)</f>
        <v>0</v>
      </c>
      <c r="Y69" s="78">
        <f t="shared" ca="1" si="141"/>
        <v>0</v>
      </c>
      <c r="Z69" s="78">
        <f t="shared" ref="Z69:Z101" ca="1" si="154">IFERROR(($X69-$U69)/ABS($U69),0)</f>
        <v>0</v>
      </c>
      <c r="AA69" s="4">
        <f ca="1">-SUMIFS(INDIRECT("Tab_00.Trial["&amp;AA$4&amp;"]"),Tab_00.Trial[CONTA],$B69)</f>
        <v>0</v>
      </c>
      <c r="AB69" s="78">
        <f t="shared" ca="1" si="142"/>
        <v>0</v>
      </c>
      <c r="AC69" s="78">
        <f t="shared" ref="AC69:AC101" ca="1" si="155">IFERROR(($AA69-$X69)/ABS($X69),0)</f>
        <v>0</v>
      </c>
      <c r="AD69" s="4">
        <f ca="1">-SUMIFS(INDIRECT("Tab_00.Trial["&amp;AD$4&amp;"]"),Tab_00.Trial[CONTA],$B69)</f>
        <v>0</v>
      </c>
      <c r="AE69" s="78">
        <f t="shared" ca="1" si="143"/>
        <v>0</v>
      </c>
      <c r="AF69" s="78">
        <f t="shared" ref="AF69:AF101" ca="1" si="156">IFERROR(($AD69-$AA69)/ABS($AA69),0)</f>
        <v>0</v>
      </c>
      <c r="AG69" s="4">
        <f ca="1">-SUMIFS(INDIRECT("Tab_00.Trial["&amp;AG$4&amp;"]"),Tab_00.Trial[CONTA],$B69)</f>
        <v>0</v>
      </c>
      <c r="AH69" s="78">
        <f t="shared" ca="1" si="144"/>
        <v>0</v>
      </c>
      <c r="AI69" s="78">
        <f t="shared" ref="AI69:AI101" ca="1" si="157">IFERROR(($AG69-$AD69)/ABS($AD69),0)</f>
        <v>0</v>
      </c>
      <c r="AJ69" s="4">
        <f ca="1">-SUMIFS(INDIRECT("Tab_00.Trial["&amp;AJ$4&amp;"]"),Tab_00.Trial[CONTA],$B69)</f>
        <v>0</v>
      </c>
      <c r="AK69" s="78">
        <f t="shared" ca="1" si="145"/>
        <v>0</v>
      </c>
      <c r="AL69" s="78">
        <f t="shared" ref="AL69:AL101" ca="1" si="158">IFERROR(($AJ69-$AG69)/ABS($AG69),0)</f>
        <v>0</v>
      </c>
      <c r="AM69" s="4">
        <f ca="1">-SUMIFS(INDIRECT("Tab_00.Trial["&amp;AM$4&amp;"]"),Tab_00.Trial[CONTA],$B69)</f>
        <v>0</v>
      </c>
      <c r="AN69" s="78">
        <f t="shared" ca="1" si="146"/>
        <v>0</v>
      </c>
      <c r="AO69" s="78">
        <f t="shared" ref="AO69:AO101" ca="1" si="159">IFERROR(($AM69-$AJ69)/ABS($AJ69),0)</f>
        <v>0</v>
      </c>
    </row>
    <row r="70" spans="2:41" ht="15" hidden="1" customHeight="1" outlineLevel="1" x14ac:dyDescent="0.3">
      <c r="B70" s="14"/>
      <c r="C70" s="15"/>
      <c r="D70" s="4">
        <f>-SUMIFS(Tab_99.Trial[DEZEMBRO],Tab_99.Trial[CONTA],$B70)</f>
        <v>0</v>
      </c>
      <c r="E70" s="78">
        <f t="shared" ca="1" si="147"/>
        <v>0</v>
      </c>
      <c r="F70" s="4">
        <f ca="1">-SUMIFS(INDIRECT("Tab_00.Trial["&amp;F$4&amp;"]"),Tab_00.Trial[CONTA],$B70)</f>
        <v>0</v>
      </c>
      <c r="G70" s="78">
        <f t="shared" ca="1" si="135"/>
        <v>0</v>
      </c>
      <c r="H70" s="78">
        <f t="shared" ca="1" si="148"/>
        <v>0</v>
      </c>
      <c r="I70" s="4">
        <f ca="1">-SUMIFS(INDIRECT("Tab_00.Trial["&amp;I$4&amp;"]"),Tab_00.Trial[CONTA],$B70)</f>
        <v>0</v>
      </c>
      <c r="J70" s="78">
        <f t="shared" ca="1" si="136"/>
        <v>0</v>
      </c>
      <c r="K70" s="78">
        <f t="shared" ca="1" si="149"/>
        <v>0</v>
      </c>
      <c r="L70" s="4">
        <f ca="1">-SUMIFS(INDIRECT("Tab_00.Trial["&amp;L$4&amp;"]"),Tab_00.Trial[CONTA],$B70)</f>
        <v>0</v>
      </c>
      <c r="M70" s="78">
        <f t="shared" ca="1" si="137"/>
        <v>0</v>
      </c>
      <c r="N70" s="78">
        <f t="shared" ca="1" si="150"/>
        <v>0</v>
      </c>
      <c r="O70" s="4">
        <f ca="1">-SUMIFS(INDIRECT("Tab_00.Trial["&amp;O$4&amp;"]"),Tab_00.Trial[CONTA],$B70)</f>
        <v>0</v>
      </c>
      <c r="P70" s="78">
        <f t="shared" ca="1" si="138"/>
        <v>0</v>
      </c>
      <c r="Q70" s="78">
        <f t="shared" ca="1" si="151"/>
        <v>0</v>
      </c>
      <c r="R70" s="4">
        <f ca="1">-SUMIFS(INDIRECT("Tab_00.Trial["&amp;R$4&amp;"]"),Tab_00.Trial[CONTA],$B70)</f>
        <v>0</v>
      </c>
      <c r="S70" s="78">
        <f t="shared" ca="1" si="139"/>
        <v>0</v>
      </c>
      <c r="T70" s="78">
        <f t="shared" ca="1" si="152"/>
        <v>0</v>
      </c>
      <c r="U70" s="4">
        <f ca="1">-SUMIFS(INDIRECT("Tab_00.Trial["&amp;U$4&amp;"]"),Tab_00.Trial[CONTA],$B70)</f>
        <v>0</v>
      </c>
      <c r="V70" s="78">
        <f t="shared" ca="1" si="140"/>
        <v>0</v>
      </c>
      <c r="W70" s="78">
        <f t="shared" ca="1" si="153"/>
        <v>0</v>
      </c>
      <c r="X70" s="4">
        <f ca="1">-SUMIFS(INDIRECT("Tab_00.Trial["&amp;X$4&amp;"]"),Tab_00.Trial[CONTA],$B70)</f>
        <v>0</v>
      </c>
      <c r="Y70" s="78">
        <f t="shared" ca="1" si="141"/>
        <v>0</v>
      </c>
      <c r="Z70" s="78">
        <f t="shared" ca="1" si="154"/>
        <v>0</v>
      </c>
      <c r="AA70" s="4">
        <f ca="1">-SUMIFS(INDIRECT("Tab_00.Trial["&amp;AA$4&amp;"]"),Tab_00.Trial[CONTA],$B70)</f>
        <v>0</v>
      </c>
      <c r="AB70" s="78">
        <f t="shared" ca="1" si="142"/>
        <v>0</v>
      </c>
      <c r="AC70" s="78">
        <f t="shared" ca="1" si="155"/>
        <v>0</v>
      </c>
      <c r="AD70" s="4">
        <f ca="1">-SUMIFS(INDIRECT("Tab_00.Trial["&amp;AD$4&amp;"]"),Tab_00.Trial[CONTA],$B70)</f>
        <v>0</v>
      </c>
      <c r="AE70" s="78">
        <f t="shared" ca="1" si="143"/>
        <v>0</v>
      </c>
      <c r="AF70" s="78">
        <f t="shared" ca="1" si="156"/>
        <v>0</v>
      </c>
      <c r="AG70" s="4">
        <f ca="1">-SUMIFS(INDIRECT("Tab_00.Trial["&amp;AG$4&amp;"]"),Tab_00.Trial[CONTA],$B70)</f>
        <v>0</v>
      </c>
      <c r="AH70" s="78">
        <f t="shared" ca="1" si="144"/>
        <v>0</v>
      </c>
      <c r="AI70" s="78">
        <f t="shared" ca="1" si="157"/>
        <v>0</v>
      </c>
      <c r="AJ70" s="4">
        <f ca="1">-SUMIFS(INDIRECT("Tab_00.Trial["&amp;AJ$4&amp;"]"),Tab_00.Trial[CONTA],$B70)</f>
        <v>0</v>
      </c>
      <c r="AK70" s="78">
        <f t="shared" ca="1" si="145"/>
        <v>0</v>
      </c>
      <c r="AL70" s="78">
        <f t="shared" ca="1" si="158"/>
        <v>0</v>
      </c>
      <c r="AM70" s="4">
        <f ca="1">-SUMIFS(INDIRECT("Tab_00.Trial["&amp;AM$4&amp;"]"),Tab_00.Trial[CONTA],$B70)</f>
        <v>0</v>
      </c>
      <c r="AN70" s="78">
        <f t="shared" ca="1" si="146"/>
        <v>0</v>
      </c>
      <c r="AO70" s="78">
        <f t="shared" ca="1" si="159"/>
        <v>0</v>
      </c>
    </row>
    <row r="71" spans="2:41" ht="15" hidden="1" customHeight="1" outlineLevel="1" x14ac:dyDescent="0.3">
      <c r="B71" s="14"/>
      <c r="C71" s="15"/>
      <c r="D71" s="4">
        <f>-SUMIFS(Tab_99.Trial[DEZEMBRO],Tab_99.Trial[CONTA],$B71)</f>
        <v>0</v>
      </c>
      <c r="E71" s="78">
        <f t="shared" ca="1" si="147"/>
        <v>0</v>
      </c>
      <c r="F71" s="4">
        <f ca="1">-SUMIFS(INDIRECT("Tab_00.Trial["&amp;F$4&amp;"]"),Tab_00.Trial[CONTA],$B71)</f>
        <v>0</v>
      </c>
      <c r="G71" s="78">
        <f t="shared" ca="1" si="135"/>
        <v>0</v>
      </c>
      <c r="H71" s="78">
        <f t="shared" ca="1" si="148"/>
        <v>0</v>
      </c>
      <c r="I71" s="4">
        <f ca="1">-SUMIFS(INDIRECT("Tab_00.Trial["&amp;I$4&amp;"]"),Tab_00.Trial[CONTA],$B71)</f>
        <v>0</v>
      </c>
      <c r="J71" s="78">
        <f t="shared" ca="1" si="136"/>
        <v>0</v>
      </c>
      <c r="K71" s="78">
        <f t="shared" ca="1" si="149"/>
        <v>0</v>
      </c>
      <c r="L71" s="4">
        <f ca="1">-SUMIFS(INDIRECT("Tab_00.Trial["&amp;L$4&amp;"]"),Tab_00.Trial[CONTA],$B71)</f>
        <v>0</v>
      </c>
      <c r="M71" s="78">
        <f t="shared" ca="1" si="137"/>
        <v>0</v>
      </c>
      <c r="N71" s="78">
        <f t="shared" ca="1" si="150"/>
        <v>0</v>
      </c>
      <c r="O71" s="4">
        <f ca="1">-SUMIFS(INDIRECT("Tab_00.Trial["&amp;O$4&amp;"]"),Tab_00.Trial[CONTA],$B71)</f>
        <v>0</v>
      </c>
      <c r="P71" s="78">
        <f t="shared" ca="1" si="138"/>
        <v>0</v>
      </c>
      <c r="Q71" s="78">
        <f t="shared" ca="1" si="151"/>
        <v>0</v>
      </c>
      <c r="R71" s="4">
        <f ca="1">-SUMIFS(INDIRECT("Tab_00.Trial["&amp;R$4&amp;"]"),Tab_00.Trial[CONTA],$B71)</f>
        <v>0</v>
      </c>
      <c r="S71" s="78">
        <f t="shared" ca="1" si="139"/>
        <v>0</v>
      </c>
      <c r="T71" s="78">
        <f t="shared" ca="1" si="152"/>
        <v>0</v>
      </c>
      <c r="U71" s="4">
        <f ca="1">-SUMIFS(INDIRECT("Tab_00.Trial["&amp;U$4&amp;"]"),Tab_00.Trial[CONTA],$B71)</f>
        <v>0</v>
      </c>
      <c r="V71" s="78">
        <f t="shared" ca="1" si="140"/>
        <v>0</v>
      </c>
      <c r="W71" s="78">
        <f t="shared" ca="1" si="153"/>
        <v>0</v>
      </c>
      <c r="X71" s="4">
        <f ca="1">-SUMIFS(INDIRECT("Tab_00.Trial["&amp;X$4&amp;"]"),Tab_00.Trial[CONTA],$B71)</f>
        <v>0</v>
      </c>
      <c r="Y71" s="78">
        <f t="shared" ca="1" si="141"/>
        <v>0</v>
      </c>
      <c r="Z71" s="78">
        <f t="shared" ca="1" si="154"/>
        <v>0</v>
      </c>
      <c r="AA71" s="4">
        <f ca="1">-SUMIFS(INDIRECT("Tab_00.Trial["&amp;AA$4&amp;"]"),Tab_00.Trial[CONTA],$B71)</f>
        <v>0</v>
      </c>
      <c r="AB71" s="78">
        <f t="shared" ca="1" si="142"/>
        <v>0</v>
      </c>
      <c r="AC71" s="78">
        <f t="shared" ca="1" si="155"/>
        <v>0</v>
      </c>
      <c r="AD71" s="4">
        <f ca="1">-SUMIFS(INDIRECT("Tab_00.Trial["&amp;AD$4&amp;"]"),Tab_00.Trial[CONTA],$B71)</f>
        <v>0</v>
      </c>
      <c r="AE71" s="78">
        <f t="shared" ca="1" si="143"/>
        <v>0</v>
      </c>
      <c r="AF71" s="78">
        <f t="shared" ca="1" si="156"/>
        <v>0</v>
      </c>
      <c r="AG71" s="4">
        <f ca="1">-SUMIFS(INDIRECT("Tab_00.Trial["&amp;AG$4&amp;"]"),Tab_00.Trial[CONTA],$B71)</f>
        <v>0</v>
      </c>
      <c r="AH71" s="78">
        <f t="shared" ca="1" si="144"/>
        <v>0</v>
      </c>
      <c r="AI71" s="78">
        <f t="shared" ca="1" si="157"/>
        <v>0</v>
      </c>
      <c r="AJ71" s="4">
        <f ca="1">-SUMIFS(INDIRECT("Tab_00.Trial["&amp;AJ$4&amp;"]"),Tab_00.Trial[CONTA],$B71)</f>
        <v>0</v>
      </c>
      <c r="AK71" s="78">
        <f t="shared" ca="1" si="145"/>
        <v>0</v>
      </c>
      <c r="AL71" s="78">
        <f t="shared" ca="1" si="158"/>
        <v>0</v>
      </c>
      <c r="AM71" s="4">
        <f ca="1">-SUMIFS(INDIRECT("Tab_00.Trial["&amp;AM$4&amp;"]"),Tab_00.Trial[CONTA],$B71)</f>
        <v>0</v>
      </c>
      <c r="AN71" s="78">
        <f t="shared" ca="1" si="146"/>
        <v>0</v>
      </c>
      <c r="AO71" s="78">
        <f t="shared" ca="1" si="159"/>
        <v>0</v>
      </c>
    </row>
    <row r="72" spans="2:41" ht="15" hidden="1" customHeight="1" outlineLevel="1" x14ac:dyDescent="0.3">
      <c r="B72" s="14"/>
      <c r="C72" s="15"/>
      <c r="D72" s="4">
        <f>-SUMIFS(Tab_99.Trial[DEZEMBRO],Tab_99.Trial[CONTA],$B72)</f>
        <v>0</v>
      </c>
      <c r="E72" s="78">
        <f t="shared" ca="1" si="147"/>
        <v>0</v>
      </c>
      <c r="F72" s="4">
        <f ca="1">-SUMIFS(INDIRECT("Tab_00.Trial["&amp;F$4&amp;"]"),Tab_00.Trial[CONTA],$B72)</f>
        <v>0</v>
      </c>
      <c r="G72" s="78">
        <f t="shared" ca="1" si="135"/>
        <v>0</v>
      </c>
      <c r="H72" s="78">
        <f t="shared" ca="1" si="148"/>
        <v>0</v>
      </c>
      <c r="I72" s="4">
        <f ca="1">-SUMIFS(INDIRECT("Tab_00.Trial["&amp;I$4&amp;"]"),Tab_00.Trial[CONTA],$B72)</f>
        <v>0</v>
      </c>
      <c r="J72" s="78">
        <f t="shared" ca="1" si="136"/>
        <v>0</v>
      </c>
      <c r="K72" s="78">
        <f t="shared" ca="1" si="149"/>
        <v>0</v>
      </c>
      <c r="L72" s="4">
        <f ca="1">-SUMIFS(INDIRECT("Tab_00.Trial["&amp;L$4&amp;"]"),Tab_00.Trial[CONTA],$B72)</f>
        <v>0</v>
      </c>
      <c r="M72" s="78">
        <f t="shared" ca="1" si="137"/>
        <v>0</v>
      </c>
      <c r="N72" s="78">
        <f t="shared" ca="1" si="150"/>
        <v>0</v>
      </c>
      <c r="O72" s="4">
        <f ca="1">-SUMIFS(INDIRECT("Tab_00.Trial["&amp;O$4&amp;"]"),Tab_00.Trial[CONTA],$B72)</f>
        <v>0</v>
      </c>
      <c r="P72" s="78">
        <f t="shared" ca="1" si="138"/>
        <v>0</v>
      </c>
      <c r="Q72" s="78">
        <f t="shared" ca="1" si="151"/>
        <v>0</v>
      </c>
      <c r="R72" s="4">
        <f ca="1">-SUMIFS(INDIRECT("Tab_00.Trial["&amp;R$4&amp;"]"),Tab_00.Trial[CONTA],$B72)</f>
        <v>0</v>
      </c>
      <c r="S72" s="78">
        <f t="shared" ca="1" si="139"/>
        <v>0</v>
      </c>
      <c r="T72" s="78">
        <f t="shared" ca="1" si="152"/>
        <v>0</v>
      </c>
      <c r="U72" s="4">
        <f ca="1">-SUMIFS(INDIRECT("Tab_00.Trial["&amp;U$4&amp;"]"),Tab_00.Trial[CONTA],$B72)</f>
        <v>0</v>
      </c>
      <c r="V72" s="78">
        <f t="shared" ca="1" si="140"/>
        <v>0</v>
      </c>
      <c r="W72" s="78">
        <f t="shared" ca="1" si="153"/>
        <v>0</v>
      </c>
      <c r="X72" s="4">
        <f ca="1">-SUMIFS(INDIRECT("Tab_00.Trial["&amp;X$4&amp;"]"),Tab_00.Trial[CONTA],$B72)</f>
        <v>0</v>
      </c>
      <c r="Y72" s="78">
        <f t="shared" ca="1" si="141"/>
        <v>0</v>
      </c>
      <c r="Z72" s="78">
        <f t="shared" ca="1" si="154"/>
        <v>0</v>
      </c>
      <c r="AA72" s="4">
        <f ca="1">-SUMIFS(INDIRECT("Tab_00.Trial["&amp;AA$4&amp;"]"),Tab_00.Trial[CONTA],$B72)</f>
        <v>0</v>
      </c>
      <c r="AB72" s="78">
        <f t="shared" ca="1" si="142"/>
        <v>0</v>
      </c>
      <c r="AC72" s="78">
        <f t="shared" ca="1" si="155"/>
        <v>0</v>
      </c>
      <c r="AD72" s="4">
        <f ca="1">-SUMIFS(INDIRECT("Tab_00.Trial["&amp;AD$4&amp;"]"),Tab_00.Trial[CONTA],$B72)</f>
        <v>0</v>
      </c>
      <c r="AE72" s="78">
        <f t="shared" ca="1" si="143"/>
        <v>0</v>
      </c>
      <c r="AF72" s="78">
        <f t="shared" ca="1" si="156"/>
        <v>0</v>
      </c>
      <c r="AG72" s="4">
        <f ca="1">-SUMIFS(INDIRECT("Tab_00.Trial["&amp;AG$4&amp;"]"),Tab_00.Trial[CONTA],$B72)</f>
        <v>0</v>
      </c>
      <c r="AH72" s="78">
        <f t="shared" ca="1" si="144"/>
        <v>0</v>
      </c>
      <c r="AI72" s="78">
        <f t="shared" ca="1" si="157"/>
        <v>0</v>
      </c>
      <c r="AJ72" s="4">
        <f ca="1">-SUMIFS(INDIRECT("Tab_00.Trial["&amp;AJ$4&amp;"]"),Tab_00.Trial[CONTA],$B72)</f>
        <v>0</v>
      </c>
      <c r="AK72" s="78">
        <f t="shared" ca="1" si="145"/>
        <v>0</v>
      </c>
      <c r="AL72" s="78">
        <f t="shared" ca="1" si="158"/>
        <v>0</v>
      </c>
      <c r="AM72" s="4">
        <f ca="1">-SUMIFS(INDIRECT("Tab_00.Trial["&amp;AM$4&amp;"]"),Tab_00.Trial[CONTA],$B72)</f>
        <v>0</v>
      </c>
      <c r="AN72" s="78">
        <f t="shared" ca="1" si="146"/>
        <v>0</v>
      </c>
      <c r="AO72" s="78">
        <f t="shared" ca="1" si="159"/>
        <v>0</v>
      </c>
    </row>
    <row r="73" spans="2:41" ht="15" hidden="1" customHeight="1" outlineLevel="1" x14ac:dyDescent="0.3">
      <c r="B73" s="14"/>
      <c r="C73" s="15"/>
      <c r="D73" s="4">
        <f>-SUMIFS(Tab_99.Trial[DEZEMBRO],Tab_99.Trial[CONTA],$B73)</f>
        <v>0</v>
      </c>
      <c r="E73" s="78">
        <f t="shared" ca="1" si="147"/>
        <v>0</v>
      </c>
      <c r="F73" s="4">
        <f ca="1">-SUMIFS(INDIRECT("Tab_00.Trial["&amp;F$4&amp;"]"),Tab_00.Trial[CONTA],$B73)</f>
        <v>0</v>
      </c>
      <c r="G73" s="78">
        <f t="shared" ca="1" si="135"/>
        <v>0</v>
      </c>
      <c r="H73" s="78">
        <f t="shared" ca="1" si="148"/>
        <v>0</v>
      </c>
      <c r="I73" s="4">
        <f ca="1">-SUMIFS(INDIRECT("Tab_00.Trial["&amp;I$4&amp;"]"),Tab_00.Trial[CONTA],$B73)</f>
        <v>0</v>
      </c>
      <c r="J73" s="78">
        <f t="shared" ca="1" si="136"/>
        <v>0</v>
      </c>
      <c r="K73" s="78">
        <f t="shared" ca="1" si="149"/>
        <v>0</v>
      </c>
      <c r="L73" s="4">
        <f ca="1">-SUMIFS(INDIRECT("Tab_00.Trial["&amp;L$4&amp;"]"),Tab_00.Trial[CONTA],$B73)</f>
        <v>0</v>
      </c>
      <c r="M73" s="78">
        <f t="shared" ca="1" si="137"/>
        <v>0</v>
      </c>
      <c r="N73" s="78">
        <f t="shared" ca="1" si="150"/>
        <v>0</v>
      </c>
      <c r="O73" s="4">
        <f ca="1">-SUMIFS(INDIRECT("Tab_00.Trial["&amp;O$4&amp;"]"),Tab_00.Trial[CONTA],$B73)</f>
        <v>0</v>
      </c>
      <c r="P73" s="78">
        <f t="shared" ca="1" si="138"/>
        <v>0</v>
      </c>
      <c r="Q73" s="78">
        <f t="shared" ca="1" si="151"/>
        <v>0</v>
      </c>
      <c r="R73" s="4">
        <f ca="1">-SUMIFS(INDIRECT("Tab_00.Trial["&amp;R$4&amp;"]"),Tab_00.Trial[CONTA],$B73)</f>
        <v>0</v>
      </c>
      <c r="S73" s="78">
        <f t="shared" ca="1" si="139"/>
        <v>0</v>
      </c>
      <c r="T73" s="78">
        <f t="shared" ca="1" si="152"/>
        <v>0</v>
      </c>
      <c r="U73" s="4">
        <f ca="1">-SUMIFS(INDIRECT("Tab_00.Trial["&amp;U$4&amp;"]"),Tab_00.Trial[CONTA],$B73)</f>
        <v>0</v>
      </c>
      <c r="V73" s="78">
        <f t="shared" ca="1" si="140"/>
        <v>0</v>
      </c>
      <c r="W73" s="78">
        <f t="shared" ca="1" si="153"/>
        <v>0</v>
      </c>
      <c r="X73" s="4">
        <f ca="1">-SUMIFS(INDIRECT("Tab_00.Trial["&amp;X$4&amp;"]"),Tab_00.Trial[CONTA],$B73)</f>
        <v>0</v>
      </c>
      <c r="Y73" s="78">
        <f t="shared" ca="1" si="141"/>
        <v>0</v>
      </c>
      <c r="Z73" s="78">
        <f t="shared" ca="1" si="154"/>
        <v>0</v>
      </c>
      <c r="AA73" s="4">
        <f ca="1">-SUMIFS(INDIRECT("Tab_00.Trial["&amp;AA$4&amp;"]"),Tab_00.Trial[CONTA],$B73)</f>
        <v>0</v>
      </c>
      <c r="AB73" s="78">
        <f t="shared" ca="1" si="142"/>
        <v>0</v>
      </c>
      <c r="AC73" s="78">
        <f t="shared" ca="1" si="155"/>
        <v>0</v>
      </c>
      <c r="AD73" s="4">
        <f ca="1">-SUMIFS(INDIRECT("Tab_00.Trial["&amp;AD$4&amp;"]"),Tab_00.Trial[CONTA],$B73)</f>
        <v>0</v>
      </c>
      <c r="AE73" s="78">
        <f t="shared" ca="1" si="143"/>
        <v>0</v>
      </c>
      <c r="AF73" s="78">
        <f t="shared" ca="1" si="156"/>
        <v>0</v>
      </c>
      <c r="AG73" s="4">
        <f ca="1">-SUMIFS(INDIRECT("Tab_00.Trial["&amp;AG$4&amp;"]"),Tab_00.Trial[CONTA],$B73)</f>
        <v>0</v>
      </c>
      <c r="AH73" s="78">
        <f t="shared" ca="1" si="144"/>
        <v>0</v>
      </c>
      <c r="AI73" s="78">
        <f t="shared" ca="1" si="157"/>
        <v>0</v>
      </c>
      <c r="AJ73" s="4">
        <f ca="1">-SUMIFS(INDIRECT("Tab_00.Trial["&amp;AJ$4&amp;"]"),Tab_00.Trial[CONTA],$B73)</f>
        <v>0</v>
      </c>
      <c r="AK73" s="78">
        <f t="shared" ca="1" si="145"/>
        <v>0</v>
      </c>
      <c r="AL73" s="78">
        <f t="shared" ca="1" si="158"/>
        <v>0</v>
      </c>
      <c r="AM73" s="4">
        <f ca="1">-SUMIFS(INDIRECT("Tab_00.Trial["&amp;AM$4&amp;"]"),Tab_00.Trial[CONTA],$B73)</f>
        <v>0</v>
      </c>
      <c r="AN73" s="78">
        <f t="shared" ca="1" si="146"/>
        <v>0</v>
      </c>
      <c r="AO73" s="78">
        <f t="shared" ca="1" si="159"/>
        <v>0</v>
      </c>
    </row>
    <row r="74" spans="2:41" ht="15" hidden="1" customHeight="1" outlineLevel="1" x14ac:dyDescent="0.3">
      <c r="B74" s="14"/>
      <c r="C74" s="15"/>
      <c r="D74" s="4">
        <f>-SUMIFS(Tab_99.Trial[DEZEMBRO],Tab_99.Trial[CONTA],$B74)</f>
        <v>0</v>
      </c>
      <c r="E74" s="78">
        <f t="shared" ca="1" si="147"/>
        <v>0</v>
      </c>
      <c r="F74" s="4">
        <f ca="1">-SUMIFS(INDIRECT("Tab_00.Trial["&amp;F$4&amp;"]"),Tab_00.Trial[CONTA],$B74)</f>
        <v>0</v>
      </c>
      <c r="G74" s="78">
        <f t="shared" ca="1" si="135"/>
        <v>0</v>
      </c>
      <c r="H74" s="78">
        <f t="shared" ca="1" si="148"/>
        <v>0</v>
      </c>
      <c r="I74" s="4">
        <f ca="1">-SUMIFS(INDIRECT("Tab_00.Trial["&amp;I$4&amp;"]"),Tab_00.Trial[CONTA],$B74)</f>
        <v>0</v>
      </c>
      <c r="J74" s="78">
        <f t="shared" ca="1" si="136"/>
        <v>0</v>
      </c>
      <c r="K74" s="78">
        <f t="shared" ca="1" si="149"/>
        <v>0</v>
      </c>
      <c r="L74" s="4">
        <f ca="1">-SUMIFS(INDIRECT("Tab_00.Trial["&amp;L$4&amp;"]"),Tab_00.Trial[CONTA],$B74)</f>
        <v>0</v>
      </c>
      <c r="M74" s="78">
        <f t="shared" ca="1" si="137"/>
        <v>0</v>
      </c>
      <c r="N74" s="78">
        <f t="shared" ca="1" si="150"/>
        <v>0</v>
      </c>
      <c r="O74" s="4">
        <f ca="1">-SUMIFS(INDIRECT("Tab_00.Trial["&amp;O$4&amp;"]"),Tab_00.Trial[CONTA],$B74)</f>
        <v>0</v>
      </c>
      <c r="P74" s="78">
        <f t="shared" ca="1" si="138"/>
        <v>0</v>
      </c>
      <c r="Q74" s="78">
        <f t="shared" ca="1" si="151"/>
        <v>0</v>
      </c>
      <c r="R74" s="4">
        <f ca="1">-SUMIFS(INDIRECT("Tab_00.Trial["&amp;R$4&amp;"]"),Tab_00.Trial[CONTA],$B74)</f>
        <v>0</v>
      </c>
      <c r="S74" s="78">
        <f t="shared" ca="1" si="139"/>
        <v>0</v>
      </c>
      <c r="T74" s="78">
        <f t="shared" ca="1" si="152"/>
        <v>0</v>
      </c>
      <c r="U74" s="4">
        <f ca="1">-SUMIFS(INDIRECT("Tab_00.Trial["&amp;U$4&amp;"]"),Tab_00.Trial[CONTA],$B74)</f>
        <v>0</v>
      </c>
      <c r="V74" s="78">
        <f t="shared" ca="1" si="140"/>
        <v>0</v>
      </c>
      <c r="W74" s="78">
        <f t="shared" ca="1" si="153"/>
        <v>0</v>
      </c>
      <c r="X74" s="4">
        <f ca="1">-SUMIFS(INDIRECT("Tab_00.Trial["&amp;X$4&amp;"]"),Tab_00.Trial[CONTA],$B74)</f>
        <v>0</v>
      </c>
      <c r="Y74" s="78">
        <f t="shared" ca="1" si="141"/>
        <v>0</v>
      </c>
      <c r="Z74" s="78">
        <f t="shared" ca="1" si="154"/>
        <v>0</v>
      </c>
      <c r="AA74" s="4">
        <f ca="1">-SUMIFS(INDIRECT("Tab_00.Trial["&amp;AA$4&amp;"]"),Tab_00.Trial[CONTA],$B74)</f>
        <v>0</v>
      </c>
      <c r="AB74" s="78">
        <f t="shared" ca="1" si="142"/>
        <v>0</v>
      </c>
      <c r="AC74" s="78">
        <f t="shared" ca="1" si="155"/>
        <v>0</v>
      </c>
      <c r="AD74" s="4">
        <f ca="1">-SUMIFS(INDIRECT("Tab_00.Trial["&amp;AD$4&amp;"]"),Tab_00.Trial[CONTA],$B74)</f>
        <v>0</v>
      </c>
      <c r="AE74" s="78">
        <f t="shared" ca="1" si="143"/>
        <v>0</v>
      </c>
      <c r="AF74" s="78">
        <f t="shared" ca="1" si="156"/>
        <v>0</v>
      </c>
      <c r="AG74" s="4">
        <f ca="1">-SUMIFS(INDIRECT("Tab_00.Trial["&amp;AG$4&amp;"]"),Tab_00.Trial[CONTA],$B74)</f>
        <v>0</v>
      </c>
      <c r="AH74" s="78">
        <f t="shared" ca="1" si="144"/>
        <v>0</v>
      </c>
      <c r="AI74" s="78">
        <f t="shared" ca="1" si="157"/>
        <v>0</v>
      </c>
      <c r="AJ74" s="4">
        <f ca="1">-SUMIFS(INDIRECT("Tab_00.Trial["&amp;AJ$4&amp;"]"),Tab_00.Trial[CONTA],$B74)</f>
        <v>0</v>
      </c>
      <c r="AK74" s="78">
        <f t="shared" ca="1" si="145"/>
        <v>0</v>
      </c>
      <c r="AL74" s="78">
        <f t="shared" ca="1" si="158"/>
        <v>0</v>
      </c>
      <c r="AM74" s="4">
        <f ca="1">-SUMIFS(INDIRECT("Tab_00.Trial["&amp;AM$4&amp;"]"),Tab_00.Trial[CONTA],$B74)</f>
        <v>0</v>
      </c>
      <c r="AN74" s="78">
        <f t="shared" ca="1" si="146"/>
        <v>0</v>
      </c>
      <c r="AO74" s="78">
        <f t="shared" ca="1" si="159"/>
        <v>0</v>
      </c>
    </row>
    <row r="75" spans="2:41" ht="15" hidden="1" customHeight="1" outlineLevel="1" x14ac:dyDescent="0.3">
      <c r="B75" s="14"/>
      <c r="C75" s="15"/>
      <c r="D75" s="4">
        <f>-SUMIFS(Tab_99.Trial[DEZEMBRO],Tab_99.Trial[CONTA],$B75)</f>
        <v>0</v>
      </c>
      <c r="E75" s="78">
        <f t="shared" ca="1" si="147"/>
        <v>0</v>
      </c>
      <c r="F75" s="4">
        <f ca="1">-SUMIFS(INDIRECT("Tab_00.Trial["&amp;F$4&amp;"]"),Tab_00.Trial[CONTA],$B75)</f>
        <v>0</v>
      </c>
      <c r="G75" s="78">
        <f t="shared" ca="1" si="135"/>
        <v>0</v>
      </c>
      <c r="H75" s="78">
        <f t="shared" ca="1" si="148"/>
        <v>0</v>
      </c>
      <c r="I75" s="4">
        <f ca="1">-SUMIFS(INDIRECT("Tab_00.Trial["&amp;I$4&amp;"]"),Tab_00.Trial[CONTA],$B75)</f>
        <v>0</v>
      </c>
      <c r="J75" s="78">
        <f t="shared" ca="1" si="136"/>
        <v>0</v>
      </c>
      <c r="K75" s="78">
        <f t="shared" ca="1" si="149"/>
        <v>0</v>
      </c>
      <c r="L75" s="4">
        <f ca="1">-SUMIFS(INDIRECT("Tab_00.Trial["&amp;L$4&amp;"]"),Tab_00.Trial[CONTA],$B75)</f>
        <v>0</v>
      </c>
      <c r="M75" s="78">
        <f t="shared" ca="1" si="137"/>
        <v>0</v>
      </c>
      <c r="N75" s="78">
        <f t="shared" ca="1" si="150"/>
        <v>0</v>
      </c>
      <c r="O75" s="4">
        <f ca="1">-SUMIFS(INDIRECT("Tab_00.Trial["&amp;O$4&amp;"]"),Tab_00.Trial[CONTA],$B75)</f>
        <v>0</v>
      </c>
      <c r="P75" s="78">
        <f t="shared" ca="1" si="138"/>
        <v>0</v>
      </c>
      <c r="Q75" s="78">
        <f t="shared" ca="1" si="151"/>
        <v>0</v>
      </c>
      <c r="R75" s="4">
        <f ca="1">-SUMIFS(INDIRECT("Tab_00.Trial["&amp;R$4&amp;"]"),Tab_00.Trial[CONTA],$B75)</f>
        <v>0</v>
      </c>
      <c r="S75" s="78">
        <f t="shared" ca="1" si="139"/>
        <v>0</v>
      </c>
      <c r="T75" s="78">
        <f t="shared" ca="1" si="152"/>
        <v>0</v>
      </c>
      <c r="U75" s="4">
        <f ca="1">-SUMIFS(INDIRECT("Tab_00.Trial["&amp;U$4&amp;"]"),Tab_00.Trial[CONTA],$B75)</f>
        <v>0</v>
      </c>
      <c r="V75" s="78">
        <f t="shared" ca="1" si="140"/>
        <v>0</v>
      </c>
      <c r="W75" s="78">
        <f t="shared" ca="1" si="153"/>
        <v>0</v>
      </c>
      <c r="X75" s="4">
        <f ca="1">-SUMIFS(INDIRECT("Tab_00.Trial["&amp;X$4&amp;"]"),Tab_00.Trial[CONTA],$B75)</f>
        <v>0</v>
      </c>
      <c r="Y75" s="78">
        <f t="shared" ca="1" si="141"/>
        <v>0</v>
      </c>
      <c r="Z75" s="78">
        <f t="shared" ca="1" si="154"/>
        <v>0</v>
      </c>
      <c r="AA75" s="4">
        <f ca="1">-SUMIFS(INDIRECT("Tab_00.Trial["&amp;AA$4&amp;"]"),Tab_00.Trial[CONTA],$B75)</f>
        <v>0</v>
      </c>
      <c r="AB75" s="78">
        <f t="shared" ca="1" si="142"/>
        <v>0</v>
      </c>
      <c r="AC75" s="78">
        <f t="shared" ca="1" si="155"/>
        <v>0</v>
      </c>
      <c r="AD75" s="4">
        <f ca="1">-SUMIFS(INDIRECT("Tab_00.Trial["&amp;AD$4&amp;"]"),Tab_00.Trial[CONTA],$B75)</f>
        <v>0</v>
      </c>
      <c r="AE75" s="78">
        <f t="shared" ca="1" si="143"/>
        <v>0</v>
      </c>
      <c r="AF75" s="78">
        <f t="shared" ca="1" si="156"/>
        <v>0</v>
      </c>
      <c r="AG75" s="4">
        <f ca="1">-SUMIFS(INDIRECT("Tab_00.Trial["&amp;AG$4&amp;"]"),Tab_00.Trial[CONTA],$B75)</f>
        <v>0</v>
      </c>
      <c r="AH75" s="78">
        <f t="shared" ca="1" si="144"/>
        <v>0</v>
      </c>
      <c r="AI75" s="78">
        <f t="shared" ca="1" si="157"/>
        <v>0</v>
      </c>
      <c r="AJ75" s="4">
        <f ca="1">-SUMIFS(INDIRECT("Tab_00.Trial["&amp;AJ$4&amp;"]"),Tab_00.Trial[CONTA],$B75)</f>
        <v>0</v>
      </c>
      <c r="AK75" s="78">
        <f t="shared" ca="1" si="145"/>
        <v>0</v>
      </c>
      <c r="AL75" s="78">
        <f t="shared" ca="1" si="158"/>
        <v>0</v>
      </c>
      <c r="AM75" s="4">
        <f ca="1">-SUMIFS(INDIRECT("Tab_00.Trial["&amp;AM$4&amp;"]"),Tab_00.Trial[CONTA],$B75)</f>
        <v>0</v>
      </c>
      <c r="AN75" s="78">
        <f t="shared" ca="1" si="146"/>
        <v>0</v>
      </c>
      <c r="AO75" s="78">
        <f t="shared" ca="1" si="159"/>
        <v>0</v>
      </c>
    </row>
    <row r="76" spans="2:41" ht="15" hidden="1" customHeight="1" outlineLevel="1" x14ac:dyDescent="0.3">
      <c r="B76" s="14"/>
      <c r="C76" s="15"/>
      <c r="D76" s="4">
        <f>-SUMIFS(Tab_99.Trial[DEZEMBRO],Tab_99.Trial[CONTA],$B76)</f>
        <v>0</v>
      </c>
      <c r="E76" s="78">
        <f t="shared" ca="1" si="147"/>
        <v>0</v>
      </c>
      <c r="F76" s="4">
        <f ca="1">-SUMIFS(INDIRECT("Tab_00.Trial["&amp;F$4&amp;"]"),Tab_00.Trial[CONTA],$B76)</f>
        <v>0</v>
      </c>
      <c r="G76" s="78">
        <f t="shared" ca="1" si="135"/>
        <v>0</v>
      </c>
      <c r="H76" s="78">
        <f t="shared" ca="1" si="148"/>
        <v>0</v>
      </c>
      <c r="I76" s="4">
        <f ca="1">-SUMIFS(INDIRECT("Tab_00.Trial["&amp;I$4&amp;"]"),Tab_00.Trial[CONTA],$B76)</f>
        <v>0</v>
      </c>
      <c r="J76" s="78">
        <f t="shared" ca="1" si="136"/>
        <v>0</v>
      </c>
      <c r="K76" s="78">
        <f t="shared" ca="1" si="149"/>
        <v>0</v>
      </c>
      <c r="L76" s="4">
        <f ca="1">-SUMIFS(INDIRECT("Tab_00.Trial["&amp;L$4&amp;"]"),Tab_00.Trial[CONTA],$B76)</f>
        <v>0</v>
      </c>
      <c r="M76" s="78">
        <f t="shared" ca="1" si="137"/>
        <v>0</v>
      </c>
      <c r="N76" s="78">
        <f t="shared" ca="1" si="150"/>
        <v>0</v>
      </c>
      <c r="O76" s="4">
        <f ca="1">-SUMIFS(INDIRECT("Tab_00.Trial["&amp;O$4&amp;"]"),Tab_00.Trial[CONTA],$B76)</f>
        <v>0</v>
      </c>
      <c r="P76" s="78">
        <f t="shared" ca="1" si="138"/>
        <v>0</v>
      </c>
      <c r="Q76" s="78">
        <f t="shared" ca="1" si="151"/>
        <v>0</v>
      </c>
      <c r="R76" s="4">
        <f ca="1">-SUMIFS(INDIRECT("Tab_00.Trial["&amp;R$4&amp;"]"),Tab_00.Trial[CONTA],$B76)</f>
        <v>0</v>
      </c>
      <c r="S76" s="78">
        <f t="shared" ca="1" si="139"/>
        <v>0</v>
      </c>
      <c r="T76" s="78">
        <f t="shared" ca="1" si="152"/>
        <v>0</v>
      </c>
      <c r="U76" s="4">
        <f ca="1">-SUMIFS(INDIRECT("Tab_00.Trial["&amp;U$4&amp;"]"),Tab_00.Trial[CONTA],$B76)</f>
        <v>0</v>
      </c>
      <c r="V76" s="78">
        <f t="shared" ca="1" si="140"/>
        <v>0</v>
      </c>
      <c r="W76" s="78">
        <f t="shared" ca="1" si="153"/>
        <v>0</v>
      </c>
      <c r="X76" s="4">
        <f ca="1">-SUMIFS(INDIRECT("Tab_00.Trial["&amp;X$4&amp;"]"),Tab_00.Trial[CONTA],$B76)</f>
        <v>0</v>
      </c>
      <c r="Y76" s="78">
        <f t="shared" ca="1" si="141"/>
        <v>0</v>
      </c>
      <c r="Z76" s="78">
        <f t="shared" ca="1" si="154"/>
        <v>0</v>
      </c>
      <c r="AA76" s="4">
        <f ca="1">-SUMIFS(INDIRECT("Tab_00.Trial["&amp;AA$4&amp;"]"),Tab_00.Trial[CONTA],$B76)</f>
        <v>0</v>
      </c>
      <c r="AB76" s="78">
        <f t="shared" ca="1" si="142"/>
        <v>0</v>
      </c>
      <c r="AC76" s="78">
        <f t="shared" ca="1" si="155"/>
        <v>0</v>
      </c>
      <c r="AD76" s="4">
        <f ca="1">-SUMIFS(INDIRECT("Tab_00.Trial["&amp;AD$4&amp;"]"),Tab_00.Trial[CONTA],$B76)</f>
        <v>0</v>
      </c>
      <c r="AE76" s="78">
        <f t="shared" ca="1" si="143"/>
        <v>0</v>
      </c>
      <c r="AF76" s="78">
        <f t="shared" ca="1" si="156"/>
        <v>0</v>
      </c>
      <c r="AG76" s="4">
        <f ca="1">-SUMIFS(INDIRECT("Tab_00.Trial["&amp;AG$4&amp;"]"),Tab_00.Trial[CONTA],$B76)</f>
        <v>0</v>
      </c>
      <c r="AH76" s="78">
        <f t="shared" ca="1" si="144"/>
        <v>0</v>
      </c>
      <c r="AI76" s="78">
        <f t="shared" ca="1" si="157"/>
        <v>0</v>
      </c>
      <c r="AJ76" s="4">
        <f ca="1">-SUMIFS(INDIRECT("Tab_00.Trial["&amp;AJ$4&amp;"]"),Tab_00.Trial[CONTA],$B76)</f>
        <v>0</v>
      </c>
      <c r="AK76" s="78">
        <f t="shared" ca="1" si="145"/>
        <v>0</v>
      </c>
      <c r="AL76" s="78">
        <f t="shared" ca="1" si="158"/>
        <v>0</v>
      </c>
      <c r="AM76" s="4">
        <f ca="1">-SUMIFS(INDIRECT("Tab_00.Trial["&amp;AM$4&amp;"]"),Tab_00.Trial[CONTA],$B76)</f>
        <v>0</v>
      </c>
      <c r="AN76" s="78">
        <f t="shared" ca="1" si="146"/>
        <v>0</v>
      </c>
      <c r="AO76" s="78">
        <f t="shared" ca="1" si="159"/>
        <v>0</v>
      </c>
    </row>
    <row r="77" spans="2:41" ht="15" hidden="1" customHeight="1" outlineLevel="1" x14ac:dyDescent="0.3">
      <c r="B77" s="14"/>
      <c r="C77" s="15"/>
      <c r="D77" s="4">
        <f>-SUMIFS(Tab_99.Trial[DEZEMBRO],Tab_99.Trial[CONTA],$B77)</f>
        <v>0</v>
      </c>
      <c r="E77" s="78">
        <f t="shared" ca="1" si="147"/>
        <v>0</v>
      </c>
      <c r="F77" s="4">
        <f ca="1">-SUMIFS(INDIRECT("Tab_00.Trial["&amp;F$4&amp;"]"),Tab_00.Trial[CONTA],$B77)</f>
        <v>0</v>
      </c>
      <c r="G77" s="78">
        <f t="shared" ca="1" si="135"/>
        <v>0</v>
      </c>
      <c r="H77" s="78">
        <f t="shared" ca="1" si="148"/>
        <v>0</v>
      </c>
      <c r="I77" s="4">
        <f ca="1">-SUMIFS(INDIRECT("Tab_00.Trial["&amp;I$4&amp;"]"),Tab_00.Trial[CONTA],$B77)</f>
        <v>0</v>
      </c>
      <c r="J77" s="78">
        <f t="shared" ca="1" si="136"/>
        <v>0</v>
      </c>
      <c r="K77" s="78">
        <f t="shared" ca="1" si="149"/>
        <v>0</v>
      </c>
      <c r="L77" s="4">
        <f ca="1">-SUMIFS(INDIRECT("Tab_00.Trial["&amp;L$4&amp;"]"),Tab_00.Trial[CONTA],$B77)</f>
        <v>0</v>
      </c>
      <c r="M77" s="78">
        <f t="shared" ca="1" si="137"/>
        <v>0</v>
      </c>
      <c r="N77" s="78">
        <f t="shared" ca="1" si="150"/>
        <v>0</v>
      </c>
      <c r="O77" s="4">
        <f ca="1">-SUMIFS(INDIRECT("Tab_00.Trial["&amp;O$4&amp;"]"),Tab_00.Trial[CONTA],$B77)</f>
        <v>0</v>
      </c>
      <c r="P77" s="78">
        <f t="shared" ca="1" si="138"/>
        <v>0</v>
      </c>
      <c r="Q77" s="78">
        <f t="shared" ca="1" si="151"/>
        <v>0</v>
      </c>
      <c r="R77" s="4">
        <f ca="1">-SUMIFS(INDIRECT("Tab_00.Trial["&amp;R$4&amp;"]"),Tab_00.Trial[CONTA],$B77)</f>
        <v>0</v>
      </c>
      <c r="S77" s="78">
        <f t="shared" ca="1" si="139"/>
        <v>0</v>
      </c>
      <c r="T77" s="78">
        <f t="shared" ca="1" si="152"/>
        <v>0</v>
      </c>
      <c r="U77" s="4">
        <f ca="1">-SUMIFS(INDIRECT("Tab_00.Trial["&amp;U$4&amp;"]"),Tab_00.Trial[CONTA],$B77)</f>
        <v>0</v>
      </c>
      <c r="V77" s="78">
        <f t="shared" ca="1" si="140"/>
        <v>0</v>
      </c>
      <c r="W77" s="78">
        <f t="shared" ca="1" si="153"/>
        <v>0</v>
      </c>
      <c r="X77" s="4">
        <f ca="1">-SUMIFS(INDIRECT("Tab_00.Trial["&amp;X$4&amp;"]"),Tab_00.Trial[CONTA],$B77)</f>
        <v>0</v>
      </c>
      <c r="Y77" s="78">
        <f t="shared" ca="1" si="141"/>
        <v>0</v>
      </c>
      <c r="Z77" s="78">
        <f t="shared" ca="1" si="154"/>
        <v>0</v>
      </c>
      <c r="AA77" s="4">
        <f ca="1">-SUMIFS(INDIRECT("Tab_00.Trial["&amp;AA$4&amp;"]"),Tab_00.Trial[CONTA],$B77)</f>
        <v>0</v>
      </c>
      <c r="AB77" s="78">
        <f t="shared" ca="1" si="142"/>
        <v>0</v>
      </c>
      <c r="AC77" s="78">
        <f t="shared" ca="1" si="155"/>
        <v>0</v>
      </c>
      <c r="AD77" s="4">
        <f ca="1">-SUMIFS(INDIRECT("Tab_00.Trial["&amp;AD$4&amp;"]"),Tab_00.Trial[CONTA],$B77)</f>
        <v>0</v>
      </c>
      <c r="AE77" s="78">
        <f t="shared" ca="1" si="143"/>
        <v>0</v>
      </c>
      <c r="AF77" s="78">
        <f t="shared" ca="1" si="156"/>
        <v>0</v>
      </c>
      <c r="AG77" s="4">
        <f ca="1">-SUMIFS(INDIRECT("Tab_00.Trial["&amp;AG$4&amp;"]"),Tab_00.Trial[CONTA],$B77)</f>
        <v>0</v>
      </c>
      <c r="AH77" s="78">
        <f t="shared" ca="1" si="144"/>
        <v>0</v>
      </c>
      <c r="AI77" s="78">
        <f t="shared" ca="1" si="157"/>
        <v>0</v>
      </c>
      <c r="AJ77" s="4">
        <f ca="1">-SUMIFS(INDIRECT("Tab_00.Trial["&amp;AJ$4&amp;"]"),Tab_00.Trial[CONTA],$B77)</f>
        <v>0</v>
      </c>
      <c r="AK77" s="78">
        <f t="shared" ca="1" si="145"/>
        <v>0</v>
      </c>
      <c r="AL77" s="78">
        <f t="shared" ca="1" si="158"/>
        <v>0</v>
      </c>
      <c r="AM77" s="4">
        <f ca="1">-SUMIFS(INDIRECT("Tab_00.Trial["&amp;AM$4&amp;"]"),Tab_00.Trial[CONTA],$B77)</f>
        <v>0</v>
      </c>
      <c r="AN77" s="78">
        <f t="shared" ca="1" si="146"/>
        <v>0</v>
      </c>
      <c r="AO77" s="78">
        <f t="shared" ca="1" si="159"/>
        <v>0</v>
      </c>
    </row>
    <row r="78" spans="2:41" ht="15" hidden="1" customHeight="1" outlineLevel="1" x14ac:dyDescent="0.3">
      <c r="B78" s="14"/>
      <c r="C78" s="15"/>
      <c r="D78" s="4">
        <f>-SUMIFS(Tab_99.Trial[DEZEMBRO],Tab_99.Trial[CONTA],$B78)</f>
        <v>0</v>
      </c>
      <c r="E78" s="78">
        <f t="shared" ca="1" si="147"/>
        <v>0</v>
      </c>
      <c r="F78" s="4">
        <f ca="1">-SUMIFS(INDIRECT("Tab_00.Trial["&amp;F$4&amp;"]"),Tab_00.Trial[CONTA],$B78)</f>
        <v>0</v>
      </c>
      <c r="G78" s="78">
        <f t="shared" ca="1" si="135"/>
        <v>0</v>
      </c>
      <c r="H78" s="78">
        <f t="shared" ca="1" si="148"/>
        <v>0</v>
      </c>
      <c r="I78" s="4">
        <f ca="1">-SUMIFS(INDIRECT("Tab_00.Trial["&amp;I$4&amp;"]"),Tab_00.Trial[CONTA],$B78)</f>
        <v>0</v>
      </c>
      <c r="J78" s="78">
        <f t="shared" ca="1" si="136"/>
        <v>0</v>
      </c>
      <c r="K78" s="78">
        <f t="shared" ca="1" si="149"/>
        <v>0</v>
      </c>
      <c r="L78" s="4">
        <f ca="1">-SUMIFS(INDIRECT("Tab_00.Trial["&amp;L$4&amp;"]"),Tab_00.Trial[CONTA],$B78)</f>
        <v>0</v>
      </c>
      <c r="M78" s="78">
        <f t="shared" ca="1" si="137"/>
        <v>0</v>
      </c>
      <c r="N78" s="78">
        <f t="shared" ca="1" si="150"/>
        <v>0</v>
      </c>
      <c r="O78" s="4">
        <f ca="1">-SUMIFS(INDIRECT("Tab_00.Trial["&amp;O$4&amp;"]"),Tab_00.Trial[CONTA],$B78)</f>
        <v>0</v>
      </c>
      <c r="P78" s="78">
        <f t="shared" ca="1" si="138"/>
        <v>0</v>
      </c>
      <c r="Q78" s="78">
        <f t="shared" ca="1" si="151"/>
        <v>0</v>
      </c>
      <c r="R78" s="4">
        <f ca="1">-SUMIFS(INDIRECT("Tab_00.Trial["&amp;R$4&amp;"]"),Tab_00.Trial[CONTA],$B78)</f>
        <v>0</v>
      </c>
      <c r="S78" s="78">
        <f t="shared" ca="1" si="139"/>
        <v>0</v>
      </c>
      <c r="T78" s="78">
        <f t="shared" ca="1" si="152"/>
        <v>0</v>
      </c>
      <c r="U78" s="4">
        <f ca="1">-SUMIFS(INDIRECT("Tab_00.Trial["&amp;U$4&amp;"]"),Tab_00.Trial[CONTA],$B78)</f>
        <v>0</v>
      </c>
      <c r="V78" s="78">
        <f t="shared" ca="1" si="140"/>
        <v>0</v>
      </c>
      <c r="W78" s="78">
        <f t="shared" ca="1" si="153"/>
        <v>0</v>
      </c>
      <c r="X78" s="4">
        <f ca="1">-SUMIFS(INDIRECT("Tab_00.Trial["&amp;X$4&amp;"]"),Tab_00.Trial[CONTA],$B78)</f>
        <v>0</v>
      </c>
      <c r="Y78" s="78">
        <f t="shared" ca="1" si="141"/>
        <v>0</v>
      </c>
      <c r="Z78" s="78">
        <f t="shared" ca="1" si="154"/>
        <v>0</v>
      </c>
      <c r="AA78" s="4">
        <f ca="1">-SUMIFS(INDIRECT("Tab_00.Trial["&amp;AA$4&amp;"]"),Tab_00.Trial[CONTA],$B78)</f>
        <v>0</v>
      </c>
      <c r="AB78" s="78">
        <f t="shared" ca="1" si="142"/>
        <v>0</v>
      </c>
      <c r="AC78" s="78">
        <f t="shared" ca="1" si="155"/>
        <v>0</v>
      </c>
      <c r="AD78" s="4">
        <f ca="1">-SUMIFS(INDIRECT("Tab_00.Trial["&amp;AD$4&amp;"]"),Tab_00.Trial[CONTA],$B78)</f>
        <v>0</v>
      </c>
      <c r="AE78" s="78">
        <f t="shared" ca="1" si="143"/>
        <v>0</v>
      </c>
      <c r="AF78" s="78">
        <f t="shared" ca="1" si="156"/>
        <v>0</v>
      </c>
      <c r="AG78" s="4">
        <f ca="1">-SUMIFS(INDIRECT("Tab_00.Trial["&amp;AG$4&amp;"]"),Tab_00.Trial[CONTA],$B78)</f>
        <v>0</v>
      </c>
      <c r="AH78" s="78">
        <f t="shared" ca="1" si="144"/>
        <v>0</v>
      </c>
      <c r="AI78" s="78">
        <f t="shared" ca="1" si="157"/>
        <v>0</v>
      </c>
      <c r="AJ78" s="4">
        <f ca="1">-SUMIFS(INDIRECT("Tab_00.Trial["&amp;AJ$4&amp;"]"),Tab_00.Trial[CONTA],$B78)</f>
        <v>0</v>
      </c>
      <c r="AK78" s="78">
        <f t="shared" ca="1" si="145"/>
        <v>0</v>
      </c>
      <c r="AL78" s="78">
        <f t="shared" ca="1" si="158"/>
        <v>0</v>
      </c>
      <c r="AM78" s="4">
        <f ca="1">-SUMIFS(INDIRECT("Tab_00.Trial["&amp;AM$4&amp;"]"),Tab_00.Trial[CONTA],$B78)</f>
        <v>0</v>
      </c>
      <c r="AN78" s="78">
        <f t="shared" ca="1" si="146"/>
        <v>0</v>
      </c>
      <c r="AO78" s="78">
        <f t="shared" ca="1" si="159"/>
        <v>0</v>
      </c>
    </row>
    <row r="79" spans="2:41" ht="15" hidden="1" customHeight="1" outlineLevel="1" x14ac:dyDescent="0.3">
      <c r="B79" s="14"/>
      <c r="C79" s="15"/>
      <c r="D79" s="4">
        <f>-SUMIFS(Tab_99.Trial[DEZEMBRO],Tab_99.Trial[CONTA],$B79)</f>
        <v>0</v>
      </c>
      <c r="E79" s="78">
        <f t="shared" ca="1" si="147"/>
        <v>0</v>
      </c>
      <c r="F79" s="4">
        <f ca="1">-SUMIFS(INDIRECT("Tab_00.Trial["&amp;F$4&amp;"]"),Tab_00.Trial[CONTA],$B79)</f>
        <v>0</v>
      </c>
      <c r="G79" s="78">
        <f t="shared" ca="1" si="135"/>
        <v>0</v>
      </c>
      <c r="H79" s="78">
        <f t="shared" ca="1" si="148"/>
        <v>0</v>
      </c>
      <c r="I79" s="4">
        <f ca="1">-SUMIFS(INDIRECT("Tab_00.Trial["&amp;I$4&amp;"]"),Tab_00.Trial[CONTA],$B79)</f>
        <v>0</v>
      </c>
      <c r="J79" s="78">
        <f t="shared" ca="1" si="136"/>
        <v>0</v>
      </c>
      <c r="K79" s="78">
        <f t="shared" ca="1" si="149"/>
        <v>0</v>
      </c>
      <c r="L79" s="4">
        <f ca="1">-SUMIFS(INDIRECT("Tab_00.Trial["&amp;L$4&amp;"]"),Tab_00.Trial[CONTA],$B79)</f>
        <v>0</v>
      </c>
      <c r="M79" s="78">
        <f t="shared" ca="1" si="137"/>
        <v>0</v>
      </c>
      <c r="N79" s="78">
        <f t="shared" ca="1" si="150"/>
        <v>0</v>
      </c>
      <c r="O79" s="4">
        <f ca="1">-SUMIFS(INDIRECT("Tab_00.Trial["&amp;O$4&amp;"]"),Tab_00.Trial[CONTA],$B79)</f>
        <v>0</v>
      </c>
      <c r="P79" s="78">
        <f t="shared" ca="1" si="138"/>
        <v>0</v>
      </c>
      <c r="Q79" s="78">
        <f t="shared" ca="1" si="151"/>
        <v>0</v>
      </c>
      <c r="R79" s="4">
        <f ca="1">-SUMIFS(INDIRECT("Tab_00.Trial["&amp;R$4&amp;"]"),Tab_00.Trial[CONTA],$B79)</f>
        <v>0</v>
      </c>
      <c r="S79" s="78">
        <f t="shared" ca="1" si="139"/>
        <v>0</v>
      </c>
      <c r="T79" s="78">
        <f t="shared" ca="1" si="152"/>
        <v>0</v>
      </c>
      <c r="U79" s="4">
        <f ca="1">-SUMIFS(INDIRECT("Tab_00.Trial["&amp;U$4&amp;"]"),Tab_00.Trial[CONTA],$B79)</f>
        <v>0</v>
      </c>
      <c r="V79" s="78">
        <f t="shared" ca="1" si="140"/>
        <v>0</v>
      </c>
      <c r="W79" s="78">
        <f t="shared" ca="1" si="153"/>
        <v>0</v>
      </c>
      <c r="X79" s="4">
        <f ca="1">-SUMIFS(INDIRECT("Tab_00.Trial["&amp;X$4&amp;"]"),Tab_00.Trial[CONTA],$B79)</f>
        <v>0</v>
      </c>
      <c r="Y79" s="78">
        <f t="shared" ca="1" si="141"/>
        <v>0</v>
      </c>
      <c r="Z79" s="78">
        <f t="shared" ca="1" si="154"/>
        <v>0</v>
      </c>
      <c r="AA79" s="4">
        <f ca="1">-SUMIFS(INDIRECT("Tab_00.Trial["&amp;AA$4&amp;"]"),Tab_00.Trial[CONTA],$B79)</f>
        <v>0</v>
      </c>
      <c r="AB79" s="78">
        <f t="shared" ca="1" si="142"/>
        <v>0</v>
      </c>
      <c r="AC79" s="78">
        <f t="shared" ca="1" si="155"/>
        <v>0</v>
      </c>
      <c r="AD79" s="4">
        <f ca="1">-SUMIFS(INDIRECT("Tab_00.Trial["&amp;AD$4&amp;"]"),Tab_00.Trial[CONTA],$B79)</f>
        <v>0</v>
      </c>
      <c r="AE79" s="78">
        <f t="shared" ca="1" si="143"/>
        <v>0</v>
      </c>
      <c r="AF79" s="78">
        <f t="shared" ca="1" si="156"/>
        <v>0</v>
      </c>
      <c r="AG79" s="4">
        <f ca="1">-SUMIFS(INDIRECT("Tab_00.Trial["&amp;AG$4&amp;"]"),Tab_00.Trial[CONTA],$B79)</f>
        <v>0</v>
      </c>
      <c r="AH79" s="78">
        <f t="shared" ca="1" si="144"/>
        <v>0</v>
      </c>
      <c r="AI79" s="78">
        <f t="shared" ca="1" si="157"/>
        <v>0</v>
      </c>
      <c r="AJ79" s="4">
        <f ca="1">-SUMIFS(INDIRECT("Tab_00.Trial["&amp;AJ$4&amp;"]"),Tab_00.Trial[CONTA],$B79)</f>
        <v>0</v>
      </c>
      <c r="AK79" s="78">
        <f t="shared" ca="1" si="145"/>
        <v>0</v>
      </c>
      <c r="AL79" s="78">
        <f t="shared" ca="1" si="158"/>
        <v>0</v>
      </c>
      <c r="AM79" s="4">
        <f ca="1">-SUMIFS(INDIRECT("Tab_00.Trial["&amp;AM$4&amp;"]"),Tab_00.Trial[CONTA],$B79)</f>
        <v>0</v>
      </c>
      <c r="AN79" s="78">
        <f t="shared" ca="1" si="146"/>
        <v>0</v>
      </c>
      <c r="AO79" s="78">
        <f t="shared" ca="1" si="159"/>
        <v>0</v>
      </c>
    </row>
    <row r="80" spans="2:41" ht="15" hidden="1" customHeight="1" outlineLevel="1" x14ac:dyDescent="0.3">
      <c r="B80" s="14"/>
      <c r="C80" s="15"/>
      <c r="D80" s="4">
        <f>-SUMIFS(Tab_99.Trial[DEZEMBRO],Tab_99.Trial[CONTA],$B80)</f>
        <v>0</v>
      </c>
      <c r="E80" s="78">
        <f t="shared" ca="1" si="147"/>
        <v>0</v>
      </c>
      <c r="F80" s="4">
        <f ca="1">-SUMIFS(INDIRECT("Tab_00.Trial["&amp;F$4&amp;"]"),Tab_00.Trial[CONTA],$B80)</f>
        <v>0</v>
      </c>
      <c r="G80" s="78">
        <f t="shared" ca="1" si="135"/>
        <v>0</v>
      </c>
      <c r="H80" s="78">
        <f t="shared" ca="1" si="148"/>
        <v>0</v>
      </c>
      <c r="I80" s="4">
        <f ca="1">-SUMIFS(INDIRECT("Tab_00.Trial["&amp;I$4&amp;"]"),Tab_00.Trial[CONTA],$B80)</f>
        <v>0</v>
      </c>
      <c r="J80" s="78">
        <f t="shared" ca="1" si="136"/>
        <v>0</v>
      </c>
      <c r="K80" s="78">
        <f t="shared" ca="1" si="149"/>
        <v>0</v>
      </c>
      <c r="L80" s="4">
        <f ca="1">-SUMIFS(INDIRECT("Tab_00.Trial["&amp;L$4&amp;"]"),Tab_00.Trial[CONTA],$B80)</f>
        <v>0</v>
      </c>
      <c r="M80" s="78">
        <f t="shared" ca="1" si="137"/>
        <v>0</v>
      </c>
      <c r="N80" s="78">
        <f t="shared" ca="1" si="150"/>
        <v>0</v>
      </c>
      <c r="O80" s="4">
        <f ca="1">-SUMIFS(INDIRECT("Tab_00.Trial["&amp;O$4&amp;"]"),Tab_00.Trial[CONTA],$B80)</f>
        <v>0</v>
      </c>
      <c r="P80" s="78">
        <f t="shared" ca="1" si="138"/>
        <v>0</v>
      </c>
      <c r="Q80" s="78">
        <f t="shared" ca="1" si="151"/>
        <v>0</v>
      </c>
      <c r="R80" s="4">
        <f ca="1">-SUMIFS(INDIRECT("Tab_00.Trial["&amp;R$4&amp;"]"),Tab_00.Trial[CONTA],$B80)</f>
        <v>0</v>
      </c>
      <c r="S80" s="78">
        <f t="shared" ca="1" si="139"/>
        <v>0</v>
      </c>
      <c r="T80" s="78">
        <f t="shared" ca="1" si="152"/>
        <v>0</v>
      </c>
      <c r="U80" s="4">
        <f ca="1">-SUMIFS(INDIRECT("Tab_00.Trial["&amp;U$4&amp;"]"),Tab_00.Trial[CONTA],$B80)</f>
        <v>0</v>
      </c>
      <c r="V80" s="78">
        <f t="shared" ca="1" si="140"/>
        <v>0</v>
      </c>
      <c r="W80" s="78">
        <f t="shared" ca="1" si="153"/>
        <v>0</v>
      </c>
      <c r="X80" s="4">
        <f ca="1">-SUMIFS(INDIRECT("Tab_00.Trial["&amp;X$4&amp;"]"),Tab_00.Trial[CONTA],$B80)</f>
        <v>0</v>
      </c>
      <c r="Y80" s="78">
        <f t="shared" ca="1" si="141"/>
        <v>0</v>
      </c>
      <c r="Z80" s="78">
        <f t="shared" ca="1" si="154"/>
        <v>0</v>
      </c>
      <c r="AA80" s="4">
        <f ca="1">-SUMIFS(INDIRECT("Tab_00.Trial["&amp;AA$4&amp;"]"),Tab_00.Trial[CONTA],$B80)</f>
        <v>0</v>
      </c>
      <c r="AB80" s="78">
        <f t="shared" ca="1" si="142"/>
        <v>0</v>
      </c>
      <c r="AC80" s="78">
        <f t="shared" ca="1" si="155"/>
        <v>0</v>
      </c>
      <c r="AD80" s="4">
        <f ca="1">-SUMIFS(INDIRECT("Tab_00.Trial["&amp;AD$4&amp;"]"),Tab_00.Trial[CONTA],$B80)</f>
        <v>0</v>
      </c>
      <c r="AE80" s="78">
        <f t="shared" ca="1" si="143"/>
        <v>0</v>
      </c>
      <c r="AF80" s="78">
        <f t="shared" ca="1" si="156"/>
        <v>0</v>
      </c>
      <c r="AG80" s="4">
        <f ca="1">-SUMIFS(INDIRECT("Tab_00.Trial["&amp;AG$4&amp;"]"),Tab_00.Trial[CONTA],$B80)</f>
        <v>0</v>
      </c>
      <c r="AH80" s="78">
        <f t="shared" ca="1" si="144"/>
        <v>0</v>
      </c>
      <c r="AI80" s="78">
        <f t="shared" ca="1" si="157"/>
        <v>0</v>
      </c>
      <c r="AJ80" s="4">
        <f ca="1">-SUMIFS(INDIRECT("Tab_00.Trial["&amp;AJ$4&amp;"]"),Tab_00.Trial[CONTA],$B80)</f>
        <v>0</v>
      </c>
      <c r="AK80" s="78">
        <f t="shared" ca="1" si="145"/>
        <v>0</v>
      </c>
      <c r="AL80" s="78">
        <f t="shared" ca="1" si="158"/>
        <v>0</v>
      </c>
      <c r="AM80" s="4">
        <f ca="1">-SUMIFS(INDIRECT("Tab_00.Trial["&amp;AM$4&amp;"]"),Tab_00.Trial[CONTA],$B80)</f>
        <v>0</v>
      </c>
      <c r="AN80" s="78">
        <f t="shared" ca="1" si="146"/>
        <v>0</v>
      </c>
      <c r="AO80" s="78">
        <f t="shared" ca="1" si="159"/>
        <v>0</v>
      </c>
    </row>
    <row r="81" spans="2:41" ht="15" hidden="1" customHeight="1" outlineLevel="1" x14ac:dyDescent="0.3">
      <c r="B81" s="14"/>
      <c r="C81" s="15"/>
      <c r="D81" s="4">
        <f>-SUMIFS(Tab_99.Trial[DEZEMBRO],Tab_99.Trial[CONTA],$B81)</f>
        <v>0</v>
      </c>
      <c r="E81" s="78">
        <f t="shared" ca="1" si="147"/>
        <v>0</v>
      </c>
      <c r="F81" s="4">
        <f ca="1">-SUMIFS(INDIRECT("Tab_00.Trial["&amp;F$4&amp;"]"),Tab_00.Trial[CONTA],$B81)</f>
        <v>0</v>
      </c>
      <c r="G81" s="78">
        <f t="shared" ca="1" si="135"/>
        <v>0</v>
      </c>
      <c r="H81" s="78">
        <f t="shared" ca="1" si="148"/>
        <v>0</v>
      </c>
      <c r="I81" s="4">
        <f ca="1">-SUMIFS(INDIRECT("Tab_00.Trial["&amp;I$4&amp;"]"),Tab_00.Trial[CONTA],$B81)</f>
        <v>0</v>
      </c>
      <c r="J81" s="78">
        <f t="shared" ca="1" si="136"/>
        <v>0</v>
      </c>
      <c r="K81" s="78">
        <f t="shared" ca="1" si="149"/>
        <v>0</v>
      </c>
      <c r="L81" s="4">
        <f ca="1">-SUMIFS(INDIRECT("Tab_00.Trial["&amp;L$4&amp;"]"),Tab_00.Trial[CONTA],$B81)</f>
        <v>0</v>
      </c>
      <c r="M81" s="78">
        <f t="shared" ca="1" si="137"/>
        <v>0</v>
      </c>
      <c r="N81" s="78">
        <f t="shared" ca="1" si="150"/>
        <v>0</v>
      </c>
      <c r="O81" s="4">
        <f ca="1">-SUMIFS(INDIRECT("Tab_00.Trial["&amp;O$4&amp;"]"),Tab_00.Trial[CONTA],$B81)</f>
        <v>0</v>
      </c>
      <c r="P81" s="78">
        <f t="shared" ca="1" si="138"/>
        <v>0</v>
      </c>
      <c r="Q81" s="78">
        <f t="shared" ca="1" si="151"/>
        <v>0</v>
      </c>
      <c r="R81" s="4">
        <f ca="1">-SUMIFS(INDIRECT("Tab_00.Trial["&amp;R$4&amp;"]"),Tab_00.Trial[CONTA],$B81)</f>
        <v>0</v>
      </c>
      <c r="S81" s="78">
        <f t="shared" ca="1" si="139"/>
        <v>0</v>
      </c>
      <c r="T81" s="78">
        <f t="shared" ca="1" si="152"/>
        <v>0</v>
      </c>
      <c r="U81" s="4">
        <f ca="1">-SUMIFS(INDIRECT("Tab_00.Trial["&amp;U$4&amp;"]"),Tab_00.Trial[CONTA],$B81)</f>
        <v>0</v>
      </c>
      <c r="V81" s="78">
        <f t="shared" ca="1" si="140"/>
        <v>0</v>
      </c>
      <c r="W81" s="78">
        <f t="shared" ca="1" si="153"/>
        <v>0</v>
      </c>
      <c r="X81" s="4">
        <f ca="1">-SUMIFS(INDIRECT("Tab_00.Trial["&amp;X$4&amp;"]"),Tab_00.Trial[CONTA],$B81)</f>
        <v>0</v>
      </c>
      <c r="Y81" s="78">
        <f t="shared" ca="1" si="141"/>
        <v>0</v>
      </c>
      <c r="Z81" s="78">
        <f t="shared" ca="1" si="154"/>
        <v>0</v>
      </c>
      <c r="AA81" s="4">
        <f ca="1">-SUMIFS(INDIRECT("Tab_00.Trial["&amp;AA$4&amp;"]"),Tab_00.Trial[CONTA],$B81)</f>
        <v>0</v>
      </c>
      <c r="AB81" s="78">
        <f t="shared" ca="1" si="142"/>
        <v>0</v>
      </c>
      <c r="AC81" s="78">
        <f t="shared" ca="1" si="155"/>
        <v>0</v>
      </c>
      <c r="AD81" s="4">
        <f ca="1">-SUMIFS(INDIRECT("Tab_00.Trial["&amp;AD$4&amp;"]"),Tab_00.Trial[CONTA],$B81)</f>
        <v>0</v>
      </c>
      <c r="AE81" s="78">
        <f t="shared" ca="1" si="143"/>
        <v>0</v>
      </c>
      <c r="AF81" s="78">
        <f t="shared" ca="1" si="156"/>
        <v>0</v>
      </c>
      <c r="AG81" s="4">
        <f ca="1">-SUMIFS(INDIRECT("Tab_00.Trial["&amp;AG$4&amp;"]"),Tab_00.Trial[CONTA],$B81)</f>
        <v>0</v>
      </c>
      <c r="AH81" s="78">
        <f t="shared" ca="1" si="144"/>
        <v>0</v>
      </c>
      <c r="AI81" s="78">
        <f t="shared" ca="1" si="157"/>
        <v>0</v>
      </c>
      <c r="AJ81" s="4">
        <f ca="1">-SUMIFS(INDIRECT("Tab_00.Trial["&amp;AJ$4&amp;"]"),Tab_00.Trial[CONTA],$B81)</f>
        <v>0</v>
      </c>
      <c r="AK81" s="78">
        <f t="shared" ca="1" si="145"/>
        <v>0</v>
      </c>
      <c r="AL81" s="78">
        <f t="shared" ca="1" si="158"/>
        <v>0</v>
      </c>
      <c r="AM81" s="4">
        <f ca="1">-SUMIFS(INDIRECT("Tab_00.Trial["&amp;AM$4&amp;"]"),Tab_00.Trial[CONTA],$B81)</f>
        <v>0</v>
      </c>
      <c r="AN81" s="78">
        <f t="shared" ca="1" si="146"/>
        <v>0</v>
      </c>
      <c r="AO81" s="78">
        <f t="shared" ca="1" si="159"/>
        <v>0</v>
      </c>
    </row>
    <row r="82" spans="2:41" ht="15" hidden="1" customHeight="1" outlineLevel="1" x14ac:dyDescent="0.3">
      <c r="B82" s="14"/>
      <c r="C82" s="15"/>
      <c r="D82" s="4">
        <f>-SUMIFS(Tab_99.Trial[DEZEMBRO],Tab_99.Trial[CONTA],$B82)</f>
        <v>0</v>
      </c>
      <c r="E82" s="78">
        <f t="shared" ca="1" si="147"/>
        <v>0</v>
      </c>
      <c r="F82" s="4">
        <f ca="1">-SUMIFS(INDIRECT("Tab_00.Trial["&amp;F$4&amp;"]"),Tab_00.Trial[CONTA],$B82)</f>
        <v>0</v>
      </c>
      <c r="G82" s="78">
        <f t="shared" ca="1" si="135"/>
        <v>0</v>
      </c>
      <c r="H82" s="78">
        <f t="shared" ca="1" si="148"/>
        <v>0</v>
      </c>
      <c r="I82" s="4">
        <f ca="1">-SUMIFS(INDIRECT("Tab_00.Trial["&amp;I$4&amp;"]"),Tab_00.Trial[CONTA],$B82)</f>
        <v>0</v>
      </c>
      <c r="J82" s="78">
        <f t="shared" ca="1" si="136"/>
        <v>0</v>
      </c>
      <c r="K82" s="78">
        <f t="shared" ca="1" si="149"/>
        <v>0</v>
      </c>
      <c r="L82" s="4">
        <f ca="1">-SUMIFS(INDIRECT("Tab_00.Trial["&amp;L$4&amp;"]"),Tab_00.Trial[CONTA],$B82)</f>
        <v>0</v>
      </c>
      <c r="M82" s="78">
        <f t="shared" ca="1" si="137"/>
        <v>0</v>
      </c>
      <c r="N82" s="78">
        <f t="shared" ca="1" si="150"/>
        <v>0</v>
      </c>
      <c r="O82" s="4">
        <f ca="1">-SUMIFS(INDIRECT("Tab_00.Trial["&amp;O$4&amp;"]"),Tab_00.Trial[CONTA],$B82)</f>
        <v>0</v>
      </c>
      <c r="P82" s="78">
        <f t="shared" ca="1" si="138"/>
        <v>0</v>
      </c>
      <c r="Q82" s="78">
        <f t="shared" ca="1" si="151"/>
        <v>0</v>
      </c>
      <c r="R82" s="4">
        <f ca="1">-SUMIFS(INDIRECT("Tab_00.Trial["&amp;R$4&amp;"]"),Tab_00.Trial[CONTA],$B82)</f>
        <v>0</v>
      </c>
      <c r="S82" s="78">
        <f t="shared" ca="1" si="139"/>
        <v>0</v>
      </c>
      <c r="T82" s="78">
        <f t="shared" ca="1" si="152"/>
        <v>0</v>
      </c>
      <c r="U82" s="4">
        <f ca="1">-SUMIFS(INDIRECT("Tab_00.Trial["&amp;U$4&amp;"]"),Tab_00.Trial[CONTA],$B82)</f>
        <v>0</v>
      </c>
      <c r="V82" s="78">
        <f t="shared" ca="1" si="140"/>
        <v>0</v>
      </c>
      <c r="W82" s="78">
        <f t="shared" ca="1" si="153"/>
        <v>0</v>
      </c>
      <c r="X82" s="4">
        <f ca="1">-SUMIFS(INDIRECT("Tab_00.Trial["&amp;X$4&amp;"]"),Tab_00.Trial[CONTA],$B82)</f>
        <v>0</v>
      </c>
      <c r="Y82" s="78">
        <f t="shared" ca="1" si="141"/>
        <v>0</v>
      </c>
      <c r="Z82" s="78">
        <f t="shared" ca="1" si="154"/>
        <v>0</v>
      </c>
      <c r="AA82" s="4">
        <f ca="1">-SUMIFS(INDIRECT("Tab_00.Trial["&amp;AA$4&amp;"]"),Tab_00.Trial[CONTA],$B82)</f>
        <v>0</v>
      </c>
      <c r="AB82" s="78">
        <f t="shared" ca="1" si="142"/>
        <v>0</v>
      </c>
      <c r="AC82" s="78">
        <f t="shared" ca="1" si="155"/>
        <v>0</v>
      </c>
      <c r="AD82" s="4">
        <f ca="1">-SUMIFS(INDIRECT("Tab_00.Trial["&amp;AD$4&amp;"]"),Tab_00.Trial[CONTA],$B82)</f>
        <v>0</v>
      </c>
      <c r="AE82" s="78">
        <f t="shared" ca="1" si="143"/>
        <v>0</v>
      </c>
      <c r="AF82" s="78">
        <f t="shared" ca="1" si="156"/>
        <v>0</v>
      </c>
      <c r="AG82" s="4">
        <f ca="1">-SUMIFS(INDIRECT("Tab_00.Trial["&amp;AG$4&amp;"]"),Tab_00.Trial[CONTA],$B82)</f>
        <v>0</v>
      </c>
      <c r="AH82" s="78">
        <f t="shared" ca="1" si="144"/>
        <v>0</v>
      </c>
      <c r="AI82" s="78">
        <f t="shared" ca="1" si="157"/>
        <v>0</v>
      </c>
      <c r="AJ82" s="4">
        <f ca="1">-SUMIFS(INDIRECT("Tab_00.Trial["&amp;AJ$4&amp;"]"),Tab_00.Trial[CONTA],$B82)</f>
        <v>0</v>
      </c>
      <c r="AK82" s="78">
        <f t="shared" ca="1" si="145"/>
        <v>0</v>
      </c>
      <c r="AL82" s="78">
        <f t="shared" ca="1" si="158"/>
        <v>0</v>
      </c>
      <c r="AM82" s="4">
        <f ca="1">-SUMIFS(INDIRECT("Tab_00.Trial["&amp;AM$4&amp;"]"),Tab_00.Trial[CONTA],$B82)</f>
        <v>0</v>
      </c>
      <c r="AN82" s="78">
        <f t="shared" ca="1" si="146"/>
        <v>0</v>
      </c>
      <c r="AO82" s="78">
        <f t="shared" ca="1" si="159"/>
        <v>0</v>
      </c>
    </row>
    <row r="83" spans="2:41" ht="15" hidden="1" customHeight="1" outlineLevel="1" x14ac:dyDescent="0.3">
      <c r="B83" s="14"/>
      <c r="C83" s="15"/>
      <c r="D83" s="4">
        <f>-SUMIFS(Tab_99.Trial[DEZEMBRO],Tab_99.Trial[CONTA],$B83)</f>
        <v>0</v>
      </c>
      <c r="E83" s="78">
        <f t="shared" ca="1" si="147"/>
        <v>0</v>
      </c>
      <c r="F83" s="4">
        <f ca="1">-SUMIFS(INDIRECT("Tab_00.Trial["&amp;F$4&amp;"]"),Tab_00.Trial[CONTA],$B83)</f>
        <v>0</v>
      </c>
      <c r="G83" s="78">
        <f t="shared" ca="1" si="135"/>
        <v>0</v>
      </c>
      <c r="H83" s="78">
        <f t="shared" ca="1" si="148"/>
        <v>0</v>
      </c>
      <c r="I83" s="4">
        <f ca="1">-SUMIFS(INDIRECT("Tab_00.Trial["&amp;I$4&amp;"]"),Tab_00.Trial[CONTA],$B83)</f>
        <v>0</v>
      </c>
      <c r="J83" s="78">
        <f t="shared" ca="1" si="136"/>
        <v>0</v>
      </c>
      <c r="K83" s="78">
        <f t="shared" ca="1" si="149"/>
        <v>0</v>
      </c>
      <c r="L83" s="4">
        <f ca="1">-SUMIFS(INDIRECT("Tab_00.Trial["&amp;L$4&amp;"]"),Tab_00.Trial[CONTA],$B83)</f>
        <v>0</v>
      </c>
      <c r="M83" s="78">
        <f t="shared" ca="1" si="137"/>
        <v>0</v>
      </c>
      <c r="N83" s="78">
        <f t="shared" ca="1" si="150"/>
        <v>0</v>
      </c>
      <c r="O83" s="4">
        <f ca="1">-SUMIFS(INDIRECT("Tab_00.Trial["&amp;O$4&amp;"]"),Tab_00.Trial[CONTA],$B83)</f>
        <v>0</v>
      </c>
      <c r="P83" s="78">
        <f t="shared" ca="1" si="138"/>
        <v>0</v>
      </c>
      <c r="Q83" s="78">
        <f t="shared" ca="1" si="151"/>
        <v>0</v>
      </c>
      <c r="R83" s="4">
        <f ca="1">-SUMIFS(INDIRECT("Tab_00.Trial["&amp;R$4&amp;"]"),Tab_00.Trial[CONTA],$B83)</f>
        <v>0</v>
      </c>
      <c r="S83" s="78">
        <f t="shared" ca="1" si="139"/>
        <v>0</v>
      </c>
      <c r="T83" s="78">
        <f t="shared" ca="1" si="152"/>
        <v>0</v>
      </c>
      <c r="U83" s="4">
        <f ca="1">-SUMIFS(INDIRECT("Tab_00.Trial["&amp;U$4&amp;"]"),Tab_00.Trial[CONTA],$B83)</f>
        <v>0</v>
      </c>
      <c r="V83" s="78">
        <f t="shared" ca="1" si="140"/>
        <v>0</v>
      </c>
      <c r="W83" s="78">
        <f t="shared" ca="1" si="153"/>
        <v>0</v>
      </c>
      <c r="X83" s="4">
        <f ca="1">-SUMIFS(INDIRECT("Tab_00.Trial["&amp;X$4&amp;"]"),Tab_00.Trial[CONTA],$B83)</f>
        <v>0</v>
      </c>
      <c r="Y83" s="78">
        <f t="shared" ca="1" si="141"/>
        <v>0</v>
      </c>
      <c r="Z83" s="78">
        <f t="shared" ca="1" si="154"/>
        <v>0</v>
      </c>
      <c r="AA83" s="4">
        <f ca="1">-SUMIFS(INDIRECT("Tab_00.Trial["&amp;AA$4&amp;"]"),Tab_00.Trial[CONTA],$B83)</f>
        <v>0</v>
      </c>
      <c r="AB83" s="78">
        <f t="shared" ca="1" si="142"/>
        <v>0</v>
      </c>
      <c r="AC83" s="78">
        <f t="shared" ca="1" si="155"/>
        <v>0</v>
      </c>
      <c r="AD83" s="4">
        <f ca="1">-SUMIFS(INDIRECT("Tab_00.Trial["&amp;AD$4&amp;"]"),Tab_00.Trial[CONTA],$B83)</f>
        <v>0</v>
      </c>
      <c r="AE83" s="78">
        <f t="shared" ca="1" si="143"/>
        <v>0</v>
      </c>
      <c r="AF83" s="78">
        <f t="shared" ca="1" si="156"/>
        <v>0</v>
      </c>
      <c r="AG83" s="4">
        <f ca="1">-SUMIFS(INDIRECT("Tab_00.Trial["&amp;AG$4&amp;"]"),Tab_00.Trial[CONTA],$B83)</f>
        <v>0</v>
      </c>
      <c r="AH83" s="78">
        <f t="shared" ca="1" si="144"/>
        <v>0</v>
      </c>
      <c r="AI83" s="78">
        <f t="shared" ca="1" si="157"/>
        <v>0</v>
      </c>
      <c r="AJ83" s="4">
        <f ca="1">-SUMIFS(INDIRECT("Tab_00.Trial["&amp;AJ$4&amp;"]"),Tab_00.Trial[CONTA],$B83)</f>
        <v>0</v>
      </c>
      <c r="AK83" s="78">
        <f t="shared" ca="1" si="145"/>
        <v>0</v>
      </c>
      <c r="AL83" s="78">
        <f t="shared" ca="1" si="158"/>
        <v>0</v>
      </c>
      <c r="AM83" s="4">
        <f ca="1">-SUMIFS(INDIRECT("Tab_00.Trial["&amp;AM$4&amp;"]"),Tab_00.Trial[CONTA],$B83)</f>
        <v>0</v>
      </c>
      <c r="AN83" s="78">
        <f t="shared" ca="1" si="146"/>
        <v>0</v>
      </c>
      <c r="AO83" s="78">
        <f t="shared" ca="1" si="159"/>
        <v>0</v>
      </c>
    </row>
    <row r="84" spans="2:41" ht="15" hidden="1" customHeight="1" outlineLevel="1" x14ac:dyDescent="0.3">
      <c r="B84" s="14"/>
      <c r="C84" s="15"/>
      <c r="D84" s="4">
        <f>-SUMIFS(Tab_99.Trial[DEZEMBRO],Tab_99.Trial[CONTA],$B84)</f>
        <v>0</v>
      </c>
      <c r="E84" s="78">
        <f t="shared" ca="1" si="147"/>
        <v>0</v>
      </c>
      <c r="F84" s="4">
        <f ca="1">-SUMIFS(INDIRECT("Tab_00.Trial["&amp;F$4&amp;"]"),Tab_00.Trial[CONTA],$B84)</f>
        <v>0</v>
      </c>
      <c r="G84" s="78">
        <f t="shared" ca="1" si="135"/>
        <v>0</v>
      </c>
      <c r="H84" s="78">
        <f t="shared" ca="1" si="148"/>
        <v>0</v>
      </c>
      <c r="I84" s="4">
        <f ca="1">-SUMIFS(INDIRECT("Tab_00.Trial["&amp;I$4&amp;"]"),Tab_00.Trial[CONTA],$B84)</f>
        <v>0</v>
      </c>
      <c r="J84" s="78">
        <f t="shared" ca="1" si="136"/>
        <v>0</v>
      </c>
      <c r="K84" s="78">
        <f t="shared" ca="1" si="149"/>
        <v>0</v>
      </c>
      <c r="L84" s="4">
        <f ca="1">-SUMIFS(INDIRECT("Tab_00.Trial["&amp;L$4&amp;"]"),Tab_00.Trial[CONTA],$B84)</f>
        <v>0</v>
      </c>
      <c r="M84" s="78">
        <f t="shared" ca="1" si="137"/>
        <v>0</v>
      </c>
      <c r="N84" s="78">
        <f t="shared" ca="1" si="150"/>
        <v>0</v>
      </c>
      <c r="O84" s="4">
        <f ca="1">-SUMIFS(INDIRECT("Tab_00.Trial["&amp;O$4&amp;"]"),Tab_00.Trial[CONTA],$B84)</f>
        <v>0</v>
      </c>
      <c r="P84" s="78">
        <f t="shared" ca="1" si="138"/>
        <v>0</v>
      </c>
      <c r="Q84" s="78">
        <f t="shared" ca="1" si="151"/>
        <v>0</v>
      </c>
      <c r="R84" s="4">
        <f ca="1">-SUMIFS(INDIRECT("Tab_00.Trial["&amp;R$4&amp;"]"),Tab_00.Trial[CONTA],$B84)</f>
        <v>0</v>
      </c>
      <c r="S84" s="78">
        <f t="shared" ca="1" si="139"/>
        <v>0</v>
      </c>
      <c r="T84" s="78">
        <f t="shared" ca="1" si="152"/>
        <v>0</v>
      </c>
      <c r="U84" s="4">
        <f ca="1">-SUMIFS(INDIRECT("Tab_00.Trial["&amp;U$4&amp;"]"),Tab_00.Trial[CONTA],$B84)</f>
        <v>0</v>
      </c>
      <c r="V84" s="78">
        <f t="shared" ca="1" si="140"/>
        <v>0</v>
      </c>
      <c r="W84" s="78">
        <f t="shared" ca="1" si="153"/>
        <v>0</v>
      </c>
      <c r="X84" s="4">
        <f ca="1">-SUMIFS(INDIRECT("Tab_00.Trial["&amp;X$4&amp;"]"),Tab_00.Trial[CONTA],$B84)</f>
        <v>0</v>
      </c>
      <c r="Y84" s="78">
        <f t="shared" ca="1" si="141"/>
        <v>0</v>
      </c>
      <c r="Z84" s="78">
        <f t="shared" ca="1" si="154"/>
        <v>0</v>
      </c>
      <c r="AA84" s="4">
        <f ca="1">-SUMIFS(INDIRECT("Tab_00.Trial["&amp;AA$4&amp;"]"),Tab_00.Trial[CONTA],$B84)</f>
        <v>0</v>
      </c>
      <c r="AB84" s="78">
        <f t="shared" ca="1" si="142"/>
        <v>0</v>
      </c>
      <c r="AC84" s="78">
        <f t="shared" ca="1" si="155"/>
        <v>0</v>
      </c>
      <c r="AD84" s="4">
        <f ca="1">-SUMIFS(INDIRECT("Tab_00.Trial["&amp;AD$4&amp;"]"),Tab_00.Trial[CONTA],$B84)</f>
        <v>0</v>
      </c>
      <c r="AE84" s="78">
        <f t="shared" ca="1" si="143"/>
        <v>0</v>
      </c>
      <c r="AF84" s="78">
        <f t="shared" ca="1" si="156"/>
        <v>0</v>
      </c>
      <c r="AG84" s="4">
        <f ca="1">-SUMIFS(INDIRECT("Tab_00.Trial["&amp;AG$4&amp;"]"),Tab_00.Trial[CONTA],$B84)</f>
        <v>0</v>
      </c>
      <c r="AH84" s="78">
        <f t="shared" ca="1" si="144"/>
        <v>0</v>
      </c>
      <c r="AI84" s="78">
        <f t="shared" ca="1" si="157"/>
        <v>0</v>
      </c>
      <c r="AJ84" s="4">
        <f ca="1">-SUMIFS(INDIRECT("Tab_00.Trial["&amp;AJ$4&amp;"]"),Tab_00.Trial[CONTA],$B84)</f>
        <v>0</v>
      </c>
      <c r="AK84" s="78">
        <f t="shared" ca="1" si="145"/>
        <v>0</v>
      </c>
      <c r="AL84" s="78">
        <f t="shared" ca="1" si="158"/>
        <v>0</v>
      </c>
      <c r="AM84" s="4">
        <f ca="1">-SUMIFS(INDIRECT("Tab_00.Trial["&amp;AM$4&amp;"]"),Tab_00.Trial[CONTA],$B84)</f>
        <v>0</v>
      </c>
      <c r="AN84" s="78">
        <f t="shared" ca="1" si="146"/>
        <v>0</v>
      </c>
      <c r="AO84" s="78">
        <f t="shared" ca="1" si="159"/>
        <v>0</v>
      </c>
    </row>
    <row r="85" spans="2:41" ht="15" hidden="1" customHeight="1" outlineLevel="1" x14ac:dyDescent="0.3">
      <c r="B85" s="14"/>
      <c r="C85" s="15"/>
      <c r="D85" s="4">
        <f>-SUMIFS(Tab_99.Trial[DEZEMBRO],Tab_99.Trial[CONTA],$B85)</f>
        <v>0</v>
      </c>
      <c r="E85" s="78">
        <f t="shared" ca="1" si="147"/>
        <v>0</v>
      </c>
      <c r="F85" s="4">
        <f ca="1">-SUMIFS(INDIRECT("Tab_00.Trial["&amp;F$4&amp;"]"),Tab_00.Trial[CONTA],$B85)</f>
        <v>0</v>
      </c>
      <c r="G85" s="78">
        <f t="shared" ca="1" si="135"/>
        <v>0</v>
      </c>
      <c r="H85" s="78">
        <f t="shared" ca="1" si="148"/>
        <v>0</v>
      </c>
      <c r="I85" s="4">
        <f ca="1">-SUMIFS(INDIRECT("Tab_00.Trial["&amp;I$4&amp;"]"),Tab_00.Trial[CONTA],$B85)</f>
        <v>0</v>
      </c>
      <c r="J85" s="78">
        <f t="shared" ca="1" si="136"/>
        <v>0</v>
      </c>
      <c r="K85" s="78">
        <f t="shared" ca="1" si="149"/>
        <v>0</v>
      </c>
      <c r="L85" s="4">
        <f ca="1">-SUMIFS(INDIRECT("Tab_00.Trial["&amp;L$4&amp;"]"),Tab_00.Trial[CONTA],$B85)</f>
        <v>0</v>
      </c>
      <c r="M85" s="78">
        <f t="shared" ca="1" si="137"/>
        <v>0</v>
      </c>
      <c r="N85" s="78">
        <f t="shared" ca="1" si="150"/>
        <v>0</v>
      </c>
      <c r="O85" s="4">
        <f ca="1">-SUMIFS(INDIRECT("Tab_00.Trial["&amp;O$4&amp;"]"),Tab_00.Trial[CONTA],$B85)</f>
        <v>0</v>
      </c>
      <c r="P85" s="78">
        <f t="shared" ca="1" si="138"/>
        <v>0</v>
      </c>
      <c r="Q85" s="78">
        <f t="shared" ca="1" si="151"/>
        <v>0</v>
      </c>
      <c r="R85" s="4">
        <f ca="1">-SUMIFS(INDIRECT("Tab_00.Trial["&amp;R$4&amp;"]"),Tab_00.Trial[CONTA],$B85)</f>
        <v>0</v>
      </c>
      <c r="S85" s="78">
        <f t="shared" ca="1" si="139"/>
        <v>0</v>
      </c>
      <c r="T85" s="78">
        <f t="shared" ca="1" si="152"/>
        <v>0</v>
      </c>
      <c r="U85" s="4">
        <f ca="1">-SUMIFS(INDIRECT("Tab_00.Trial["&amp;U$4&amp;"]"),Tab_00.Trial[CONTA],$B85)</f>
        <v>0</v>
      </c>
      <c r="V85" s="78">
        <f t="shared" ca="1" si="140"/>
        <v>0</v>
      </c>
      <c r="W85" s="78">
        <f t="shared" ca="1" si="153"/>
        <v>0</v>
      </c>
      <c r="X85" s="4">
        <f ca="1">-SUMIFS(INDIRECT("Tab_00.Trial["&amp;X$4&amp;"]"),Tab_00.Trial[CONTA],$B85)</f>
        <v>0</v>
      </c>
      <c r="Y85" s="78">
        <f t="shared" ca="1" si="141"/>
        <v>0</v>
      </c>
      <c r="Z85" s="78">
        <f t="shared" ca="1" si="154"/>
        <v>0</v>
      </c>
      <c r="AA85" s="4">
        <f ca="1">-SUMIFS(INDIRECT("Tab_00.Trial["&amp;AA$4&amp;"]"),Tab_00.Trial[CONTA],$B85)</f>
        <v>0</v>
      </c>
      <c r="AB85" s="78">
        <f t="shared" ca="1" si="142"/>
        <v>0</v>
      </c>
      <c r="AC85" s="78">
        <f t="shared" ca="1" si="155"/>
        <v>0</v>
      </c>
      <c r="AD85" s="4">
        <f ca="1">-SUMIFS(INDIRECT("Tab_00.Trial["&amp;AD$4&amp;"]"),Tab_00.Trial[CONTA],$B85)</f>
        <v>0</v>
      </c>
      <c r="AE85" s="78">
        <f t="shared" ca="1" si="143"/>
        <v>0</v>
      </c>
      <c r="AF85" s="78">
        <f t="shared" ca="1" si="156"/>
        <v>0</v>
      </c>
      <c r="AG85" s="4">
        <f ca="1">-SUMIFS(INDIRECT("Tab_00.Trial["&amp;AG$4&amp;"]"),Tab_00.Trial[CONTA],$B85)</f>
        <v>0</v>
      </c>
      <c r="AH85" s="78">
        <f t="shared" ca="1" si="144"/>
        <v>0</v>
      </c>
      <c r="AI85" s="78">
        <f t="shared" ca="1" si="157"/>
        <v>0</v>
      </c>
      <c r="AJ85" s="4">
        <f ca="1">-SUMIFS(INDIRECT("Tab_00.Trial["&amp;AJ$4&amp;"]"),Tab_00.Trial[CONTA],$B85)</f>
        <v>0</v>
      </c>
      <c r="AK85" s="78">
        <f t="shared" ca="1" si="145"/>
        <v>0</v>
      </c>
      <c r="AL85" s="78">
        <f t="shared" ca="1" si="158"/>
        <v>0</v>
      </c>
      <c r="AM85" s="4">
        <f ca="1">-SUMIFS(INDIRECT("Tab_00.Trial["&amp;AM$4&amp;"]"),Tab_00.Trial[CONTA],$B85)</f>
        <v>0</v>
      </c>
      <c r="AN85" s="78">
        <f t="shared" ca="1" si="146"/>
        <v>0</v>
      </c>
      <c r="AO85" s="78">
        <f t="shared" ca="1" si="159"/>
        <v>0</v>
      </c>
    </row>
    <row r="86" spans="2:41" ht="15" hidden="1" customHeight="1" outlineLevel="1" x14ac:dyDescent="0.3">
      <c r="B86" s="14"/>
      <c r="C86" s="15"/>
      <c r="D86" s="4">
        <f>-SUMIFS(Tab_99.Trial[DEZEMBRO],Tab_99.Trial[CONTA],$B86)</f>
        <v>0</v>
      </c>
      <c r="E86" s="78">
        <f t="shared" ca="1" si="147"/>
        <v>0</v>
      </c>
      <c r="F86" s="4">
        <f ca="1">-SUMIFS(INDIRECT("Tab_00.Trial["&amp;F$4&amp;"]"),Tab_00.Trial[CONTA],$B86)</f>
        <v>0</v>
      </c>
      <c r="G86" s="78">
        <f t="shared" ca="1" si="135"/>
        <v>0</v>
      </c>
      <c r="H86" s="78">
        <f t="shared" ca="1" si="148"/>
        <v>0</v>
      </c>
      <c r="I86" s="4">
        <f ca="1">-SUMIFS(INDIRECT("Tab_00.Trial["&amp;I$4&amp;"]"),Tab_00.Trial[CONTA],$B86)</f>
        <v>0</v>
      </c>
      <c r="J86" s="78">
        <f t="shared" ca="1" si="136"/>
        <v>0</v>
      </c>
      <c r="K86" s="78">
        <f t="shared" ca="1" si="149"/>
        <v>0</v>
      </c>
      <c r="L86" s="4">
        <f ca="1">-SUMIFS(INDIRECT("Tab_00.Trial["&amp;L$4&amp;"]"),Tab_00.Trial[CONTA],$B86)</f>
        <v>0</v>
      </c>
      <c r="M86" s="78">
        <f t="shared" ca="1" si="137"/>
        <v>0</v>
      </c>
      <c r="N86" s="78">
        <f t="shared" ca="1" si="150"/>
        <v>0</v>
      </c>
      <c r="O86" s="4">
        <f ca="1">-SUMIFS(INDIRECT("Tab_00.Trial["&amp;O$4&amp;"]"),Tab_00.Trial[CONTA],$B86)</f>
        <v>0</v>
      </c>
      <c r="P86" s="78">
        <f t="shared" ca="1" si="138"/>
        <v>0</v>
      </c>
      <c r="Q86" s="78">
        <f t="shared" ca="1" si="151"/>
        <v>0</v>
      </c>
      <c r="R86" s="4">
        <f ca="1">-SUMIFS(INDIRECT("Tab_00.Trial["&amp;R$4&amp;"]"),Tab_00.Trial[CONTA],$B86)</f>
        <v>0</v>
      </c>
      <c r="S86" s="78">
        <f t="shared" ca="1" si="139"/>
        <v>0</v>
      </c>
      <c r="T86" s="78">
        <f t="shared" ca="1" si="152"/>
        <v>0</v>
      </c>
      <c r="U86" s="4">
        <f ca="1">-SUMIFS(INDIRECT("Tab_00.Trial["&amp;U$4&amp;"]"),Tab_00.Trial[CONTA],$B86)</f>
        <v>0</v>
      </c>
      <c r="V86" s="78">
        <f t="shared" ca="1" si="140"/>
        <v>0</v>
      </c>
      <c r="W86" s="78">
        <f t="shared" ca="1" si="153"/>
        <v>0</v>
      </c>
      <c r="X86" s="4">
        <f ca="1">-SUMIFS(INDIRECT("Tab_00.Trial["&amp;X$4&amp;"]"),Tab_00.Trial[CONTA],$B86)</f>
        <v>0</v>
      </c>
      <c r="Y86" s="78">
        <f t="shared" ca="1" si="141"/>
        <v>0</v>
      </c>
      <c r="Z86" s="78">
        <f t="shared" ca="1" si="154"/>
        <v>0</v>
      </c>
      <c r="AA86" s="4">
        <f ca="1">-SUMIFS(INDIRECT("Tab_00.Trial["&amp;AA$4&amp;"]"),Tab_00.Trial[CONTA],$B86)</f>
        <v>0</v>
      </c>
      <c r="AB86" s="78">
        <f t="shared" ca="1" si="142"/>
        <v>0</v>
      </c>
      <c r="AC86" s="78">
        <f t="shared" ca="1" si="155"/>
        <v>0</v>
      </c>
      <c r="AD86" s="4">
        <f ca="1">-SUMIFS(INDIRECT("Tab_00.Trial["&amp;AD$4&amp;"]"),Tab_00.Trial[CONTA],$B86)</f>
        <v>0</v>
      </c>
      <c r="AE86" s="78">
        <f t="shared" ca="1" si="143"/>
        <v>0</v>
      </c>
      <c r="AF86" s="78">
        <f t="shared" ca="1" si="156"/>
        <v>0</v>
      </c>
      <c r="AG86" s="4">
        <f ca="1">-SUMIFS(INDIRECT("Tab_00.Trial["&amp;AG$4&amp;"]"),Tab_00.Trial[CONTA],$B86)</f>
        <v>0</v>
      </c>
      <c r="AH86" s="78">
        <f t="shared" ca="1" si="144"/>
        <v>0</v>
      </c>
      <c r="AI86" s="78">
        <f t="shared" ca="1" si="157"/>
        <v>0</v>
      </c>
      <c r="AJ86" s="4">
        <f ca="1">-SUMIFS(INDIRECT("Tab_00.Trial["&amp;AJ$4&amp;"]"),Tab_00.Trial[CONTA],$B86)</f>
        <v>0</v>
      </c>
      <c r="AK86" s="78">
        <f t="shared" ca="1" si="145"/>
        <v>0</v>
      </c>
      <c r="AL86" s="78">
        <f t="shared" ca="1" si="158"/>
        <v>0</v>
      </c>
      <c r="AM86" s="4">
        <f ca="1">-SUMIFS(INDIRECT("Tab_00.Trial["&amp;AM$4&amp;"]"),Tab_00.Trial[CONTA],$B86)</f>
        <v>0</v>
      </c>
      <c r="AN86" s="78">
        <f t="shared" ca="1" si="146"/>
        <v>0</v>
      </c>
      <c r="AO86" s="78">
        <f t="shared" ca="1" si="159"/>
        <v>0</v>
      </c>
    </row>
    <row r="87" spans="2:41" ht="15" hidden="1" customHeight="1" outlineLevel="1" x14ac:dyDescent="0.3">
      <c r="B87" s="14"/>
      <c r="C87" s="15"/>
      <c r="D87" s="4">
        <f>-SUMIFS(Tab_99.Trial[DEZEMBRO],Tab_99.Trial[CONTA],$B87)</f>
        <v>0</v>
      </c>
      <c r="E87" s="78">
        <f t="shared" ca="1" si="147"/>
        <v>0</v>
      </c>
      <c r="F87" s="4">
        <f ca="1">-SUMIFS(INDIRECT("Tab_00.Trial["&amp;F$4&amp;"]"),Tab_00.Trial[CONTA],$B87)</f>
        <v>0</v>
      </c>
      <c r="G87" s="78">
        <f t="shared" ca="1" si="135"/>
        <v>0</v>
      </c>
      <c r="H87" s="78">
        <f t="shared" ca="1" si="148"/>
        <v>0</v>
      </c>
      <c r="I87" s="4">
        <f ca="1">-SUMIFS(INDIRECT("Tab_00.Trial["&amp;I$4&amp;"]"),Tab_00.Trial[CONTA],$B87)</f>
        <v>0</v>
      </c>
      <c r="J87" s="78">
        <f t="shared" ca="1" si="136"/>
        <v>0</v>
      </c>
      <c r="K87" s="78">
        <f t="shared" ca="1" si="149"/>
        <v>0</v>
      </c>
      <c r="L87" s="4">
        <f ca="1">-SUMIFS(INDIRECT("Tab_00.Trial["&amp;L$4&amp;"]"),Tab_00.Trial[CONTA],$B87)</f>
        <v>0</v>
      </c>
      <c r="M87" s="78">
        <f t="shared" ca="1" si="137"/>
        <v>0</v>
      </c>
      <c r="N87" s="78">
        <f t="shared" ca="1" si="150"/>
        <v>0</v>
      </c>
      <c r="O87" s="4">
        <f ca="1">-SUMIFS(INDIRECT("Tab_00.Trial["&amp;O$4&amp;"]"),Tab_00.Trial[CONTA],$B87)</f>
        <v>0</v>
      </c>
      <c r="P87" s="78">
        <f t="shared" ca="1" si="138"/>
        <v>0</v>
      </c>
      <c r="Q87" s="78">
        <f t="shared" ca="1" si="151"/>
        <v>0</v>
      </c>
      <c r="R87" s="4">
        <f ca="1">-SUMIFS(INDIRECT("Tab_00.Trial["&amp;R$4&amp;"]"),Tab_00.Trial[CONTA],$B87)</f>
        <v>0</v>
      </c>
      <c r="S87" s="78">
        <f t="shared" ca="1" si="139"/>
        <v>0</v>
      </c>
      <c r="T87" s="78">
        <f t="shared" ca="1" si="152"/>
        <v>0</v>
      </c>
      <c r="U87" s="4">
        <f ca="1">-SUMIFS(INDIRECT("Tab_00.Trial["&amp;U$4&amp;"]"),Tab_00.Trial[CONTA],$B87)</f>
        <v>0</v>
      </c>
      <c r="V87" s="78">
        <f t="shared" ca="1" si="140"/>
        <v>0</v>
      </c>
      <c r="W87" s="78">
        <f t="shared" ca="1" si="153"/>
        <v>0</v>
      </c>
      <c r="X87" s="4">
        <f ca="1">-SUMIFS(INDIRECT("Tab_00.Trial["&amp;X$4&amp;"]"),Tab_00.Trial[CONTA],$B87)</f>
        <v>0</v>
      </c>
      <c r="Y87" s="78">
        <f t="shared" ca="1" si="141"/>
        <v>0</v>
      </c>
      <c r="Z87" s="78">
        <f t="shared" ca="1" si="154"/>
        <v>0</v>
      </c>
      <c r="AA87" s="4">
        <f ca="1">-SUMIFS(INDIRECT("Tab_00.Trial["&amp;AA$4&amp;"]"),Tab_00.Trial[CONTA],$B87)</f>
        <v>0</v>
      </c>
      <c r="AB87" s="78">
        <f t="shared" ca="1" si="142"/>
        <v>0</v>
      </c>
      <c r="AC87" s="78">
        <f t="shared" ca="1" si="155"/>
        <v>0</v>
      </c>
      <c r="AD87" s="4">
        <f ca="1">-SUMIFS(INDIRECT("Tab_00.Trial["&amp;AD$4&amp;"]"),Tab_00.Trial[CONTA],$B87)</f>
        <v>0</v>
      </c>
      <c r="AE87" s="78">
        <f t="shared" ca="1" si="143"/>
        <v>0</v>
      </c>
      <c r="AF87" s="78">
        <f t="shared" ca="1" si="156"/>
        <v>0</v>
      </c>
      <c r="AG87" s="4">
        <f ca="1">-SUMIFS(INDIRECT("Tab_00.Trial["&amp;AG$4&amp;"]"),Tab_00.Trial[CONTA],$B87)</f>
        <v>0</v>
      </c>
      <c r="AH87" s="78">
        <f t="shared" ca="1" si="144"/>
        <v>0</v>
      </c>
      <c r="AI87" s="78">
        <f t="shared" ca="1" si="157"/>
        <v>0</v>
      </c>
      <c r="AJ87" s="4">
        <f ca="1">-SUMIFS(INDIRECT("Tab_00.Trial["&amp;AJ$4&amp;"]"),Tab_00.Trial[CONTA],$B87)</f>
        <v>0</v>
      </c>
      <c r="AK87" s="78">
        <f t="shared" ca="1" si="145"/>
        <v>0</v>
      </c>
      <c r="AL87" s="78">
        <f t="shared" ca="1" si="158"/>
        <v>0</v>
      </c>
      <c r="AM87" s="4">
        <f ca="1">-SUMIFS(INDIRECT("Tab_00.Trial["&amp;AM$4&amp;"]"),Tab_00.Trial[CONTA],$B87)</f>
        <v>0</v>
      </c>
      <c r="AN87" s="78">
        <f t="shared" ca="1" si="146"/>
        <v>0</v>
      </c>
      <c r="AO87" s="78">
        <f t="shared" ca="1" si="159"/>
        <v>0</v>
      </c>
    </row>
    <row r="88" spans="2:41" ht="15" hidden="1" customHeight="1" outlineLevel="1" x14ac:dyDescent="0.3">
      <c r="B88" s="14"/>
      <c r="C88" s="15"/>
      <c r="D88" s="4">
        <f>-SUMIFS(Tab_99.Trial[DEZEMBRO],Tab_99.Trial[CONTA],$B88)</f>
        <v>0</v>
      </c>
      <c r="E88" s="78">
        <f t="shared" ca="1" si="147"/>
        <v>0</v>
      </c>
      <c r="F88" s="4">
        <f ca="1">-SUMIFS(INDIRECT("Tab_00.Trial["&amp;F$4&amp;"]"),Tab_00.Trial[CONTA],$B88)</f>
        <v>0</v>
      </c>
      <c r="G88" s="78">
        <f t="shared" ca="1" si="135"/>
        <v>0</v>
      </c>
      <c r="H88" s="78">
        <f t="shared" ca="1" si="148"/>
        <v>0</v>
      </c>
      <c r="I88" s="4">
        <f ca="1">-SUMIFS(INDIRECT("Tab_00.Trial["&amp;I$4&amp;"]"),Tab_00.Trial[CONTA],$B88)</f>
        <v>0</v>
      </c>
      <c r="J88" s="78">
        <f t="shared" ca="1" si="136"/>
        <v>0</v>
      </c>
      <c r="K88" s="78">
        <f t="shared" ca="1" si="149"/>
        <v>0</v>
      </c>
      <c r="L88" s="4">
        <f ca="1">-SUMIFS(INDIRECT("Tab_00.Trial["&amp;L$4&amp;"]"),Tab_00.Trial[CONTA],$B88)</f>
        <v>0</v>
      </c>
      <c r="M88" s="78">
        <f t="shared" ca="1" si="137"/>
        <v>0</v>
      </c>
      <c r="N88" s="78">
        <f t="shared" ca="1" si="150"/>
        <v>0</v>
      </c>
      <c r="O88" s="4">
        <f ca="1">-SUMIFS(INDIRECT("Tab_00.Trial["&amp;O$4&amp;"]"),Tab_00.Trial[CONTA],$B88)</f>
        <v>0</v>
      </c>
      <c r="P88" s="78">
        <f t="shared" ca="1" si="138"/>
        <v>0</v>
      </c>
      <c r="Q88" s="78">
        <f t="shared" ca="1" si="151"/>
        <v>0</v>
      </c>
      <c r="R88" s="4">
        <f ca="1">-SUMIFS(INDIRECT("Tab_00.Trial["&amp;R$4&amp;"]"),Tab_00.Trial[CONTA],$B88)</f>
        <v>0</v>
      </c>
      <c r="S88" s="78">
        <f t="shared" ca="1" si="139"/>
        <v>0</v>
      </c>
      <c r="T88" s="78">
        <f t="shared" ca="1" si="152"/>
        <v>0</v>
      </c>
      <c r="U88" s="4">
        <f ca="1">-SUMIFS(INDIRECT("Tab_00.Trial["&amp;U$4&amp;"]"),Tab_00.Trial[CONTA],$B88)</f>
        <v>0</v>
      </c>
      <c r="V88" s="78">
        <f t="shared" ca="1" si="140"/>
        <v>0</v>
      </c>
      <c r="W88" s="78">
        <f t="shared" ca="1" si="153"/>
        <v>0</v>
      </c>
      <c r="X88" s="4">
        <f ca="1">-SUMIFS(INDIRECT("Tab_00.Trial["&amp;X$4&amp;"]"),Tab_00.Trial[CONTA],$B88)</f>
        <v>0</v>
      </c>
      <c r="Y88" s="78">
        <f t="shared" ca="1" si="141"/>
        <v>0</v>
      </c>
      <c r="Z88" s="78">
        <f t="shared" ca="1" si="154"/>
        <v>0</v>
      </c>
      <c r="AA88" s="4">
        <f ca="1">-SUMIFS(INDIRECT("Tab_00.Trial["&amp;AA$4&amp;"]"),Tab_00.Trial[CONTA],$B88)</f>
        <v>0</v>
      </c>
      <c r="AB88" s="78">
        <f t="shared" ca="1" si="142"/>
        <v>0</v>
      </c>
      <c r="AC88" s="78">
        <f t="shared" ca="1" si="155"/>
        <v>0</v>
      </c>
      <c r="AD88" s="4">
        <f ca="1">-SUMIFS(INDIRECT("Tab_00.Trial["&amp;AD$4&amp;"]"),Tab_00.Trial[CONTA],$B88)</f>
        <v>0</v>
      </c>
      <c r="AE88" s="78">
        <f t="shared" ca="1" si="143"/>
        <v>0</v>
      </c>
      <c r="AF88" s="78">
        <f t="shared" ca="1" si="156"/>
        <v>0</v>
      </c>
      <c r="AG88" s="4">
        <f ca="1">-SUMIFS(INDIRECT("Tab_00.Trial["&amp;AG$4&amp;"]"),Tab_00.Trial[CONTA],$B88)</f>
        <v>0</v>
      </c>
      <c r="AH88" s="78">
        <f t="shared" ca="1" si="144"/>
        <v>0</v>
      </c>
      <c r="AI88" s="78">
        <f t="shared" ca="1" si="157"/>
        <v>0</v>
      </c>
      <c r="AJ88" s="4">
        <f ca="1">-SUMIFS(INDIRECT("Tab_00.Trial["&amp;AJ$4&amp;"]"),Tab_00.Trial[CONTA],$B88)</f>
        <v>0</v>
      </c>
      <c r="AK88" s="78">
        <f t="shared" ca="1" si="145"/>
        <v>0</v>
      </c>
      <c r="AL88" s="78">
        <f t="shared" ca="1" si="158"/>
        <v>0</v>
      </c>
      <c r="AM88" s="4">
        <f ca="1">-SUMIFS(INDIRECT("Tab_00.Trial["&amp;AM$4&amp;"]"),Tab_00.Trial[CONTA],$B88)</f>
        <v>0</v>
      </c>
      <c r="AN88" s="78">
        <f t="shared" ca="1" si="146"/>
        <v>0</v>
      </c>
      <c r="AO88" s="78">
        <f t="shared" ca="1" si="159"/>
        <v>0</v>
      </c>
    </row>
    <row r="89" spans="2:41" ht="15" hidden="1" customHeight="1" outlineLevel="1" x14ac:dyDescent="0.3">
      <c r="B89" s="14"/>
      <c r="C89" s="15"/>
      <c r="D89" s="4">
        <f>-SUMIFS(Tab_99.Trial[DEZEMBRO],Tab_99.Trial[CONTA],$B89)</f>
        <v>0</v>
      </c>
      <c r="E89" s="78">
        <f t="shared" ca="1" si="147"/>
        <v>0</v>
      </c>
      <c r="F89" s="4">
        <f ca="1">-SUMIFS(INDIRECT("Tab_00.Trial["&amp;F$4&amp;"]"),Tab_00.Trial[CONTA],$B89)</f>
        <v>0</v>
      </c>
      <c r="G89" s="78">
        <f t="shared" ca="1" si="135"/>
        <v>0</v>
      </c>
      <c r="H89" s="78">
        <f t="shared" ca="1" si="148"/>
        <v>0</v>
      </c>
      <c r="I89" s="4">
        <f ca="1">-SUMIFS(INDIRECT("Tab_00.Trial["&amp;I$4&amp;"]"),Tab_00.Trial[CONTA],$B89)</f>
        <v>0</v>
      </c>
      <c r="J89" s="78">
        <f t="shared" ca="1" si="136"/>
        <v>0</v>
      </c>
      <c r="K89" s="78">
        <f t="shared" ca="1" si="149"/>
        <v>0</v>
      </c>
      <c r="L89" s="4">
        <f ca="1">-SUMIFS(INDIRECT("Tab_00.Trial["&amp;L$4&amp;"]"),Tab_00.Trial[CONTA],$B89)</f>
        <v>0</v>
      </c>
      <c r="M89" s="78">
        <f t="shared" ca="1" si="137"/>
        <v>0</v>
      </c>
      <c r="N89" s="78">
        <f t="shared" ca="1" si="150"/>
        <v>0</v>
      </c>
      <c r="O89" s="4">
        <f ca="1">-SUMIFS(INDIRECT("Tab_00.Trial["&amp;O$4&amp;"]"),Tab_00.Trial[CONTA],$B89)</f>
        <v>0</v>
      </c>
      <c r="P89" s="78">
        <f t="shared" ca="1" si="138"/>
        <v>0</v>
      </c>
      <c r="Q89" s="78">
        <f t="shared" ca="1" si="151"/>
        <v>0</v>
      </c>
      <c r="R89" s="4">
        <f ca="1">-SUMIFS(INDIRECT("Tab_00.Trial["&amp;R$4&amp;"]"),Tab_00.Trial[CONTA],$B89)</f>
        <v>0</v>
      </c>
      <c r="S89" s="78">
        <f t="shared" ca="1" si="139"/>
        <v>0</v>
      </c>
      <c r="T89" s="78">
        <f t="shared" ca="1" si="152"/>
        <v>0</v>
      </c>
      <c r="U89" s="4">
        <f ca="1">-SUMIFS(INDIRECT("Tab_00.Trial["&amp;U$4&amp;"]"),Tab_00.Trial[CONTA],$B89)</f>
        <v>0</v>
      </c>
      <c r="V89" s="78">
        <f t="shared" ca="1" si="140"/>
        <v>0</v>
      </c>
      <c r="W89" s="78">
        <f t="shared" ca="1" si="153"/>
        <v>0</v>
      </c>
      <c r="X89" s="4">
        <f ca="1">-SUMIFS(INDIRECT("Tab_00.Trial["&amp;X$4&amp;"]"),Tab_00.Trial[CONTA],$B89)</f>
        <v>0</v>
      </c>
      <c r="Y89" s="78">
        <f t="shared" ca="1" si="141"/>
        <v>0</v>
      </c>
      <c r="Z89" s="78">
        <f t="shared" ca="1" si="154"/>
        <v>0</v>
      </c>
      <c r="AA89" s="4">
        <f ca="1">-SUMIFS(INDIRECT("Tab_00.Trial["&amp;AA$4&amp;"]"),Tab_00.Trial[CONTA],$B89)</f>
        <v>0</v>
      </c>
      <c r="AB89" s="78">
        <f t="shared" ca="1" si="142"/>
        <v>0</v>
      </c>
      <c r="AC89" s="78">
        <f t="shared" ca="1" si="155"/>
        <v>0</v>
      </c>
      <c r="AD89" s="4">
        <f ca="1">-SUMIFS(INDIRECT("Tab_00.Trial["&amp;AD$4&amp;"]"),Tab_00.Trial[CONTA],$B89)</f>
        <v>0</v>
      </c>
      <c r="AE89" s="78">
        <f t="shared" ca="1" si="143"/>
        <v>0</v>
      </c>
      <c r="AF89" s="78">
        <f t="shared" ca="1" si="156"/>
        <v>0</v>
      </c>
      <c r="AG89" s="4">
        <f ca="1">-SUMIFS(INDIRECT("Tab_00.Trial["&amp;AG$4&amp;"]"),Tab_00.Trial[CONTA],$B89)</f>
        <v>0</v>
      </c>
      <c r="AH89" s="78">
        <f t="shared" ca="1" si="144"/>
        <v>0</v>
      </c>
      <c r="AI89" s="78">
        <f t="shared" ca="1" si="157"/>
        <v>0</v>
      </c>
      <c r="AJ89" s="4">
        <f ca="1">-SUMIFS(INDIRECT("Tab_00.Trial["&amp;AJ$4&amp;"]"),Tab_00.Trial[CONTA],$B89)</f>
        <v>0</v>
      </c>
      <c r="AK89" s="78">
        <f t="shared" ca="1" si="145"/>
        <v>0</v>
      </c>
      <c r="AL89" s="78">
        <f t="shared" ca="1" si="158"/>
        <v>0</v>
      </c>
      <c r="AM89" s="4">
        <f ca="1">-SUMIFS(INDIRECT("Tab_00.Trial["&amp;AM$4&amp;"]"),Tab_00.Trial[CONTA],$B89)</f>
        <v>0</v>
      </c>
      <c r="AN89" s="78">
        <f t="shared" ca="1" si="146"/>
        <v>0</v>
      </c>
      <c r="AO89" s="78">
        <f t="shared" ca="1" si="159"/>
        <v>0</v>
      </c>
    </row>
    <row r="90" spans="2:41" ht="15" hidden="1" customHeight="1" outlineLevel="1" x14ac:dyDescent="0.3">
      <c r="B90" s="14"/>
      <c r="C90" s="15"/>
      <c r="D90" s="4">
        <f>-SUMIFS(Tab_99.Trial[DEZEMBRO],Tab_99.Trial[CONTA],$B90)</f>
        <v>0</v>
      </c>
      <c r="E90" s="78">
        <f t="shared" ca="1" si="147"/>
        <v>0</v>
      </c>
      <c r="F90" s="4">
        <f ca="1">-SUMIFS(INDIRECT("Tab_00.Trial["&amp;F$4&amp;"]"),Tab_00.Trial[CONTA],$B90)</f>
        <v>0</v>
      </c>
      <c r="G90" s="78">
        <f t="shared" ca="1" si="135"/>
        <v>0</v>
      </c>
      <c r="H90" s="78">
        <f t="shared" ca="1" si="148"/>
        <v>0</v>
      </c>
      <c r="I90" s="4">
        <f ca="1">-SUMIFS(INDIRECT("Tab_00.Trial["&amp;I$4&amp;"]"),Tab_00.Trial[CONTA],$B90)</f>
        <v>0</v>
      </c>
      <c r="J90" s="78">
        <f t="shared" ca="1" si="136"/>
        <v>0</v>
      </c>
      <c r="K90" s="78">
        <f t="shared" ca="1" si="149"/>
        <v>0</v>
      </c>
      <c r="L90" s="4">
        <f ca="1">-SUMIFS(INDIRECT("Tab_00.Trial["&amp;L$4&amp;"]"),Tab_00.Trial[CONTA],$B90)</f>
        <v>0</v>
      </c>
      <c r="M90" s="78">
        <f t="shared" ca="1" si="137"/>
        <v>0</v>
      </c>
      <c r="N90" s="78">
        <f t="shared" ca="1" si="150"/>
        <v>0</v>
      </c>
      <c r="O90" s="4">
        <f ca="1">-SUMIFS(INDIRECT("Tab_00.Trial["&amp;O$4&amp;"]"),Tab_00.Trial[CONTA],$B90)</f>
        <v>0</v>
      </c>
      <c r="P90" s="78">
        <f t="shared" ca="1" si="138"/>
        <v>0</v>
      </c>
      <c r="Q90" s="78">
        <f t="shared" ca="1" si="151"/>
        <v>0</v>
      </c>
      <c r="R90" s="4">
        <f ca="1">-SUMIFS(INDIRECT("Tab_00.Trial["&amp;R$4&amp;"]"),Tab_00.Trial[CONTA],$B90)</f>
        <v>0</v>
      </c>
      <c r="S90" s="78">
        <f t="shared" ca="1" si="139"/>
        <v>0</v>
      </c>
      <c r="T90" s="78">
        <f t="shared" ca="1" si="152"/>
        <v>0</v>
      </c>
      <c r="U90" s="4">
        <f ca="1">-SUMIFS(INDIRECT("Tab_00.Trial["&amp;U$4&amp;"]"),Tab_00.Trial[CONTA],$B90)</f>
        <v>0</v>
      </c>
      <c r="V90" s="78">
        <f t="shared" ca="1" si="140"/>
        <v>0</v>
      </c>
      <c r="W90" s="78">
        <f t="shared" ca="1" si="153"/>
        <v>0</v>
      </c>
      <c r="X90" s="4">
        <f ca="1">-SUMIFS(INDIRECT("Tab_00.Trial["&amp;X$4&amp;"]"),Tab_00.Trial[CONTA],$B90)</f>
        <v>0</v>
      </c>
      <c r="Y90" s="78">
        <f t="shared" ca="1" si="141"/>
        <v>0</v>
      </c>
      <c r="Z90" s="78">
        <f t="shared" ca="1" si="154"/>
        <v>0</v>
      </c>
      <c r="AA90" s="4">
        <f ca="1">-SUMIFS(INDIRECT("Tab_00.Trial["&amp;AA$4&amp;"]"),Tab_00.Trial[CONTA],$B90)</f>
        <v>0</v>
      </c>
      <c r="AB90" s="78">
        <f t="shared" ca="1" si="142"/>
        <v>0</v>
      </c>
      <c r="AC90" s="78">
        <f t="shared" ca="1" si="155"/>
        <v>0</v>
      </c>
      <c r="AD90" s="4">
        <f ca="1">-SUMIFS(INDIRECT("Tab_00.Trial["&amp;AD$4&amp;"]"),Tab_00.Trial[CONTA],$B90)</f>
        <v>0</v>
      </c>
      <c r="AE90" s="78">
        <f t="shared" ca="1" si="143"/>
        <v>0</v>
      </c>
      <c r="AF90" s="78">
        <f t="shared" ca="1" si="156"/>
        <v>0</v>
      </c>
      <c r="AG90" s="4">
        <f ca="1">-SUMIFS(INDIRECT("Tab_00.Trial["&amp;AG$4&amp;"]"),Tab_00.Trial[CONTA],$B90)</f>
        <v>0</v>
      </c>
      <c r="AH90" s="78">
        <f t="shared" ca="1" si="144"/>
        <v>0</v>
      </c>
      <c r="AI90" s="78">
        <f t="shared" ca="1" si="157"/>
        <v>0</v>
      </c>
      <c r="AJ90" s="4">
        <f ca="1">-SUMIFS(INDIRECT("Tab_00.Trial["&amp;AJ$4&amp;"]"),Tab_00.Trial[CONTA],$B90)</f>
        <v>0</v>
      </c>
      <c r="AK90" s="78">
        <f t="shared" ca="1" si="145"/>
        <v>0</v>
      </c>
      <c r="AL90" s="78">
        <f t="shared" ca="1" si="158"/>
        <v>0</v>
      </c>
      <c r="AM90" s="4">
        <f ca="1">-SUMIFS(INDIRECT("Tab_00.Trial["&amp;AM$4&amp;"]"),Tab_00.Trial[CONTA],$B90)</f>
        <v>0</v>
      </c>
      <c r="AN90" s="78">
        <f t="shared" ca="1" si="146"/>
        <v>0</v>
      </c>
      <c r="AO90" s="78">
        <f t="shared" ca="1" si="159"/>
        <v>0</v>
      </c>
    </row>
    <row r="91" spans="2:41" ht="15" hidden="1" customHeight="1" outlineLevel="1" x14ac:dyDescent="0.3">
      <c r="B91" s="14"/>
      <c r="C91" s="15"/>
      <c r="D91" s="4">
        <f>-SUMIFS(Tab_99.Trial[DEZEMBRO],Tab_99.Trial[CONTA],$B91)</f>
        <v>0</v>
      </c>
      <c r="E91" s="78">
        <f t="shared" ca="1" si="147"/>
        <v>0</v>
      </c>
      <c r="F91" s="4">
        <f ca="1">-SUMIFS(INDIRECT("Tab_00.Trial["&amp;F$4&amp;"]"),Tab_00.Trial[CONTA],$B91)</f>
        <v>0</v>
      </c>
      <c r="G91" s="78">
        <f t="shared" ca="1" si="135"/>
        <v>0</v>
      </c>
      <c r="H91" s="78">
        <f t="shared" ca="1" si="148"/>
        <v>0</v>
      </c>
      <c r="I91" s="4">
        <f ca="1">-SUMIFS(INDIRECT("Tab_00.Trial["&amp;I$4&amp;"]"),Tab_00.Trial[CONTA],$B91)</f>
        <v>0</v>
      </c>
      <c r="J91" s="78">
        <f t="shared" ca="1" si="136"/>
        <v>0</v>
      </c>
      <c r="K91" s="78">
        <f t="shared" ca="1" si="149"/>
        <v>0</v>
      </c>
      <c r="L91" s="4">
        <f ca="1">-SUMIFS(INDIRECT("Tab_00.Trial["&amp;L$4&amp;"]"),Tab_00.Trial[CONTA],$B91)</f>
        <v>0</v>
      </c>
      <c r="M91" s="78">
        <f t="shared" ca="1" si="137"/>
        <v>0</v>
      </c>
      <c r="N91" s="78">
        <f t="shared" ca="1" si="150"/>
        <v>0</v>
      </c>
      <c r="O91" s="4">
        <f ca="1">-SUMIFS(INDIRECT("Tab_00.Trial["&amp;O$4&amp;"]"),Tab_00.Trial[CONTA],$B91)</f>
        <v>0</v>
      </c>
      <c r="P91" s="78">
        <f t="shared" ca="1" si="138"/>
        <v>0</v>
      </c>
      <c r="Q91" s="78">
        <f t="shared" ca="1" si="151"/>
        <v>0</v>
      </c>
      <c r="R91" s="4">
        <f ca="1">-SUMIFS(INDIRECT("Tab_00.Trial["&amp;R$4&amp;"]"),Tab_00.Trial[CONTA],$B91)</f>
        <v>0</v>
      </c>
      <c r="S91" s="78">
        <f t="shared" ca="1" si="139"/>
        <v>0</v>
      </c>
      <c r="T91" s="78">
        <f t="shared" ca="1" si="152"/>
        <v>0</v>
      </c>
      <c r="U91" s="4">
        <f ca="1">-SUMIFS(INDIRECT("Tab_00.Trial["&amp;U$4&amp;"]"),Tab_00.Trial[CONTA],$B91)</f>
        <v>0</v>
      </c>
      <c r="V91" s="78">
        <f t="shared" ca="1" si="140"/>
        <v>0</v>
      </c>
      <c r="W91" s="78">
        <f t="shared" ca="1" si="153"/>
        <v>0</v>
      </c>
      <c r="X91" s="4">
        <f ca="1">-SUMIFS(INDIRECT("Tab_00.Trial["&amp;X$4&amp;"]"),Tab_00.Trial[CONTA],$B91)</f>
        <v>0</v>
      </c>
      <c r="Y91" s="78">
        <f t="shared" ca="1" si="141"/>
        <v>0</v>
      </c>
      <c r="Z91" s="78">
        <f t="shared" ca="1" si="154"/>
        <v>0</v>
      </c>
      <c r="AA91" s="4">
        <f ca="1">-SUMIFS(INDIRECT("Tab_00.Trial["&amp;AA$4&amp;"]"),Tab_00.Trial[CONTA],$B91)</f>
        <v>0</v>
      </c>
      <c r="AB91" s="78">
        <f t="shared" ca="1" si="142"/>
        <v>0</v>
      </c>
      <c r="AC91" s="78">
        <f t="shared" ca="1" si="155"/>
        <v>0</v>
      </c>
      <c r="AD91" s="4">
        <f ca="1">-SUMIFS(INDIRECT("Tab_00.Trial["&amp;AD$4&amp;"]"),Tab_00.Trial[CONTA],$B91)</f>
        <v>0</v>
      </c>
      <c r="AE91" s="78">
        <f t="shared" ca="1" si="143"/>
        <v>0</v>
      </c>
      <c r="AF91" s="78">
        <f t="shared" ca="1" si="156"/>
        <v>0</v>
      </c>
      <c r="AG91" s="4">
        <f ca="1">-SUMIFS(INDIRECT("Tab_00.Trial["&amp;AG$4&amp;"]"),Tab_00.Trial[CONTA],$B91)</f>
        <v>0</v>
      </c>
      <c r="AH91" s="78">
        <f t="shared" ca="1" si="144"/>
        <v>0</v>
      </c>
      <c r="AI91" s="78">
        <f t="shared" ca="1" si="157"/>
        <v>0</v>
      </c>
      <c r="AJ91" s="4">
        <f ca="1">-SUMIFS(INDIRECT("Tab_00.Trial["&amp;AJ$4&amp;"]"),Tab_00.Trial[CONTA],$B91)</f>
        <v>0</v>
      </c>
      <c r="AK91" s="78">
        <f t="shared" ca="1" si="145"/>
        <v>0</v>
      </c>
      <c r="AL91" s="78">
        <f t="shared" ca="1" si="158"/>
        <v>0</v>
      </c>
      <c r="AM91" s="4">
        <f ca="1">-SUMIFS(INDIRECT("Tab_00.Trial["&amp;AM$4&amp;"]"),Tab_00.Trial[CONTA],$B91)</f>
        <v>0</v>
      </c>
      <c r="AN91" s="78">
        <f t="shared" ca="1" si="146"/>
        <v>0</v>
      </c>
      <c r="AO91" s="78">
        <f t="shared" ca="1" si="159"/>
        <v>0</v>
      </c>
    </row>
    <row r="92" spans="2:41" ht="15" hidden="1" customHeight="1" outlineLevel="1" x14ac:dyDescent="0.3">
      <c r="B92" s="14"/>
      <c r="C92" s="15"/>
      <c r="D92" s="4">
        <f>-SUMIFS(Tab_99.Trial[DEZEMBRO],Tab_99.Trial[CONTA],$B92)</f>
        <v>0</v>
      </c>
      <c r="E92" s="78">
        <f t="shared" ca="1" si="147"/>
        <v>0</v>
      </c>
      <c r="F92" s="4">
        <f ca="1">-SUMIFS(INDIRECT("Tab_00.Trial["&amp;F$4&amp;"]"),Tab_00.Trial[CONTA],$B92)</f>
        <v>0</v>
      </c>
      <c r="G92" s="78">
        <f t="shared" ca="1" si="135"/>
        <v>0</v>
      </c>
      <c r="H92" s="78">
        <f t="shared" ca="1" si="148"/>
        <v>0</v>
      </c>
      <c r="I92" s="4">
        <f ca="1">-SUMIFS(INDIRECT("Tab_00.Trial["&amp;I$4&amp;"]"),Tab_00.Trial[CONTA],$B92)</f>
        <v>0</v>
      </c>
      <c r="J92" s="78">
        <f t="shared" ca="1" si="136"/>
        <v>0</v>
      </c>
      <c r="K92" s="78">
        <f t="shared" ca="1" si="149"/>
        <v>0</v>
      </c>
      <c r="L92" s="4">
        <f ca="1">-SUMIFS(INDIRECT("Tab_00.Trial["&amp;L$4&amp;"]"),Tab_00.Trial[CONTA],$B92)</f>
        <v>0</v>
      </c>
      <c r="M92" s="78">
        <f t="shared" ca="1" si="137"/>
        <v>0</v>
      </c>
      <c r="N92" s="78">
        <f t="shared" ca="1" si="150"/>
        <v>0</v>
      </c>
      <c r="O92" s="4">
        <f ca="1">-SUMIFS(INDIRECT("Tab_00.Trial["&amp;O$4&amp;"]"),Tab_00.Trial[CONTA],$B92)</f>
        <v>0</v>
      </c>
      <c r="P92" s="78">
        <f t="shared" ca="1" si="138"/>
        <v>0</v>
      </c>
      <c r="Q92" s="78">
        <f t="shared" ca="1" si="151"/>
        <v>0</v>
      </c>
      <c r="R92" s="4">
        <f ca="1">-SUMIFS(INDIRECT("Tab_00.Trial["&amp;R$4&amp;"]"),Tab_00.Trial[CONTA],$B92)</f>
        <v>0</v>
      </c>
      <c r="S92" s="78">
        <f t="shared" ca="1" si="139"/>
        <v>0</v>
      </c>
      <c r="T92" s="78">
        <f t="shared" ca="1" si="152"/>
        <v>0</v>
      </c>
      <c r="U92" s="4">
        <f ca="1">-SUMIFS(INDIRECT("Tab_00.Trial["&amp;U$4&amp;"]"),Tab_00.Trial[CONTA],$B92)</f>
        <v>0</v>
      </c>
      <c r="V92" s="78">
        <f t="shared" ca="1" si="140"/>
        <v>0</v>
      </c>
      <c r="W92" s="78">
        <f t="shared" ca="1" si="153"/>
        <v>0</v>
      </c>
      <c r="X92" s="4">
        <f ca="1">-SUMIFS(INDIRECT("Tab_00.Trial["&amp;X$4&amp;"]"),Tab_00.Trial[CONTA],$B92)</f>
        <v>0</v>
      </c>
      <c r="Y92" s="78">
        <f t="shared" ca="1" si="141"/>
        <v>0</v>
      </c>
      <c r="Z92" s="78">
        <f t="shared" ca="1" si="154"/>
        <v>0</v>
      </c>
      <c r="AA92" s="4">
        <f ca="1">-SUMIFS(INDIRECT("Tab_00.Trial["&amp;AA$4&amp;"]"),Tab_00.Trial[CONTA],$B92)</f>
        <v>0</v>
      </c>
      <c r="AB92" s="78">
        <f t="shared" ca="1" si="142"/>
        <v>0</v>
      </c>
      <c r="AC92" s="78">
        <f t="shared" ca="1" si="155"/>
        <v>0</v>
      </c>
      <c r="AD92" s="4">
        <f ca="1">-SUMIFS(INDIRECT("Tab_00.Trial["&amp;AD$4&amp;"]"),Tab_00.Trial[CONTA],$B92)</f>
        <v>0</v>
      </c>
      <c r="AE92" s="78">
        <f t="shared" ca="1" si="143"/>
        <v>0</v>
      </c>
      <c r="AF92" s="78">
        <f t="shared" ca="1" si="156"/>
        <v>0</v>
      </c>
      <c r="AG92" s="4">
        <f ca="1">-SUMIFS(INDIRECT("Tab_00.Trial["&amp;AG$4&amp;"]"),Tab_00.Trial[CONTA],$B92)</f>
        <v>0</v>
      </c>
      <c r="AH92" s="78">
        <f t="shared" ca="1" si="144"/>
        <v>0</v>
      </c>
      <c r="AI92" s="78">
        <f t="shared" ca="1" si="157"/>
        <v>0</v>
      </c>
      <c r="AJ92" s="4">
        <f ca="1">-SUMIFS(INDIRECT("Tab_00.Trial["&amp;AJ$4&amp;"]"),Tab_00.Trial[CONTA],$B92)</f>
        <v>0</v>
      </c>
      <c r="AK92" s="78">
        <f t="shared" ca="1" si="145"/>
        <v>0</v>
      </c>
      <c r="AL92" s="78">
        <f t="shared" ca="1" si="158"/>
        <v>0</v>
      </c>
      <c r="AM92" s="4">
        <f ca="1">-SUMIFS(INDIRECT("Tab_00.Trial["&amp;AM$4&amp;"]"),Tab_00.Trial[CONTA],$B92)</f>
        <v>0</v>
      </c>
      <c r="AN92" s="78">
        <f t="shared" ca="1" si="146"/>
        <v>0</v>
      </c>
      <c r="AO92" s="78">
        <f t="shared" ca="1" si="159"/>
        <v>0</v>
      </c>
    </row>
    <row r="93" spans="2:41" ht="15" hidden="1" customHeight="1" outlineLevel="1" x14ac:dyDescent="0.3">
      <c r="B93" s="14"/>
      <c r="C93" s="15"/>
      <c r="D93" s="4">
        <f>-SUMIFS(Tab_99.Trial[DEZEMBRO],Tab_99.Trial[CONTA],$B93)</f>
        <v>0</v>
      </c>
      <c r="E93" s="78">
        <f t="shared" ca="1" si="147"/>
        <v>0</v>
      </c>
      <c r="F93" s="4">
        <f ca="1">-SUMIFS(INDIRECT("Tab_00.Trial["&amp;F$4&amp;"]"),Tab_00.Trial[CONTA],$B93)</f>
        <v>0</v>
      </c>
      <c r="G93" s="78">
        <f t="shared" ca="1" si="135"/>
        <v>0</v>
      </c>
      <c r="H93" s="78">
        <f t="shared" ca="1" si="148"/>
        <v>0</v>
      </c>
      <c r="I93" s="4">
        <f ca="1">-SUMIFS(INDIRECT("Tab_00.Trial["&amp;I$4&amp;"]"),Tab_00.Trial[CONTA],$B93)</f>
        <v>0</v>
      </c>
      <c r="J93" s="78">
        <f t="shared" ca="1" si="136"/>
        <v>0</v>
      </c>
      <c r="K93" s="78">
        <f t="shared" ca="1" si="149"/>
        <v>0</v>
      </c>
      <c r="L93" s="4">
        <f ca="1">-SUMIFS(INDIRECT("Tab_00.Trial["&amp;L$4&amp;"]"),Tab_00.Trial[CONTA],$B93)</f>
        <v>0</v>
      </c>
      <c r="M93" s="78">
        <f t="shared" ca="1" si="137"/>
        <v>0</v>
      </c>
      <c r="N93" s="78">
        <f t="shared" ca="1" si="150"/>
        <v>0</v>
      </c>
      <c r="O93" s="4">
        <f ca="1">-SUMIFS(INDIRECT("Tab_00.Trial["&amp;O$4&amp;"]"),Tab_00.Trial[CONTA],$B93)</f>
        <v>0</v>
      </c>
      <c r="P93" s="78">
        <f t="shared" ca="1" si="138"/>
        <v>0</v>
      </c>
      <c r="Q93" s="78">
        <f t="shared" ca="1" si="151"/>
        <v>0</v>
      </c>
      <c r="R93" s="4">
        <f ca="1">-SUMIFS(INDIRECT("Tab_00.Trial["&amp;R$4&amp;"]"),Tab_00.Trial[CONTA],$B93)</f>
        <v>0</v>
      </c>
      <c r="S93" s="78">
        <f t="shared" ca="1" si="139"/>
        <v>0</v>
      </c>
      <c r="T93" s="78">
        <f t="shared" ca="1" si="152"/>
        <v>0</v>
      </c>
      <c r="U93" s="4">
        <f ca="1">-SUMIFS(INDIRECT("Tab_00.Trial["&amp;U$4&amp;"]"),Tab_00.Trial[CONTA],$B93)</f>
        <v>0</v>
      </c>
      <c r="V93" s="78">
        <f t="shared" ca="1" si="140"/>
        <v>0</v>
      </c>
      <c r="W93" s="78">
        <f t="shared" ca="1" si="153"/>
        <v>0</v>
      </c>
      <c r="X93" s="4">
        <f ca="1">-SUMIFS(INDIRECT("Tab_00.Trial["&amp;X$4&amp;"]"),Tab_00.Trial[CONTA],$B93)</f>
        <v>0</v>
      </c>
      <c r="Y93" s="78">
        <f t="shared" ca="1" si="141"/>
        <v>0</v>
      </c>
      <c r="Z93" s="78">
        <f t="shared" ca="1" si="154"/>
        <v>0</v>
      </c>
      <c r="AA93" s="4">
        <f ca="1">-SUMIFS(INDIRECT("Tab_00.Trial["&amp;AA$4&amp;"]"),Tab_00.Trial[CONTA],$B93)</f>
        <v>0</v>
      </c>
      <c r="AB93" s="78">
        <f t="shared" ca="1" si="142"/>
        <v>0</v>
      </c>
      <c r="AC93" s="78">
        <f t="shared" ca="1" si="155"/>
        <v>0</v>
      </c>
      <c r="AD93" s="4">
        <f ca="1">-SUMIFS(INDIRECT("Tab_00.Trial["&amp;AD$4&amp;"]"),Tab_00.Trial[CONTA],$B93)</f>
        <v>0</v>
      </c>
      <c r="AE93" s="78">
        <f t="shared" ca="1" si="143"/>
        <v>0</v>
      </c>
      <c r="AF93" s="78">
        <f t="shared" ca="1" si="156"/>
        <v>0</v>
      </c>
      <c r="AG93" s="4">
        <f ca="1">-SUMIFS(INDIRECT("Tab_00.Trial["&amp;AG$4&amp;"]"),Tab_00.Trial[CONTA],$B93)</f>
        <v>0</v>
      </c>
      <c r="AH93" s="78">
        <f t="shared" ca="1" si="144"/>
        <v>0</v>
      </c>
      <c r="AI93" s="78">
        <f t="shared" ca="1" si="157"/>
        <v>0</v>
      </c>
      <c r="AJ93" s="4">
        <f ca="1">-SUMIFS(INDIRECT("Tab_00.Trial["&amp;AJ$4&amp;"]"),Tab_00.Trial[CONTA],$B93)</f>
        <v>0</v>
      </c>
      <c r="AK93" s="78">
        <f t="shared" ca="1" si="145"/>
        <v>0</v>
      </c>
      <c r="AL93" s="78">
        <f t="shared" ca="1" si="158"/>
        <v>0</v>
      </c>
      <c r="AM93" s="4">
        <f ca="1">-SUMIFS(INDIRECT("Tab_00.Trial["&amp;AM$4&amp;"]"),Tab_00.Trial[CONTA],$B93)</f>
        <v>0</v>
      </c>
      <c r="AN93" s="78">
        <f t="shared" ca="1" si="146"/>
        <v>0</v>
      </c>
      <c r="AO93" s="78">
        <f t="shared" ca="1" si="159"/>
        <v>0</v>
      </c>
    </row>
    <row r="94" spans="2:41" ht="15" hidden="1" customHeight="1" outlineLevel="1" x14ac:dyDescent="0.3">
      <c r="B94" s="14"/>
      <c r="C94" s="15"/>
      <c r="D94" s="4">
        <f>-SUMIFS(Tab_99.Trial[DEZEMBRO],Tab_99.Trial[CONTA],$B94)</f>
        <v>0</v>
      </c>
      <c r="E94" s="78">
        <f t="shared" ca="1" si="147"/>
        <v>0</v>
      </c>
      <c r="F94" s="4">
        <f ca="1">-SUMIFS(INDIRECT("Tab_00.Trial["&amp;F$4&amp;"]"),Tab_00.Trial[CONTA],$B94)</f>
        <v>0</v>
      </c>
      <c r="G94" s="78">
        <f t="shared" ca="1" si="135"/>
        <v>0</v>
      </c>
      <c r="H94" s="78">
        <f t="shared" ca="1" si="148"/>
        <v>0</v>
      </c>
      <c r="I94" s="4">
        <f ca="1">-SUMIFS(INDIRECT("Tab_00.Trial["&amp;I$4&amp;"]"),Tab_00.Trial[CONTA],$B94)</f>
        <v>0</v>
      </c>
      <c r="J94" s="78">
        <f t="shared" ca="1" si="136"/>
        <v>0</v>
      </c>
      <c r="K94" s="78">
        <f t="shared" ca="1" si="149"/>
        <v>0</v>
      </c>
      <c r="L94" s="4">
        <f ca="1">-SUMIFS(INDIRECT("Tab_00.Trial["&amp;L$4&amp;"]"),Tab_00.Trial[CONTA],$B94)</f>
        <v>0</v>
      </c>
      <c r="M94" s="78">
        <f t="shared" ca="1" si="137"/>
        <v>0</v>
      </c>
      <c r="N94" s="78">
        <f t="shared" ca="1" si="150"/>
        <v>0</v>
      </c>
      <c r="O94" s="4">
        <f ca="1">-SUMIFS(INDIRECT("Tab_00.Trial["&amp;O$4&amp;"]"),Tab_00.Trial[CONTA],$B94)</f>
        <v>0</v>
      </c>
      <c r="P94" s="78">
        <f t="shared" ca="1" si="138"/>
        <v>0</v>
      </c>
      <c r="Q94" s="78">
        <f t="shared" ca="1" si="151"/>
        <v>0</v>
      </c>
      <c r="R94" s="4">
        <f ca="1">-SUMIFS(INDIRECT("Tab_00.Trial["&amp;R$4&amp;"]"),Tab_00.Trial[CONTA],$B94)</f>
        <v>0</v>
      </c>
      <c r="S94" s="78">
        <f t="shared" ca="1" si="139"/>
        <v>0</v>
      </c>
      <c r="T94" s="78">
        <f t="shared" ca="1" si="152"/>
        <v>0</v>
      </c>
      <c r="U94" s="4">
        <f ca="1">-SUMIFS(INDIRECT("Tab_00.Trial["&amp;U$4&amp;"]"),Tab_00.Trial[CONTA],$B94)</f>
        <v>0</v>
      </c>
      <c r="V94" s="78">
        <f t="shared" ca="1" si="140"/>
        <v>0</v>
      </c>
      <c r="W94" s="78">
        <f t="shared" ca="1" si="153"/>
        <v>0</v>
      </c>
      <c r="X94" s="4">
        <f ca="1">-SUMIFS(INDIRECT("Tab_00.Trial["&amp;X$4&amp;"]"),Tab_00.Trial[CONTA],$B94)</f>
        <v>0</v>
      </c>
      <c r="Y94" s="78">
        <f t="shared" ca="1" si="141"/>
        <v>0</v>
      </c>
      <c r="Z94" s="78">
        <f t="shared" ca="1" si="154"/>
        <v>0</v>
      </c>
      <c r="AA94" s="4">
        <f ca="1">-SUMIFS(INDIRECT("Tab_00.Trial["&amp;AA$4&amp;"]"),Tab_00.Trial[CONTA],$B94)</f>
        <v>0</v>
      </c>
      <c r="AB94" s="78">
        <f t="shared" ca="1" si="142"/>
        <v>0</v>
      </c>
      <c r="AC94" s="78">
        <f t="shared" ca="1" si="155"/>
        <v>0</v>
      </c>
      <c r="AD94" s="4">
        <f ca="1">-SUMIFS(INDIRECT("Tab_00.Trial["&amp;AD$4&amp;"]"),Tab_00.Trial[CONTA],$B94)</f>
        <v>0</v>
      </c>
      <c r="AE94" s="78">
        <f t="shared" ca="1" si="143"/>
        <v>0</v>
      </c>
      <c r="AF94" s="78">
        <f t="shared" ca="1" si="156"/>
        <v>0</v>
      </c>
      <c r="AG94" s="4">
        <f ca="1">-SUMIFS(INDIRECT("Tab_00.Trial["&amp;AG$4&amp;"]"),Tab_00.Trial[CONTA],$B94)</f>
        <v>0</v>
      </c>
      <c r="AH94" s="78">
        <f t="shared" ca="1" si="144"/>
        <v>0</v>
      </c>
      <c r="AI94" s="78">
        <f t="shared" ca="1" si="157"/>
        <v>0</v>
      </c>
      <c r="AJ94" s="4">
        <f ca="1">-SUMIFS(INDIRECT("Tab_00.Trial["&amp;AJ$4&amp;"]"),Tab_00.Trial[CONTA],$B94)</f>
        <v>0</v>
      </c>
      <c r="AK94" s="78">
        <f t="shared" ca="1" si="145"/>
        <v>0</v>
      </c>
      <c r="AL94" s="78">
        <f t="shared" ca="1" si="158"/>
        <v>0</v>
      </c>
      <c r="AM94" s="4">
        <f ca="1">-SUMIFS(INDIRECT("Tab_00.Trial["&amp;AM$4&amp;"]"),Tab_00.Trial[CONTA],$B94)</f>
        <v>0</v>
      </c>
      <c r="AN94" s="78">
        <f t="shared" ca="1" si="146"/>
        <v>0</v>
      </c>
      <c r="AO94" s="78">
        <f t="shared" ca="1" si="159"/>
        <v>0</v>
      </c>
    </row>
    <row r="95" spans="2:41" ht="15" hidden="1" customHeight="1" outlineLevel="1" x14ac:dyDescent="0.3">
      <c r="B95" s="14"/>
      <c r="C95" s="15"/>
      <c r="D95" s="4">
        <f>-SUMIFS(Tab_99.Trial[DEZEMBRO],Tab_99.Trial[CONTA],$B95)</f>
        <v>0</v>
      </c>
      <c r="E95" s="78">
        <f t="shared" ca="1" si="147"/>
        <v>0</v>
      </c>
      <c r="F95" s="4">
        <f ca="1">-SUMIFS(INDIRECT("Tab_00.Trial["&amp;F$4&amp;"]"),Tab_00.Trial[CONTA],$B95)</f>
        <v>0</v>
      </c>
      <c r="G95" s="78">
        <f t="shared" ca="1" si="135"/>
        <v>0</v>
      </c>
      <c r="H95" s="78">
        <f t="shared" ca="1" si="148"/>
        <v>0</v>
      </c>
      <c r="I95" s="4">
        <f ca="1">-SUMIFS(INDIRECT("Tab_00.Trial["&amp;I$4&amp;"]"),Tab_00.Trial[CONTA],$B95)</f>
        <v>0</v>
      </c>
      <c r="J95" s="78">
        <f t="shared" ca="1" si="136"/>
        <v>0</v>
      </c>
      <c r="K95" s="78">
        <f t="shared" ca="1" si="149"/>
        <v>0</v>
      </c>
      <c r="L95" s="4">
        <f ca="1">-SUMIFS(INDIRECT("Tab_00.Trial["&amp;L$4&amp;"]"),Tab_00.Trial[CONTA],$B95)</f>
        <v>0</v>
      </c>
      <c r="M95" s="78">
        <f t="shared" ca="1" si="137"/>
        <v>0</v>
      </c>
      <c r="N95" s="78">
        <f t="shared" ca="1" si="150"/>
        <v>0</v>
      </c>
      <c r="O95" s="4">
        <f ca="1">-SUMIFS(INDIRECT("Tab_00.Trial["&amp;O$4&amp;"]"),Tab_00.Trial[CONTA],$B95)</f>
        <v>0</v>
      </c>
      <c r="P95" s="78">
        <f t="shared" ca="1" si="138"/>
        <v>0</v>
      </c>
      <c r="Q95" s="78">
        <f t="shared" ca="1" si="151"/>
        <v>0</v>
      </c>
      <c r="R95" s="4">
        <f ca="1">-SUMIFS(INDIRECT("Tab_00.Trial["&amp;R$4&amp;"]"),Tab_00.Trial[CONTA],$B95)</f>
        <v>0</v>
      </c>
      <c r="S95" s="78">
        <f t="shared" ca="1" si="139"/>
        <v>0</v>
      </c>
      <c r="T95" s="78">
        <f t="shared" ca="1" si="152"/>
        <v>0</v>
      </c>
      <c r="U95" s="4">
        <f ca="1">-SUMIFS(INDIRECT("Tab_00.Trial["&amp;U$4&amp;"]"),Tab_00.Trial[CONTA],$B95)</f>
        <v>0</v>
      </c>
      <c r="V95" s="78">
        <f t="shared" ca="1" si="140"/>
        <v>0</v>
      </c>
      <c r="W95" s="78">
        <f t="shared" ca="1" si="153"/>
        <v>0</v>
      </c>
      <c r="X95" s="4">
        <f ca="1">-SUMIFS(INDIRECT("Tab_00.Trial["&amp;X$4&amp;"]"),Tab_00.Trial[CONTA],$B95)</f>
        <v>0</v>
      </c>
      <c r="Y95" s="78">
        <f t="shared" ca="1" si="141"/>
        <v>0</v>
      </c>
      <c r="Z95" s="78">
        <f t="shared" ca="1" si="154"/>
        <v>0</v>
      </c>
      <c r="AA95" s="4">
        <f ca="1">-SUMIFS(INDIRECT("Tab_00.Trial["&amp;AA$4&amp;"]"),Tab_00.Trial[CONTA],$B95)</f>
        <v>0</v>
      </c>
      <c r="AB95" s="78">
        <f t="shared" ca="1" si="142"/>
        <v>0</v>
      </c>
      <c r="AC95" s="78">
        <f t="shared" ca="1" si="155"/>
        <v>0</v>
      </c>
      <c r="AD95" s="4">
        <f ca="1">-SUMIFS(INDIRECT("Tab_00.Trial["&amp;AD$4&amp;"]"),Tab_00.Trial[CONTA],$B95)</f>
        <v>0</v>
      </c>
      <c r="AE95" s="78">
        <f t="shared" ca="1" si="143"/>
        <v>0</v>
      </c>
      <c r="AF95" s="78">
        <f t="shared" ca="1" si="156"/>
        <v>0</v>
      </c>
      <c r="AG95" s="4">
        <f ca="1">-SUMIFS(INDIRECT("Tab_00.Trial["&amp;AG$4&amp;"]"),Tab_00.Trial[CONTA],$B95)</f>
        <v>0</v>
      </c>
      <c r="AH95" s="78">
        <f t="shared" ca="1" si="144"/>
        <v>0</v>
      </c>
      <c r="AI95" s="78">
        <f t="shared" ca="1" si="157"/>
        <v>0</v>
      </c>
      <c r="AJ95" s="4">
        <f ca="1">-SUMIFS(INDIRECT("Tab_00.Trial["&amp;AJ$4&amp;"]"),Tab_00.Trial[CONTA],$B95)</f>
        <v>0</v>
      </c>
      <c r="AK95" s="78">
        <f t="shared" ca="1" si="145"/>
        <v>0</v>
      </c>
      <c r="AL95" s="78">
        <f t="shared" ca="1" si="158"/>
        <v>0</v>
      </c>
      <c r="AM95" s="4">
        <f ca="1">-SUMIFS(INDIRECT("Tab_00.Trial["&amp;AM$4&amp;"]"),Tab_00.Trial[CONTA],$B95)</f>
        <v>0</v>
      </c>
      <c r="AN95" s="78">
        <f t="shared" ca="1" si="146"/>
        <v>0</v>
      </c>
      <c r="AO95" s="78">
        <f t="shared" ca="1" si="159"/>
        <v>0</v>
      </c>
    </row>
    <row r="96" spans="2:41" ht="15" hidden="1" customHeight="1" outlineLevel="1" x14ac:dyDescent="0.3">
      <c r="B96" s="14"/>
      <c r="C96" s="15"/>
      <c r="D96" s="4">
        <f>-SUMIFS(Tab_99.Trial[DEZEMBRO],Tab_99.Trial[CONTA],$B96)</f>
        <v>0</v>
      </c>
      <c r="E96" s="78">
        <f t="shared" ca="1" si="147"/>
        <v>0</v>
      </c>
      <c r="F96" s="4">
        <f ca="1">-SUMIFS(INDIRECT("Tab_00.Trial["&amp;F$4&amp;"]"),Tab_00.Trial[CONTA],$B96)</f>
        <v>0</v>
      </c>
      <c r="G96" s="78">
        <f t="shared" ca="1" si="135"/>
        <v>0</v>
      </c>
      <c r="H96" s="78">
        <f t="shared" ca="1" si="148"/>
        <v>0</v>
      </c>
      <c r="I96" s="4">
        <f ca="1">-SUMIFS(INDIRECT("Tab_00.Trial["&amp;I$4&amp;"]"),Tab_00.Trial[CONTA],$B96)</f>
        <v>0</v>
      </c>
      <c r="J96" s="78">
        <f t="shared" ca="1" si="136"/>
        <v>0</v>
      </c>
      <c r="K96" s="78">
        <f t="shared" ca="1" si="149"/>
        <v>0</v>
      </c>
      <c r="L96" s="4">
        <f ca="1">-SUMIFS(INDIRECT("Tab_00.Trial["&amp;L$4&amp;"]"),Tab_00.Trial[CONTA],$B96)</f>
        <v>0</v>
      </c>
      <c r="M96" s="78">
        <f t="shared" ca="1" si="137"/>
        <v>0</v>
      </c>
      <c r="N96" s="78">
        <f t="shared" ca="1" si="150"/>
        <v>0</v>
      </c>
      <c r="O96" s="4">
        <f ca="1">-SUMIFS(INDIRECT("Tab_00.Trial["&amp;O$4&amp;"]"),Tab_00.Trial[CONTA],$B96)</f>
        <v>0</v>
      </c>
      <c r="P96" s="78">
        <f t="shared" ca="1" si="138"/>
        <v>0</v>
      </c>
      <c r="Q96" s="78">
        <f t="shared" ca="1" si="151"/>
        <v>0</v>
      </c>
      <c r="R96" s="4">
        <f ca="1">-SUMIFS(INDIRECT("Tab_00.Trial["&amp;R$4&amp;"]"),Tab_00.Trial[CONTA],$B96)</f>
        <v>0</v>
      </c>
      <c r="S96" s="78">
        <f t="shared" ca="1" si="139"/>
        <v>0</v>
      </c>
      <c r="T96" s="78">
        <f t="shared" ca="1" si="152"/>
        <v>0</v>
      </c>
      <c r="U96" s="4">
        <f ca="1">-SUMIFS(INDIRECT("Tab_00.Trial["&amp;U$4&amp;"]"),Tab_00.Trial[CONTA],$B96)</f>
        <v>0</v>
      </c>
      <c r="V96" s="78">
        <f t="shared" ca="1" si="140"/>
        <v>0</v>
      </c>
      <c r="W96" s="78">
        <f t="shared" ca="1" si="153"/>
        <v>0</v>
      </c>
      <c r="X96" s="4">
        <f ca="1">-SUMIFS(INDIRECT("Tab_00.Trial["&amp;X$4&amp;"]"),Tab_00.Trial[CONTA],$B96)</f>
        <v>0</v>
      </c>
      <c r="Y96" s="78">
        <f t="shared" ca="1" si="141"/>
        <v>0</v>
      </c>
      <c r="Z96" s="78">
        <f t="shared" ca="1" si="154"/>
        <v>0</v>
      </c>
      <c r="AA96" s="4">
        <f ca="1">-SUMIFS(INDIRECT("Tab_00.Trial["&amp;AA$4&amp;"]"),Tab_00.Trial[CONTA],$B96)</f>
        <v>0</v>
      </c>
      <c r="AB96" s="78">
        <f t="shared" ca="1" si="142"/>
        <v>0</v>
      </c>
      <c r="AC96" s="78">
        <f t="shared" ca="1" si="155"/>
        <v>0</v>
      </c>
      <c r="AD96" s="4">
        <f ca="1">-SUMIFS(INDIRECT("Tab_00.Trial["&amp;AD$4&amp;"]"),Tab_00.Trial[CONTA],$B96)</f>
        <v>0</v>
      </c>
      <c r="AE96" s="78">
        <f t="shared" ca="1" si="143"/>
        <v>0</v>
      </c>
      <c r="AF96" s="78">
        <f t="shared" ca="1" si="156"/>
        <v>0</v>
      </c>
      <c r="AG96" s="4">
        <f ca="1">-SUMIFS(INDIRECT("Tab_00.Trial["&amp;AG$4&amp;"]"),Tab_00.Trial[CONTA],$B96)</f>
        <v>0</v>
      </c>
      <c r="AH96" s="78">
        <f t="shared" ca="1" si="144"/>
        <v>0</v>
      </c>
      <c r="AI96" s="78">
        <f t="shared" ca="1" si="157"/>
        <v>0</v>
      </c>
      <c r="AJ96" s="4">
        <f ca="1">-SUMIFS(INDIRECT("Tab_00.Trial["&amp;AJ$4&amp;"]"),Tab_00.Trial[CONTA],$B96)</f>
        <v>0</v>
      </c>
      <c r="AK96" s="78">
        <f t="shared" ca="1" si="145"/>
        <v>0</v>
      </c>
      <c r="AL96" s="78">
        <f t="shared" ca="1" si="158"/>
        <v>0</v>
      </c>
      <c r="AM96" s="4">
        <f ca="1">-SUMIFS(INDIRECT("Tab_00.Trial["&amp;AM$4&amp;"]"),Tab_00.Trial[CONTA],$B96)</f>
        <v>0</v>
      </c>
      <c r="AN96" s="78">
        <f t="shared" ca="1" si="146"/>
        <v>0</v>
      </c>
      <c r="AO96" s="78">
        <f t="shared" ca="1" si="159"/>
        <v>0</v>
      </c>
    </row>
    <row r="97" spans="2:41" ht="15" hidden="1" customHeight="1" outlineLevel="1" x14ac:dyDescent="0.3">
      <c r="B97" s="14"/>
      <c r="C97" s="15"/>
      <c r="D97" s="4">
        <f>-SUMIFS(Tab_99.Trial[DEZEMBRO],Tab_99.Trial[CONTA],$B97)</f>
        <v>0</v>
      </c>
      <c r="E97" s="78">
        <f t="shared" ca="1" si="147"/>
        <v>0</v>
      </c>
      <c r="F97" s="4">
        <f ca="1">-SUMIFS(INDIRECT("Tab_00.Trial["&amp;F$4&amp;"]"),Tab_00.Trial[CONTA],$B97)</f>
        <v>0</v>
      </c>
      <c r="G97" s="78">
        <f t="shared" ca="1" si="135"/>
        <v>0</v>
      </c>
      <c r="H97" s="78">
        <f t="shared" ca="1" si="148"/>
        <v>0</v>
      </c>
      <c r="I97" s="4">
        <f ca="1">-SUMIFS(INDIRECT("Tab_00.Trial["&amp;I$4&amp;"]"),Tab_00.Trial[CONTA],$B97)</f>
        <v>0</v>
      </c>
      <c r="J97" s="78">
        <f t="shared" ca="1" si="136"/>
        <v>0</v>
      </c>
      <c r="K97" s="78">
        <f t="shared" ca="1" si="149"/>
        <v>0</v>
      </c>
      <c r="L97" s="4">
        <f ca="1">-SUMIFS(INDIRECT("Tab_00.Trial["&amp;L$4&amp;"]"),Tab_00.Trial[CONTA],$B97)</f>
        <v>0</v>
      </c>
      <c r="M97" s="78">
        <f t="shared" ca="1" si="137"/>
        <v>0</v>
      </c>
      <c r="N97" s="78">
        <f t="shared" ca="1" si="150"/>
        <v>0</v>
      </c>
      <c r="O97" s="4">
        <f ca="1">-SUMIFS(INDIRECT("Tab_00.Trial["&amp;O$4&amp;"]"),Tab_00.Trial[CONTA],$B97)</f>
        <v>0</v>
      </c>
      <c r="P97" s="78">
        <f t="shared" ca="1" si="138"/>
        <v>0</v>
      </c>
      <c r="Q97" s="78">
        <f t="shared" ca="1" si="151"/>
        <v>0</v>
      </c>
      <c r="R97" s="4">
        <f ca="1">-SUMIFS(INDIRECT("Tab_00.Trial["&amp;R$4&amp;"]"),Tab_00.Trial[CONTA],$B97)</f>
        <v>0</v>
      </c>
      <c r="S97" s="78">
        <f t="shared" ca="1" si="139"/>
        <v>0</v>
      </c>
      <c r="T97" s="78">
        <f t="shared" ca="1" si="152"/>
        <v>0</v>
      </c>
      <c r="U97" s="4">
        <f ca="1">-SUMIFS(INDIRECT("Tab_00.Trial["&amp;U$4&amp;"]"),Tab_00.Trial[CONTA],$B97)</f>
        <v>0</v>
      </c>
      <c r="V97" s="78">
        <f t="shared" ca="1" si="140"/>
        <v>0</v>
      </c>
      <c r="W97" s="78">
        <f t="shared" ca="1" si="153"/>
        <v>0</v>
      </c>
      <c r="X97" s="4">
        <f ca="1">-SUMIFS(INDIRECT("Tab_00.Trial["&amp;X$4&amp;"]"),Tab_00.Trial[CONTA],$B97)</f>
        <v>0</v>
      </c>
      <c r="Y97" s="78">
        <f t="shared" ca="1" si="141"/>
        <v>0</v>
      </c>
      <c r="Z97" s="78">
        <f t="shared" ca="1" si="154"/>
        <v>0</v>
      </c>
      <c r="AA97" s="4">
        <f ca="1">-SUMIFS(INDIRECT("Tab_00.Trial["&amp;AA$4&amp;"]"),Tab_00.Trial[CONTA],$B97)</f>
        <v>0</v>
      </c>
      <c r="AB97" s="78">
        <f t="shared" ca="1" si="142"/>
        <v>0</v>
      </c>
      <c r="AC97" s="78">
        <f t="shared" ca="1" si="155"/>
        <v>0</v>
      </c>
      <c r="AD97" s="4">
        <f ca="1">-SUMIFS(INDIRECT("Tab_00.Trial["&amp;AD$4&amp;"]"),Tab_00.Trial[CONTA],$B97)</f>
        <v>0</v>
      </c>
      <c r="AE97" s="78">
        <f t="shared" ca="1" si="143"/>
        <v>0</v>
      </c>
      <c r="AF97" s="78">
        <f t="shared" ca="1" si="156"/>
        <v>0</v>
      </c>
      <c r="AG97" s="4">
        <f ca="1">-SUMIFS(INDIRECT("Tab_00.Trial["&amp;AG$4&amp;"]"),Tab_00.Trial[CONTA],$B97)</f>
        <v>0</v>
      </c>
      <c r="AH97" s="78">
        <f t="shared" ca="1" si="144"/>
        <v>0</v>
      </c>
      <c r="AI97" s="78">
        <f t="shared" ca="1" si="157"/>
        <v>0</v>
      </c>
      <c r="AJ97" s="4">
        <f ca="1">-SUMIFS(INDIRECT("Tab_00.Trial["&amp;AJ$4&amp;"]"),Tab_00.Trial[CONTA],$B97)</f>
        <v>0</v>
      </c>
      <c r="AK97" s="78">
        <f t="shared" ca="1" si="145"/>
        <v>0</v>
      </c>
      <c r="AL97" s="78">
        <f t="shared" ca="1" si="158"/>
        <v>0</v>
      </c>
      <c r="AM97" s="4">
        <f ca="1">-SUMIFS(INDIRECT("Tab_00.Trial["&amp;AM$4&amp;"]"),Tab_00.Trial[CONTA],$B97)</f>
        <v>0</v>
      </c>
      <c r="AN97" s="78">
        <f t="shared" ca="1" si="146"/>
        <v>0</v>
      </c>
      <c r="AO97" s="78">
        <f t="shared" ca="1" si="159"/>
        <v>0</v>
      </c>
    </row>
    <row r="98" spans="2:41" ht="15" hidden="1" customHeight="1" outlineLevel="1" x14ac:dyDescent="0.3">
      <c r="B98" s="14"/>
      <c r="C98" s="15"/>
      <c r="D98" s="4">
        <f>-SUMIFS(Tab_99.Trial[DEZEMBRO],Tab_99.Trial[CONTA],$B98)</f>
        <v>0</v>
      </c>
      <c r="E98" s="78">
        <f t="shared" ca="1" si="147"/>
        <v>0</v>
      </c>
      <c r="F98" s="4">
        <f ca="1">-SUMIFS(INDIRECT("Tab_00.Trial["&amp;F$4&amp;"]"),Tab_00.Trial[CONTA],$B98)</f>
        <v>0</v>
      </c>
      <c r="G98" s="78">
        <f t="shared" ca="1" si="135"/>
        <v>0</v>
      </c>
      <c r="H98" s="78">
        <f t="shared" ca="1" si="148"/>
        <v>0</v>
      </c>
      <c r="I98" s="4">
        <f ca="1">-SUMIFS(INDIRECT("Tab_00.Trial["&amp;I$4&amp;"]"),Tab_00.Trial[CONTA],$B98)</f>
        <v>0</v>
      </c>
      <c r="J98" s="78">
        <f t="shared" ca="1" si="136"/>
        <v>0</v>
      </c>
      <c r="K98" s="78">
        <f t="shared" ca="1" si="149"/>
        <v>0</v>
      </c>
      <c r="L98" s="4">
        <f ca="1">-SUMIFS(INDIRECT("Tab_00.Trial["&amp;L$4&amp;"]"),Tab_00.Trial[CONTA],$B98)</f>
        <v>0</v>
      </c>
      <c r="M98" s="78">
        <f t="shared" ca="1" si="137"/>
        <v>0</v>
      </c>
      <c r="N98" s="78">
        <f t="shared" ca="1" si="150"/>
        <v>0</v>
      </c>
      <c r="O98" s="4">
        <f ca="1">-SUMIFS(INDIRECT("Tab_00.Trial["&amp;O$4&amp;"]"),Tab_00.Trial[CONTA],$B98)</f>
        <v>0</v>
      </c>
      <c r="P98" s="78">
        <f t="shared" ca="1" si="138"/>
        <v>0</v>
      </c>
      <c r="Q98" s="78">
        <f t="shared" ca="1" si="151"/>
        <v>0</v>
      </c>
      <c r="R98" s="4">
        <f ca="1">-SUMIFS(INDIRECT("Tab_00.Trial["&amp;R$4&amp;"]"),Tab_00.Trial[CONTA],$B98)</f>
        <v>0</v>
      </c>
      <c r="S98" s="78">
        <f t="shared" ca="1" si="139"/>
        <v>0</v>
      </c>
      <c r="T98" s="78">
        <f t="shared" ca="1" si="152"/>
        <v>0</v>
      </c>
      <c r="U98" s="4">
        <f ca="1">-SUMIFS(INDIRECT("Tab_00.Trial["&amp;U$4&amp;"]"),Tab_00.Trial[CONTA],$B98)</f>
        <v>0</v>
      </c>
      <c r="V98" s="78">
        <f t="shared" ca="1" si="140"/>
        <v>0</v>
      </c>
      <c r="W98" s="78">
        <f t="shared" ca="1" si="153"/>
        <v>0</v>
      </c>
      <c r="X98" s="4">
        <f ca="1">-SUMIFS(INDIRECT("Tab_00.Trial["&amp;X$4&amp;"]"),Tab_00.Trial[CONTA],$B98)</f>
        <v>0</v>
      </c>
      <c r="Y98" s="78">
        <f t="shared" ca="1" si="141"/>
        <v>0</v>
      </c>
      <c r="Z98" s="78">
        <f t="shared" ca="1" si="154"/>
        <v>0</v>
      </c>
      <c r="AA98" s="4">
        <f ca="1">-SUMIFS(INDIRECT("Tab_00.Trial["&amp;AA$4&amp;"]"),Tab_00.Trial[CONTA],$B98)</f>
        <v>0</v>
      </c>
      <c r="AB98" s="78">
        <f t="shared" ca="1" si="142"/>
        <v>0</v>
      </c>
      <c r="AC98" s="78">
        <f t="shared" ca="1" si="155"/>
        <v>0</v>
      </c>
      <c r="AD98" s="4">
        <f ca="1">-SUMIFS(INDIRECT("Tab_00.Trial["&amp;AD$4&amp;"]"),Tab_00.Trial[CONTA],$B98)</f>
        <v>0</v>
      </c>
      <c r="AE98" s="78">
        <f t="shared" ca="1" si="143"/>
        <v>0</v>
      </c>
      <c r="AF98" s="78">
        <f t="shared" ca="1" si="156"/>
        <v>0</v>
      </c>
      <c r="AG98" s="4">
        <f ca="1">-SUMIFS(INDIRECT("Tab_00.Trial["&amp;AG$4&amp;"]"),Tab_00.Trial[CONTA],$B98)</f>
        <v>0</v>
      </c>
      <c r="AH98" s="78">
        <f t="shared" ca="1" si="144"/>
        <v>0</v>
      </c>
      <c r="AI98" s="78">
        <f t="shared" ca="1" si="157"/>
        <v>0</v>
      </c>
      <c r="AJ98" s="4">
        <f ca="1">-SUMIFS(INDIRECT("Tab_00.Trial["&amp;AJ$4&amp;"]"),Tab_00.Trial[CONTA],$B98)</f>
        <v>0</v>
      </c>
      <c r="AK98" s="78">
        <f t="shared" ca="1" si="145"/>
        <v>0</v>
      </c>
      <c r="AL98" s="78">
        <f t="shared" ca="1" si="158"/>
        <v>0</v>
      </c>
      <c r="AM98" s="4">
        <f ca="1">-SUMIFS(INDIRECT("Tab_00.Trial["&amp;AM$4&amp;"]"),Tab_00.Trial[CONTA],$B98)</f>
        <v>0</v>
      </c>
      <c r="AN98" s="78">
        <f t="shared" ca="1" si="146"/>
        <v>0</v>
      </c>
      <c r="AO98" s="78">
        <f t="shared" ca="1" si="159"/>
        <v>0</v>
      </c>
    </row>
    <row r="99" spans="2:41" ht="15" hidden="1" customHeight="1" outlineLevel="1" x14ac:dyDescent="0.3">
      <c r="B99" s="14"/>
      <c r="C99" s="15"/>
      <c r="D99" s="4">
        <f>-SUMIFS(Tab_99.Trial[DEZEMBRO],Tab_99.Trial[CONTA],$B99)</f>
        <v>0</v>
      </c>
      <c r="E99" s="78">
        <f t="shared" ca="1" si="147"/>
        <v>0</v>
      </c>
      <c r="F99" s="4">
        <f ca="1">-SUMIFS(INDIRECT("Tab_00.Trial["&amp;F$4&amp;"]"),Tab_00.Trial[CONTA],$B99)</f>
        <v>0</v>
      </c>
      <c r="G99" s="78">
        <f t="shared" ca="1" si="135"/>
        <v>0</v>
      </c>
      <c r="H99" s="78">
        <f t="shared" ca="1" si="148"/>
        <v>0</v>
      </c>
      <c r="I99" s="4">
        <f ca="1">-SUMIFS(INDIRECT("Tab_00.Trial["&amp;I$4&amp;"]"),Tab_00.Trial[CONTA],$B99)</f>
        <v>0</v>
      </c>
      <c r="J99" s="78">
        <f t="shared" ca="1" si="136"/>
        <v>0</v>
      </c>
      <c r="K99" s="78">
        <f t="shared" ca="1" si="149"/>
        <v>0</v>
      </c>
      <c r="L99" s="4">
        <f ca="1">-SUMIFS(INDIRECT("Tab_00.Trial["&amp;L$4&amp;"]"),Tab_00.Trial[CONTA],$B99)</f>
        <v>0</v>
      </c>
      <c r="M99" s="78">
        <f t="shared" ca="1" si="137"/>
        <v>0</v>
      </c>
      <c r="N99" s="78">
        <f t="shared" ca="1" si="150"/>
        <v>0</v>
      </c>
      <c r="O99" s="4">
        <f ca="1">-SUMIFS(INDIRECT("Tab_00.Trial["&amp;O$4&amp;"]"),Tab_00.Trial[CONTA],$B99)</f>
        <v>0</v>
      </c>
      <c r="P99" s="78">
        <f t="shared" ca="1" si="138"/>
        <v>0</v>
      </c>
      <c r="Q99" s="78">
        <f t="shared" ca="1" si="151"/>
        <v>0</v>
      </c>
      <c r="R99" s="4">
        <f ca="1">-SUMIFS(INDIRECT("Tab_00.Trial["&amp;R$4&amp;"]"),Tab_00.Trial[CONTA],$B99)</f>
        <v>0</v>
      </c>
      <c r="S99" s="78">
        <f t="shared" ca="1" si="139"/>
        <v>0</v>
      </c>
      <c r="T99" s="78">
        <f t="shared" ca="1" si="152"/>
        <v>0</v>
      </c>
      <c r="U99" s="4">
        <f ca="1">-SUMIFS(INDIRECT("Tab_00.Trial["&amp;U$4&amp;"]"),Tab_00.Trial[CONTA],$B99)</f>
        <v>0</v>
      </c>
      <c r="V99" s="78">
        <f t="shared" ca="1" si="140"/>
        <v>0</v>
      </c>
      <c r="W99" s="78">
        <f t="shared" ca="1" si="153"/>
        <v>0</v>
      </c>
      <c r="X99" s="4">
        <f ca="1">-SUMIFS(INDIRECT("Tab_00.Trial["&amp;X$4&amp;"]"),Tab_00.Trial[CONTA],$B99)</f>
        <v>0</v>
      </c>
      <c r="Y99" s="78">
        <f t="shared" ca="1" si="141"/>
        <v>0</v>
      </c>
      <c r="Z99" s="78">
        <f t="shared" ca="1" si="154"/>
        <v>0</v>
      </c>
      <c r="AA99" s="4">
        <f ca="1">-SUMIFS(INDIRECT("Tab_00.Trial["&amp;AA$4&amp;"]"),Tab_00.Trial[CONTA],$B99)</f>
        <v>0</v>
      </c>
      <c r="AB99" s="78">
        <f t="shared" ca="1" si="142"/>
        <v>0</v>
      </c>
      <c r="AC99" s="78">
        <f t="shared" ca="1" si="155"/>
        <v>0</v>
      </c>
      <c r="AD99" s="4">
        <f ca="1">-SUMIFS(INDIRECT("Tab_00.Trial["&amp;AD$4&amp;"]"),Tab_00.Trial[CONTA],$B99)</f>
        <v>0</v>
      </c>
      <c r="AE99" s="78">
        <f t="shared" ca="1" si="143"/>
        <v>0</v>
      </c>
      <c r="AF99" s="78">
        <f t="shared" ca="1" si="156"/>
        <v>0</v>
      </c>
      <c r="AG99" s="4">
        <f ca="1">-SUMIFS(INDIRECT("Tab_00.Trial["&amp;AG$4&amp;"]"),Tab_00.Trial[CONTA],$B99)</f>
        <v>0</v>
      </c>
      <c r="AH99" s="78">
        <f t="shared" ca="1" si="144"/>
        <v>0</v>
      </c>
      <c r="AI99" s="78">
        <f t="shared" ca="1" si="157"/>
        <v>0</v>
      </c>
      <c r="AJ99" s="4">
        <f ca="1">-SUMIFS(INDIRECT("Tab_00.Trial["&amp;AJ$4&amp;"]"),Tab_00.Trial[CONTA],$B99)</f>
        <v>0</v>
      </c>
      <c r="AK99" s="78">
        <f t="shared" ca="1" si="145"/>
        <v>0</v>
      </c>
      <c r="AL99" s="78">
        <f t="shared" ca="1" si="158"/>
        <v>0</v>
      </c>
      <c r="AM99" s="4">
        <f ca="1">-SUMIFS(INDIRECT("Tab_00.Trial["&amp;AM$4&amp;"]"),Tab_00.Trial[CONTA],$B99)</f>
        <v>0</v>
      </c>
      <c r="AN99" s="78">
        <f t="shared" ca="1" si="146"/>
        <v>0</v>
      </c>
      <c r="AO99" s="78">
        <f t="shared" ca="1" si="159"/>
        <v>0</v>
      </c>
    </row>
    <row r="100" spans="2:41" ht="15" hidden="1" customHeight="1" outlineLevel="1" x14ac:dyDescent="0.3">
      <c r="B100" s="14"/>
      <c r="C100" s="15"/>
      <c r="D100" s="4">
        <f>-SUMIFS(Tab_99.Trial[DEZEMBRO],Tab_99.Trial[CONTA],$B100)</f>
        <v>0</v>
      </c>
      <c r="E100" s="78">
        <f t="shared" ca="1" si="147"/>
        <v>0</v>
      </c>
      <c r="F100" s="4">
        <f ca="1">-SUMIFS(INDIRECT("Tab_00.Trial["&amp;F$4&amp;"]"),Tab_00.Trial[CONTA],$B100)</f>
        <v>0</v>
      </c>
      <c r="G100" s="78">
        <f t="shared" ca="1" si="135"/>
        <v>0</v>
      </c>
      <c r="H100" s="78">
        <f t="shared" ca="1" si="148"/>
        <v>0</v>
      </c>
      <c r="I100" s="4">
        <f ca="1">-SUMIFS(INDIRECT("Tab_00.Trial["&amp;I$4&amp;"]"),Tab_00.Trial[CONTA],$B100)</f>
        <v>0</v>
      </c>
      <c r="J100" s="78">
        <f t="shared" ca="1" si="136"/>
        <v>0</v>
      </c>
      <c r="K100" s="78">
        <f t="shared" ca="1" si="149"/>
        <v>0</v>
      </c>
      <c r="L100" s="4">
        <f ca="1">-SUMIFS(INDIRECT("Tab_00.Trial["&amp;L$4&amp;"]"),Tab_00.Trial[CONTA],$B100)</f>
        <v>0</v>
      </c>
      <c r="M100" s="78">
        <f t="shared" ca="1" si="137"/>
        <v>0</v>
      </c>
      <c r="N100" s="78">
        <f t="shared" ca="1" si="150"/>
        <v>0</v>
      </c>
      <c r="O100" s="4">
        <f ca="1">-SUMIFS(INDIRECT("Tab_00.Trial["&amp;O$4&amp;"]"),Tab_00.Trial[CONTA],$B100)</f>
        <v>0</v>
      </c>
      <c r="P100" s="78">
        <f t="shared" ca="1" si="138"/>
        <v>0</v>
      </c>
      <c r="Q100" s="78">
        <f t="shared" ca="1" si="151"/>
        <v>0</v>
      </c>
      <c r="R100" s="4">
        <f ca="1">-SUMIFS(INDIRECT("Tab_00.Trial["&amp;R$4&amp;"]"),Tab_00.Trial[CONTA],$B100)</f>
        <v>0</v>
      </c>
      <c r="S100" s="78">
        <f t="shared" ca="1" si="139"/>
        <v>0</v>
      </c>
      <c r="T100" s="78">
        <f t="shared" ca="1" si="152"/>
        <v>0</v>
      </c>
      <c r="U100" s="4">
        <f ca="1">-SUMIFS(INDIRECT("Tab_00.Trial["&amp;U$4&amp;"]"),Tab_00.Trial[CONTA],$B100)</f>
        <v>0</v>
      </c>
      <c r="V100" s="78">
        <f t="shared" ca="1" si="140"/>
        <v>0</v>
      </c>
      <c r="W100" s="78">
        <f t="shared" ca="1" si="153"/>
        <v>0</v>
      </c>
      <c r="X100" s="4">
        <f ca="1">-SUMIFS(INDIRECT("Tab_00.Trial["&amp;X$4&amp;"]"),Tab_00.Trial[CONTA],$B100)</f>
        <v>0</v>
      </c>
      <c r="Y100" s="78">
        <f t="shared" ca="1" si="141"/>
        <v>0</v>
      </c>
      <c r="Z100" s="78">
        <f t="shared" ca="1" si="154"/>
        <v>0</v>
      </c>
      <c r="AA100" s="4">
        <f ca="1">-SUMIFS(INDIRECT("Tab_00.Trial["&amp;AA$4&amp;"]"),Tab_00.Trial[CONTA],$B100)</f>
        <v>0</v>
      </c>
      <c r="AB100" s="78">
        <f t="shared" ca="1" si="142"/>
        <v>0</v>
      </c>
      <c r="AC100" s="78">
        <f t="shared" ca="1" si="155"/>
        <v>0</v>
      </c>
      <c r="AD100" s="4">
        <f ca="1">-SUMIFS(INDIRECT("Tab_00.Trial["&amp;AD$4&amp;"]"),Tab_00.Trial[CONTA],$B100)</f>
        <v>0</v>
      </c>
      <c r="AE100" s="78">
        <f t="shared" ca="1" si="143"/>
        <v>0</v>
      </c>
      <c r="AF100" s="78">
        <f t="shared" ca="1" si="156"/>
        <v>0</v>
      </c>
      <c r="AG100" s="4">
        <f ca="1">-SUMIFS(INDIRECT("Tab_00.Trial["&amp;AG$4&amp;"]"),Tab_00.Trial[CONTA],$B100)</f>
        <v>0</v>
      </c>
      <c r="AH100" s="78">
        <f t="shared" ca="1" si="144"/>
        <v>0</v>
      </c>
      <c r="AI100" s="78">
        <f t="shared" ca="1" si="157"/>
        <v>0</v>
      </c>
      <c r="AJ100" s="4">
        <f ca="1">-SUMIFS(INDIRECT("Tab_00.Trial["&amp;AJ$4&amp;"]"),Tab_00.Trial[CONTA],$B100)</f>
        <v>0</v>
      </c>
      <c r="AK100" s="78">
        <f t="shared" ca="1" si="145"/>
        <v>0</v>
      </c>
      <c r="AL100" s="78">
        <f t="shared" ca="1" si="158"/>
        <v>0</v>
      </c>
      <c r="AM100" s="4">
        <f ca="1">-SUMIFS(INDIRECT("Tab_00.Trial["&amp;AM$4&amp;"]"),Tab_00.Trial[CONTA],$B100)</f>
        <v>0</v>
      </c>
      <c r="AN100" s="78">
        <f t="shared" ca="1" si="146"/>
        <v>0</v>
      </c>
      <c r="AO100" s="78">
        <f t="shared" ca="1" si="159"/>
        <v>0</v>
      </c>
    </row>
    <row r="101" spans="2:41" ht="15" hidden="1" customHeight="1" outlineLevel="1" x14ac:dyDescent="0.3">
      <c r="B101" s="14"/>
      <c r="C101" s="15"/>
      <c r="D101" s="4">
        <f>-SUMIFS(Tab_99.Trial[DEZEMBRO],Tab_99.Trial[CONTA],$B101)</f>
        <v>0</v>
      </c>
      <c r="E101" s="78">
        <f t="shared" ca="1" si="147"/>
        <v>0</v>
      </c>
      <c r="F101" s="4">
        <f ca="1">-SUMIFS(INDIRECT("Tab_00.Trial["&amp;F$4&amp;"]"),Tab_00.Trial[CONTA],$B101)</f>
        <v>0</v>
      </c>
      <c r="G101" s="78">
        <f t="shared" ca="1" si="135"/>
        <v>0</v>
      </c>
      <c r="H101" s="78">
        <f t="shared" ca="1" si="148"/>
        <v>0</v>
      </c>
      <c r="I101" s="4">
        <f ca="1">-SUMIFS(INDIRECT("Tab_00.Trial["&amp;I$4&amp;"]"),Tab_00.Trial[CONTA],$B101)</f>
        <v>0</v>
      </c>
      <c r="J101" s="78">
        <f t="shared" ca="1" si="136"/>
        <v>0</v>
      </c>
      <c r="K101" s="78">
        <f t="shared" ca="1" si="149"/>
        <v>0</v>
      </c>
      <c r="L101" s="4">
        <f ca="1">-SUMIFS(INDIRECT("Tab_00.Trial["&amp;L$4&amp;"]"),Tab_00.Trial[CONTA],$B101)</f>
        <v>0</v>
      </c>
      <c r="M101" s="78">
        <f t="shared" ca="1" si="137"/>
        <v>0</v>
      </c>
      <c r="N101" s="78">
        <f t="shared" ca="1" si="150"/>
        <v>0</v>
      </c>
      <c r="O101" s="4">
        <f ca="1">-SUMIFS(INDIRECT("Tab_00.Trial["&amp;O$4&amp;"]"),Tab_00.Trial[CONTA],$B101)</f>
        <v>0</v>
      </c>
      <c r="P101" s="78">
        <f t="shared" ca="1" si="138"/>
        <v>0</v>
      </c>
      <c r="Q101" s="78">
        <f t="shared" ca="1" si="151"/>
        <v>0</v>
      </c>
      <c r="R101" s="4">
        <f ca="1">-SUMIFS(INDIRECT("Tab_00.Trial["&amp;R$4&amp;"]"),Tab_00.Trial[CONTA],$B101)</f>
        <v>0</v>
      </c>
      <c r="S101" s="78">
        <f t="shared" ca="1" si="139"/>
        <v>0</v>
      </c>
      <c r="T101" s="78">
        <f t="shared" ca="1" si="152"/>
        <v>0</v>
      </c>
      <c r="U101" s="4">
        <f ca="1">-SUMIFS(INDIRECT("Tab_00.Trial["&amp;U$4&amp;"]"),Tab_00.Trial[CONTA],$B101)</f>
        <v>0</v>
      </c>
      <c r="V101" s="78">
        <f t="shared" ca="1" si="140"/>
        <v>0</v>
      </c>
      <c r="W101" s="78">
        <f t="shared" ca="1" si="153"/>
        <v>0</v>
      </c>
      <c r="X101" s="4">
        <f ca="1">-SUMIFS(INDIRECT("Tab_00.Trial["&amp;X$4&amp;"]"),Tab_00.Trial[CONTA],$B101)</f>
        <v>0</v>
      </c>
      <c r="Y101" s="78">
        <f t="shared" ca="1" si="141"/>
        <v>0</v>
      </c>
      <c r="Z101" s="78">
        <f t="shared" ca="1" si="154"/>
        <v>0</v>
      </c>
      <c r="AA101" s="4">
        <f ca="1">-SUMIFS(INDIRECT("Tab_00.Trial["&amp;AA$4&amp;"]"),Tab_00.Trial[CONTA],$B101)</f>
        <v>0</v>
      </c>
      <c r="AB101" s="78">
        <f t="shared" ca="1" si="142"/>
        <v>0</v>
      </c>
      <c r="AC101" s="78">
        <f t="shared" ca="1" si="155"/>
        <v>0</v>
      </c>
      <c r="AD101" s="4">
        <f ca="1">-SUMIFS(INDIRECT("Tab_00.Trial["&amp;AD$4&amp;"]"),Tab_00.Trial[CONTA],$B101)</f>
        <v>0</v>
      </c>
      <c r="AE101" s="78">
        <f t="shared" ca="1" si="143"/>
        <v>0</v>
      </c>
      <c r="AF101" s="78">
        <f t="shared" ca="1" si="156"/>
        <v>0</v>
      </c>
      <c r="AG101" s="4">
        <f ca="1">-SUMIFS(INDIRECT("Tab_00.Trial["&amp;AG$4&amp;"]"),Tab_00.Trial[CONTA],$B101)</f>
        <v>0</v>
      </c>
      <c r="AH101" s="78">
        <f t="shared" ca="1" si="144"/>
        <v>0</v>
      </c>
      <c r="AI101" s="78">
        <f t="shared" ca="1" si="157"/>
        <v>0</v>
      </c>
      <c r="AJ101" s="4">
        <f ca="1">-SUMIFS(INDIRECT("Tab_00.Trial["&amp;AJ$4&amp;"]"),Tab_00.Trial[CONTA],$B101)</f>
        <v>0</v>
      </c>
      <c r="AK101" s="78">
        <f t="shared" ca="1" si="145"/>
        <v>0</v>
      </c>
      <c r="AL101" s="78">
        <f t="shared" ca="1" si="158"/>
        <v>0</v>
      </c>
      <c r="AM101" s="4">
        <f ca="1">-SUMIFS(INDIRECT("Tab_00.Trial["&amp;AM$4&amp;"]"),Tab_00.Trial[CONTA],$B101)</f>
        <v>0</v>
      </c>
      <c r="AN101" s="78">
        <f t="shared" ca="1" si="146"/>
        <v>0</v>
      </c>
      <c r="AO101" s="78">
        <f t="shared" ca="1" si="159"/>
        <v>0</v>
      </c>
    </row>
    <row r="102" spans="2:41" ht="15" hidden="1" customHeight="1" outlineLevel="1" x14ac:dyDescent="0.3">
      <c r="B102" s="14"/>
      <c r="C102" s="15"/>
      <c r="D102" s="4">
        <f>-SUMIFS(Tab_99.Trial[DEZEMBRO],Tab_99.Trial[CONTA],$B102)</f>
        <v>0</v>
      </c>
      <c r="E102" s="78">
        <f t="shared" ca="1" si="147"/>
        <v>0</v>
      </c>
      <c r="F102" s="4">
        <f ca="1">-SUMIFS(INDIRECT("Tab_00.Trial["&amp;F$4&amp;"]"),Tab_00.Trial[CONTA],$B102)</f>
        <v>0</v>
      </c>
      <c r="G102" s="78">
        <f t="shared" ca="1" si="135"/>
        <v>0</v>
      </c>
      <c r="H102" s="78">
        <f t="shared" ref="H102" ca="1" si="160">IFERROR(($F102-$D102)/ABS($D102),0)</f>
        <v>0</v>
      </c>
      <c r="I102" s="4">
        <f ca="1">-SUMIFS(INDIRECT("Tab_00.Trial["&amp;I$4&amp;"]"),Tab_00.Trial[CONTA],$B102)</f>
        <v>0</v>
      </c>
      <c r="J102" s="78">
        <f t="shared" ca="1" si="136"/>
        <v>0</v>
      </c>
      <c r="K102" s="78">
        <f t="shared" ref="K102" ca="1" si="161">IFERROR(($I102-$F102)/ABS($F102),0)</f>
        <v>0</v>
      </c>
      <c r="L102" s="4">
        <f ca="1">-SUMIFS(INDIRECT("Tab_00.Trial["&amp;L$4&amp;"]"),Tab_00.Trial[CONTA],$B102)</f>
        <v>0</v>
      </c>
      <c r="M102" s="78">
        <f t="shared" ca="1" si="137"/>
        <v>0</v>
      </c>
      <c r="N102" s="78">
        <f t="shared" ref="N102" ca="1" si="162">IFERROR(($L102-$I102)/ABS($I102),0)</f>
        <v>0</v>
      </c>
      <c r="O102" s="4">
        <f ca="1">-SUMIFS(INDIRECT("Tab_00.Trial["&amp;O$4&amp;"]"),Tab_00.Trial[CONTA],$B102)</f>
        <v>0</v>
      </c>
      <c r="P102" s="78">
        <f t="shared" ca="1" si="138"/>
        <v>0</v>
      </c>
      <c r="Q102" s="78">
        <f t="shared" ref="Q102" ca="1" si="163">IFERROR(($O102-$L102)/ABS($L102),0)</f>
        <v>0</v>
      </c>
      <c r="R102" s="4">
        <f ca="1">-SUMIFS(INDIRECT("Tab_00.Trial["&amp;R$4&amp;"]"),Tab_00.Trial[CONTA],$B102)</f>
        <v>0</v>
      </c>
      <c r="S102" s="78">
        <f t="shared" ca="1" si="139"/>
        <v>0</v>
      </c>
      <c r="T102" s="78">
        <f t="shared" ref="T102" ca="1" si="164">IFERROR(($R102-$O102)/ABS($O102),0)</f>
        <v>0</v>
      </c>
      <c r="U102" s="4">
        <f ca="1">-SUMIFS(INDIRECT("Tab_00.Trial["&amp;U$4&amp;"]"),Tab_00.Trial[CONTA],$B102)</f>
        <v>0</v>
      </c>
      <c r="V102" s="78">
        <f t="shared" ca="1" si="140"/>
        <v>0</v>
      </c>
      <c r="W102" s="78">
        <f t="shared" ref="W102" ca="1" si="165">IFERROR(($U102-$R102)/ABS($R102),0)</f>
        <v>0</v>
      </c>
      <c r="X102" s="4">
        <f ca="1">-SUMIFS(INDIRECT("Tab_00.Trial["&amp;X$4&amp;"]"),Tab_00.Trial[CONTA],$B102)</f>
        <v>0</v>
      </c>
      <c r="Y102" s="78">
        <f t="shared" ca="1" si="141"/>
        <v>0</v>
      </c>
      <c r="Z102" s="78">
        <f t="shared" ref="Z102" ca="1" si="166">IFERROR(($X102-$U102)/ABS($U102),0)</f>
        <v>0</v>
      </c>
      <c r="AA102" s="4">
        <f ca="1">-SUMIFS(INDIRECT("Tab_00.Trial["&amp;AA$4&amp;"]"),Tab_00.Trial[CONTA],$B102)</f>
        <v>0</v>
      </c>
      <c r="AB102" s="78">
        <f t="shared" ca="1" si="142"/>
        <v>0</v>
      </c>
      <c r="AC102" s="78">
        <f t="shared" ref="AC102" ca="1" si="167">IFERROR(($AA102-$X102)/ABS($X102),0)</f>
        <v>0</v>
      </c>
      <c r="AD102" s="4">
        <f ca="1">-SUMIFS(INDIRECT("Tab_00.Trial["&amp;AD$4&amp;"]"),Tab_00.Trial[CONTA],$B102)</f>
        <v>0</v>
      </c>
      <c r="AE102" s="78">
        <f t="shared" ca="1" si="143"/>
        <v>0</v>
      </c>
      <c r="AF102" s="78">
        <f t="shared" ref="AF102" ca="1" si="168">IFERROR(($AD102-$AA102)/ABS($AA102),0)</f>
        <v>0</v>
      </c>
      <c r="AG102" s="4">
        <f ca="1">-SUMIFS(INDIRECT("Tab_00.Trial["&amp;AG$4&amp;"]"),Tab_00.Trial[CONTA],$B102)</f>
        <v>0</v>
      </c>
      <c r="AH102" s="78">
        <f t="shared" ca="1" si="144"/>
        <v>0</v>
      </c>
      <c r="AI102" s="78">
        <f t="shared" ref="AI102" ca="1" si="169">IFERROR(($AG102-$AD102)/ABS($AD102),0)</f>
        <v>0</v>
      </c>
      <c r="AJ102" s="4">
        <f ca="1">-SUMIFS(INDIRECT("Tab_00.Trial["&amp;AJ$4&amp;"]"),Tab_00.Trial[CONTA],$B102)</f>
        <v>0</v>
      </c>
      <c r="AK102" s="78">
        <f t="shared" ca="1" si="145"/>
        <v>0</v>
      </c>
      <c r="AL102" s="78">
        <f t="shared" ref="AL102" ca="1" si="170">IFERROR(($AJ102-$AG102)/ABS($AG102),0)</f>
        <v>0</v>
      </c>
      <c r="AM102" s="4">
        <f ca="1">-SUMIFS(INDIRECT("Tab_00.Trial["&amp;AM$4&amp;"]"),Tab_00.Trial[CONTA],$B102)</f>
        <v>0</v>
      </c>
      <c r="AN102" s="78">
        <f t="shared" ca="1" si="146"/>
        <v>0</v>
      </c>
      <c r="AO102" s="78">
        <f t="shared" ref="AO102" ca="1" si="171">IFERROR(($AM102-$AJ102)/ABS($AJ102),0)</f>
        <v>0</v>
      </c>
    </row>
    <row r="103" spans="2:41" ht="5.0999999999999996" hidden="1" customHeight="1" outlineLevel="1" x14ac:dyDescent="0.3">
      <c r="B103" s="74"/>
      <c r="C103" s="75"/>
      <c r="D103" s="76"/>
      <c r="E103" s="77"/>
      <c r="F103" s="76"/>
      <c r="G103" s="77"/>
      <c r="H103" s="77"/>
      <c r="I103" s="76"/>
      <c r="J103" s="77"/>
      <c r="K103" s="77"/>
      <c r="L103" s="76"/>
      <c r="M103" s="77"/>
      <c r="N103" s="77"/>
      <c r="O103" s="76"/>
      <c r="P103" s="77"/>
      <c r="Q103" s="77"/>
      <c r="R103" s="76"/>
      <c r="S103" s="77"/>
      <c r="T103" s="77"/>
      <c r="U103" s="76"/>
      <c r="V103" s="77"/>
      <c r="W103" s="77"/>
      <c r="X103" s="76"/>
      <c r="Y103" s="77"/>
      <c r="Z103" s="77"/>
      <c r="AA103" s="76"/>
      <c r="AB103" s="77"/>
      <c r="AC103" s="77"/>
      <c r="AD103" s="76"/>
      <c r="AE103" s="77"/>
      <c r="AF103" s="77"/>
      <c r="AG103" s="76"/>
      <c r="AH103" s="77"/>
      <c r="AI103" s="77"/>
      <c r="AJ103" s="76"/>
      <c r="AK103" s="77"/>
      <c r="AL103" s="77"/>
      <c r="AM103" s="76"/>
      <c r="AN103" s="77"/>
      <c r="AO103" s="77"/>
    </row>
    <row r="104" spans="2:41" ht="15" customHeight="1" collapsed="1" x14ac:dyDescent="0.3">
      <c r="B104" s="3" t="s">
        <v>97</v>
      </c>
      <c r="C104" s="14" t="s">
        <v>58</v>
      </c>
      <c r="D104" s="4">
        <f>SUBTOTAL(9,D$105:D$110)</f>
        <v>0</v>
      </c>
      <c r="E104" s="78">
        <f t="shared" ref="E104:E109" ca="1" si="172">IFERROR($D104/$D$146,0)</f>
        <v>0</v>
      </c>
      <c r="F104" s="4">
        <f ca="1">SUBTOTAL(9,F$105:F$110)</f>
        <v>0</v>
      </c>
      <c r="G104" s="78">
        <f t="shared" ref="G104:G109" ca="1" si="173">IFERROR($F104/$F$146,0)</f>
        <v>0</v>
      </c>
      <c r="H104" s="78">
        <f ca="1">IFERROR(($F104-$D104)/ABS($D104),0)</f>
        <v>0</v>
      </c>
      <c r="I104" s="4">
        <f ca="1">SUBTOTAL(9,I$105:I$110)</f>
        <v>0</v>
      </c>
      <c r="J104" s="78">
        <f t="shared" ref="J104:J109" ca="1" si="174">IFERROR($I104/$I$146,0)</f>
        <v>0</v>
      </c>
      <c r="K104" s="78">
        <f ca="1">IFERROR(($I104-$F104)/ABS($F104),0)</f>
        <v>0</v>
      </c>
      <c r="L104" s="4">
        <f ca="1">SUBTOTAL(9,L$105:L$110)</f>
        <v>0</v>
      </c>
      <c r="M104" s="78">
        <f t="shared" ref="M104:M109" ca="1" si="175">IFERROR($L104/$L$146,0)</f>
        <v>0</v>
      </c>
      <c r="N104" s="78">
        <f ca="1">IFERROR(($L104-$I104)/ABS($I104),0)</f>
        <v>0</v>
      </c>
      <c r="O104" s="4">
        <f ca="1">SUBTOTAL(9,O$105:O$110)</f>
        <v>0</v>
      </c>
      <c r="P104" s="78">
        <f t="shared" ref="P104:P109" ca="1" si="176">IFERROR($O104/$O$146,0)</f>
        <v>0</v>
      </c>
      <c r="Q104" s="78">
        <f ca="1">IFERROR(($O104-$L104)/ABS($L104),0)</f>
        <v>0</v>
      </c>
      <c r="R104" s="4">
        <f ca="1">SUBTOTAL(9,R$105:R$110)</f>
        <v>0</v>
      </c>
      <c r="S104" s="78">
        <f t="shared" ref="S104:S109" ca="1" si="177">IFERROR($R104/$R$146,0)</f>
        <v>0</v>
      </c>
      <c r="T104" s="78">
        <f ca="1">IFERROR(($R104-$O104)/ABS($O104),0)</f>
        <v>0</v>
      </c>
      <c r="U104" s="4">
        <f ca="1">SUBTOTAL(9,U$105:U$110)</f>
        <v>0</v>
      </c>
      <c r="V104" s="78">
        <f t="shared" ref="V104:V109" ca="1" si="178">IFERROR($U104/$U$146,0)</f>
        <v>0</v>
      </c>
      <c r="W104" s="78">
        <f ca="1">IFERROR(($U104-$R104)/ABS($R104),0)</f>
        <v>0</v>
      </c>
      <c r="X104" s="4">
        <f ca="1">SUBTOTAL(9,X$105:X$110)</f>
        <v>0</v>
      </c>
      <c r="Y104" s="78">
        <f t="shared" ref="Y104:Y109" ca="1" si="179">IFERROR($X104/$X$146,0)</f>
        <v>0</v>
      </c>
      <c r="Z104" s="78">
        <f ca="1">IFERROR(($X104-$U104)/ABS($U104),0)</f>
        <v>0</v>
      </c>
      <c r="AA104" s="4">
        <f ca="1">SUBTOTAL(9,AA$105:AA$110)</f>
        <v>0</v>
      </c>
      <c r="AB104" s="78">
        <f t="shared" ref="AB104:AB109" ca="1" si="180">IFERROR($AA104/$AA$146,0)</f>
        <v>0</v>
      </c>
      <c r="AC104" s="78">
        <f ca="1">IFERROR(($AA104-$X104)/ABS($X104),0)</f>
        <v>0</v>
      </c>
      <c r="AD104" s="4">
        <f ca="1">SUBTOTAL(9,AD$105:AD$110)</f>
        <v>0</v>
      </c>
      <c r="AE104" s="78">
        <f t="shared" ref="AE104:AE109" ca="1" si="181">IFERROR($AD104/$AD$146,0)</f>
        <v>0</v>
      </c>
      <c r="AF104" s="78">
        <f ca="1">IFERROR(($AD104-$AA104)/ABS($AA104),0)</f>
        <v>0</v>
      </c>
      <c r="AG104" s="4">
        <f ca="1">SUBTOTAL(9,AG$105:AG$110)</f>
        <v>0</v>
      </c>
      <c r="AH104" s="78">
        <f t="shared" ref="AH104:AH109" ca="1" si="182">IFERROR($AG104/$AG$146,0)</f>
        <v>0</v>
      </c>
      <c r="AI104" s="78">
        <f ca="1">IFERROR(($AG104-$AD104)/ABS($AD104),0)</f>
        <v>0</v>
      </c>
      <c r="AJ104" s="4">
        <f ca="1">SUBTOTAL(9,AJ$105:AJ$110)</f>
        <v>0</v>
      </c>
      <c r="AK104" s="78">
        <f t="shared" ref="AK104:AK109" ca="1" si="183">IFERROR($AJ104/$AJ$146,0)</f>
        <v>0</v>
      </c>
      <c r="AL104" s="78">
        <f ca="1">IFERROR(($AJ104-$AG104)/ABS($AG104),0)</f>
        <v>0</v>
      </c>
      <c r="AM104" s="4">
        <f ca="1">SUBTOTAL(9,AM$105:AM$110)</f>
        <v>0</v>
      </c>
      <c r="AN104" s="78">
        <f t="shared" ref="AN104:AN109" ca="1" si="184">IFERROR(AM104/AM$146,0)</f>
        <v>0</v>
      </c>
      <c r="AO104" s="78">
        <f ca="1">IFERROR(($AM104-$AJ104)/ABS($AJ104),0)</f>
        <v>0</v>
      </c>
    </row>
    <row r="105" spans="2:41" ht="15" hidden="1" customHeight="1" outlineLevel="1" x14ac:dyDescent="0.3">
      <c r="B105" s="14"/>
      <c r="C105" s="15"/>
      <c r="D105" s="4">
        <f>-SUMIFS(Tab_99.Trial[DEZEMBRO],Tab_99.Trial[CONTA],$B105)</f>
        <v>0</v>
      </c>
      <c r="E105" s="78">
        <f t="shared" ca="1" si="172"/>
        <v>0</v>
      </c>
      <c r="F105" s="4">
        <f ca="1">-SUMIFS(INDIRECT("Tab_00.Trial["&amp;F$4&amp;"]"),Tab_00.Trial[CONTA],$B105)</f>
        <v>0</v>
      </c>
      <c r="G105" s="78">
        <f t="shared" ca="1" si="173"/>
        <v>0</v>
      </c>
      <c r="H105" s="78">
        <f t="shared" ref="H105:H109" ca="1" si="185">IFERROR(($F105-$D105)/ABS($D105),0)</f>
        <v>0</v>
      </c>
      <c r="I105" s="4">
        <f ca="1">-SUMIFS(INDIRECT("Tab_00.Trial["&amp;I$4&amp;"]"),Tab_00.Trial[CONTA],$B105)</f>
        <v>0</v>
      </c>
      <c r="J105" s="78">
        <f t="shared" ca="1" si="174"/>
        <v>0</v>
      </c>
      <c r="K105" s="78">
        <f t="shared" ref="K105:K109" ca="1" si="186">IFERROR(($I105-$F105)/ABS($F105),0)</f>
        <v>0</v>
      </c>
      <c r="L105" s="4">
        <f ca="1">-SUMIFS(INDIRECT("Tab_00.Trial["&amp;L$4&amp;"]"),Tab_00.Trial[CONTA],$B105)</f>
        <v>0</v>
      </c>
      <c r="M105" s="78">
        <f t="shared" ca="1" si="175"/>
        <v>0</v>
      </c>
      <c r="N105" s="78">
        <f t="shared" ref="N105:N109" ca="1" si="187">IFERROR(($L105-$I105)/ABS($I105),0)</f>
        <v>0</v>
      </c>
      <c r="O105" s="4">
        <f ca="1">-SUMIFS(INDIRECT("Tab_00.Trial["&amp;O$4&amp;"]"),Tab_00.Trial[CONTA],$B105)</f>
        <v>0</v>
      </c>
      <c r="P105" s="78">
        <f t="shared" ca="1" si="176"/>
        <v>0</v>
      </c>
      <c r="Q105" s="78">
        <f t="shared" ref="Q105:Q109" ca="1" si="188">IFERROR(($O105-$L105)/ABS($L105),0)</f>
        <v>0</v>
      </c>
      <c r="R105" s="4">
        <f ca="1">-SUMIFS(INDIRECT("Tab_00.Trial["&amp;R$4&amp;"]"),Tab_00.Trial[CONTA],$B105)</f>
        <v>0</v>
      </c>
      <c r="S105" s="78">
        <f t="shared" ca="1" si="177"/>
        <v>0</v>
      </c>
      <c r="T105" s="78">
        <f t="shared" ref="T105:T109" ca="1" si="189">IFERROR(($R105-$O105)/ABS($O105),0)</f>
        <v>0</v>
      </c>
      <c r="U105" s="4">
        <f ca="1">-SUMIFS(INDIRECT("Tab_00.Trial["&amp;U$4&amp;"]"),Tab_00.Trial[CONTA],$B105)</f>
        <v>0</v>
      </c>
      <c r="V105" s="78">
        <f t="shared" ca="1" si="178"/>
        <v>0</v>
      </c>
      <c r="W105" s="78">
        <f t="shared" ref="W105:W109" ca="1" si="190">IFERROR(($U105-$R105)/ABS($R105),0)</f>
        <v>0</v>
      </c>
      <c r="X105" s="4">
        <f ca="1">-SUMIFS(INDIRECT("Tab_00.Trial["&amp;X$4&amp;"]"),Tab_00.Trial[CONTA],$B105)</f>
        <v>0</v>
      </c>
      <c r="Y105" s="78">
        <f t="shared" ca="1" si="179"/>
        <v>0</v>
      </c>
      <c r="Z105" s="78">
        <f t="shared" ref="Z105:Z109" ca="1" si="191">IFERROR(($X105-$U105)/ABS($U105),0)</f>
        <v>0</v>
      </c>
      <c r="AA105" s="4">
        <f ca="1">-SUMIFS(INDIRECT("Tab_00.Trial["&amp;AA$4&amp;"]"),Tab_00.Trial[CONTA],$B105)</f>
        <v>0</v>
      </c>
      <c r="AB105" s="78">
        <f t="shared" ca="1" si="180"/>
        <v>0</v>
      </c>
      <c r="AC105" s="78">
        <f t="shared" ref="AC105:AC109" ca="1" si="192">IFERROR(($AA105-$X105)/ABS($X105),0)</f>
        <v>0</v>
      </c>
      <c r="AD105" s="4">
        <f ca="1">-SUMIFS(INDIRECT("Tab_00.Trial["&amp;AD$4&amp;"]"),Tab_00.Trial[CONTA],$B105)</f>
        <v>0</v>
      </c>
      <c r="AE105" s="78">
        <f t="shared" ca="1" si="181"/>
        <v>0</v>
      </c>
      <c r="AF105" s="78">
        <f t="shared" ref="AF105:AF109" ca="1" si="193">IFERROR(($AD105-$AA105)/ABS($AA105),0)</f>
        <v>0</v>
      </c>
      <c r="AG105" s="4">
        <f ca="1">-SUMIFS(INDIRECT("Tab_00.Trial["&amp;AG$4&amp;"]"),Tab_00.Trial[CONTA],$B105)</f>
        <v>0</v>
      </c>
      <c r="AH105" s="78">
        <f t="shared" ca="1" si="182"/>
        <v>0</v>
      </c>
      <c r="AI105" s="78">
        <f t="shared" ref="AI105:AI109" ca="1" si="194">IFERROR(($AG105-$AD105)/ABS($AD105),0)</f>
        <v>0</v>
      </c>
      <c r="AJ105" s="4">
        <f ca="1">-SUMIFS(INDIRECT("Tab_00.Trial["&amp;AJ$4&amp;"]"),Tab_00.Trial[CONTA],$B105)</f>
        <v>0</v>
      </c>
      <c r="AK105" s="78">
        <f t="shared" ca="1" si="183"/>
        <v>0</v>
      </c>
      <c r="AL105" s="78">
        <f t="shared" ref="AL105:AL109" ca="1" si="195">IFERROR(($AJ105-$AG105)/ABS($AG105),0)</f>
        <v>0</v>
      </c>
      <c r="AM105" s="4">
        <f ca="1">-SUMIFS(INDIRECT("Tab_00.Trial["&amp;AM$4&amp;"]"),Tab_00.Trial[CONTA],$B105)</f>
        <v>0</v>
      </c>
      <c r="AN105" s="78">
        <f t="shared" ca="1" si="184"/>
        <v>0</v>
      </c>
      <c r="AO105" s="78">
        <f t="shared" ref="AO105:AO109" ca="1" si="196">IFERROR(($AM105-$AJ105)/ABS($AJ105),0)</f>
        <v>0</v>
      </c>
    </row>
    <row r="106" spans="2:41" ht="15" hidden="1" customHeight="1" outlineLevel="1" x14ac:dyDescent="0.3">
      <c r="B106" s="14"/>
      <c r="C106" s="15"/>
      <c r="D106" s="4">
        <f>-SUMIFS(Tab_99.Trial[DEZEMBRO],Tab_99.Trial[CONTA],$B106)</f>
        <v>0</v>
      </c>
      <c r="E106" s="78">
        <f t="shared" ca="1" si="172"/>
        <v>0</v>
      </c>
      <c r="F106" s="4">
        <f ca="1">-SUMIFS(INDIRECT("Tab_00.Trial["&amp;F$4&amp;"]"),Tab_00.Trial[CONTA],$B106)</f>
        <v>0</v>
      </c>
      <c r="G106" s="78">
        <f t="shared" ca="1" si="173"/>
        <v>0</v>
      </c>
      <c r="H106" s="78">
        <f t="shared" ca="1" si="185"/>
        <v>0</v>
      </c>
      <c r="I106" s="4">
        <f ca="1">-SUMIFS(INDIRECT("Tab_00.Trial["&amp;I$4&amp;"]"),Tab_00.Trial[CONTA],$B106)</f>
        <v>0</v>
      </c>
      <c r="J106" s="78">
        <f t="shared" ca="1" si="174"/>
        <v>0</v>
      </c>
      <c r="K106" s="78">
        <f t="shared" ca="1" si="186"/>
        <v>0</v>
      </c>
      <c r="L106" s="4">
        <f ca="1">-SUMIFS(INDIRECT("Tab_00.Trial["&amp;L$4&amp;"]"),Tab_00.Trial[CONTA],$B106)</f>
        <v>0</v>
      </c>
      <c r="M106" s="78">
        <f t="shared" ca="1" si="175"/>
        <v>0</v>
      </c>
      <c r="N106" s="78">
        <f t="shared" ca="1" si="187"/>
        <v>0</v>
      </c>
      <c r="O106" s="4">
        <f ca="1">-SUMIFS(INDIRECT("Tab_00.Trial["&amp;O$4&amp;"]"),Tab_00.Trial[CONTA],$B106)</f>
        <v>0</v>
      </c>
      <c r="P106" s="78">
        <f t="shared" ca="1" si="176"/>
        <v>0</v>
      </c>
      <c r="Q106" s="78">
        <f t="shared" ca="1" si="188"/>
        <v>0</v>
      </c>
      <c r="R106" s="4">
        <f ca="1">-SUMIFS(INDIRECT("Tab_00.Trial["&amp;R$4&amp;"]"),Tab_00.Trial[CONTA],$B106)</f>
        <v>0</v>
      </c>
      <c r="S106" s="78">
        <f t="shared" ca="1" si="177"/>
        <v>0</v>
      </c>
      <c r="T106" s="78">
        <f t="shared" ca="1" si="189"/>
        <v>0</v>
      </c>
      <c r="U106" s="4">
        <f ca="1">-SUMIFS(INDIRECT("Tab_00.Trial["&amp;U$4&amp;"]"),Tab_00.Trial[CONTA],$B106)</f>
        <v>0</v>
      </c>
      <c r="V106" s="78">
        <f t="shared" ca="1" si="178"/>
        <v>0</v>
      </c>
      <c r="W106" s="78">
        <f t="shared" ca="1" si="190"/>
        <v>0</v>
      </c>
      <c r="X106" s="4">
        <f ca="1">-SUMIFS(INDIRECT("Tab_00.Trial["&amp;X$4&amp;"]"),Tab_00.Trial[CONTA],$B106)</f>
        <v>0</v>
      </c>
      <c r="Y106" s="78">
        <f t="shared" ca="1" si="179"/>
        <v>0</v>
      </c>
      <c r="Z106" s="78">
        <f t="shared" ca="1" si="191"/>
        <v>0</v>
      </c>
      <c r="AA106" s="4">
        <f ca="1">-SUMIFS(INDIRECT("Tab_00.Trial["&amp;AA$4&amp;"]"),Tab_00.Trial[CONTA],$B106)</f>
        <v>0</v>
      </c>
      <c r="AB106" s="78">
        <f t="shared" ca="1" si="180"/>
        <v>0</v>
      </c>
      <c r="AC106" s="78">
        <f t="shared" ca="1" si="192"/>
        <v>0</v>
      </c>
      <c r="AD106" s="4">
        <f ca="1">-SUMIFS(INDIRECT("Tab_00.Trial["&amp;AD$4&amp;"]"),Tab_00.Trial[CONTA],$B106)</f>
        <v>0</v>
      </c>
      <c r="AE106" s="78">
        <f t="shared" ca="1" si="181"/>
        <v>0</v>
      </c>
      <c r="AF106" s="78">
        <f t="shared" ca="1" si="193"/>
        <v>0</v>
      </c>
      <c r="AG106" s="4">
        <f ca="1">-SUMIFS(INDIRECT("Tab_00.Trial["&amp;AG$4&amp;"]"),Tab_00.Trial[CONTA],$B106)</f>
        <v>0</v>
      </c>
      <c r="AH106" s="78">
        <f t="shared" ca="1" si="182"/>
        <v>0</v>
      </c>
      <c r="AI106" s="78">
        <f t="shared" ca="1" si="194"/>
        <v>0</v>
      </c>
      <c r="AJ106" s="4">
        <f ca="1">-SUMIFS(INDIRECT("Tab_00.Trial["&amp;AJ$4&amp;"]"),Tab_00.Trial[CONTA],$B106)</f>
        <v>0</v>
      </c>
      <c r="AK106" s="78">
        <f t="shared" ca="1" si="183"/>
        <v>0</v>
      </c>
      <c r="AL106" s="78">
        <f t="shared" ca="1" si="195"/>
        <v>0</v>
      </c>
      <c r="AM106" s="4">
        <f ca="1">-SUMIFS(INDIRECT("Tab_00.Trial["&amp;AM$4&amp;"]"),Tab_00.Trial[CONTA],$B106)</f>
        <v>0</v>
      </c>
      <c r="AN106" s="78">
        <f t="shared" ca="1" si="184"/>
        <v>0</v>
      </c>
      <c r="AO106" s="78">
        <f t="shared" ca="1" si="196"/>
        <v>0</v>
      </c>
    </row>
    <row r="107" spans="2:41" ht="15" hidden="1" customHeight="1" outlineLevel="1" x14ac:dyDescent="0.3">
      <c r="B107" s="14"/>
      <c r="C107" s="15"/>
      <c r="D107" s="4">
        <f>-SUMIFS(Tab_99.Trial[DEZEMBRO],Tab_99.Trial[CONTA],$B107)</f>
        <v>0</v>
      </c>
      <c r="E107" s="78">
        <f t="shared" ca="1" si="172"/>
        <v>0</v>
      </c>
      <c r="F107" s="4">
        <f ca="1">-SUMIFS(INDIRECT("Tab_00.Trial["&amp;F$4&amp;"]"),Tab_00.Trial[CONTA],$B107)</f>
        <v>0</v>
      </c>
      <c r="G107" s="78">
        <f t="shared" ca="1" si="173"/>
        <v>0</v>
      </c>
      <c r="H107" s="78">
        <f t="shared" ca="1" si="185"/>
        <v>0</v>
      </c>
      <c r="I107" s="4">
        <f ca="1">-SUMIFS(INDIRECT("Tab_00.Trial["&amp;I$4&amp;"]"),Tab_00.Trial[CONTA],$B107)</f>
        <v>0</v>
      </c>
      <c r="J107" s="78">
        <f t="shared" ca="1" si="174"/>
        <v>0</v>
      </c>
      <c r="K107" s="78">
        <f t="shared" ca="1" si="186"/>
        <v>0</v>
      </c>
      <c r="L107" s="4">
        <f ca="1">-SUMIFS(INDIRECT("Tab_00.Trial["&amp;L$4&amp;"]"),Tab_00.Trial[CONTA],$B107)</f>
        <v>0</v>
      </c>
      <c r="M107" s="78">
        <f t="shared" ca="1" si="175"/>
        <v>0</v>
      </c>
      <c r="N107" s="78">
        <f t="shared" ca="1" si="187"/>
        <v>0</v>
      </c>
      <c r="O107" s="4">
        <f ca="1">-SUMIFS(INDIRECT("Tab_00.Trial["&amp;O$4&amp;"]"),Tab_00.Trial[CONTA],$B107)</f>
        <v>0</v>
      </c>
      <c r="P107" s="78">
        <f t="shared" ca="1" si="176"/>
        <v>0</v>
      </c>
      <c r="Q107" s="78">
        <f t="shared" ca="1" si="188"/>
        <v>0</v>
      </c>
      <c r="R107" s="4">
        <f ca="1">-SUMIFS(INDIRECT("Tab_00.Trial["&amp;R$4&amp;"]"),Tab_00.Trial[CONTA],$B107)</f>
        <v>0</v>
      </c>
      <c r="S107" s="78">
        <f t="shared" ca="1" si="177"/>
        <v>0</v>
      </c>
      <c r="T107" s="78">
        <f t="shared" ca="1" si="189"/>
        <v>0</v>
      </c>
      <c r="U107" s="4">
        <f ca="1">-SUMIFS(INDIRECT("Tab_00.Trial["&amp;U$4&amp;"]"),Tab_00.Trial[CONTA],$B107)</f>
        <v>0</v>
      </c>
      <c r="V107" s="78">
        <f t="shared" ca="1" si="178"/>
        <v>0</v>
      </c>
      <c r="W107" s="78">
        <f t="shared" ca="1" si="190"/>
        <v>0</v>
      </c>
      <c r="X107" s="4">
        <f ca="1">-SUMIFS(INDIRECT("Tab_00.Trial["&amp;X$4&amp;"]"),Tab_00.Trial[CONTA],$B107)</f>
        <v>0</v>
      </c>
      <c r="Y107" s="78">
        <f t="shared" ca="1" si="179"/>
        <v>0</v>
      </c>
      <c r="Z107" s="78">
        <f t="shared" ca="1" si="191"/>
        <v>0</v>
      </c>
      <c r="AA107" s="4">
        <f ca="1">-SUMIFS(INDIRECT("Tab_00.Trial["&amp;AA$4&amp;"]"),Tab_00.Trial[CONTA],$B107)</f>
        <v>0</v>
      </c>
      <c r="AB107" s="78">
        <f t="shared" ca="1" si="180"/>
        <v>0</v>
      </c>
      <c r="AC107" s="78">
        <f t="shared" ca="1" si="192"/>
        <v>0</v>
      </c>
      <c r="AD107" s="4">
        <f ca="1">-SUMIFS(INDIRECT("Tab_00.Trial["&amp;AD$4&amp;"]"),Tab_00.Trial[CONTA],$B107)</f>
        <v>0</v>
      </c>
      <c r="AE107" s="78">
        <f t="shared" ca="1" si="181"/>
        <v>0</v>
      </c>
      <c r="AF107" s="78">
        <f t="shared" ca="1" si="193"/>
        <v>0</v>
      </c>
      <c r="AG107" s="4">
        <f ca="1">-SUMIFS(INDIRECT("Tab_00.Trial["&amp;AG$4&amp;"]"),Tab_00.Trial[CONTA],$B107)</f>
        <v>0</v>
      </c>
      <c r="AH107" s="78">
        <f t="shared" ca="1" si="182"/>
        <v>0</v>
      </c>
      <c r="AI107" s="78">
        <f t="shared" ca="1" si="194"/>
        <v>0</v>
      </c>
      <c r="AJ107" s="4">
        <f ca="1">-SUMIFS(INDIRECT("Tab_00.Trial["&amp;AJ$4&amp;"]"),Tab_00.Trial[CONTA],$B107)</f>
        <v>0</v>
      </c>
      <c r="AK107" s="78">
        <f t="shared" ca="1" si="183"/>
        <v>0</v>
      </c>
      <c r="AL107" s="78">
        <f t="shared" ca="1" si="195"/>
        <v>0</v>
      </c>
      <c r="AM107" s="4">
        <f ca="1">-SUMIFS(INDIRECT("Tab_00.Trial["&amp;AM$4&amp;"]"),Tab_00.Trial[CONTA],$B107)</f>
        <v>0</v>
      </c>
      <c r="AN107" s="78">
        <f t="shared" ca="1" si="184"/>
        <v>0</v>
      </c>
      <c r="AO107" s="78">
        <f t="shared" ca="1" si="196"/>
        <v>0</v>
      </c>
    </row>
    <row r="108" spans="2:41" ht="15" hidden="1" customHeight="1" outlineLevel="1" x14ac:dyDescent="0.3">
      <c r="B108" s="14"/>
      <c r="C108" s="15"/>
      <c r="D108" s="4">
        <f>-SUMIFS(Tab_99.Trial[DEZEMBRO],Tab_99.Trial[CONTA],$B108)</f>
        <v>0</v>
      </c>
      <c r="E108" s="78">
        <f t="shared" ca="1" si="172"/>
        <v>0</v>
      </c>
      <c r="F108" s="4">
        <f ca="1">-SUMIFS(INDIRECT("Tab_00.Trial["&amp;F$4&amp;"]"),Tab_00.Trial[CONTA],$B108)</f>
        <v>0</v>
      </c>
      <c r="G108" s="78">
        <f t="shared" ca="1" si="173"/>
        <v>0</v>
      </c>
      <c r="H108" s="78">
        <f t="shared" ca="1" si="185"/>
        <v>0</v>
      </c>
      <c r="I108" s="4">
        <f ca="1">-SUMIFS(INDIRECT("Tab_00.Trial["&amp;I$4&amp;"]"),Tab_00.Trial[CONTA],$B108)</f>
        <v>0</v>
      </c>
      <c r="J108" s="78">
        <f t="shared" ca="1" si="174"/>
        <v>0</v>
      </c>
      <c r="K108" s="78">
        <f t="shared" ca="1" si="186"/>
        <v>0</v>
      </c>
      <c r="L108" s="4">
        <f ca="1">-SUMIFS(INDIRECT("Tab_00.Trial["&amp;L$4&amp;"]"),Tab_00.Trial[CONTA],$B108)</f>
        <v>0</v>
      </c>
      <c r="M108" s="78">
        <f t="shared" ca="1" si="175"/>
        <v>0</v>
      </c>
      <c r="N108" s="78">
        <f t="shared" ca="1" si="187"/>
        <v>0</v>
      </c>
      <c r="O108" s="4">
        <f ca="1">-SUMIFS(INDIRECT("Tab_00.Trial["&amp;O$4&amp;"]"),Tab_00.Trial[CONTA],$B108)</f>
        <v>0</v>
      </c>
      <c r="P108" s="78">
        <f t="shared" ca="1" si="176"/>
        <v>0</v>
      </c>
      <c r="Q108" s="78">
        <f t="shared" ca="1" si="188"/>
        <v>0</v>
      </c>
      <c r="R108" s="4">
        <f ca="1">-SUMIFS(INDIRECT("Tab_00.Trial["&amp;R$4&amp;"]"),Tab_00.Trial[CONTA],$B108)</f>
        <v>0</v>
      </c>
      <c r="S108" s="78">
        <f t="shared" ca="1" si="177"/>
        <v>0</v>
      </c>
      <c r="T108" s="78">
        <f t="shared" ca="1" si="189"/>
        <v>0</v>
      </c>
      <c r="U108" s="4">
        <f ca="1">-SUMIFS(INDIRECT("Tab_00.Trial["&amp;U$4&amp;"]"),Tab_00.Trial[CONTA],$B108)</f>
        <v>0</v>
      </c>
      <c r="V108" s="78">
        <f t="shared" ca="1" si="178"/>
        <v>0</v>
      </c>
      <c r="W108" s="78">
        <f t="shared" ca="1" si="190"/>
        <v>0</v>
      </c>
      <c r="X108" s="4">
        <f ca="1">-SUMIFS(INDIRECT("Tab_00.Trial["&amp;X$4&amp;"]"),Tab_00.Trial[CONTA],$B108)</f>
        <v>0</v>
      </c>
      <c r="Y108" s="78">
        <f t="shared" ca="1" si="179"/>
        <v>0</v>
      </c>
      <c r="Z108" s="78">
        <f t="shared" ca="1" si="191"/>
        <v>0</v>
      </c>
      <c r="AA108" s="4">
        <f ca="1">-SUMIFS(INDIRECT("Tab_00.Trial["&amp;AA$4&amp;"]"),Tab_00.Trial[CONTA],$B108)</f>
        <v>0</v>
      </c>
      <c r="AB108" s="78">
        <f t="shared" ca="1" si="180"/>
        <v>0</v>
      </c>
      <c r="AC108" s="78">
        <f t="shared" ca="1" si="192"/>
        <v>0</v>
      </c>
      <c r="AD108" s="4">
        <f ca="1">-SUMIFS(INDIRECT("Tab_00.Trial["&amp;AD$4&amp;"]"),Tab_00.Trial[CONTA],$B108)</f>
        <v>0</v>
      </c>
      <c r="AE108" s="78">
        <f t="shared" ca="1" si="181"/>
        <v>0</v>
      </c>
      <c r="AF108" s="78">
        <f t="shared" ca="1" si="193"/>
        <v>0</v>
      </c>
      <c r="AG108" s="4">
        <f ca="1">-SUMIFS(INDIRECT("Tab_00.Trial["&amp;AG$4&amp;"]"),Tab_00.Trial[CONTA],$B108)</f>
        <v>0</v>
      </c>
      <c r="AH108" s="78">
        <f t="shared" ca="1" si="182"/>
        <v>0</v>
      </c>
      <c r="AI108" s="78">
        <f t="shared" ca="1" si="194"/>
        <v>0</v>
      </c>
      <c r="AJ108" s="4">
        <f ca="1">-SUMIFS(INDIRECT("Tab_00.Trial["&amp;AJ$4&amp;"]"),Tab_00.Trial[CONTA],$B108)</f>
        <v>0</v>
      </c>
      <c r="AK108" s="78">
        <f t="shared" ca="1" si="183"/>
        <v>0</v>
      </c>
      <c r="AL108" s="78">
        <f t="shared" ca="1" si="195"/>
        <v>0</v>
      </c>
      <c r="AM108" s="4">
        <f ca="1">-SUMIFS(INDIRECT("Tab_00.Trial["&amp;AM$4&amp;"]"),Tab_00.Trial[CONTA],$B108)</f>
        <v>0</v>
      </c>
      <c r="AN108" s="78">
        <f t="shared" ca="1" si="184"/>
        <v>0</v>
      </c>
      <c r="AO108" s="78">
        <f t="shared" ca="1" si="196"/>
        <v>0</v>
      </c>
    </row>
    <row r="109" spans="2:41" ht="15" hidden="1" customHeight="1" outlineLevel="1" x14ac:dyDescent="0.3">
      <c r="B109" s="14"/>
      <c r="C109" s="15"/>
      <c r="D109" s="4">
        <f>-SUMIFS(Tab_99.Trial[DEZEMBRO],Tab_99.Trial[CONTA],$B109)</f>
        <v>0</v>
      </c>
      <c r="E109" s="78">
        <f t="shared" ca="1" si="172"/>
        <v>0</v>
      </c>
      <c r="F109" s="4">
        <f ca="1">-SUMIFS(INDIRECT("Tab_00.Trial["&amp;F$4&amp;"]"),Tab_00.Trial[CONTA],$B109)</f>
        <v>0</v>
      </c>
      <c r="G109" s="78">
        <f t="shared" ca="1" si="173"/>
        <v>0</v>
      </c>
      <c r="H109" s="78">
        <f t="shared" ca="1" si="185"/>
        <v>0</v>
      </c>
      <c r="I109" s="4">
        <f ca="1">-SUMIFS(INDIRECT("Tab_00.Trial["&amp;I$4&amp;"]"),Tab_00.Trial[CONTA],$B109)</f>
        <v>0</v>
      </c>
      <c r="J109" s="78">
        <f t="shared" ca="1" si="174"/>
        <v>0</v>
      </c>
      <c r="K109" s="78">
        <f t="shared" ca="1" si="186"/>
        <v>0</v>
      </c>
      <c r="L109" s="4">
        <f ca="1">-SUMIFS(INDIRECT("Tab_00.Trial["&amp;L$4&amp;"]"),Tab_00.Trial[CONTA],$B109)</f>
        <v>0</v>
      </c>
      <c r="M109" s="78">
        <f t="shared" ca="1" si="175"/>
        <v>0</v>
      </c>
      <c r="N109" s="78">
        <f t="shared" ca="1" si="187"/>
        <v>0</v>
      </c>
      <c r="O109" s="4">
        <f ca="1">-SUMIFS(INDIRECT("Tab_00.Trial["&amp;O$4&amp;"]"),Tab_00.Trial[CONTA],$B109)</f>
        <v>0</v>
      </c>
      <c r="P109" s="78">
        <f t="shared" ca="1" si="176"/>
        <v>0</v>
      </c>
      <c r="Q109" s="78">
        <f t="shared" ca="1" si="188"/>
        <v>0</v>
      </c>
      <c r="R109" s="4">
        <f ca="1">-SUMIFS(INDIRECT("Tab_00.Trial["&amp;R$4&amp;"]"),Tab_00.Trial[CONTA],$B109)</f>
        <v>0</v>
      </c>
      <c r="S109" s="78">
        <f t="shared" ca="1" si="177"/>
        <v>0</v>
      </c>
      <c r="T109" s="78">
        <f t="shared" ca="1" si="189"/>
        <v>0</v>
      </c>
      <c r="U109" s="4">
        <f ca="1">-SUMIFS(INDIRECT("Tab_00.Trial["&amp;U$4&amp;"]"),Tab_00.Trial[CONTA],$B109)</f>
        <v>0</v>
      </c>
      <c r="V109" s="78">
        <f t="shared" ca="1" si="178"/>
        <v>0</v>
      </c>
      <c r="W109" s="78">
        <f t="shared" ca="1" si="190"/>
        <v>0</v>
      </c>
      <c r="X109" s="4">
        <f ca="1">-SUMIFS(INDIRECT("Tab_00.Trial["&amp;X$4&amp;"]"),Tab_00.Trial[CONTA],$B109)</f>
        <v>0</v>
      </c>
      <c r="Y109" s="78">
        <f t="shared" ca="1" si="179"/>
        <v>0</v>
      </c>
      <c r="Z109" s="78">
        <f t="shared" ca="1" si="191"/>
        <v>0</v>
      </c>
      <c r="AA109" s="4">
        <f ca="1">-SUMIFS(INDIRECT("Tab_00.Trial["&amp;AA$4&amp;"]"),Tab_00.Trial[CONTA],$B109)</f>
        <v>0</v>
      </c>
      <c r="AB109" s="78">
        <f t="shared" ca="1" si="180"/>
        <v>0</v>
      </c>
      <c r="AC109" s="78">
        <f t="shared" ca="1" si="192"/>
        <v>0</v>
      </c>
      <c r="AD109" s="4">
        <f ca="1">-SUMIFS(INDIRECT("Tab_00.Trial["&amp;AD$4&amp;"]"),Tab_00.Trial[CONTA],$B109)</f>
        <v>0</v>
      </c>
      <c r="AE109" s="78">
        <f t="shared" ca="1" si="181"/>
        <v>0</v>
      </c>
      <c r="AF109" s="78">
        <f t="shared" ca="1" si="193"/>
        <v>0</v>
      </c>
      <c r="AG109" s="4">
        <f ca="1">-SUMIFS(INDIRECT("Tab_00.Trial["&amp;AG$4&amp;"]"),Tab_00.Trial[CONTA],$B109)</f>
        <v>0</v>
      </c>
      <c r="AH109" s="78">
        <f t="shared" ca="1" si="182"/>
        <v>0</v>
      </c>
      <c r="AI109" s="78">
        <f t="shared" ca="1" si="194"/>
        <v>0</v>
      </c>
      <c r="AJ109" s="4">
        <f ca="1">-SUMIFS(INDIRECT("Tab_00.Trial["&amp;AJ$4&amp;"]"),Tab_00.Trial[CONTA],$B109)</f>
        <v>0</v>
      </c>
      <c r="AK109" s="78">
        <f t="shared" ca="1" si="183"/>
        <v>0</v>
      </c>
      <c r="AL109" s="78">
        <f t="shared" ca="1" si="195"/>
        <v>0</v>
      </c>
      <c r="AM109" s="4">
        <f ca="1">-SUMIFS(INDIRECT("Tab_00.Trial["&amp;AM$4&amp;"]"),Tab_00.Trial[CONTA],$B109)</f>
        <v>0</v>
      </c>
      <c r="AN109" s="78">
        <f t="shared" ca="1" si="184"/>
        <v>0</v>
      </c>
      <c r="AO109" s="78">
        <f t="shared" ca="1" si="196"/>
        <v>0</v>
      </c>
    </row>
    <row r="110" spans="2:41" ht="5.0999999999999996" hidden="1" customHeight="1" outlineLevel="1" x14ac:dyDescent="0.3">
      <c r="B110" s="74"/>
      <c r="C110" s="75"/>
      <c r="D110" s="76"/>
      <c r="E110" s="77"/>
      <c r="F110" s="76"/>
      <c r="G110" s="77"/>
      <c r="H110" s="77"/>
      <c r="I110" s="76"/>
      <c r="J110" s="77"/>
      <c r="K110" s="77"/>
      <c r="L110" s="76"/>
      <c r="M110" s="77"/>
      <c r="N110" s="77"/>
      <c r="O110" s="76"/>
      <c r="P110" s="77"/>
      <c r="Q110" s="77"/>
      <c r="R110" s="76"/>
      <c r="S110" s="77"/>
      <c r="T110" s="77"/>
      <c r="U110" s="76"/>
      <c r="V110" s="77"/>
      <c r="W110" s="77"/>
      <c r="X110" s="76"/>
      <c r="Y110" s="77"/>
      <c r="Z110" s="77"/>
      <c r="AA110" s="76"/>
      <c r="AB110" s="77"/>
      <c r="AC110" s="77"/>
      <c r="AD110" s="76"/>
      <c r="AE110" s="77"/>
      <c r="AF110" s="77"/>
      <c r="AG110" s="76"/>
      <c r="AH110" s="77"/>
      <c r="AI110" s="77"/>
      <c r="AJ110" s="76"/>
      <c r="AK110" s="77"/>
      <c r="AL110" s="77"/>
      <c r="AM110" s="76"/>
      <c r="AN110" s="77"/>
      <c r="AO110" s="77"/>
    </row>
    <row r="111" spans="2:41" ht="15" customHeight="1" collapsed="1" x14ac:dyDescent="0.3">
      <c r="B111" s="3" t="s">
        <v>96</v>
      </c>
      <c r="C111" s="14" t="s">
        <v>119</v>
      </c>
      <c r="D111" s="4">
        <f>SUBTOTAL(9,D$112:D$113)</f>
        <v>0</v>
      </c>
      <c r="E111" s="78">
        <f ca="1">IFERROR($D111/$D$146,0)</f>
        <v>0</v>
      </c>
      <c r="F111" s="4">
        <f ca="1">SUBTOTAL(9,F$112:F$113)</f>
        <v>0</v>
      </c>
      <c r="G111" s="78">
        <f ca="1">IFERROR($F111/$F$146,0)</f>
        <v>0</v>
      </c>
      <c r="H111" s="78">
        <f ca="1">IFERROR(($F111-$D111)/ABS($D111),0)</f>
        <v>0</v>
      </c>
      <c r="I111" s="4">
        <f ca="1">SUBTOTAL(9,I$112:I$113)</f>
        <v>0</v>
      </c>
      <c r="J111" s="78">
        <f ca="1">IFERROR($I111/$I$146,0)</f>
        <v>0</v>
      </c>
      <c r="K111" s="78">
        <f ca="1">IFERROR(($I111-$F111)/ABS($F111),0)</f>
        <v>0</v>
      </c>
      <c r="L111" s="4">
        <f ca="1">SUBTOTAL(9,L$112:L$113)</f>
        <v>0</v>
      </c>
      <c r="M111" s="78">
        <f ca="1">IFERROR($L111/$L$146,0)</f>
        <v>0</v>
      </c>
      <c r="N111" s="78">
        <f ca="1">IFERROR(($L111-$I111)/ABS($I111),0)</f>
        <v>0</v>
      </c>
      <c r="O111" s="4">
        <f ca="1">SUBTOTAL(9,O$112:O$113)</f>
        <v>0</v>
      </c>
      <c r="P111" s="78">
        <f ca="1">IFERROR($O111/$O$146,0)</f>
        <v>0</v>
      </c>
      <c r="Q111" s="78">
        <f ca="1">IFERROR(($O111-$L111)/ABS($L111),0)</f>
        <v>0</v>
      </c>
      <c r="R111" s="4">
        <f ca="1">SUBTOTAL(9,R$112:R$113)</f>
        <v>0</v>
      </c>
      <c r="S111" s="78">
        <f ca="1">IFERROR($R111/$R$146,0)</f>
        <v>0</v>
      </c>
      <c r="T111" s="78">
        <f ca="1">IFERROR(($R111-$O111)/ABS($O111),0)</f>
        <v>0</v>
      </c>
      <c r="U111" s="4">
        <f ca="1">SUBTOTAL(9,U$112:U$113)</f>
        <v>0</v>
      </c>
      <c r="V111" s="78">
        <f ca="1">IFERROR($U111/$U$146,0)</f>
        <v>0</v>
      </c>
      <c r="W111" s="78">
        <f ca="1">IFERROR(($U111-$R111)/ABS($R111),0)</f>
        <v>0</v>
      </c>
      <c r="X111" s="4">
        <f ca="1">SUBTOTAL(9,X$112:X$113)</f>
        <v>0</v>
      </c>
      <c r="Y111" s="78">
        <f ca="1">IFERROR($X111/$X$146,0)</f>
        <v>0</v>
      </c>
      <c r="Z111" s="78">
        <f ca="1">IFERROR(($X111-$U111)/ABS($U111),0)</f>
        <v>0</v>
      </c>
      <c r="AA111" s="4">
        <f ca="1">SUBTOTAL(9,AA$112:AA$113)</f>
        <v>0</v>
      </c>
      <c r="AB111" s="78">
        <f ca="1">IFERROR($AA111/$AA$146,0)</f>
        <v>0</v>
      </c>
      <c r="AC111" s="78">
        <f ca="1">IFERROR(($AA111-$X111)/ABS($X111),0)</f>
        <v>0</v>
      </c>
      <c r="AD111" s="4">
        <f ca="1">SUBTOTAL(9,AD$112:AD$113)</f>
        <v>0</v>
      </c>
      <c r="AE111" s="78">
        <f ca="1">IFERROR($AD111/$AD$146,0)</f>
        <v>0</v>
      </c>
      <c r="AF111" s="78">
        <f ca="1">IFERROR(($AD111-$AA111)/ABS($AA111),0)</f>
        <v>0</v>
      </c>
      <c r="AG111" s="4">
        <f ca="1">SUBTOTAL(9,AG$112:AG$113)</f>
        <v>0</v>
      </c>
      <c r="AH111" s="78">
        <f ca="1">IFERROR($AG111/$AG$146,0)</f>
        <v>0</v>
      </c>
      <c r="AI111" s="78">
        <f ca="1">IFERROR(($AG111-$AD111)/ABS($AD111),0)</f>
        <v>0</v>
      </c>
      <c r="AJ111" s="4">
        <f ca="1">SUBTOTAL(9,AJ$112:AJ$113)</f>
        <v>0</v>
      </c>
      <c r="AK111" s="78">
        <f ca="1">IFERROR($AJ111/$AJ$146,0)</f>
        <v>0</v>
      </c>
      <c r="AL111" s="78">
        <f ca="1">IFERROR(($AJ111-$AG111)/ABS($AG111),0)</f>
        <v>0</v>
      </c>
      <c r="AM111" s="4">
        <f ca="1">SUBTOTAL(9,AM$112:AM$113)</f>
        <v>0</v>
      </c>
      <c r="AN111" s="78">
        <f ca="1">IFERROR(AM111/AM$146,0)</f>
        <v>0</v>
      </c>
      <c r="AO111" s="78">
        <f ca="1">IFERROR(($AM111-$AJ111)/ABS($AJ111),0)</f>
        <v>0</v>
      </c>
    </row>
    <row r="112" spans="2:41" ht="15" hidden="1" customHeight="1" outlineLevel="1" x14ac:dyDescent="0.3">
      <c r="B112" s="14"/>
      <c r="C112" s="15"/>
      <c r="D112" s="4">
        <f>-SUMIFS(Tab_99.Trial[DEZEMBRO],Tab_99.Trial[CONTA],$B112)</f>
        <v>0</v>
      </c>
      <c r="E112" s="78">
        <f ca="1">IFERROR($D112/$D$146,0)</f>
        <v>0</v>
      </c>
      <c r="F112" s="4">
        <f ca="1">-SUMIFS(INDIRECT("Tab_00.Trial["&amp;F$4&amp;"]"),Tab_00.Trial[CONTA],$B112)</f>
        <v>0</v>
      </c>
      <c r="G112" s="78">
        <f ca="1">IFERROR($F112/$F$146,0)</f>
        <v>0</v>
      </c>
      <c r="H112" s="78">
        <f t="shared" ref="H112" ca="1" si="197">IFERROR(($F112-$D112)/ABS($D112),0)</f>
        <v>0</v>
      </c>
      <c r="I112" s="4">
        <f ca="1">-SUMIFS(INDIRECT("Tab_00.Trial["&amp;I$4&amp;"]"),Tab_00.Trial[CONTA],$B112)</f>
        <v>0</v>
      </c>
      <c r="J112" s="78">
        <f ca="1">IFERROR($I112/$I$146,0)</f>
        <v>0</v>
      </c>
      <c r="K112" s="78">
        <f t="shared" ref="K112" ca="1" si="198">IFERROR(($I112-$F112)/ABS($F112),0)</f>
        <v>0</v>
      </c>
      <c r="L112" s="4">
        <f ca="1">-SUMIFS(INDIRECT("Tab_00.Trial["&amp;L$4&amp;"]"),Tab_00.Trial[CONTA],$B112)</f>
        <v>0</v>
      </c>
      <c r="M112" s="78">
        <f ca="1">IFERROR($L112/$L$146,0)</f>
        <v>0</v>
      </c>
      <c r="N112" s="78">
        <f t="shared" ref="N112" ca="1" si="199">IFERROR(($L112-$I112)/ABS($I112),0)</f>
        <v>0</v>
      </c>
      <c r="O112" s="4">
        <f ca="1">-SUMIFS(INDIRECT("Tab_00.Trial["&amp;O$4&amp;"]"),Tab_00.Trial[CONTA],$B112)</f>
        <v>0</v>
      </c>
      <c r="P112" s="78">
        <f ca="1">IFERROR($O112/$O$146,0)</f>
        <v>0</v>
      </c>
      <c r="Q112" s="78">
        <f t="shared" ref="Q112" ca="1" si="200">IFERROR(($O112-$L112)/ABS($L112),0)</f>
        <v>0</v>
      </c>
      <c r="R112" s="4">
        <f ca="1">-SUMIFS(INDIRECT("Tab_00.Trial["&amp;R$4&amp;"]"),Tab_00.Trial[CONTA],$B112)</f>
        <v>0</v>
      </c>
      <c r="S112" s="78">
        <f ca="1">IFERROR($R112/$R$146,0)</f>
        <v>0</v>
      </c>
      <c r="T112" s="78">
        <f t="shared" ref="T112" ca="1" si="201">IFERROR(($R112-$O112)/ABS($O112),0)</f>
        <v>0</v>
      </c>
      <c r="U112" s="4">
        <f ca="1">-SUMIFS(INDIRECT("Tab_00.Trial["&amp;U$4&amp;"]"),Tab_00.Trial[CONTA],$B112)</f>
        <v>0</v>
      </c>
      <c r="V112" s="78">
        <f ca="1">IFERROR($U112/$U$146,0)</f>
        <v>0</v>
      </c>
      <c r="W112" s="78">
        <f t="shared" ref="W112" ca="1" si="202">IFERROR(($U112-$R112)/ABS($R112),0)</f>
        <v>0</v>
      </c>
      <c r="X112" s="4">
        <f ca="1">-SUMIFS(INDIRECT("Tab_00.Trial["&amp;X$4&amp;"]"),Tab_00.Trial[CONTA],$B112)</f>
        <v>0</v>
      </c>
      <c r="Y112" s="78">
        <f ca="1">IFERROR($X112/$X$146,0)</f>
        <v>0</v>
      </c>
      <c r="Z112" s="78">
        <f t="shared" ref="Z112" ca="1" si="203">IFERROR(($X112-$U112)/ABS($U112),0)</f>
        <v>0</v>
      </c>
      <c r="AA112" s="4">
        <f ca="1">-SUMIFS(INDIRECT("Tab_00.Trial["&amp;AA$4&amp;"]"),Tab_00.Trial[CONTA],$B112)</f>
        <v>0</v>
      </c>
      <c r="AB112" s="78">
        <f ca="1">IFERROR($AA112/$AA$146,0)</f>
        <v>0</v>
      </c>
      <c r="AC112" s="78">
        <f t="shared" ref="AC112" ca="1" si="204">IFERROR(($AA112-$X112)/ABS($X112),0)</f>
        <v>0</v>
      </c>
      <c r="AD112" s="4">
        <f ca="1">-SUMIFS(INDIRECT("Tab_00.Trial["&amp;AD$4&amp;"]"),Tab_00.Trial[CONTA],$B112)</f>
        <v>0</v>
      </c>
      <c r="AE112" s="78">
        <f ca="1">IFERROR($AD112/$AD$146,0)</f>
        <v>0</v>
      </c>
      <c r="AF112" s="78">
        <f t="shared" ref="AF112" ca="1" si="205">IFERROR(($AD112-$AA112)/ABS($AA112),0)</f>
        <v>0</v>
      </c>
      <c r="AG112" s="4">
        <f ca="1">-SUMIFS(INDIRECT("Tab_00.Trial["&amp;AG$4&amp;"]"),Tab_00.Trial[CONTA],$B112)</f>
        <v>0</v>
      </c>
      <c r="AH112" s="78">
        <f ca="1">IFERROR($AG112/$AG$146,0)</f>
        <v>0</v>
      </c>
      <c r="AI112" s="78">
        <f t="shared" ref="AI112" ca="1" si="206">IFERROR(($AG112-$AD112)/ABS($AD112),0)</f>
        <v>0</v>
      </c>
      <c r="AJ112" s="4">
        <f ca="1">-SUMIFS(INDIRECT("Tab_00.Trial["&amp;AJ$4&amp;"]"),Tab_00.Trial[CONTA],$B112)</f>
        <v>0</v>
      </c>
      <c r="AK112" s="78">
        <f ca="1">IFERROR($AJ112/$AJ$146,0)</f>
        <v>0</v>
      </c>
      <c r="AL112" s="78">
        <f t="shared" ref="AL112" ca="1" si="207">IFERROR(($AJ112-$AG112)/ABS($AG112),0)</f>
        <v>0</v>
      </c>
      <c r="AM112" s="4">
        <f ca="1">-SUMIFS(INDIRECT("Tab_00.Trial["&amp;AM$4&amp;"]"),Tab_00.Trial[CONTA],$B112)</f>
        <v>0</v>
      </c>
      <c r="AN112" s="78">
        <f ca="1">IFERROR(AM112/AM$146,0)</f>
        <v>0</v>
      </c>
      <c r="AO112" s="78">
        <f t="shared" ref="AO112" ca="1" si="208">IFERROR(($AM112-$AJ112)/ABS($AJ112),0)</f>
        <v>0</v>
      </c>
    </row>
    <row r="113" spans="2:41" ht="5.0999999999999996" hidden="1" customHeight="1" outlineLevel="1" x14ac:dyDescent="0.3">
      <c r="B113" s="74"/>
      <c r="C113" s="75"/>
      <c r="D113" s="76"/>
      <c r="E113" s="77"/>
      <c r="F113" s="76"/>
      <c r="G113" s="77"/>
      <c r="H113" s="77"/>
      <c r="I113" s="76"/>
      <c r="J113" s="77"/>
      <c r="K113" s="77"/>
      <c r="L113" s="76"/>
      <c r="M113" s="77"/>
      <c r="N113" s="77"/>
      <c r="O113" s="76"/>
      <c r="P113" s="77"/>
      <c r="Q113" s="77"/>
      <c r="R113" s="76"/>
      <c r="S113" s="77"/>
      <c r="T113" s="77"/>
      <c r="U113" s="76"/>
      <c r="V113" s="77"/>
      <c r="W113" s="77"/>
      <c r="X113" s="76"/>
      <c r="Y113" s="77"/>
      <c r="Z113" s="77"/>
      <c r="AA113" s="76"/>
      <c r="AB113" s="77"/>
      <c r="AC113" s="77"/>
      <c r="AD113" s="76"/>
      <c r="AE113" s="77"/>
      <c r="AF113" s="77"/>
      <c r="AG113" s="76"/>
      <c r="AH113" s="77"/>
      <c r="AI113" s="77"/>
      <c r="AJ113" s="76"/>
      <c r="AK113" s="77"/>
      <c r="AL113" s="77"/>
      <c r="AM113" s="76"/>
      <c r="AN113" s="77"/>
      <c r="AO113" s="77"/>
    </row>
    <row r="114" spans="2:41" ht="15" customHeight="1" collapsed="1" x14ac:dyDescent="0.3">
      <c r="B114" s="3" t="s">
        <v>94</v>
      </c>
      <c r="C114" s="14" t="s">
        <v>120</v>
      </c>
      <c r="D114" s="4">
        <f>SUBTOTAL(9,D$115:D$117)</f>
        <v>0</v>
      </c>
      <c r="E114" s="78">
        <f ca="1">IFERROR($D114/$D$146,0)</f>
        <v>0</v>
      </c>
      <c r="F114" s="4">
        <f ca="1">SUBTOTAL(9,F$115:F$117)</f>
        <v>0</v>
      </c>
      <c r="G114" s="78">
        <f ca="1">IFERROR($F114/$F$146,0)</f>
        <v>0</v>
      </c>
      <c r="H114" s="78">
        <f ca="1">IFERROR(($F114-$D114)/ABS($D114),0)</f>
        <v>0</v>
      </c>
      <c r="I114" s="4">
        <f ca="1">SUBTOTAL(9,I$115:I$117)</f>
        <v>0</v>
      </c>
      <c r="J114" s="78">
        <f ca="1">IFERROR($I114/$I$146,0)</f>
        <v>0</v>
      </c>
      <c r="K114" s="78">
        <f ca="1">IFERROR(($I114-$F114)/ABS($F114),0)</f>
        <v>0</v>
      </c>
      <c r="L114" s="4">
        <f ca="1">SUBTOTAL(9,L$115:L$117)</f>
        <v>0</v>
      </c>
      <c r="M114" s="78">
        <f ca="1">IFERROR($L114/$L$146,0)</f>
        <v>0</v>
      </c>
      <c r="N114" s="78">
        <f ca="1">IFERROR(($L114-$I114)/ABS($I114),0)</f>
        <v>0</v>
      </c>
      <c r="O114" s="4">
        <f ca="1">SUBTOTAL(9,O$115:O$117)</f>
        <v>0</v>
      </c>
      <c r="P114" s="78">
        <f ca="1">IFERROR($O114/$O$146,0)</f>
        <v>0</v>
      </c>
      <c r="Q114" s="78">
        <f ca="1">IFERROR(($O114-$L114)/ABS($L114),0)</f>
        <v>0</v>
      </c>
      <c r="R114" s="4">
        <f ca="1">SUBTOTAL(9,R$115:R$117)</f>
        <v>0</v>
      </c>
      <c r="S114" s="78">
        <f ca="1">IFERROR($R114/$R$146,0)</f>
        <v>0</v>
      </c>
      <c r="T114" s="78">
        <f ca="1">IFERROR(($R114-$O114)/ABS($O114),0)</f>
        <v>0</v>
      </c>
      <c r="U114" s="4">
        <f ca="1">SUBTOTAL(9,U$115:U$117)</f>
        <v>0</v>
      </c>
      <c r="V114" s="78">
        <f ca="1">IFERROR($U114/$U$146,0)</f>
        <v>0</v>
      </c>
      <c r="W114" s="78">
        <f ca="1">IFERROR(($U114-$R114)/ABS($R114),0)</f>
        <v>0</v>
      </c>
      <c r="X114" s="4">
        <f ca="1">SUBTOTAL(9,X$115:X$117)</f>
        <v>0</v>
      </c>
      <c r="Y114" s="78">
        <f ca="1">IFERROR($X114/$X$146,0)</f>
        <v>0</v>
      </c>
      <c r="Z114" s="78">
        <f ca="1">IFERROR(($X114-$U114)/ABS($U114),0)</f>
        <v>0</v>
      </c>
      <c r="AA114" s="4">
        <f ca="1">SUBTOTAL(9,AA$115:AA$117)</f>
        <v>0</v>
      </c>
      <c r="AB114" s="78">
        <f ca="1">IFERROR($AA114/$AA$146,0)</f>
        <v>0</v>
      </c>
      <c r="AC114" s="78">
        <f ca="1">IFERROR(($AA114-$X114)/ABS($X114),0)</f>
        <v>0</v>
      </c>
      <c r="AD114" s="4">
        <f ca="1">SUBTOTAL(9,AD$115:AD$117)</f>
        <v>0</v>
      </c>
      <c r="AE114" s="78">
        <f ca="1">IFERROR($AD114/$AD$146,0)</f>
        <v>0</v>
      </c>
      <c r="AF114" s="78">
        <f ca="1">IFERROR(($AD114-$AA114)/ABS($AA114),0)</f>
        <v>0</v>
      </c>
      <c r="AG114" s="4">
        <f ca="1">SUBTOTAL(9,AG$115:AG$117)</f>
        <v>0</v>
      </c>
      <c r="AH114" s="78">
        <f ca="1">IFERROR($AG114/$AG$146,0)</f>
        <v>0</v>
      </c>
      <c r="AI114" s="78">
        <f ca="1">IFERROR(($AG114-$AD114)/ABS($AD114),0)</f>
        <v>0</v>
      </c>
      <c r="AJ114" s="4">
        <f ca="1">SUBTOTAL(9,AJ$115:AJ$117)</f>
        <v>0</v>
      </c>
      <c r="AK114" s="78">
        <f ca="1">IFERROR($AJ114/$AJ$146,0)</f>
        <v>0</v>
      </c>
      <c r="AL114" s="78">
        <f ca="1">IFERROR(($AJ114-$AG114)/ABS($AG114),0)</f>
        <v>0</v>
      </c>
      <c r="AM114" s="4">
        <f ca="1">SUBTOTAL(9,AM$115:AM$117)</f>
        <v>0</v>
      </c>
      <c r="AN114" s="78">
        <f ca="1">IFERROR(AM114/AM$146,0)</f>
        <v>0</v>
      </c>
      <c r="AO114" s="78">
        <f ca="1">IFERROR(($AM114-$AJ114)/ABS($AJ114),0)</f>
        <v>0</v>
      </c>
    </row>
    <row r="115" spans="2:41" ht="15" hidden="1" customHeight="1" outlineLevel="1" x14ac:dyDescent="0.3">
      <c r="B115" s="14"/>
      <c r="C115" s="15"/>
      <c r="D115" s="4">
        <f>-SUMIFS(Tab_99.Trial[DEZEMBRO],Tab_99.Trial[CONTA],$B115)</f>
        <v>0</v>
      </c>
      <c r="E115" s="78">
        <f ca="1">IFERROR($D115/$D$146,0)</f>
        <v>0</v>
      </c>
      <c r="F115" s="4">
        <f ca="1">-SUMIFS(INDIRECT("Tab_00.Trial["&amp;F$4&amp;"]"),Tab_00.Trial[CONTA],$B115)</f>
        <v>0</v>
      </c>
      <c r="G115" s="78">
        <f ca="1">IFERROR($F115/$F$146,0)</f>
        <v>0</v>
      </c>
      <c r="H115" s="78">
        <f ca="1">IFERROR(($F115-$D115)/ABS($D115),0)</f>
        <v>0</v>
      </c>
      <c r="I115" s="4">
        <f ca="1">-SUMIFS(INDIRECT("Tab_00.Trial["&amp;I$4&amp;"]"),Tab_00.Trial[CONTA],$B115)</f>
        <v>0</v>
      </c>
      <c r="J115" s="78">
        <f ca="1">IFERROR($I115/$I$146,0)</f>
        <v>0</v>
      </c>
      <c r="K115" s="78">
        <f ca="1">IFERROR(($I115-$F115)/ABS($F115),0)</f>
        <v>0</v>
      </c>
      <c r="L115" s="4">
        <f ca="1">-SUMIFS(INDIRECT("Tab_00.Trial["&amp;L$4&amp;"]"),Tab_00.Trial[CONTA],$B115)</f>
        <v>0</v>
      </c>
      <c r="M115" s="78">
        <f ca="1">IFERROR($L115/$L$146,0)</f>
        <v>0</v>
      </c>
      <c r="N115" s="78">
        <f ca="1">IFERROR(($L115-$I115)/ABS($I115),0)</f>
        <v>0</v>
      </c>
      <c r="O115" s="4">
        <f ca="1">-SUMIFS(INDIRECT("Tab_00.Trial["&amp;O$4&amp;"]"),Tab_00.Trial[CONTA],$B115)</f>
        <v>0</v>
      </c>
      <c r="P115" s="78">
        <f ca="1">IFERROR($O115/$O$146,0)</f>
        <v>0</v>
      </c>
      <c r="Q115" s="78">
        <f ca="1">IFERROR(($O115-$L115)/ABS($L115),0)</f>
        <v>0</v>
      </c>
      <c r="R115" s="4">
        <f ca="1">-SUMIFS(INDIRECT("Tab_00.Trial["&amp;R$4&amp;"]"),Tab_00.Trial[CONTA],$B115)</f>
        <v>0</v>
      </c>
      <c r="S115" s="78">
        <f ca="1">IFERROR($R115/$R$146,0)</f>
        <v>0</v>
      </c>
      <c r="T115" s="78">
        <f ca="1">IFERROR(($R115-$O115)/ABS($O115),0)</f>
        <v>0</v>
      </c>
      <c r="U115" s="4">
        <f ca="1">-SUMIFS(INDIRECT("Tab_00.Trial["&amp;U$4&amp;"]"),Tab_00.Trial[CONTA],$B115)</f>
        <v>0</v>
      </c>
      <c r="V115" s="78">
        <f ca="1">IFERROR($U115/$U$146,0)</f>
        <v>0</v>
      </c>
      <c r="W115" s="78">
        <f ca="1">IFERROR(($U115-$R115)/ABS($R115),0)</f>
        <v>0</v>
      </c>
      <c r="X115" s="4">
        <f ca="1">-SUMIFS(INDIRECT("Tab_00.Trial["&amp;X$4&amp;"]"),Tab_00.Trial[CONTA],$B115)</f>
        <v>0</v>
      </c>
      <c r="Y115" s="78">
        <f ca="1">IFERROR($X115/$X$146,0)</f>
        <v>0</v>
      </c>
      <c r="Z115" s="78">
        <f ca="1">IFERROR(($X115-$U115)/ABS($U115),0)</f>
        <v>0</v>
      </c>
      <c r="AA115" s="4">
        <f ca="1">-SUMIFS(INDIRECT("Tab_00.Trial["&amp;AA$4&amp;"]"),Tab_00.Trial[CONTA],$B115)</f>
        <v>0</v>
      </c>
      <c r="AB115" s="78">
        <f ca="1">IFERROR($AA115/$AA$146,0)</f>
        <v>0</v>
      </c>
      <c r="AC115" s="78">
        <f ca="1">IFERROR(($AA115-$X115)/ABS($X115),0)</f>
        <v>0</v>
      </c>
      <c r="AD115" s="4">
        <f ca="1">-SUMIFS(INDIRECT("Tab_00.Trial["&amp;AD$4&amp;"]"),Tab_00.Trial[CONTA],$B115)</f>
        <v>0</v>
      </c>
      <c r="AE115" s="78">
        <f ca="1">IFERROR($AD115/$AD$146,0)</f>
        <v>0</v>
      </c>
      <c r="AF115" s="78">
        <f ca="1">IFERROR(($AD115-$AA115)/ABS($AA115),0)</f>
        <v>0</v>
      </c>
      <c r="AG115" s="4">
        <f ca="1">-SUMIFS(INDIRECT("Tab_00.Trial["&amp;AG$4&amp;"]"),Tab_00.Trial[CONTA],$B115)</f>
        <v>0</v>
      </c>
      <c r="AH115" s="78">
        <f ca="1">IFERROR($AG115/$AG$146,0)</f>
        <v>0</v>
      </c>
      <c r="AI115" s="78">
        <f ca="1">IFERROR(($AG115-$AD115)/ABS($AD115),0)</f>
        <v>0</v>
      </c>
      <c r="AJ115" s="4">
        <f ca="1">-SUMIFS(INDIRECT("Tab_00.Trial["&amp;AJ$4&amp;"]"),Tab_00.Trial[CONTA],$B115)</f>
        <v>0</v>
      </c>
      <c r="AK115" s="78">
        <f ca="1">IFERROR($AJ115/$AJ$146,0)</f>
        <v>0</v>
      </c>
      <c r="AL115" s="78">
        <f ca="1">IFERROR(($AJ115-$AG115)/ABS($AG115),0)</f>
        <v>0</v>
      </c>
      <c r="AM115" s="4">
        <f ca="1">-SUMIFS(INDIRECT("Tab_00.Trial["&amp;AM$4&amp;"]"),Tab_00.Trial[CONTA],$B115)</f>
        <v>0</v>
      </c>
      <c r="AN115" s="78">
        <f ca="1">IFERROR(AM115/AM$146,0)</f>
        <v>0</v>
      </c>
      <c r="AO115" s="78">
        <f ca="1">IFERROR(($AM115-$AJ115)/ABS($AJ115),0)</f>
        <v>0</v>
      </c>
    </row>
    <row r="116" spans="2:41" ht="15" hidden="1" customHeight="1" outlineLevel="1" x14ac:dyDescent="0.3">
      <c r="B116" s="14"/>
      <c r="C116" s="15"/>
      <c r="D116" s="4">
        <f>-SUMIFS(Tab_99.Trial[DEZEMBRO],Tab_99.Trial[CONTA],$B116)</f>
        <v>0</v>
      </c>
      <c r="E116" s="78">
        <f ca="1">IFERROR($D116/$D$146,0)</f>
        <v>0</v>
      </c>
      <c r="F116" s="4">
        <f ca="1">-SUMIFS(INDIRECT("Tab_00.Trial["&amp;F$4&amp;"]"),Tab_00.Trial[CONTA],$B116)</f>
        <v>0</v>
      </c>
      <c r="G116" s="78">
        <f ca="1">IFERROR($F116/$F$146,0)</f>
        <v>0</v>
      </c>
      <c r="H116" s="78">
        <f t="shared" ref="H116" ca="1" si="209">IFERROR(($F116-$D116)/ABS($D116),0)</f>
        <v>0</v>
      </c>
      <c r="I116" s="4">
        <f ca="1">-SUMIFS(INDIRECT("Tab_00.Trial["&amp;I$4&amp;"]"),Tab_00.Trial[CONTA],$B116)</f>
        <v>0</v>
      </c>
      <c r="J116" s="78">
        <f ca="1">IFERROR($I116/$I$146,0)</f>
        <v>0</v>
      </c>
      <c r="K116" s="78">
        <f t="shared" ref="K116" ca="1" si="210">IFERROR(($I116-$F116)/ABS($F116),0)</f>
        <v>0</v>
      </c>
      <c r="L116" s="4">
        <f ca="1">-SUMIFS(INDIRECT("Tab_00.Trial["&amp;L$4&amp;"]"),Tab_00.Trial[CONTA],$B116)</f>
        <v>0</v>
      </c>
      <c r="M116" s="78">
        <f ca="1">IFERROR($L116/$L$146,0)</f>
        <v>0</v>
      </c>
      <c r="N116" s="78">
        <f t="shared" ref="N116" ca="1" si="211">IFERROR(($L116-$I116)/ABS($I116),0)</f>
        <v>0</v>
      </c>
      <c r="O116" s="4">
        <f ca="1">-SUMIFS(INDIRECT("Tab_00.Trial["&amp;O$4&amp;"]"),Tab_00.Trial[CONTA],$B116)</f>
        <v>0</v>
      </c>
      <c r="P116" s="78">
        <f ca="1">IFERROR($O116/$O$146,0)</f>
        <v>0</v>
      </c>
      <c r="Q116" s="78">
        <f t="shared" ref="Q116" ca="1" si="212">IFERROR(($O116-$L116)/ABS($L116),0)</f>
        <v>0</v>
      </c>
      <c r="R116" s="4">
        <f ca="1">-SUMIFS(INDIRECT("Tab_00.Trial["&amp;R$4&amp;"]"),Tab_00.Trial[CONTA],$B116)</f>
        <v>0</v>
      </c>
      <c r="S116" s="78">
        <f ca="1">IFERROR($R116/$R$146,0)</f>
        <v>0</v>
      </c>
      <c r="T116" s="78">
        <f t="shared" ref="T116" ca="1" si="213">IFERROR(($R116-$O116)/ABS($O116),0)</f>
        <v>0</v>
      </c>
      <c r="U116" s="4">
        <f ca="1">-SUMIFS(INDIRECT("Tab_00.Trial["&amp;U$4&amp;"]"),Tab_00.Trial[CONTA],$B116)</f>
        <v>0</v>
      </c>
      <c r="V116" s="78">
        <f ca="1">IFERROR($U116/$U$146,0)</f>
        <v>0</v>
      </c>
      <c r="W116" s="78">
        <f t="shared" ref="W116" ca="1" si="214">IFERROR(($U116-$R116)/ABS($R116),0)</f>
        <v>0</v>
      </c>
      <c r="X116" s="4">
        <f ca="1">-SUMIFS(INDIRECT("Tab_00.Trial["&amp;X$4&amp;"]"),Tab_00.Trial[CONTA],$B116)</f>
        <v>0</v>
      </c>
      <c r="Y116" s="78">
        <f ca="1">IFERROR($X116/$X$146,0)</f>
        <v>0</v>
      </c>
      <c r="Z116" s="78">
        <f t="shared" ref="Z116" ca="1" si="215">IFERROR(($X116-$U116)/ABS($U116),0)</f>
        <v>0</v>
      </c>
      <c r="AA116" s="4">
        <f ca="1">-SUMIFS(INDIRECT("Tab_00.Trial["&amp;AA$4&amp;"]"),Tab_00.Trial[CONTA],$B116)</f>
        <v>0</v>
      </c>
      <c r="AB116" s="78">
        <f ca="1">IFERROR($AA116/$AA$146,0)</f>
        <v>0</v>
      </c>
      <c r="AC116" s="78">
        <f t="shared" ref="AC116" ca="1" si="216">IFERROR(($AA116-$X116)/ABS($X116),0)</f>
        <v>0</v>
      </c>
      <c r="AD116" s="4">
        <f ca="1">-SUMIFS(INDIRECT("Tab_00.Trial["&amp;AD$4&amp;"]"),Tab_00.Trial[CONTA],$B116)</f>
        <v>0</v>
      </c>
      <c r="AE116" s="78">
        <f ca="1">IFERROR($AD116/$AD$146,0)</f>
        <v>0</v>
      </c>
      <c r="AF116" s="78">
        <f t="shared" ref="AF116" ca="1" si="217">IFERROR(($AD116-$AA116)/ABS($AA116),0)</f>
        <v>0</v>
      </c>
      <c r="AG116" s="4">
        <f ca="1">-SUMIFS(INDIRECT("Tab_00.Trial["&amp;AG$4&amp;"]"),Tab_00.Trial[CONTA],$B116)</f>
        <v>0</v>
      </c>
      <c r="AH116" s="78">
        <f ca="1">IFERROR($AG116/$AG$146,0)</f>
        <v>0</v>
      </c>
      <c r="AI116" s="78">
        <f t="shared" ref="AI116" ca="1" si="218">IFERROR(($AG116-$AD116)/ABS($AD116),0)</f>
        <v>0</v>
      </c>
      <c r="AJ116" s="4">
        <f ca="1">-SUMIFS(INDIRECT("Tab_00.Trial["&amp;AJ$4&amp;"]"),Tab_00.Trial[CONTA],$B116)</f>
        <v>0</v>
      </c>
      <c r="AK116" s="78">
        <f ca="1">IFERROR($AJ116/$AJ$146,0)</f>
        <v>0</v>
      </c>
      <c r="AL116" s="78">
        <f t="shared" ref="AL116" ca="1" si="219">IFERROR(($AJ116-$AG116)/ABS($AG116),0)</f>
        <v>0</v>
      </c>
      <c r="AM116" s="4">
        <f ca="1">-SUMIFS(INDIRECT("Tab_00.Trial["&amp;AM$4&amp;"]"),Tab_00.Trial[CONTA],$B116)</f>
        <v>0</v>
      </c>
      <c r="AN116" s="78">
        <f ca="1">IFERROR(AM116/AM$146,0)</f>
        <v>0</v>
      </c>
      <c r="AO116" s="78">
        <f t="shared" ref="AO116" ca="1" si="220">IFERROR(($AM116-$AJ116)/ABS($AJ116),0)</f>
        <v>0</v>
      </c>
    </row>
    <row r="117" spans="2:41" ht="5.0999999999999996" hidden="1" customHeight="1" outlineLevel="1" x14ac:dyDescent="0.3">
      <c r="B117" s="74"/>
      <c r="C117" s="75"/>
      <c r="D117" s="76"/>
      <c r="E117" s="77"/>
      <c r="F117" s="76"/>
      <c r="G117" s="77"/>
      <c r="H117" s="77"/>
      <c r="I117" s="76"/>
      <c r="J117" s="77"/>
      <c r="K117" s="77"/>
      <c r="L117" s="76"/>
      <c r="M117" s="77"/>
      <c r="N117" s="77"/>
      <c r="O117" s="76"/>
      <c r="P117" s="77"/>
      <c r="Q117" s="77"/>
      <c r="R117" s="76"/>
      <c r="S117" s="77"/>
      <c r="T117" s="77"/>
      <c r="U117" s="76"/>
      <c r="V117" s="77"/>
      <c r="W117" s="77"/>
      <c r="X117" s="76"/>
      <c r="Y117" s="77"/>
      <c r="Z117" s="77"/>
      <c r="AA117" s="76"/>
      <c r="AB117" s="77"/>
      <c r="AC117" s="77"/>
      <c r="AD117" s="76"/>
      <c r="AE117" s="77"/>
      <c r="AF117" s="77"/>
      <c r="AG117" s="76"/>
      <c r="AH117" s="77"/>
      <c r="AI117" s="77"/>
      <c r="AJ117" s="76"/>
      <c r="AK117" s="77"/>
      <c r="AL117" s="77"/>
      <c r="AM117" s="76"/>
      <c r="AN117" s="77"/>
      <c r="AO117" s="77"/>
    </row>
    <row r="118" spans="2:41" ht="15" customHeight="1" collapsed="1" x14ac:dyDescent="0.3">
      <c r="B118" s="3" t="s">
        <v>122</v>
      </c>
      <c r="C118" s="14" t="s">
        <v>89</v>
      </c>
      <c r="D118" s="4">
        <f>SUBTOTAL(9,D$119:D$121)</f>
        <v>0</v>
      </c>
      <c r="E118" s="78">
        <f ca="1">IFERROR($D118/$D$146,0)</f>
        <v>0</v>
      </c>
      <c r="F118" s="4">
        <f ca="1">SUBTOTAL(9,F$119:F$121)</f>
        <v>46934.04</v>
      </c>
      <c r="G118" s="78">
        <f ca="1">IFERROR($F118/$F$146,0)</f>
        <v>5.9999999999999995E-4</v>
      </c>
      <c r="H118" s="78">
        <f ca="1">IFERROR(($F118-$D118)/ABS($D118),0)</f>
        <v>0</v>
      </c>
      <c r="I118" s="4">
        <f ca="1">SUBTOTAL(9,I$119:I$121)</f>
        <v>46934.04</v>
      </c>
      <c r="J118" s="78">
        <f ca="1">IFERROR($I118/$I$146,0)</f>
        <v>5.9999999999999995E-4</v>
      </c>
      <c r="K118" s="78">
        <f ca="1">IFERROR(($I118-$F118)/ABS($F118),0)</f>
        <v>0</v>
      </c>
      <c r="L118" s="4">
        <f ca="1">SUBTOTAL(9,L$119:L$121)</f>
        <v>46934.04</v>
      </c>
      <c r="M118" s="78">
        <f ca="1">IFERROR($L118/$L$146,0)</f>
        <v>5.9999999999999995E-4</v>
      </c>
      <c r="N118" s="78">
        <f ca="1">IFERROR(($L118-$I118)/ABS($I118),0)</f>
        <v>0</v>
      </c>
      <c r="O118" s="4">
        <f ca="1">SUBTOTAL(9,O$119:O$121)</f>
        <v>46934.04</v>
      </c>
      <c r="P118" s="78">
        <f ca="1">IFERROR($O118/$O$146,0)</f>
        <v>5.9999999999999995E-4</v>
      </c>
      <c r="Q118" s="78">
        <f ca="1">IFERROR(($O118-$L118)/ABS($L118),0)</f>
        <v>0</v>
      </c>
      <c r="R118" s="4">
        <f ca="1">SUBTOTAL(9,R$119:R$121)</f>
        <v>46934.04</v>
      </c>
      <c r="S118" s="78">
        <f ca="1">IFERROR($R118/$R$146,0)</f>
        <v>5.9999999999999995E-4</v>
      </c>
      <c r="T118" s="78">
        <f ca="1">IFERROR(($R118-$O118)/ABS($O118),0)</f>
        <v>0</v>
      </c>
      <c r="U118" s="4">
        <f ca="1">SUBTOTAL(9,U$119:U$121)</f>
        <v>46934.04</v>
      </c>
      <c r="V118" s="78">
        <f ca="1">IFERROR($U118/$U$146,0)</f>
        <v>5.9999999999999995E-4</v>
      </c>
      <c r="W118" s="78">
        <f ca="1">IFERROR(($U118-$R118)/ABS($R118),0)</f>
        <v>0</v>
      </c>
      <c r="X118" s="4">
        <f ca="1">SUBTOTAL(9,X$119:X$121)</f>
        <v>46934.04</v>
      </c>
      <c r="Y118" s="78">
        <f ca="1">IFERROR($X118/$X$146,0)</f>
        <v>5.9999999999999995E-4</v>
      </c>
      <c r="Z118" s="78">
        <f ca="1">IFERROR(($X118-$U118)/ABS($U118),0)</f>
        <v>0</v>
      </c>
      <c r="AA118" s="4">
        <f ca="1">SUBTOTAL(9,AA$119:AA$121)</f>
        <v>46934.04</v>
      </c>
      <c r="AB118" s="78">
        <f ca="1">IFERROR($AA118/$AA$146,0)</f>
        <v>5.9999999999999995E-4</v>
      </c>
      <c r="AC118" s="78">
        <f ca="1">IFERROR(($AA118-$X118)/ABS($X118),0)</f>
        <v>0</v>
      </c>
      <c r="AD118" s="4">
        <f ca="1">SUBTOTAL(9,AD$119:AD$121)</f>
        <v>46934.04</v>
      </c>
      <c r="AE118" s="78">
        <f ca="1">IFERROR($AD118/$AD$146,0)</f>
        <v>5.9999999999999995E-4</v>
      </c>
      <c r="AF118" s="78">
        <f ca="1">IFERROR(($AD118-$AA118)/ABS($AA118),0)</f>
        <v>0</v>
      </c>
      <c r="AG118" s="4">
        <f ca="1">SUBTOTAL(9,AG$119:AG$121)</f>
        <v>46934.04</v>
      </c>
      <c r="AH118" s="78">
        <f ca="1">IFERROR($AG118/$AG$146,0)</f>
        <v>5.0000000000000001E-4</v>
      </c>
      <c r="AI118" s="78">
        <f ca="1">IFERROR(($AG118-$AD118)/ABS($AD118),0)</f>
        <v>0</v>
      </c>
      <c r="AJ118" s="4">
        <f ca="1">SUBTOTAL(9,AJ$119:AJ$121)</f>
        <v>46934.04</v>
      </c>
      <c r="AK118" s="78">
        <f ca="1">IFERROR($AJ118/$AJ$146,0)</f>
        <v>5.0000000000000001E-4</v>
      </c>
      <c r="AL118" s="78">
        <f ca="1">IFERROR(($AJ118-$AG118)/ABS($AG118),0)</f>
        <v>0</v>
      </c>
      <c r="AM118" s="4">
        <f ca="1">SUBTOTAL(9,AM$119:AM$121)</f>
        <v>0</v>
      </c>
      <c r="AN118" s="78">
        <f ca="1">IFERROR(AM118/AM$146,0)</f>
        <v>0</v>
      </c>
      <c r="AO118" s="78">
        <f ca="1">IFERROR(($AM118-$AJ118)/ABS($AJ118),0)</f>
        <v>-1</v>
      </c>
    </row>
    <row r="119" spans="2:41" ht="15" hidden="1" customHeight="1" outlineLevel="1" x14ac:dyDescent="0.3">
      <c r="B119" s="14" t="s">
        <v>360</v>
      </c>
      <c r="C119" s="15" t="s">
        <v>361</v>
      </c>
      <c r="D119" s="4">
        <f>-SUMIFS(Tab_99.Trial[DEZEMBRO],Tab_99.Trial[CONTA],$B119)</f>
        <v>0</v>
      </c>
      <c r="E119" s="78">
        <f ca="1">IFERROR($D119/$D$146,0)</f>
        <v>0</v>
      </c>
      <c r="F119" s="4">
        <f ca="1">-SUMIFS(INDIRECT("Tab_00.Trial["&amp;F$4&amp;"]"),Tab_00.Trial[CONTA],$B119)</f>
        <v>31934.04</v>
      </c>
      <c r="G119" s="78">
        <f ca="1">IFERROR($F119/$F$146,0)</f>
        <v>4.0000000000000002E-4</v>
      </c>
      <c r="H119" s="78">
        <f ca="1">IFERROR(($F119-$D119)/ABS($D119),0)</f>
        <v>0</v>
      </c>
      <c r="I119" s="4">
        <f ca="1">-SUMIFS(INDIRECT("Tab_00.Trial["&amp;I$4&amp;"]"),Tab_00.Trial[CONTA],$B119)</f>
        <v>31934.04</v>
      </c>
      <c r="J119" s="78">
        <f ca="1">IFERROR($I119/$I$146,0)</f>
        <v>4.0000000000000002E-4</v>
      </c>
      <c r="K119" s="78">
        <f ca="1">IFERROR(($I119-$F119)/ABS($F119),0)</f>
        <v>0</v>
      </c>
      <c r="L119" s="4">
        <f ca="1">-SUMIFS(INDIRECT("Tab_00.Trial["&amp;L$4&amp;"]"),Tab_00.Trial[CONTA],$B119)</f>
        <v>31934.04</v>
      </c>
      <c r="M119" s="78">
        <f ca="1">IFERROR($L119/$L$146,0)</f>
        <v>4.0000000000000002E-4</v>
      </c>
      <c r="N119" s="78">
        <f ca="1">IFERROR(($L119-$I119)/ABS($I119),0)</f>
        <v>0</v>
      </c>
      <c r="O119" s="4">
        <f ca="1">-SUMIFS(INDIRECT("Tab_00.Trial["&amp;O$4&amp;"]"),Tab_00.Trial[CONTA],$B119)</f>
        <v>31934.04</v>
      </c>
      <c r="P119" s="78">
        <f ca="1">IFERROR($O119/$O$146,0)</f>
        <v>4.0000000000000002E-4</v>
      </c>
      <c r="Q119" s="78">
        <f ca="1">IFERROR(($O119-$L119)/ABS($L119),0)</f>
        <v>0</v>
      </c>
      <c r="R119" s="4">
        <f ca="1">-SUMIFS(INDIRECT("Tab_00.Trial["&amp;R$4&amp;"]"),Tab_00.Trial[CONTA],$B119)</f>
        <v>31934.04</v>
      </c>
      <c r="S119" s="78">
        <f ca="1">IFERROR($R119/$R$146,0)</f>
        <v>4.0000000000000002E-4</v>
      </c>
      <c r="T119" s="78">
        <f ca="1">IFERROR(($R119-$O119)/ABS($O119),0)</f>
        <v>0</v>
      </c>
      <c r="U119" s="4">
        <f ca="1">-SUMIFS(INDIRECT("Tab_00.Trial["&amp;U$4&amp;"]"),Tab_00.Trial[CONTA],$B119)</f>
        <v>31934.04</v>
      </c>
      <c r="V119" s="78">
        <f ca="1">IFERROR($U119/$U$146,0)</f>
        <v>4.0000000000000002E-4</v>
      </c>
      <c r="W119" s="78">
        <f ca="1">IFERROR(($U119-$R119)/ABS($R119),0)</f>
        <v>0</v>
      </c>
      <c r="X119" s="4">
        <f ca="1">-SUMIFS(INDIRECT("Tab_00.Trial["&amp;X$4&amp;"]"),Tab_00.Trial[CONTA],$B119)</f>
        <v>31934.04</v>
      </c>
      <c r="Y119" s="78">
        <f ca="1">IFERROR($X119/$X$146,0)</f>
        <v>4.0000000000000002E-4</v>
      </c>
      <c r="Z119" s="78">
        <f ca="1">IFERROR(($X119-$U119)/ABS($U119),0)</f>
        <v>0</v>
      </c>
      <c r="AA119" s="4">
        <f ca="1">-SUMIFS(INDIRECT("Tab_00.Trial["&amp;AA$4&amp;"]"),Tab_00.Trial[CONTA],$B119)</f>
        <v>31934.04</v>
      </c>
      <c r="AB119" s="78">
        <f ca="1">IFERROR($AA119/$AA$146,0)</f>
        <v>4.0000000000000002E-4</v>
      </c>
      <c r="AC119" s="78">
        <f ca="1">IFERROR(($AA119-$X119)/ABS($X119),0)</f>
        <v>0</v>
      </c>
      <c r="AD119" s="4">
        <f ca="1">-SUMIFS(INDIRECT("Tab_00.Trial["&amp;AD$4&amp;"]"),Tab_00.Trial[CONTA],$B119)</f>
        <v>31934.04</v>
      </c>
      <c r="AE119" s="78">
        <f ca="1">IFERROR($AD119/$AD$146,0)</f>
        <v>4.0000000000000002E-4</v>
      </c>
      <c r="AF119" s="78">
        <f ca="1">IFERROR(($AD119-$AA119)/ABS($AA119),0)</f>
        <v>0</v>
      </c>
      <c r="AG119" s="4">
        <f ca="1">-SUMIFS(INDIRECT("Tab_00.Trial["&amp;AG$4&amp;"]"),Tab_00.Trial[CONTA],$B119)</f>
        <v>31934.04</v>
      </c>
      <c r="AH119" s="78">
        <f ca="1">IFERROR($AG119/$AG$146,0)</f>
        <v>4.0000000000000002E-4</v>
      </c>
      <c r="AI119" s="78">
        <f ca="1">IFERROR(($AG119-$AD119)/ABS($AD119),0)</f>
        <v>0</v>
      </c>
      <c r="AJ119" s="4">
        <f ca="1">-SUMIFS(INDIRECT("Tab_00.Trial["&amp;AJ$4&amp;"]"),Tab_00.Trial[CONTA],$B119)</f>
        <v>31934.04</v>
      </c>
      <c r="AK119" s="78">
        <f ca="1">IFERROR($AJ119/$AJ$146,0)</f>
        <v>4.0000000000000002E-4</v>
      </c>
      <c r="AL119" s="78">
        <f ca="1">IFERROR(($AJ119-$AG119)/ABS($AG119),0)</f>
        <v>0</v>
      </c>
      <c r="AM119" s="4">
        <f ca="1">-SUMIFS(INDIRECT("Tab_00.Trial["&amp;AM$4&amp;"]"),Tab_00.Trial[CONTA],$B119)</f>
        <v>0</v>
      </c>
      <c r="AN119" s="78">
        <f ca="1">IFERROR(AM119/AM$146,0)</f>
        <v>0</v>
      </c>
      <c r="AO119" s="78">
        <f ca="1">IFERROR(($AM119-$AJ119)/ABS($AJ119),0)</f>
        <v>-1</v>
      </c>
    </row>
    <row r="120" spans="2:41" ht="15" hidden="1" customHeight="1" outlineLevel="1" x14ac:dyDescent="0.3">
      <c r="B120" s="14" t="s">
        <v>362</v>
      </c>
      <c r="C120" s="15" t="s">
        <v>363</v>
      </c>
      <c r="D120" s="4">
        <f>-SUMIFS(Tab_99.Trial[DEZEMBRO],Tab_99.Trial[CONTA],$B120)</f>
        <v>0</v>
      </c>
      <c r="E120" s="78">
        <f ca="1">IFERROR($D120/$D$146,0)</f>
        <v>0</v>
      </c>
      <c r="F120" s="4">
        <f ca="1">-SUMIFS(INDIRECT("Tab_00.Trial["&amp;F$4&amp;"]"),Tab_00.Trial[CONTA],$B120)</f>
        <v>15000</v>
      </c>
      <c r="G120" s="78">
        <f ca="1">IFERROR($F120/$F$146,0)</f>
        <v>2.0000000000000001E-4</v>
      </c>
      <c r="H120" s="78">
        <f t="shared" ref="H120" ca="1" si="221">IFERROR(($F120-$D120)/ABS($D120),0)</f>
        <v>0</v>
      </c>
      <c r="I120" s="4">
        <f ca="1">-SUMIFS(INDIRECT("Tab_00.Trial["&amp;I$4&amp;"]"),Tab_00.Trial[CONTA],$B120)</f>
        <v>15000</v>
      </c>
      <c r="J120" s="78">
        <f ca="1">IFERROR($I120/$I$146,0)</f>
        <v>2.0000000000000001E-4</v>
      </c>
      <c r="K120" s="78">
        <f t="shared" ref="K120" ca="1" si="222">IFERROR(($I120-$F120)/ABS($F120),0)</f>
        <v>0</v>
      </c>
      <c r="L120" s="4">
        <f ca="1">-SUMIFS(INDIRECT("Tab_00.Trial["&amp;L$4&amp;"]"),Tab_00.Trial[CONTA],$B120)</f>
        <v>15000</v>
      </c>
      <c r="M120" s="78">
        <f ca="1">IFERROR($L120/$L$146,0)</f>
        <v>2.0000000000000001E-4</v>
      </c>
      <c r="N120" s="78">
        <f t="shared" ref="N120" ca="1" si="223">IFERROR(($L120-$I120)/ABS($I120),0)</f>
        <v>0</v>
      </c>
      <c r="O120" s="4">
        <f ca="1">-SUMIFS(INDIRECT("Tab_00.Trial["&amp;O$4&amp;"]"),Tab_00.Trial[CONTA],$B120)</f>
        <v>15000</v>
      </c>
      <c r="P120" s="78">
        <f ca="1">IFERROR($O120/$O$146,0)</f>
        <v>2.0000000000000001E-4</v>
      </c>
      <c r="Q120" s="78">
        <f t="shared" ref="Q120" ca="1" si="224">IFERROR(($O120-$L120)/ABS($L120),0)</f>
        <v>0</v>
      </c>
      <c r="R120" s="4">
        <f ca="1">-SUMIFS(INDIRECT("Tab_00.Trial["&amp;R$4&amp;"]"),Tab_00.Trial[CONTA],$B120)</f>
        <v>15000</v>
      </c>
      <c r="S120" s="78">
        <f ca="1">IFERROR($R120/$R$146,0)</f>
        <v>2.0000000000000001E-4</v>
      </c>
      <c r="T120" s="78">
        <f t="shared" ref="T120" ca="1" si="225">IFERROR(($R120-$O120)/ABS($O120),0)</f>
        <v>0</v>
      </c>
      <c r="U120" s="4">
        <f ca="1">-SUMIFS(INDIRECT("Tab_00.Trial["&amp;U$4&amp;"]"),Tab_00.Trial[CONTA],$B120)</f>
        <v>15000</v>
      </c>
      <c r="V120" s="78">
        <f ca="1">IFERROR($U120/$U$146,0)</f>
        <v>2.0000000000000001E-4</v>
      </c>
      <c r="W120" s="78">
        <f t="shared" ref="W120" ca="1" si="226">IFERROR(($U120-$R120)/ABS($R120),0)</f>
        <v>0</v>
      </c>
      <c r="X120" s="4">
        <f ca="1">-SUMIFS(INDIRECT("Tab_00.Trial["&amp;X$4&amp;"]"),Tab_00.Trial[CONTA],$B120)</f>
        <v>15000</v>
      </c>
      <c r="Y120" s="78">
        <f ca="1">IFERROR($X120/$X$146,0)</f>
        <v>2.0000000000000001E-4</v>
      </c>
      <c r="Z120" s="78">
        <f t="shared" ref="Z120" ca="1" si="227">IFERROR(($X120-$U120)/ABS($U120),0)</f>
        <v>0</v>
      </c>
      <c r="AA120" s="4">
        <f ca="1">-SUMIFS(INDIRECT("Tab_00.Trial["&amp;AA$4&amp;"]"),Tab_00.Trial[CONTA],$B120)</f>
        <v>15000</v>
      </c>
      <c r="AB120" s="78">
        <f ca="1">IFERROR($AA120/$AA$146,0)</f>
        <v>2.0000000000000001E-4</v>
      </c>
      <c r="AC120" s="78">
        <f t="shared" ref="AC120" ca="1" si="228">IFERROR(($AA120-$X120)/ABS($X120),0)</f>
        <v>0</v>
      </c>
      <c r="AD120" s="4">
        <f ca="1">-SUMIFS(INDIRECT("Tab_00.Trial["&amp;AD$4&amp;"]"),Tab_00.Trial[CONTA],$B120)</f>
        <v>15000</v>
      </c>
      <c r="AE120" s="78">
        <f ca="1">IFERROR($AD120/$AD$146,0)</f>
        <v>2.0000000000000001E-4</v>
      </c>
      <c r="AF120" s="78">
        <f t="shared" ref="AF120" ca="1" si="229">IFERROR(($AD120-$AA120)/ABS($AA120),0)</f>
        <v>0</v>
      </c>
      <c r="AG120" s="4">
        <f ca="1">-SUMIFS(INDIRECT("Tab_00.Trial["&amp;AG$4&amp;"]"),Tab_00.Trial[CONTA],$B120)</f>
        <v>15000</v>
      </c>
      <c r="AH120" s="78">
        <f ca="1">IFERROR($AG120/$AG$146,0)</f>
        <v>2.0000000000000001E-4</v>
      </c>
      <c r="AI120" s="78">
        <f t="shared" ref="AI120" ca="1" si="230">IFERROR(($AG120-$AD120)/ABS($AD120),0)</f>
        <v>0</v>
      </c>
      <c r="AJ120" s="4">
        <f ca="1">-SUMIFS(INDIRECT("Tab_00.Trial["&amp;AJ$4&amp;"]"),Tab_00.Trial[CONTA],$B120)</f>
        <v>15000</v>
      </c>
      <c r="AK120" s="78">
        <f ca="1">IFERROR($AJ120/$AJ$146,0)</f>
        <v>2.0000000000000001E-4</v>
      </c>
      <c r="AL120" s="78">
        <f t="shared" ref="AL120" ca="1" si="231">IFERROR(($AJ120-$AG120)/ABS($AG120),0)</f>
        <v>0</v>
      </c>
      <c r="AM120" s="4">
        <f ca="1">-SUMIFS(INDIRECT("Tab_00.Trial["&amp;AM$4&amp;"]"),Tab_00.Trial[CONTA],$B120)</f>
        <v>0</v>
      </c>
      <c r="AN120" s="78">
        <f ca="1">IFERROR(AM120/AM$146,0)</f>
        <v>0</v>
      </c>
      <c r="AO120" s="78">
        <f t="shared" ref="AO120" ca="1" si="232">IFERROR(($AM120-$AJ120)/ABS($AJ120),0)</f>
        <v>-1</v>
      </c>
    </row>
    <row r="121" spans="2:41" ht="5.0999999999999996" hidden="1" customHeight="1" outlineLevel="1" x14ac:dyDescent="0.3">
      <c r="B121" s="74"/>
      <c r="C121" s="75"/>
      <c r="D121" s="76"/>
      <c r="E121" s="77"/>
      <c r="F121" s="76"/>
      <c r="G121" s="77"/>
      <c r="H121" s="77"/>
      <c r="I121" s="76"/>
      <c r="J121" s="77"/>
      <c r="K121" s="77"/>
      <c r="L121" s="76"/>
      <c r="M121" s="77"/>
      <c r="N121" s="77"/>
      <c r="O121" s="76"/>
      <c r="P121" s="77"/>
      <c r="Q121" s="77"/>
      <c r="R121" s="76"/>
      <c r="S121" s="77"/>
      <c r="T121" s="77"/>
      <c r="U121" s="76"/>
      <c r="V121" s="77"/>
      <c r="W121" s="77"/>
      <c r="X121" s="76"/>
      <c r="Y121" s="77"/>
      <c r="Z121" s="77"/>
      <c r="AA121" s="76"/>
      <c r="AB121" s="77"/>
      <c r="AC121" s="77"/>
      <c r="AD121" s="76"/>
      <c r="AE121" s="77"/>
      <c r="AF121" s="77"/>
      <c r="AG121" s="76"/>
      <c r="AH121" s="77"/>
      <c r="AI121" s="77"/>
      <c r="AJ121" s="76"/>
      <c r="AK121" s="77"/>
      <c r="AL121" s="77"/>
      <c r="AM121" s="76"/>
      <c r="AN121" s="77"/>
      <c r="AO121" s="77"/>
    </row>
    <row r="122" spans="2:41" ht="15" customHeight="1" collapsed="1" x14ac:dyDescent="0.3">
      <c r="C122" s="14"/>
      <c r="D122" s="16">
        <f>SUBTOTAL(9,D$66:D$121)</f>
        <v>0</v>
      </c>
      <c r="E122" s="80">
        <f ca="1">IFERROR($D122/$D$146,0)</f>
        <v>0</v>
      </c>
      <c r="F122" s="16">
        <f ca="1">SUBTOTAL(9,F$66:F$121)</f>
        <v>46934.04</v>
      </c>
      <c r="G122" s="80">
        <f ca="1">IFERROR($F122/$F$146,0)</f>
        <v>5.9999999999999995E-4</v>
      </c>
      <c r="H122" s="80">
        <f t="shared" ref="H122" ca="1" si="233">IFERROR(($F122-$D122)/ABS($D122),0)</f>
        <v>0</v>
      </c>
      <c r="I122" s="16">
        <f ca="1">SUBTOTAL(9,I$66:I$121)</f>
        <v>46934.04</v>
      </c>
      <c r="J122" s="80">
        <f ca="1">IFERROR($I122/$I$146,0)</f>
        <v>5.9999999999999995E-4</v>
      </c>
      <c r="K122" s="80">
        <f t="shared" ref="K122" ca="1" si="234">IFERROR(($I122-$F122)/ABS($F122),0)</f>
        <v>0</v>
      </c>
      <c r="L122" s="16">
        <f ca="1">SUBTOTAL(9,L$66:L$121)</f>
        <v>46934.04</v>
      </c>
      <c r="M122" s="80">
        <f ca="1">IFERROR($L122/$L$146,0)</f>
        <v>5.9999999999999995E-4</v>
      </c>
      <c r="N122" s="80">
        <f t="shared" ref="N122" ca="1" si="235">IFERROR(($L122-$I122)/ABS($I122),0)</f>
        <v>0</v>
      </c>
      <c r="O122" s="16">
        <f ca="1">SUBTOTAL(9,O$66:O$121)</f>
        <v>46934.04</v>
      </c>
      <c r="P122" s="80">
        <f ca="1">IFERROR($O122/$O$146,0)</f>
        <v>5.9999999999999995E-4</v>
      </c>
      <c r="Q122" s="80">
        <f t="shared" ref="Q122" ca="1" si="236">IFERROR(($O122-$L122)/ABS($L122),0)</f>
        <v>0</v>
      </c>
      <c r="R122" s="16">
        <f ca="1">SUBTOTAL(9,R$66:R$121)</f>
        <v>46934.04</v>
      </c>
      <c r="S122" s="80">
        <f ca="1">IFERROR($R122/$R$146,0)</f>
        <v>5.9999999999999995E-4</v>
      </c>
      <c r="T122" s="80">
        <f t="shared" ref="T122" ca="1" si="237">IFERROR(($R122-$O122)/ABS($O122),0)</f>
        <v>0</v>
      </c>
      <c r="U122" s="16">
        <f ca="1">SUBTOTAL(9,U$66:U$121)</f>
        <v>46934.04</v>
      </c>
      <c r="V122" s="80">
        <f ca="1">IFERROR($U122/$U$146,0)</f>
        <v>5.9999999999999995E-4</v>
      </c>
      <c r="W122" s="80">
        <f t="shared" ref="W122" ca="1" si="238">IFERROR(($U122-$R122)/ABS($R122),0)</f>
        <v>0</v>
      </c>
      <c r="X122" s="16">
        <f ca="1">SUBTOTAL(9,X$66:X$121)</f>
        <v>46934.04</v>
      </c>
      <c r="Y122" s="80">
        <f ca="1">IFERROR($X122/$X$146,0)</f>
        <v>5.9999999999999995E-4</v>
      </c>
      <c r="Z122" s="80">
        <f t="shared" ref="Z122" ca="1" si="239">IFERROR(($X122-$U122)/ABS($U122),0)</f>
        <v>0</v>
      </c>
      <c r="AA122" s="16">
        <f ca="1">SUBTOTAL(9,AA$66:AA$121)</f>
        <v>46934.04</v>
      </c>
      <c r="AB122" s="80">
        <f ca="1">IFERROR($AA122/$AA$146,0)</f>
        <v>5.9999999999999995E-4</v>
      </c>
      <c r="AC122" s="80">
        <f t="shared" ref="AC122" ca="1" si="240">IFERROR(($AA122-$X122)/ABS($X122),0)</f>
        <v>0</v>
      </c>
      <c r="AD122" s="16">
        <f ca="1">SUBTOTAL(9,AD$66:AD$121)</f>
        <v>46934.04</v>
      </c>
      <c r="AE122" s="80">
        <f ca="1">IFERROR($AD122/$AD$146,0)</f>
        <v>5.9999999999999995E-4</v>
      </c>
      <c r="AF122" s="80">
        <f t="shared" ref="AF122" ca="1" si="241">IFERROR(($AD122-$AA122)/ABS($AA122),0)</f>
        <v>0</v>
      </c>
      <c r="AG122" s="16">
        <f ca="1">SUBTOTAL(9,AG$66:AG$121)</f>
        <v>46934.04</v>
      </c>
      <c r="AH122" s="80">
        <f ca="1">IFERROR($AG122/$AG$146,0)</f>
        <v>5.0000000000000001E-4</v>
      </c>
      <c r="AI122" s="80">
        <f t="shared" ref="AI122" ca="1" si="242">IFERROR(($AG122-$AD122)/ABS($AD122),0)</f>
        <v>0</v>
      </c>
      <c r="AJ122" s="16">
        <f ca="1">SUBTOTAL(9,AJ$66:AJ$121)</f>
        <v>46934.04</v>
      </c>
      <c r="AK122" s="80">
        <f ca="1">IFERROR($AJ122/$AJ$146,0)</f>
        <v>5.0000000000000001E-4</v>
      </c>
      <c r="AL122" s="80">
        <f t="shared" ref="AL122" ca="1" si="243">IFERROR(($AJ122-$AG122)/ABS($AG122),0)</f>
        <v>0</v>
      </c>
      <c r="AM122" s="16">
        <f ca="1">SUBTOTAL(9,AM$66:AM$121)</f>
        <v>0</v>
      </c>
      <c r="AN122" s="80">
        <f ca="1">IFERROR(AM122/AM$146,0)</f>
        <v>0</v>
      </c>
      <c r="AO122" s="80">
        <f t="shared" ref="AO122" ca="1" si="244">IFERROR(($AM122-$AJ122)/ABS($AJ122),0)</f>
        <v>-1</v>
      </c>
    </row>
    <row r="123" spans="2:41" ht="9.9" customHeight="1" x14ac:dyDescent="0.3">
      <c r="C123" s="14"/>
    </row>
    <row r="124" spans="2:41" ht="15" customHeight="1" x14ac:dyDescent="0.3">
      <c r="C124" s="9" t="s">
        <v>60</v>
      </c>
    </row>
    <row r="125" spans="2:41" ht="15" customHeight="1" collapsed="1" x14ac:dyDescent="0.3">
      <c r="B125" s="3" t="s">
        <v>61</v>
      </c>
      <c r="C125" s="14" t="s">
        <v>59</v>
      </c>
      <c r="D125" s="4">
        <f>SUBTOTAL(9,D$126:D$128)</f>
        <v>0</v>
      </c>
      <c r="E125" s="78">
        <f ca="1">IFERROR($D125/$D$146,0)</f>
        <v>0</v>
      </c>
      <c r="F125" s="4">
        <f ca="1">SUBTOTAL(9,F$126:F$128)</f>
        <v>104784619.59999999</v>
      </c>
      <c r="G125" s="78">
        <f ca="1">IFERROR($F125/$F$146,0)</f>
        <v>1.2498</v>
      </c>
      <c r="H125" s="78">
        <f ca="1">IFERROR(($F125-$D125)/ABS($D125),0)</f>
        <v>0</v>
      </c>
      <c r="I125" s="4">
        <f ca="1">SUBTOTAL(9,I$126:I$128)</f>
        <v>104784619.59999999</v>
      </c>
      <c r="J125" s="78">
        <f ca="1">IFERROR($I125/$I$146,0)</f>
        <v>1.2597</v>
      </c>
      <c r="K125" s="78">
        <f ca="1">IFERROR(($I125-$F125)/ABS($F125),0)</f>
        <v>0</v>
      </c>
      <c r="L125" s="4">
        <f ca="1">SUBTOTAL(9,L$126:L$128)</f>
        <v>104784619.59999999</v>
      </c>
      <c r="M125" s="78">
        <f ca="1">IFERROR($L125/$L$146,0)</f>
        <v>1.2584</v>
      </c>
      <c r="N125" s="78">
        <f ca="1">IFERROR(($L125-$I125)/ABS($I125),0)</f>
        <v>0</v>
      </c>
      <c r="O125" s="4">
        <f ca="1">SUBTOTAL(9,O$126:O$128)</f>
        <v>104784619.59999999</v>
      </c>
      <c r="P125" s="78">
        <f ca="1">IFERROR($O125/$O$146,0)</f>
        <v>1.2532000000000001</v>
      </c>
      <c r="Q125" s="78">
        <f ca="1">IFERROR(($O125-$L125)/ABS($L125),0)</f>
        <v>0</v>
      </c>
      <c r="R125" s="4">
        <f ca="1">SUBTOTAL(9,R$126:R$128)</f>
        <v>104784619.59999999</v>
      </c>
      <c r="S125" s="78">
        <f ca="1">IFERROR($R125/$R$146,0)</f>
        <v>1.2482</v>
      </c>
      <c r="T125" s="78">
        <f ca="1">IFERROR(($R125-$O125)/ABS($O125),0)</f>
        <v>0</v>
      </c>
      <c r="U125" s="4">
        <f ca="1">SUBTOTAL(9,U$126:U$128)</f>
        <v>104784619.59999999</v>
      </c>
      <c r="V125" s="78">
        <f ca="1">IFERROR($U125/$U$146,0)</f>
        <v>1.2445999999999999</v>
      </c>
      <c r="W125" s="78">
        <f ca="1">IFERROR(($U125-$R125)/ABS($R125),0)</f>
        <v>0</v>
      </c>
      <c r="X125" s="4">
        <f ca="1">SUBTOTAL(9,X$126:X$128)</f>
        <v>104784619.59999999</v>
      </c>
      <c r="Y125" s="78">
        <f ca="1">IFERROR($X125/$X$146,0)</f>
        <v>1.2365999999999999</v>
      </c>
      <c r="Z125" s="78">
        <f ca="1">IFERROR(($X125-$U125)/ABS($U125),0)</f>
        <v>0</v>
      </c>
      <c r="AA125" s="4">
        <f ca="1">SUBTOTAL(9,AA$126:AA$128)</f>
        <v>104784619.59999999</v>
      </c>
      <c r="AB125" s="78">
        <f ca="1">IFERROR($AA125/$AA$146,0)</f>
        <v>1.2309000000000001</v>
      </c>
      <c r="AC125" s="78">
        <f ca="1">IFERROR(($AA125-$X125)/ABS($X125),0)</f>
        <v>0</v>
      </c>
      <c r="AD125" s="4">
        <f ca="1">SUBTOTAL(9,AD$126:AD$128)</f>
        <v>104784619.59999999</v>
      </c>
      <c r="AE125" s="78">
        <f ca="1">IFERROR($AD125/$AD$146,0)</f>
        <v>1.2309000000000001</v>
      </c>
      <c r="AF125" s="78">
        <f ca="1">IFERROR(($AD125-$AA125)/ABS($AA125),0)</f>
        <v>0</v>
      </c>
      <c r="AG125" s="4">
        <f ca="1">SUBTOTAL(9,AG$126:AG$128)</f>
        <v>104784619.59999999</v>
      </c>
      <c r="AH125" s="78">
        <f ca="1">IFERROR($AG125/$AG$146,0)</f>
        <v>1.2276</v>
      </c>
      <c r="AI125" s="78">
        <f ca="1">IFERROR(($AG125-$AD125)/ABS($AD125),0)</f>
        <v>0</v>
      </c>
      <c r="AJ125" s="4">
        <f ca="1">SUBTOTAL(9,AJ$126:AJ$128)</f>
        <v>104784619.59999999</v>
      </c>
      <c r="AK125" s="78">
        <f ca="1">IFERROR($AJ125/$AJ$146,0)</f>
        <v>1.2231000000000001</v>
      </c>
      <c r="AL125" s="78">
        <f ca="1">IFERROR(($AJ125-$AG125)/ABS($AG125),0)</f>
        <v>0</v>
      </c>
      <c r="AM125" s="4">
        <f ca="1">SUBTOTAL(9,AM$126:AM$128)</f>
        <v>104784619.59999999</v>
      </c>
      <c r="AN125" s="78">
        <f ca="1">IFERROR(AM125/AM$146,0)</f>
        <v>1.2245999999999999</v>
      </c>
      <c r="AO125" s="78">
        <f ca="1">IFERROR(($AM125-$AJ125)/ABS($AJ125),0)</f>
        <v>0</v>
      </c>
    </row>
    <row r="126" spans="2:41" ht="15" hidden="1" customHeight="1" outlineLevel="1" x14ac:dyDescent="0.3">
      <c r="B126" s="14" t="s">
        <v>193</v>
      </c>
      <c r="C126" s="15" t="s">
        <v>364</v>
      </c>
      <c r="D126" s="4">
        <f>-SUMIFS(Tab_99.Trial[DEZEMBRO],Tab_99.Trial[CONTA],$B126)</f>
        <v>0</v>
      </c>
      <c r="E126" s="78">
        <f ca="1">IFERROR($D126/$D$146,0)</f>
        <v>0</v>
      </c>
      <c r="F126" s="4">
        <f ca="1">-SUMIFS(INDIRECT("Tab_00.Trial["&amp;F$4&amp;"]"),Tab_00.Trial[CONTA],$B126)</f>
        <v>104784619.59999999</v>
      </c>
      <c r="G126" s="78">
        <f ca="1">IFERROR($F126/$F$146,0)</f>
        <v>1.2498</v>
      </c>
      <c r="H126" s="78">
        <f t="shared" ref="H126:H127" ca="1" si="245">IFERROR(($F126-$D126)/ABS($D126),0)</f>
        <v>0</v>
      </c>
      <c r="I126" s="4">
        <f ca="1">-SUMIFS(INDIRECT("Tab_00.Trial["&amp;I$4&amp;"]"),Tab_00.Trial[CONTA],$B126)</f>
        <v>104784619.59999999</v>
      </c>
      <c r="J126" s="78">
        <f ca="1">IFERROR($I126/$I$146,0)</f>
        <v>1.2597</v>
      </c>
      <c r="K126" s="78">
        <f t="shared" ref="K126:K127" ca="1" si="246">IFERROR(($I126-$F126)/ABS($F126),0)</f>
        <v>0</v>
      </c>
      <c r="L126" s="4">
        <f ca="1">-SUMIFS(INDIRECT("Tab_00.Trial["&amp;L$4&amp;"]"),Tab_00.Trial[CONTA],$B126)</f>
        <v>104784619.59999999</v>
      </c>
      <c r="M126" s="78">
        <f ca="1">IFERROR($L126/$L$146,0)</f>
        <v>1.2584</v>
      </c>
      <c r="N126" s="78">
        <f t="shared" ref="N126:N127" ca="1" si="247">IFERROR(($L126-$I126)/ABS($I126),0)</f>
        <v>0</v>
      </c>
      <c r="O126" s="4">
        <f ca="1">-SUMIFS(INDIRECT("Tab_00.Trial["&amp;O$4&amp;"]"),Tab_00.Trial[CONTA],$B126)</f>
        <v>104784619.59999999</v>
      </c>
      <c r="P126" s="78">
        <f ca="1">IFERROR($O126/$O$146,0)</f>
        <v>1.2532000000000001</v>
      </c>
      <c r="Q126" s="78">
        <f t="shared" ref="Q126:Q127" ca="1" si="248">IFERROR(($O126-$L126)/ABS($L126),0)</f>
        <v>0</v>
      </c>
      <c r="R126" s="4">
        <f ca="1">-SUMIFS(INDIRECT("Tab_00.Trial["&amp;R$4&amp;"]"),Tab_00.Trial[CONTA],$B126)</f>
        <v>104784619.59999999</v>
      </c>
      <c r="S126" s="78">
        <f ca="1">IFERROR($R126/$R$146,0)</f>
        <v>1.2482</v>
      </c>
      <c r="T126" s="78">
        <f t="shared" ref="T126:T127" ca="1" si="249">IFERROR(($R126-$O126)/ABS($O126),0)</f>
        <v>0</v>
      </c>
      <c r="U126" s="4">
        <f ca="1">-SUMIFS(INDIRECT("Tab_00.Trial["&amp;U$4&amp;"]"),Tab_00.Trial[CONTA],$B126)</f>
        <v>104784619.59999999</v>
      </c>
      <c r="V126" s="78">
        <f ca="1">IFERROR($U126/$U$146,0)</f>
        <v>1.2445999999999999</v>
      </c>
      <c r="W126" s="78">
        <f t="shared" ref="W126:W127" ca="1" si="250">IFERROR(($U126-$R126)/ABS($R126),0)</f>
        <v>0</v>
      </c>
      <c r="X126" s="4">
        <f ca="1">-SUMIFS(INDIRECT("Tab_00.Trial["&amp;X$4&amp;"]"),Tab_00.Trial[CONTA],$B126)</f>
        <v>104784619.59999999</v>
      </c>
      <c r="Y126" s="78">
        <f ca="1">IFERROR($X126/$X$146,0)</f>
        <v>1.2365999999999999</v>
      </c>
      <c r="Z126" s="78">
        <f t="shared" ref="Z126:Z127" ca="1" si="251">IFERROR(($X126-$U126)/ABS($U126),0)</f>
        <v>0</v>
      </c>
      <c r="AA126" s="4">
        <f ca="1">-SUMIFS(INDIRECT("Tab_00.Trial["&amp;AA$4&amp;"]"),Tab_00.Trial[CONTA],$B126)</f>
        <v>104784619.59999999</v>
      </c>
      <c r="AB126" s="78">
        <f ca="1">IFERROR($AA126/$AA$146,0)</f>
        <v>1.2309000000000001</v>
      </c>
      <c r="AC126" s="78">
        <f t="shared" ref="AC126:AC127" ca="1" si="252">IFERROR(($AA126-$X126)/ABS($X126),0)</f>
        <v>0</v>
      </c>
      <c r="AD126" s="4">
        <f ca="1">-SUMIFS(INDIRECT("Tab_00.Trial["&amp;AD$4&amp;"]"),Tab_00.Trial[CONTA],$B126)</f>
        <v>104784619.59999999</v>
      </c>
      <c r="AE126" s="78">
        <f ca="1">IFERROR($AD126/$AD$146,0)</f>
        <v>1.2309000000000001</v>
      </c>
      <c r="AF126" s="78">
        <f t="shared" ref="AF126:AF127" ca="1" si="253">IFERROR(($AD126-$AA126)/ABS($AA126),0)</f>
        <v>0</v>
      </c>
      <c r="AG126" s="4">
        <f ca="1">-SUMIFS(INDIRECT("Tab_00.Trial["&amp;AG$4&amp;"]"),Tab_00.Trial[CONTA],$B126)</f>
        <v>104784619.59999999</v>
      </c>
      <c r="AH126" s="78">
        <f ca="1">IFERROR($AG126/$AG$146,0)</f>
        <v>1.2276</v>
      </c>
      <c r="AI126" s="78">
        <f t="shared" ref="AI126:AI127" ca="1" si="254">IFERROR(($AG126-$AD126)/ABS($AD126),0)</f>
        <v>0</v>
      </c>
      <c r="AJ126" s="4">
        <f ca="1">-SUMIFS(INDIRECT("Tab_00.Trial["&amp;AJ$4&amp;"]"),Tab_00.Trial[CONTA],$B126)</f>
        <v>104784619.59999999</v>
      </c>
      <c r="AK126" s="78">
        <f ca="1">IFERROR($AJ126/$AJ$146,0)</f>
        <v>1.2231000000000001</v>
      </c>
      <c r="AL126" s="78">
        <f t="shared" ref="AL126:AL127" ca="1" si="255">IFERROR(($AJ126-$AG126)/ABS($AG126),0)</f>
        <v>0</v>
      </c>
      <c r="AM126" s="4">
        <f ca="1">-SUMIFS(INDIRECT("Tab_00.Trial["&amp;AM$4&amp;"]"),Tab_00.Trial[CONTA],$B126)</f>
        <v>104784619.59999999</v>
      </c>
      <c r="AN126" s="78">
        <f ca="1">IFERROR(AM126/AM$146,0)</f>
        <v>1.2245999999999999</v>
      </c>
      <c r="AO126" s="78">
        <f t="shared" ref="AO126:AO127" ca="1" si="256">IFERROR(($AM126-$AJ126)/ABS($AJ126),0)</f>
        <v>0</v>
      </c>
    </row>
    <row r="127" spans="2:41" ht="15" hidden="1" customHeight="1" outlineLevel="1" x14ac:dyDescent="0.3">
      <c r="B127" s="14"/>
      <c r="C127" s="15"/>
      <c r="D127" s="4">
        <f>-SUMIFS(Tab_99.Trial[DEZEMBRO],Tab_99.Trial[CONTA],$B127)</f>
        <v>0</v>
      </c>
      <c r="E127" s="78">
        <f ca="1">IFERROR($D127/$D$146,0)</f>
        <v>0</v>
      </c>
      <c r="F127" s="4">
        <f ca="1">-SUMIFS(INDIRECT("Tab_00.Trial["&amp;F$4&amp;"]"),Tab_00.Trial[CONTA],$B127)</f>
        <v>0</v>
      </c>
      <c r="G127" s="78">
        <f ca="1">IFERROR($F127/$F$146,0)</f>
        <v>0</v>
      </c>
      <c r="H127" s="78">
        <f t="shared" ca="1" si="245"/>
        <v>0</v>
      </c>
      <c r="I127" s="4">
        <f ca="1">-SUMIFS(INDIRECT("Tab_00.Trial["&amp;I$4&amp;"]"),Tab_00.Trial[CONTA],$B127)</f>
        <v>0</v>
      </c>
      <c r="J127" s="78">
        <f ca="1">IFERROR($I127/$I$146,0)</f>
        <v>0</v>
      </c>
      <c r="K127" s="78">
        <f t="shared" ca="1" si="246"/>
        <v>0</v>
      </c>
      <c r="L127" s="4">
        <f ca="1">-SUMIFS(INDIRECT("Tab_00.Trial["&amp;L$4&amp;"]"),Tab_00.Trial[CONTA],$B127)</f>
        <v>0</v>
      </c>
      <c r="M127" s="78">
        <f ca="1">IFERROR($L127/$L$146,0)</f>
        <v>0</v>
      </c>
      <c r="N127" s="78">
        <f t="shared" ca="1" si="247"/>
        <v>0</v>
      </c>
      <c r="O127" s="4">
        <f ca="1">-SUMIFS(INDIRECT("Tab_00.Trial["&amp;O$4&amp;"]"),Tab_00.Trial[CONTA],$B127)</f>
        <v>0</v>
      </c>
      <c r="P127" s="78">
        <f ca="1">IFERROR($O127/$O$146,0)</f>
        <v>0</v>
      </c>
      <c r="Q127" s="78">
        <f t="shared" ca="1" si="248"/>
        <v>0</v>
      </c>
      <c r="R127" s="4">
        <f ca="1">-SUMIFS(INDIRECT("Tab_00.Trial["&amp;R$4&amp;"]"),Tab_00.Trial[CONTA],$B127)</f>
        <v>0</v>
      </c>
      <c r="S127" s="78">
        <f ca="1">IFERROR($R127/$R$146,0)</f>
        <v>0</v>
      </c>
      <c r="T127" s="78">
        <f t="shared" ca="1" si="249"/>
        <v>0</v>
      </c>
      <c r="U127" s="4">
        <f ca="1">-SUMIFS(INDIRECT("Tab_00.Trial["&amp;U$4&amp;"]"),Tab_00.Trial[CONTA],$B127)</f>
        <v>0</v>
      </c>
      <c r="V127" s="78">
        <f ca="1">IFERROR($U127/$U$146,0)</f>
        <v>0</v>
      </c>
      <c r="W127" s="78">
        <f t="shared" ca="1" si="250"/>
        <v>0</v>
      </c>
      <c r="X127" s="4">
        <f ca="1">-SUMIFS(INDIRECT("Tab_00.Trial["&amp;X$4&amp;"]"),Tab_00.Trial[CONTA],$B127)</f>
        <v>0</v>
      </c>
      <c r="Y127" s="78">
        <f ca="1">IFERROR($X127/$X$146,0)</f>
        <v>0</v>
      </c>
      <c r="Z127" s="78">
        <f t="shared" ca="1" si="251"/>
        <v>0</v>
      </c>
      <c r="AA127" s="4">
        <f ca="1">-SUMIFS(INDIRECT("Tab_00.Trial["&amp;AA$4&amp;"]"),Tab_00.Trial[CONTA],$B127)</f>
        <v>0</v>
      </c>
      <c r="AB127" s="78">
        <f ca="1">IFERROR($AA127/$AA$146,0)</f>
        <v>0</v>
      </c>
      <c r="AC127" s="78">
        <f t="shared" ca="1" si="252"/>
        <v>0</v>
      </c>
      <c r="AD127" s="4">
        <f ca="1">-SUMIFS(INDIRECT("Tab_00.Trial["&amp;AD$4&amp;"]"),Tab_00.Trial[CONTA],$B127)</f>
        <v>0</v>
      </c>
      <c r="AE127" s="78">
        <f ca="1">IFERROR($AD127/$AD$146,0)</f>
        <v>0</v>
      </c>
      <c r="AF127" s="78">
        <f t="shared" ca="1" si="253"/>
        <v>0</v>
      </c>
      <c r="AG127" s="4">
        <f ca="1">-SUMIFS(INDIRECT("Tab_00.Trial["&amp;AG$4&amp;"]"),Tab_00.Trial[CONTA],$B127)</f>
        <v>0</v>
      </c>
      <c r="AH127" s="78">
        <f ca="1">IFERROR($AG127/$AG$146,0)</f>
        <v>0</v>
      </c>
      <c r="AI127" s="78">
        <f t="shared" ca="1" si="254"/>
        <v>0</v>
      </c>
      <c r="AJ127" s="4">
        <f ca="1">-SUMIFS(INDIRECT("Tab_00.Trial["&amp;AJ$4&amp;"]"),Tab_00.Trial[CONTA],$B127)</f>
        <v>0</v>
      </c>
      <c r="AK127" s="78">
        <f ca="1">IFERROR($AJ127/$AJ$146,0)</f>
        <v>0</v>
      </c>
      <c r="AL127" s="78">
        <f t="shared" ca="1" si="255"/>
        <v>0</v>
      </c>
      <c r="AM127" s="4">
        <f ca="1">-SUMIFS(INDIRECT("Tab_00.Trial["&amp;AM$4&amp;"]"),Tab_00.Trial[CONTA],$B127)</f>
        <v>0</v>
      </c>
      <c r="AN127" s="78">
        <f ca="1">IFERROR(AM127/AM$146,0)</f>
        <v>0</v>
      </c>
      <c r="AO127" s="78">
        <f t="shared" ca="1" si="256"/>
        <v>0</v>
      </c>
    </row>
    <row r="128" spans="2:41" ht="5.0999999999999996" hidden="1" customHeight="1" outlineLevel="1" x14ac:dyDescent="0.3">
      <c r="B128" s="74"/>
      <c r="C128" s="75"/>
      <c r="D128" s="76"/>
      <c r="E128" s="77"/>
      <c r="F128" s="76"/>
      <c r="G128" s="77"/>
      <c r="H128" s="77"/>
      <c r="I128" s="76"/>
      <c r="J128" s="77"/>
      <c r="K128" s="77"/>
      <c r="L128" s="76"/>
      <c r="M128" s="77"/>
      <c r="N128" s="77"/>
      <c r="O128" s="76"/>
      <c r="P128" s="77"/>
      <c r="Q128" s="77"/>
      <c r="R128" s="76"/>
      <c r="S128" s="77"/>
      <c r="T128" s="77"/>
      <c r="U128" s="76"/>
      <c r="V128" s="77"/>
      <c r="W128" s="77"/>
      <c r="X128" s="76"/>
      <c r="Y128" s="77"/>
      <c r="Z128" s="77"/>
      <c r="AA128" s="76"/>
      <c r="AB128" s="77"/>
      <c r="AC128" s="77"/>
      <c r="AD128" s="76"/>
      <c r="AE128" s="77"/>
      <c r="AF128" s="77"/>
      <c r="AG128" s="76"/>
      <c r="AH128" s="77"/>
      <c r="AI128" s="77"/>
      <c r="AJ128" s="76"/>
      <c r="AK128" s="77"/>
      <c r="AL128" s="77"/>
      <c r="AM128" s="76"/>
      <c r="AN128" s="77"/>
      <c r="AO128" s="77"/>
    </row>
    <row r="129" spans="2:43" ht="15" customHeight="1" collapsed="1" x14ac:dyDescent="0.3">
      <c r="B129" s="3" t="s">
        <v>62</v>
      </c>
      <c r="C129" s="14" t="s">
        <v>162</v>
      </c>
      <c r="D129" s="4">
        <f>SUBTOTAL(9,D$130:D$132)</f>
        <v>0</v>
      </c>
      <c r="E129" s="78">
        <f ca="1">IFERROR($D129/$D$146,0)</f>
        <v>0</v>
      </c>
      <c r="F129" s="4">
        <f ca="1">SUBTOTAL(9,F$130:F$132)</f>
        <v>0</v>
      </c>
      <c r="G129" s="78">
        <f ca="1">IFERROR($F129/$F$146,0)</f>
        <v>0</v>
      </c>
      <c r="H129" s="78">
        <f ca="1">IFERROR(($F129-$D129)/ABS($D129),0)</f>
        <v>0</v>
      </c>
      <c r="I129" s="4">
        <f ca="1">SUBTOTAL(9,I$130:I$132)</f>
        <v>0</v>
      </c>
      <c r="J129" s="78">
        <f ca="1">IFERROR($I129/$I$146,0)</f>
        <v>0</v>
      </c>
      <c r="K129" s="78">
        <f ca="1">IFERROR(($I129-$F129)/ABS($F129),0)</f>
        <v>0</v>
      </c>
      <c r="L129" s="4">
        <f ca="1">SUBTOTAL(9,L$130:L$132)</f>
        <v>0</v>
      </c>
      <c r="M129" s="78">
        <f ca="1">IFERROR($L129/$L$146,0)</f>
        <v>0</v>
      </c>
      <c r="N129" s="78">
        <f ca="1">IFERROR(($L129-$I129)/ABS($I129),0)</f>
        <v>0</v>
      </c>
      <c r="O129" s="4">
        <f ca="1">SUBTOTAL(9,O$130:O$132)</f>
        <v>0</v>
      </c>
      <c r="P129" s="78">
        <f ca="1">IFERROR($O129/$O$146,0)</f>
        <v>0</v>
      </c>
      <c r="Q129" s="78">
        <f ca="1">IFERROR(($O129-$L129)/ABS($L129),0)</f>
        <v>0</v>
      </c>
      <c r="R129" s="4">
        <f ca="1">SUBTOTAL(9,R$130:R$132)</f>
        <v>0</v>
      </c>
      <c r="S129" s="78">
        <f ca="1">IFERROR($R129/$R$146,0)</f>
        <v>0</v>
      </c>
      <c r="T129" s="78">
        <f ca="1">IFERROR(($R129-$O129)/ABS($O129),0)</f>
        <v>0</v>
      </c>
      <c r="U129" s="4">
        <f ca="1">SUBTOTAL(9,U$130:U$132)</f>
        <v>0</v>
      </c>
      <c r="V129" s="78">
        <f ca="1">IFERROR($U129/$U$146,0)</f>
        <v>0</v>
      </c>
      <c r="W129" s="78">
        <f ca="1">IFERROR(($U129-$R129)/ABS($R129),0)</f>
        <v>0</v>
      </c>
      <c r="X129" s="4">
        <f ca="1">SUBTOTAL(9,X$130:X$132)</f>
        <v>0</v>
      </c>
      <c r="Y129" s="78">
        <f ca="1">IFERROR($X129/$X$146,0)</f>
        <v>0</v>
      </c>
      <c r="Z129" s="78">
        <f ca="1">IFERROR(($X129-$U129)/ABS($U129),0)</f>
        <v>0</v>
      </c>
      <c r="AA129" s="4">
        <f ca="1">SUBTOTAL(9,AA$130:AA$132)</f>
        <v>0</v>
      </c>
      <c r="AB129" s="78">
        <f ca="1">IFERROR($AA129/$AA$146,0)</f>
        <v>0</v>
      </c>
      <c r="AC129" s="78">
        <f ca="1">IFERROR(($AA129-$X129)/ABS($X129),0)</f>
        <v>0</v>
      </c>
      <c r="AD129" s="4">
        <f ca="1">SUBTOTAL(9,AD$130:AD$132)</f>
        <v>0</v>
      </c>
      <c r="AE129" s="78">
        <f ca="1">IFERROR($AD129/$AD$146,0)</f>
        <v>0</v>
      </c>
      <c r="AF129" s="78">
        <f ca="1">IFERROR(($AD129-$AA129)/ABS($AA129),0)</f>
        <v>0</v>
      </c>
      <c r="AG129" s="4">
        <f ca="1">SUBTOTAL(9,AG$130:AG$132)</f>
        <v>0</v>
      </c>
      <c r="AH129" s="78">
        <f ca="1">IFERROR($AG129/$AG$146,0)</f>
        <v>0</v>
      </c>
      <c r="AI129" s="78">
        <f ca="1">IFERROR(($AG129-$AD129)/ABS($AD129),0)</f>
        <v>0</v>
      </c>
      <c r="AJ129" s="4">
        <f ca="1">SUBTOTAL(9,AJ$130:AJ$132)</f>
        <v>0</v>
      </c>
      <c r="AK129" s="78">
        <f ca="1">IFERROR($AJ129/$AJ$146,0)</f>
        <v>0</v>
      </c>
      <c r="AL129" s="78">
        <f ca="1">IFERROR(($AJ129-$AG129)/ABS($AG129),0)</f>
        <v>0</v>
      </c>
      <c r="AM129" s="4">
        <f ca="1">SUBTOTAL(9,AM$130:AM$132)</f>
        <v>0</v>
      </c>
      <c r="AN129" s="78">
        <f ca="1">IFERROR(AM129/AM$146,0)</f>
        <v>0</v>
      </c>
      <c r="AO129" s="78">
        <f ca="1">IFERROR(($AM129-$AJ129)/ABS($AJ129),0)</f>
        <v>0</v>
      </c>
    </row>
    <row r="130" spans="2:43" ht="15" hidden="1" customHeight="1" outlineLevel="1" x14ac:dyDescent="0.3">
      <c r="B130" s="14"/>
      <c r="C130" s="15"/>
      <c r="D130" s="4">
        <f>-SUMIFS(Tab_99.Trial[DEZEMBRO],Tab_99.Trial[CONTA],$B130)</f>
        <v>0</v>
      </c>
      <c r="E130" s="78">
        <f ca="1">IFERROR($D130/$D$146,0)</f>
        <v>0</v>
      </c>
      <c r="F130" s="4">
        <f ca="1">-SUMIFS(INDIRECT("Tab_00.Trial["&amp;F$4&amp;"]"),Tab_00.Trial[CONTA],$B130)</f>
        <v>0</v>
      </c>
      <c r="G130" s="78">
        <f ca="1">IFERROR($F130/$F$146,0)</f>
        <v>0</v>
      </c>
      <c r="H130" s="78">
        <f ca="1">IFERROR(($F130-$D130)/ABS($D130),0)</f>
        <v>0</v>
      </c>
      <c r="I130" s="4">
        <f ca="1">-SUMIFS(INDIRECT("Tab_00.Trial["&amp;I$4&amp;"]"),Tab_00.Trial[CONTA],$B130)</f>
        <v>0</v>
      </c>
      <c r="J130" s="78">
        <f ca="1">IFERROR($I130/$I$146,0)</f>
        <v>0</v>
      </c>
      <c r="K130" s="78">
        <f ca="1">IFERROR(($I130-$F130)/ABS($F130),0)</f>
        <v>0</v>
      </c>
      <c r="L130" s="4">
        <f ca="1">-SUMIFS(INDIRECT("Tab_00.Trial["&amp;L$4&amp;"]"),Tab_00.Trial[CONTA],$B130)</f>
        <v>0</v>
      </c>
      <c r="M130" s="78">
        <f ca="1">IFERROR($L130/$L$146,0)</f>
        <v>0</v>
      </c>
      <c r="N130" s="78">
        <f ca="1">IFERROR(($L130-$I130)/ABS($I130),0)</f>
        <v>0</v>
      </c>
      <c r="O130" s="4">
        <f ca="1">-SUMIFS(INDIRECT("Tab_00.Trial["&amp;O$4&amp;"]"),Tab_00.Trial[CONTA],$B130)</f>
        <v>0</v>
      </c>
      <c r="P130" s="78">
        <f ca="1">IFERROR($O130/$O$146,0)</f>
        <v>0</v>
      </c>
      <c r="Q130" s="78">
        <f ca="1">IFERROR(($O130-$L130)/ABS($L130),0)</f>
        <v>0</v>
      </c>
      <c r="R130" s="4">
        <f ca="1">-SUMIFS(INDIRECT("Tab_00.Trial["&amp;R$4&amp;"]"),Tab_00.Trial[CONTA],$B130)</f>
        <v>0</v>
      </c>
      <c r="S130" s="78">
        <f ca="1">IFERROR($R130/$R$146,0)</f>
        <v>0</v>
      </c>
      <c r="T130" s="78">
        <f ca="1">IFERROR(($R130-$O130)/ABS($O130),0)</f>
        <v>0</v>
      </c>
      <c r="U130" s="4">
        <f ca="1">-SUMIFS(INDIRECT("Tab_00.Trial["&amp;U$4&amp;"]"),Tab_00.Trial[CONTA],$B130)</f>
        <v>0</v>
      </c>
      <c r="V130" s="78">
        <f ca="1">IFERROR($U130/$U$146,0)</f>
        <v>0</v>
      </c>
      <c r="W130" s="78">
        <f ca="1">IFERROR(($U130-$R130)/ABS($R130),0)</f>
        <v>0</v>
      </c>
      <c r="X130" s="4">
        <f ca="1">-SUMIFS(INDIRECT("Tab_00.Trial["&amp;X$4&amp;"]"),Tab_00.Trial[CONTA],$B130)</f>
        <v>0</v>
      </c>
      <c r="Y130" s="78">
        <f ca="1">IFERROR($X130/$X$146,0)</f>
        <v>0</v>
      </c>
      <c r="Z130" s="78">
        <f ca="1">IFERROR(($X130-$U130)/ABS($U130),0)</f>
        <v>0</v>
      </c>
      <c r="AA130" s="4">
        <f ca="1">-SUMIFS(INDIRECT("Tab_00.Trial["&amp;AA$4&amp;"]"),Tab_00.Trial[CONTA],$B130)</f>
        <v>0</v>
      </c>
      <c r="AB130" s="78">
        <f ca="1">IFERROR($AA130/$AA$146,0)</f>
        <v>0</v>
      </c>
      <c r="AC130" s="78">
        <f ca="1">IFERROR(($AA130-$X130)/ABS($X130),0)</f>
        <v>0</v>
      </c>
      <c r="AD130" s="4">
        <f ca="1">-SUMIFS(INDIRECT("Tab_00.Trial["&amp;AD$4&amp;"]"),Tab_00.Trial[CONTA],$B130)</f>
        <v>0</v>
      </c>
      <c r="AE130" s="78">
        <f ca="1">IFERROR($AD130/$AD$146,0)</f>
        <v>0</v>
      </c>
      <c r="AF130" s="78">
        <f ca="1">IFERROR(($AD130-$AA130)/ABS($AA130),0)</f>
        <v>0</v>
      </c>
      <c r="AG130" s="4">
        <f ca="1">-SUMIFS(INDIRECT("Tab_00.Trial["&amp;AG$4&amp;"]"),Tab_00.Trial[CONTA],$B130)</f>
        <v>0</v>
      </c>
      <c r="AH130" s="78">
        <f ca="1">IFERROR($AG130/$AG$146,0)</f>
        <v>0</v>
      </c>
      <c r="AI130" s="78">
        <f ca="1">IFERROR(($AG130-$AD130)/ABS($AD130),0)</f>
        <v>0</v>
      </c>
      <c r="AJ130" s="4">
        <f ca="1">-SUMIFS(INDIRECT("Tab_00.Trial["&amp;AJ$4&amp;"]"),Tab_00.Trial[CONTA],$B130)</f>
        <v>0</v>
      </c>
      <c r="AK130" s="78">
        <f ca="1">IFERROR($AJ130/$AJ$146,0)</f>
        <v>0</v>
      </c>
      <c r="AL130" s="78">
        <f ca="1">IFERROR(($AJ130-$AG130)/ABS($AG130),0)</f>
        <v>0</v>
      </c>
      <c r="AM130" s="4">
        <f ca="1">-SUMIFS(INDIRECT("Tab_00.Trial["&amp;AM$4&amp;"]"),Tab_00.Trial[CONTA],$B130)</f>
        <v>0</v>
      </c>
      <c r="AN130" s="78">
        <f ca="1">IFERROR(AM130/AM$146,0)</f>
        <v>0</v>
      </c>
      <c r="AO130" s="78">
        <f ca="1">IFERROR(($AM130-$AJ130)/ABS($AJ130),0)</f>
        <v>0</v>
      </c>
    </row>
    <row r="131" spans="2:43" ht="15" hidden="1" customHeight="1" outlineLevel="1" x14ac:dyDescent="0.3">
      <c r="B131" s="14"/>
      <c r="C131" s="15"/>
      <c r="D131" s="4">
        <f>-SUMIFS(Tab_99.Trial[DEZEMBRO],Tab_99.Trial[CONTA],$B131)</f>
        <v>0</v>
      </c>
      <c r="E131" s="78">
        <f ca="1">IFERROR($D131/$D$146,0)</f>
        <v>0</v>
      </c>
      <c r="F131" s="4">
        <f ca="1">-SUMIFS(INDIRECT("Tab_00.Trial["&amp;F$4&amp;"]"),Tab_00.Trial[CONTA],$B131)</f>
        <v>0</v>
      </c>
      <c r="G131" s="78">
        <f ca="1">IFERROR($F131/$F$146,0)</f>
        <v>0</v>
      </c>
      <c r="H131" s="78">
        <f t="shared" ref="H131" ca="1" si="257">IFERROR(($F131-$D131)/ABS($D131),0)</f>
        <v>0</v>
      </c>
      <c r="I131" s="4">
        <f ca="1">-SUMIFS(INDIRECT("Tab_00.Trial["&amp;I$4&amp;"]"),Tab_00.Trial[CONTA],$B131)</f>
        <v>0</v>
      </c>
      <c r="J131" s="78">
        <f ca="1">IFERROR($I131/$I$146,0)</f>
        <v>0</v>
      </c>
      <c r="K131" s="78">
        <f t="shared" ref="K131" ca="1" si="258">IFERROR(($I131-$F131)/ABS($F131),0)</f>
        <v>0</v>
      </c>
      <c r="L131" s="4">
        <f ca="1">-SUMIFS(INDIRECT("Tab_00.Trial["&amp;L$4&amp;"]"),Tab_00.Trial[CONTA],$B131)</f>
        <v>0</v>
      </c>
      <c r="M131" s="78">
        <f ca="1">IFERROR($L131/$L$146,0)</f>
        <v>0</v>
      </c>
      <c r="N131" s="78">
        <f t="shared" ref="N131" ca="1" si="259">IFERROR(($L131-$I131)/ABS($I131),0)</f>
        <v>0</v>
      </c>
      <c r="O131" s="4">
        <f ca="1">-SUMIFS(INDIRECT("Tab_00.Trial["&amp;O$4&amp;"]"),Tab_00.Trial[CONTA],$B131)</f>
        <v>0</v>
      </c>
      <c r="P131" s="78">
        <f ca="1">IFERROR($O131/$O$146,0)</f>
        <v>0</v>
      </c>
      <c r="Q131" s="78">
        <f t="shared" ref="Q131" ca="1" si="260">IFERROR(($O131-$L131)/ABS($L131),0)</f>
        <v>0</v>
      </c>
      <c r="R131" s="4">
        <f ca="1">-SUMIFS(INDIRECT("Tab_00.Trial["&amp;R$4&amp;"]"),Tab_00.Trial[CONTA],$B131)</f>
        <v>0</v>
      </c>
      <c r="S131" s="78">
        <f ca="1">IFERROR($R131/$R$146,0)</f>
        <v>0</v>
      </c>
      <c r="T131" s="78">
        <f t="shared" ref="T131" ca="1" si="261">IFERROR(($R131-$O131)/ABS($O131),0)</f>
        <v>0</v>
      </c>
      <c r="U131" s="4">
        <f ca="1">-SUMIFS(INDIRECT("Tab_00.Trial["&amp;U$4&amp;"]"),Tab_00.Trial[CONTA],$B131)</f>
        <v>0</v>
      </c>
      <c r="V131" s="78">
        <f ca="1">IFERROR($U131/$U$146,0)</f>
        <v>0</v>
      </c>
      <c r="W131" s="78">
        <f t="shared" ref="W131" ca="1" si="262">IFERROR(($U131-$R131)/ABS($R131),0)</f>
        <v>0</v>
      </c>
      <c r="X131" s="4">
        <f ca="1">-SUMIFS(INDIRECT("Tab_00.Trial["&amp;X$4&amp;"]"),Tab_00.Trial[CONTA],$B131)</f>
        <v>0</v>
      </c>
      <c r="Y131" s="78">
        <f ca="1">IFERROR($X131/$X$146,0)</f>
        <v>0</v>
      </c>
      <c r="Z131" s="78">
        <f t="shared" ref="Z131" ca="1" si="263">IFERROR(($X131-$U131)/ABS($U131),0)</f>
        <v>0</v>
      </c>
      <c r="AA131" s="4">
        <f ca="1">-SUMIFS(INDIRECT("Tab_00.Trial["&amp;AA$4&amp;"]"),Tab_00.Trial[CONTA],$B131)</f>
        <v>0</v>
      </c>
      <c r="AB131" s="78">
        <f ca="1">IFERROR($AA131/$AA$146,0)</f>
        <v>0</v>
      </c>
      <c r="AC131" s="78">
        <f t="shared" ref="AC131" ca="1" si="264">IFERROR(($AA131-$X131)/ABS($X131),0)</f>
        <v>0</v>
      </c>
      <c r="AD131" s="4">
        <f ca="1">-SUMIFS(INDIRECT("Tab_00.Trial["&amp;AD$4&amp;"]"),Tab_00.Trial[CONTA],$B131)</f>
        <v>0</v>
      </c>
      <c r="AE131" s="78">
        <f ca="1">IFERROR($AD131/$AD$146,0)</f>
        <v>0</v>
      </c>
      <c r="AF131" s="78">
        <f t="shared" ref="AF131" ca="1" si="265">IFERROR(($AD131-$AA131)/ABS($AA131),0)</f>
        <v>0</v>
      </c>
      <c r="AG131" s="4">
        <f ca="1">-SUMIFS(INDIRECT("Tab_00.Trial["&amp;AG$4&amp;"]"),Tab_00.Trial[CONTA],$B131)</f>
        <v>0</v>
      </c>
      <c r="AH131" s="78">
        <f ca="1">IFERROR($AG131/$AG$146,0)</f>
        <v>0</v>
      </c>
      <c r="AI131" s="78">
        <f t="shared" ref="AI131" ca="1" si="266">IFERROR(($AG131-$AD131)/ABS($AD131),0)</f>
        <v>0</v>
      </c>
      <c r="AJ131" s="4">
        <f ca="1">-SUMIFS(INDIRECT("Tab_00.Trial["&amp;AJ$4&amp;"]"),Tab_00.Trial[CONTA],$B131)</f>
        <v>0</v>
      </c>
      <c r="AK131" s="78">
        <f ca="1">IFERROR($AJ131/$AJ$146,0)</f>
        <v>0</v>
      </c>
      <c r="AL131" s="78">
        <f t="shared" ref="AL131" ca="1" si="267">IFERROR(($AJ131-$AG131)/ABS($AG131),0)</f>
        <v>0</v>
      </c>
      <c r="AM131" s="4">
        <f ca="1">-SUMIFS(INDIRECT("Tab_00.Trial["&amp;AM$4&amp;"]"),Tab_00.Trial[CONTA],$B131)</f>
        <v>0</v>
      </c>
      <c r="AN131" s="78">
        <f ca="1">IFERROR(AM131/AM$146,0)</f>
        <v>0</v>
      </c>
      <c r="AO131" s="78">
        <f t="shared" ref="AO131" ca="1" si="268">IFERROR(($AM131-$AJ131)/ABS($AJ131),0)</f>
        <v>0</v>
      </c>
    </row>
    <row r="132" spans="2:43" ht="5.0999999999999996" hidden="1" customHeight="1" outlineLevel="1" x14ac:dyDescent="0.3">
      <c r="B132" s="74"/>
      <c r="C132" s="75"/>
      <c r="D132" s="76"/>
      <c r="E132" s="77"/>
      <c r="F132" s="76"/>
      <c r="G132" s="77"/>
      <c r="H132" s="77"/>
      <c r="I132" s="76"/>
      <c r="J132" s="77"/>
      <c r="K132" s="77"/>
      <c r="L132" s="76"/>
      <c r="M132" s="77"/>
      <c r="N132" s="77"/>
      <c r="O132" s="76"/>
      <c r="P132" s="77"/>
      <c r="Q132" s="77"/>
      <c r="R132" s="76"/>
      <c r="S132" s="77"/>
      <c r="T132" s="77"/>
      <c r="U132" s="76"/>
      <c r="V132" s="77"/>
      <c r="W132" s="77"/>
      <c r="X132" s="76"/>
      <c r="Y132" s="77"/>
      <c r="Z132" s="77"/>
      <c r="AA132" s="76"/>
      <c r="AB132" s="77"/>
      <c r="AC132" s="77"/>
      <c r="AD132" s="76"/>
      <c r="AE132" s="77"/>
      <c r="AF132" s="77"/>
      <c r="AG132" s="76"/>
      <c r="AH132" s="77"/>
      <c r="AI132" s="77"/>
      <c r="AJ132" s="76"/>
      <c r="AK132" s="77"/>
      <c r="AL132" s="77"/>
      <c r="AM132" s="76"/>
      <c r="AN132" s="77"/>
      <c r="AO132" s="77"/>
    </row>
    <row r="133" spans="2:43" ht="15" customHeight="1" collapsed="1" x14ac:dyDescent="0.3">
      <c r="B133" s="3" t="s">
        <v>163</v>
      </c>
      <c r="C133" s="14" t="s">
        <v>174</v>
      </c>
      <c r="D133" s="4">
        <f>SUBTOTAL(9,D$135:D$139)</f>
        <v>0</v>
      </c>
      <c r="E133" s="78">
        <f ca="1">IFERROR($D133/$D$146,0)</f>
        <v>0</v>
      </c>
      <c r="F133" s="4">
        <f ca="1">SUBTOTAL(9,F$135:F$139)</f>
        <v>10718318.800000001</v>
      </c>
      <c r="G133" s="78">
        <f ca="1">IFERROR($F133/$F$146,0)</f>
        <v>0.1278</v>
      </c>
      <c r="H133" s="78">
        <f ca="1">IFERROR(($F133-$D133)/ABS($D133),0)</f>
        <v>0</v>
      </c>
      <c r="I133" s="4">
        <f ca="1">SUBTOTAL(9,I$135:I$139)</f>
        <v>10718318.800000001</v>
      </c>
      <c r="J133" s="78">
        <f ca="1">IFERROR($I133/$I$146,0)</f>
        <v>0.12889999999999999</v>
      </c>
      <c r="K133" s="78">
        <f ca="1">IFERROR(($I133-$F133)/ABS($F133),0)</f>
        <v>0</v>
      </c>
      <c r="L133" s="4">
        <f ca="1">SUBTOTAL(9,L$135:L$139)</f>
        <v>10718318.800000001</v>
      </c>
      <c r="M133" s="78">
        <f ca="1">IFERROR($L133/$L$146,0)</f>
        <v>0.12870000000000001</v>
      </c>
      <c r="N133" s="78">
        <f ca="1">IFERROR(($L133-$I133)/ABS($I133),0)</f>
        <v>0</v>
      </c>
      <c r="O133" s="4">
        <f ca="1">SUBTOTAL(9,O$135:O$139)</f>
        <v>10718318.800000001</v>
      </c>
      <c r="P133" s="78">
        <f ca="1">IFERROR($O133/$O$146,0)</f>
        <v>0.12820000000000001</v>
      </c>
      <c r="Q133" s="78">
        <f ca="1">IFERROR(($O133-$L133)/ABS($L133),0)</f>
        <v>0</v>
      </c>
      <c r="R133" s="4">
        <f ca="1">SUBTOTAL(9,R$135:R$139)</f>
        <v>10718318.800000001</v>
      </c>
      <c r="S133" s="78">
        <f ca="1">IFERROR($R133/$R$146,0)</f>
        <v>0.12770000000000001</v>
      </c>
      <c r="T133" s="78">
        <f ca="1">IFERROR(($R133-$O133)/ABS($O133),0)</f>
        <v>0</v>
      </c>
      <c r="U133" s="4">
        <f ca="1">SUBTOTAL(9,U$135:U$139)</f>
        <v>10718318.800000001</v>
      </c>
      <c r="V133" s="78">
        <f ca="1">IFERROR($U133/$U$146,0)</f>
        <v>0.1273</v>
      </c>
      <c r="W133" s="78">
        <f ca="1">IFERROR(($U133-$R133)/ABS($R133),0)</f>
        <v>0</v>
      </c>
      <c r="X133" s="4">
        <f ca="1">SUBTOTAL(9,X$135:X$139)</f>
        <v>10718318.800000001</v>
      </c>
      <c r="Y133" s="78">
        <f ca="1">IFERROR($X133/$X$146,0)</f>
        <v>0.1265</v>
      </c>
      <c r="Z133" s="78">
        <f ca="1">IFERROR(($X133-$U133)/ABS($U133),0)</f>
        <v>0</v>
      </c>
      <c r="AA133" s="4">
        <f ca="1">SUBTOTAL(9,AA$135:AA$139)</f>
        <v>10718318.800000001</v>
      </c>
      <c r="AB133" s="78">
        <f ca="1">IFERROR($AA133/$AA$146,0)</f>
        <v>0.12590000000000001</v>
      </c>
      <c r="AC133" s="78">
        <f ca="1">IFERROR(($AA133-$X133)/ABS($X133),0)</f>
        <v>0</v>
      </c>
      <c r="AD133" s="4">
        <f ca="1">SUBTOTAL(9,AD$135:AD$139)</f>
        <v>10718318.800000001</v>
      </c>
      <c r="AE133" s="78">
        <f ca="1">IFERROR($AD133/$AD$146,0)</f>
        <v>0.12590000000000001</v>
      </c>
      <c r="AF133" s="78">
        <f ca="1">IFERROR(($AD133-$AA133)/ABS($AA133),0)</f>
        <v>0</v>
      </c>
      <c r="AG133" s="4">
        <f ca="1">SUBTOTAL(9,AG$135:AG$139)</f>
        <v>10718318.800000001</v>
      </c>
      <c r="AH133" s="78">
        <f ca="1">IFERROR($AG133/$AG$146,0)</f>
        <v>0.12559999999999999</v>
      </c>
      <c r="AI133" s="78">
        <f ca="1">IFERROR(($AG133-$AD133)/ABS($AD133),0)</f>
        <v>0</v>
      </c>
      <c r="AJ133" s="4">
        <f ca="1">SUBTOTAL(9,AJ$134:AJ$139)</f>
        <v>-22696651.870000001</v>
      </c>
      <c r="AK133" s="78">
        <f ca="1">IFERROR($AJ133/$AJ$146,0)</f>
        <v>-0.26490000000000002</v>
      </c>
      <c r="AL133" s="78">
        <f ca="1">IFERROR(($AJ133-$AG133)/ABS($AG133),0)</f>
        <v>-3.1175999999999999</v>
      </c>
      <c r="AM133" s="4">
        <f ca="1">SUBTOTAL(9,AM$134:AM$139)</f>
        <v>-21658820.629999999</v>
      </c>
      <c r="AN133" s="78">
        <f ca="1">IFERROR(AM133/AM$146,0)</f>
        <v>-0.25309999999999999</v>
      </c>
      <c r="AO133" s="78">
        <f ca="1">IFERROR(($AM133-$AJ133)/ABS($AJ133),0)</f>
        <v>4.5699999999999998E-2</v>
      </c>
    </row>
    <row r="134" spans="2:43" ht="15" hidden="1" customHeight="1" outlineLevel="1" x14ac:dyDescent="0.3">
      <c r="B134" s="14" t="s">
        <v>365</v>
      </c>
      <c r="C134" s="15" t="s">
        <v>366</v>
      </c>
      <c r="D134" s="4">
        <f>-SUMIFS(Tab_99.Trial[DEZEMBRO],Tab_99.Trial[CONTA],$B134)</f>
        <v>0</v>
      </c>
      <c r="E134" s="78">
        <f ca="1">IFERROR($D134/$D$146,0)</f>
        <v>0</v>
      </c>
      <c r="F134" s="4">
        <f ca="1">-SUMIFS(INDIRECT("Tab_00.Trial["&amp;F$4&amp;"]"),Tab_00.Trial[CONTA],$B134)</f>
        <v>-33414970.670000002</v>
      </c>
      <c r="G134" s="78">
        <f ca="1">IFERROR($F134/$F$146,0)</f>
        <v>-0.39860000000000001</v>
      </c>
      <c r="H134" s="78">
        <f ca="1">IFERROR(($F134-$D134)/ABS($D134),0)</f>
        <v>0</v>
      </c>
      <c r="I134" s="4">
        <f ca="1">-SUMIFS(INDIRECT("Tab_00.Trial["&amp;I$4&amp;"]"),Tab_00.Trial[CONTA],$B134)</f>
        <v>-33414970.670000002</v>
      </c>
      <c r="J134" s="78">
        <f ca="1">IFERROR($I134/$I$146,0)</f>
        <v>-0.4017</v>
      </c>
      <c r="K134" s="78">
        <f ca="1">IFERROR(($I134-$F134)/ABS($F134),0)</f>
        <v>0</v>
      </c>
      <c r="L134" s="4">
        <f ca="1">-SUMIFS(INDIRECT("Tab_00.Trial["&amp;L$4&amp;"]"),Tab_00.Trial[CONTA],$B134)</f>
        <v>-33414970.670000002</v>
      </c>
      <c r="M134" s="78">
        <f ca="1">IFERROR($L134/$L$146,0)</f>
        <v>-0.40129999999999999</v>
      </c>
      <c r="N134" s="78">
        <f ca="1">IFERROR(($L134-$I134)/ABS($I134),0)</f>
        <v>0</v>
      </c>
      <c r="O134" s="4">
        <f ca="1">-SUMIFS(INDIRECT("Tab_00.Trial["&amp;O$4&amp;"]"),Tab_00.Trial[CONTA],$B134)</f>
        <v>-33414970.670000002</v>
      </c>
      <c r="P134" s="78">
        <f ca="1">IFERROR($O134/$O$146,0)</f>
        <v>-0.39960000000000001</v>
      </c>
      <c r="Q134" s="78">
        <f ca="1">IFERROR(($O134-$L134)/ABS($L134),0)</f>
        <v>0</v>
      </c>
      <c r="R134" s="4">
        <f ca="1">-SUMIFS(INDIRECT("Tab_00.Trial["&amp;R$4&amp;"]"),Tab_00.Trial[CONTA],$B134)</f>
        <v>-33414970.670000002</v>
      </c>
      <c r="S134" s="78">
        <f ca="1">IFERROR($R134/$R$146,0)</f>
        <v>-0.39800000000000002</v>
      </c>
      <c r="T134" s="78">
        <f ca="1">IFERROR(($R134-$O134)/ABS($O134),0)</f>
        <v>0</v>
      </c>
      <c r="U134" s="4">
        <f ca="1">-SUMIFS(INDIRECT("Tab_00.Trial["&amp;U$4&amp;"]"),Tab_00.Trial[CONTA],$B134)</f>
        <v>-33414970.670000002</v>
      </c>
      <c r="V134" s="78">
        <f ca="1">IFERROR($U134/$U$146,0)</f>
        <v>-0.39689999999999998</v>
      </c>
      <c r="W134" s="78">
        <f ca="1">IFERROR(($U134-$R134)/ABS($R134),0)</f>
        <v>0</v>
      </c>
      <c r="X134" s="4">
        <f ca="1">-SUMIFS(INDIRECT("Tab_00.Trial["&amp;X$4&amp;"]"),Tab_00.Trial[CONTA],$B134)</f>
        <v>-33414970.670000002</v>
      </c>
      <c r="Y134" s="78">
        <f ca="1">IFERROR($X134/$X$146,0)</f>
        <v>-0.39439999999999997</v>
      </c>
      <c r="Z134" s="78">
        <f ca="1">IFERROR(($X134-$U134)/ABS($U134),0)</f>
        <v>0</v>
      </c>
      <c r="AA134" s="4">
        <f ca="1">-SUMIFS(INDIRECT("Tab_00.Trial["&amp;AA$4&amp;"]"),Tab_00.Trial[CONTA],$B134)</f>
        <v>-33414970.670000002</v>
      </c>
      <c r="AB134" s="78">
        <f ca="1">IFERROR($AA134/$AA$146,0)</f>
        <v>-0.39250000000000002</v>
      </c>
      <c r="AC134" s="78">
        <f ca="1">IFERROR(($AA134-$X134)/ABS($X134),0)</f>
        <v>0</v>
      </c>
      <c r="AD134" s="4">
        <f ca="1">-SUMIFS(INDIRECT("Tab_00.Trial["&amp;AD$4&amp;"]"),Tab_00.Trial[CONTA],$B134)</f>
        <v>-33414970.670000002</v>
      </c>
      <c r="AE134" s="78">
        <f ca="1">IFERROR($AD134/$AD$146,0)</f>
        <v>-0.39250000000000002</v>
      </c>
      <c r="AF134" s="78">
        <f ca="1">IFERROR(($AD134-$AA134)/ABS($AA134),0)</f>
        <v>0</v>
      </c>
      <c r="AG134" s="4">
        <f ca="1">-SUMIFS(INDIRECT("Tab_00.Trial["&amp;AG$4&amp;"]"),Tab_00.Trial[CONTA],$B134)</f>
        <v>-33414970.670000002</v>
      </c>
      <c r="AH134" s="78">
        <f ca="1">IFERROR($AG134/$AG$146,0)</f>
        <v>-0.39150000000000001</v>
      </c>
      <c r="AI134" s="78">
        <f ca="1">IFERROR(($AG134-$AD134)/ABS($AD134),0)</f>
        <v>0</v>
      </c>
      <c r="AJ134" s="4">
        <f ca="1">-SUMIFS(INDIRECT("Tab_00.Trial["&amp;AJ$4&amp;"]"),Tab_00.Trial[CONTA],$B134)</f>
        <v>-33414970.670000002</v>
      </c>
      <c r="AK134" s="78">
        <f ca="1">IFERROR($AJ134/$AJ$146,0)</f>
        <v>-0.39</v>
      </c>
      <c r="AL134" s="78">
        <f ca="1">IFERROR(($AJ134-$AG134)/ABS($AG134),0)</f>
        <v>0</v>
      </c>
      <c r="AM134" s="4">
        <f ca="1">-SUMIFS(INDIRECT("Tab_00.Trial["&amp;AM$4&amp;"]"),Tab_00.Trial[CONTA],$B134)</f>
        <v>-33414970.670000002</v>
      </c>
      <c r="AN134" s="78">
        <f ca="1">IFERROR(AM134/AM$146,0)</f>
        <v>-0.39050000000000001</v>
      </c>
      <c r="AO134" s="78">
        <f ca="1">IFERROR(($AM134-$AJ134)/ABS($AJ134),0)</f>
        <v>0</v>
      </c>
    </row>
    <row r="135" spans="2:43" ht="15" hidden="1" customHeight="1" outlineLevel="1" x14ac:dyDescent="0.3">
      <c r="B135" s="14" t="s">
        <v>743</v>
      </c>
      <c r="C135" s="15" t="s">
        <v>744</v>
      </c>
      <c r="D135" s="4">
        <f>-SUMIFS(Tab_99.Trial[DEZEMBRO],Tab_99.Trial[CONTA],$B135)</f>
        <v>0</v>
      </c>
      <c r="E135" s="78">
        <f ca="1">IFERROR($D135/$D$146,0)</f>
        <v>0</v>
      </c>
      <c r="F135" s="4">
        <f ca="1">-SUMIFS(INDIRECT("Tab_00.Trial["&amp;F$4&amp;"]"),Tab_00.Trial[CONTA],$B135)</f>
        <v>827719.82</v>
      </c>
      <c r="G135" s="78">
        <f ca="1">IFERROR($F135/$F$146,0)</f>
        <v>9.9000000000000008E-3</v>
      </c>
      <c r="H135" s="78">
        <f ca="1">IFERROR(($F135-$D135)/ABS($D135),0)</f>
        <v>0</v>
      </c>
      <c r="I135" s="4">
        <f ca="1">-SUMIFS(INDIRECT("Tab_00.Trial["&amp;I$4&amp;"]"),Tab_00.Trial[CONTA],$B135)</f>
        <v>827719.82</v>
      </c>
      <c r="J135" s="78">
        <f ca="1">IFERROR($I135/$I$146,0)</f>
        <v>0.01</v>
      </c>
      <c r="K135" s="78">
        <f ca="1">IFERROR(($I135-$F135)/ABS($F135),0)</f>
        <v>0</v>
      </c>
      <c r="L135" s="4">
        <f ca="1">-SUMIFS(INDIRECT("Tab_00.Trial["&amp;L$4&amp;"]"),Tab_00.Trial[CONTA],$B135)</f>
        <v>827719.82</v>
      </c>
      <c r="M135" s="78">
        <f ca="1">IFERROR($L135/$L$146,0)</f>
        <v>9.9000000000000008E-3</v>
      </c>
      <c r="N135" s="78">
        <f ca="1">IFERROR(($L135-$I135)/ABS($I135),0)</f>
        <v>0</v>
      </c>
      <c r="O135" s="4">
        <f ca="1">-SUMIFS(INDIRECT("Tab_00.Trial["&amp;O$4&amp;"]"),Tab_00.Trial[CONTA],$B135)</f>
        <v>827719.82</v>
      </c>
      <c r="P135" s="78">
        <f ca="1">IFERROR($O135/$O$146,0)</f>
        <v>9.9000000000000008E-3</v>
      </c>
      <c r="Q135" s="78">
        <f ca="1">IFERROR(($O135-$L135)/ABS($L135),0)</f>
        <v>0</v>
      </c>
      <c r="R135" s="4">
        <f ca="1">-SUMIFS(INDIRECT("Tab_00.Trial["&amp;R$4&amp;"]"),Tab_00.Trial[CONTA],$B135)</f>
        <v>827719.82</v>
      </c>
      <c r="S135" s="78">
        <f ca="1">IFERROR($R135/$R$146,0)</f>
        <v>9.9000000000000008E-3</v>
      </c>
      <c r="T135" s="78">
        <f ca="1">IFERROR(($R135-$O135)/ABS($O135),0)</f>
        <v>0</v>
      </c>
      <c r="U135" s="4">
        <f ca="1">-SUMIFS(INDIRECT("Tab_00.Trial["&amp;U$4&amp;"]"),Tab_00.Trial[CONTA],$B135)</f>
        <v>827719.82</v>
      </c>
      <c r="V135" s="78">
        <f ca="1">IFERROR($U135/$U$146,0)</f>
        <v>9.7999999999999997E-3</v>
      </c>
      <c r="W135" s="78">
        <f ca="1">IFERROR(($U135-$R135)/ABS($R135),0)</f>
        <v>0</v>
      </c>
      <c r="X135" s="4">
        <f ca="1">-SUMIFS(INDIRECT("Tab_00.Trial["&amp;X$4&amp;"]"),Tab_00.Trial[CONTA],$B135)</f>
        <v>827719.82</v>
      </c>
      <c r="Y135" s="78">
        <f ca="1">IFERROR($X135/$X$146,0)</f>
        <v>9.7999999999999997E-3</v>
      </c>
      <c r="Z135" s="78">
        <f ca="1">IFERROR(($X135-$U135)/ABS($U135),0)</f>
        <v>0</v>
      </c>
      <c r="AA135" s="4">
        <f ca="1">-SUMIFS(INDIRECT("Tab_00.Trial["&amp;AA$4&amp;"]"),Tab_00.Trial[CONTA],$B135)</f>
        <v>827719.82</v>
      </c>
      <c r="AB135" s="78">
        <f ca="1">IFERROR($AA135/$AA$146,0)</f>
        <v>9.7000000000000003E-3</v>
      </c>
      <c r="AC135" s="78">
        <f ca="1">IFERROR(($AA135-$X135)/ABS($X135),0)</f>
        <v>0</v>
      </c>
      <c r="AD135" s="4">
        <f ca="1">-SUMIFS(INDIRECT("Tab_00.Trial["&amp;AD$4&amp;"]"),Tab_00.Trial[CONTA],$B135)</f>
        <v>827719.82</v>
      </c>
      <c r="AE135" s="78">
        <f ca="1">IFERROR($AD135/$AD$146,0)</f>
        <v>9.7000000000000003E-3</v>
      </c>
      <c r="AF135" s="78">
        <f ca="1">IFERROR(($AD135-$AA135)/ABS($AA135),0)</f>
        <v>0</v>
      </c>
      <c r="AG135" s="4">
        <f ca="1">-SUMIFS(INDIRECT("Tab_00.Trial["&amp;AG$4&amp;"]"),Tab_00.Trial[CONTA],$B135)</f>
        <v>827719.82</v>
      </c>
      <c r="AH135" s="78">
        <f ca="1">IFERROR($AG135/$AG$146,0)</f>
        <v>9.7000000000000003E-3</v>
      </c>
      <c r="AI135" s="78">
        <f ca="1">IFERROR(($AG135-$AD135)/ABS($AD135),0)</f>
        <v>0</v>
      </c>
      <c r="AJ135" s="4">
        <f ca="1">-SUMIFS(INDIRECT("Tab_00.Trial["&amp;AJ$4&amp;"]"),Tab_00.Trial[CONTA],$B135)</f>
        <v>827719.82</v>
      </c>
      <c r="AK135" s="78">
        <f ca="1">IFERROR($AJ135/$AJ$146,0)</f>
        <v>9.7000000000000003E-3</v>
      </c>
      <c r="AL135" s="78">
        <f ca="1">IFERROR(($AJ135-$AG135)/ABS($AG135),0)</f>
        <v>0</v>
      </c>
      <c r="AM135" s="4">
        <f ca="1">-SUMIFS(INDIRECT("Tab_00.Trial["&amp;AM$4&amp;"]"),Tab_00.Trial[CONTA],$B135)</f>
        <v>827719.82</v>
      </c>
      <c r="AN135" s="78">
        <f ca="1">IFERROR(AM135/AM$146,0)</f>
        <v>9.7000000000000003E-3</v>
      </c>
      <c r="AO135" s="78">
        <f ca="1">IFERROR(($AM135-$AJ135)/ABS($AJ135),0)</f>
        <v>0</v>
      </c>
    </row>
    <row r="136" spans="2:43" ht="15" hidden="1" customHeight="1" outlineLevel="1" x14ac:dyDescent="0.3">
      <c r="B136" s="14" t="s">
        <v>747</v>
      </c>
      <c r="C136" s="15" t="s">
        <v>746</v>
      </c>
      <c r="D136" s="4">
        <f>-SUMIFS(Tab_99.Trial[DEZEMBRO],Tab_99.Trial[CONTA],$B136)</f>
        <v>0</v>
      </c>
      <c r="E136" s="78">
        <f ca="1">IFERROR($D136/$D$146,0)</f>
        <v>0</v>
      </c>
      <c r="F136" s="4">
        <f ca="1">-SUMIFS(INDIRECT("Tab_00.Trial["&amp;F$4&amp;"]"),Tab_00.Trial[CONTA],$B136)</f>
        <v>9890598.9800000004</v>
      </c>
      <c r="G136" s="78">
        <f ca="1">IFERROR($F136/$F$146,0)</f>
        <v>0.11799999999999999</v>
      </c>
      <c r="H136" s="78">
        <f t="shared" ref="H136:H137" ca="1" si="269">IFERROR(($F136-$D136)/ABS($D136),0)</f>
        <v>0</v>
      </c>
      <c r="I136" s="4">
        <f ca="1">-SUMIFS(INDIRECT("Tab_00.Trial["&amp;I$4&amp;"]"),Tab_00.Trial[CONTA],$B136)</f>
        <v>9890598.9800000004</v>
      </c>
      <c r="J136" s="78">
        <f ca="1">IFERROR($I136/$I$146,0)</f>
        <v>0.11890000000000001</v>
      </c>
      <c r="K136" s="78">
        <f t="shared" ref="K136:K137" ca="1" si="270">IFERROR(($I136-$F136)/ABS($F136),0)</f>
        <v>0</v>
      </c>
      <c r="L136" s="4">
        <f ca="1">-SUMIFS(INDIRECT("Tab_00.Trial["&amp;L$4&amp;"]"),Tab_00.Trial[CONTA],$B136)</f>
        <v>9890598.9800000004</v>
      </c>
      <c r="M136" s="78">
        <f ca="1">IFERROR($L136/$L$146,0)</f>
        <v>0.1188</v>
      </c>
      <c r="N136" s="78">
        <f t="shared" ref="N136:N137" ca="1" si="271">IFERROR(($L136-$I136)/ABS($I136),0)</f>
        <v>0</v>
      </c>
      <c r="O136" s="4">
        <f ca="1">-SUMIFS(INDIRECT("Tab_00.Trial["&amp;O$4&amp;"]"),Tab_00.Trial[CONTA],$B136)</f>
        <v>9890598.9800000004</v>
      </c>
      <c r="P136" s="78">
        <f ca="1">IFERROR($O136/$O$146,0)</f>
        <v>0.1183</v>
      </c>
      <c r="Q136" s="78">
        <f t="shared" ref="Q136:Q137" ca="1" si="272">IFERROR(($O136-$L136)/ABS($L136),0)</f>
        <v>0</v>
      </c>
      <c r="R136" s="4">
        <f ca="1">-SUMIFS(INDIRECT("Tab_00.Trial["&amp;R$4&amp;"]"),Tab_00.Trial[CONTA],$B136)</f>
        <v>9890598.9800000004</v>
      </c>
      <c r="S136" s="78">
        <f ca="1">IFERROR($R136/$R$146,0)</f>
        <v>0.1178</v>
      </c>
      <c r="T136" s="78">
        <f t="shared" ref="T136:T137" ca="1" si="273">IFERROR(($R136-$O136)/ABS($O136),0)</f>
        <v>0</v>
      </c>
      <c r="U136" s="4">
        <f ca="1">-SUMIFS(INDIRECT("Tab_00.Trial["&amp;U$4&amp;"]"),Tab_00.Trial[CONTA],$B136)</f>
        <v>9890598.9800000004</v>
      </c>
      <c r="V136" s="78">
        <f ca="1">IFERROR($U136/$U$146,0)</f>
        <v>0.11749999999999999</v>
      </c>
      <c r="W136" s="78">
        <f t="shared" ref="W136:W137" ca="1" si="274">IFERROR(($U136-$R136)/ABS($R136),0)</f>
        <v>0</v>
      </c>
      <c r="X136" s="4">
        <f ca="1">-SUMIFS(INDIRECT("Tab_00.Trial["&amp;X$4&amp;"]"),Tab_00.Trial[CONTA],$B136)</f>
        <v>9890598.9800000004</v>
      </c>
      <c r="Y136" s="78">
        <f ca="1">IFERROR($X136/$X$146,0)</f>
        <v>0.1167</v>
      </c>
      <c r="Z136" s="78">
        <f t="shared" ref="Z136:Z137" ca="1" si="275">IFERROR(($X136-$U136)/ABS($U136),0)</f>
        <v>0</v>
      </c>
      <c r="AA136" s="4">
        <f ca="1">-SUMIFS(INDIRECT("Tab_00.Trial["&amp;AA$4&amp;"]"),Tab_00.Trial[CONTA],$B136)</f>
        <v>9890598.9800000004</v>
      </c>
      <c r="AB136" s="78">
        <f ca="1">IFERROR($AA136/$AA$146,0)</f>
        <v>0.1162</v>
      </c>
      <c r="AC136" s="78">
        <f t="shared" ref="AC136:AC137" ca="1" si="276">IFERROR(($AA136-$X136)/ABS($X136),0)</f>
        <v>0</v>
      </c>
      <c r="AD136" s="4">
        <f ca="1">-SUMIFS(INDIRECT("Tab_00.Trial["&amp;AD$4&amp;"]"),Tab_00.Trial[CONTA],$B136)</f>
        <v>9890598.9800000004</v>
      </c>
      <c r="AE136" s="78">
        <f ca="1">IFERROR($AD136/$AD$146,0)</f>
        <v>0.1162</v>
      </c>
      <c r="AF136" s="78">
        <f t="shared" ref="AF136:AF137" ca="1" si="277">IFERROR(($AD136-$AA136)/ABS($AA136),0)</f>
        <v>0</v>
      </c>
      <c r="AG136" s="4">
        <f ca="1">-SUMIFS(INDIRECT("Tab_00.Trial["&amp;AG$4&amp;"]"),Tab_00.Trial[CONTA],$B136)</f>
        <v>9890598.9800000004</v>
      </c>
      <c r="AH136" s="78">
        <f ca="1">IFERROR($AG136/$AG$146,0)</f>
        <v>0.1159</v>
      </c>
      <c r="AI136" s="78">
        <f t="shared" ref="AI136:AI137" ca="1" si="278">IFERROR(($AG136-$AD136)/ABS($AD136),0)</f>
        <v>0</v>
      </c>
      <c r="AJ136" s="4">
        <f ca="1">-SUMIFS(INDIRECT("Tab_00.Trial["&amp;AJ$4&amp;"]"),Tab_00.Trial[CONTA],$B136)</f>
        <v>9890598.9800000004</v>
      </c>
      <c r="AK136" s="78">
        <f ca="1">IFERROR($AJ136/$AJ$146,0)</f>
        <v>0.1154</v>
      </c>
      <c r="AL136" s="78">
        <f t="shared" ref="AL136:AL137" ca="1" si="279">IFERROR(($AJ136-$AG136)/ABS($AG136),0)</f>
        <v>0</v>
      </c>
      <c r="AM136" s="4">
        <f ca="1">-SUMIFS(INDIRECT("Tab_00.Trial["&amp;AM$4&amp;"]"),Tab_00.Trial[CONTA],$B136)</f>
        <v>10928430.220000001</v>
      </c>
      <c r="AN136" s="78">
        <f ca="1">IFERROR(AM136/AM$146,0)</f>
        <v>0.12770000000000001</v>
      </c>
      <c r="AO136" s="78">
        <f t="shared" ref="AO136:AO137" ca="1" si="280">IFERROR(($AM136-$AJ136)/ABS($AJ136),0)</f>
        <v>0.10489999999999999</v>
      </c>
      <c r="AQ136" s="142"/>
    </row>
    <row r="137" spans="2:43" ht="15" hidden="1" customHeight="1" outlineLevel="1" x14ac:dyDescent="0.3">
      <c r="B137" s="14"/>
      <c r="C137" s="15"/>
      <c r="D137" s="4">
        <f>-SUMIFS(Tab_99.Trial[DEZEMBRO],Tab_99.Trial[CONTA],$B137)</f>
        <v>0</v>
      </c>
      <c r="E137" s="78">
        <f ca="1">IFERROR($D137/$D$146,0)</f>
        <v>0</v>
      </c>
      <c r="F137" s="4">
        <f ca="1">-SUMIFS(INDIRECT("Tab_00.Trial["&amp;F$4&amp;"]"),Tab_00.Trial[CONTA],$B137)</f>
        <v>0</v>
      </c>
      <c r="G137" s="78">
        <f ca="1">IFERROR($F137/$F$146,0)</f>
        <v>0</v>
      </c>
      <c r="H137" s="78">
        <f t="shared" ca="1" si="269"/>
        <v>0</v>
      </c>
      <c r="I137" s="4">
        <f ca="1">-SUMIFS(INDIRECT("Tab_00.Trial["&amp;I$4&amp;"]"),Tab_00.Trial[CONTA],$B137)</f>
        <v>0</v>
      </c>
      <c r="J137" s="78">
        <f ca="1">IFERROR($I137/$I$146,0)</f>
        <v>0</v>
      </c>
      <c r="K137" s="78">
        <f t="shared" ca="1" si="270"/>
        <v>0</v>
      </c>
      <c r="L137" s="4">
        <f ca="1">-SUMIFS(INDIRECT("Tab_00.Trial["&amp;L$4&amp;"]"),Tab_00.Trial[CONTA],$B137)</f>
        <v>0</v>
      </c>
      <c r="M137" s="78">
        <f ca="1">IFERROR($L137/$L$146,0)</f>
        <v>0</v>
      </c>
      <c r="N137" s="78">
        <f t="shared" ca="1" si="271"/>
        <v>0</v>
      </c>
      <c r="O137" s="4">
        <f ca="1">-SUMIFS(INDIRECT("Tab_00.Trial["&amp;O$4&amp;"]"),Tab_00.Trial[CONTA],$B137)</f>
        <v>0</v>
      </c>
      <c r="P137" s="78">
        <f ca="1">IFERROR($O137/$O$146,0)</f>
        <v>0</v>
      </c>
      <c r="Q137" s="78">
        <f t="shared" ca="1" si="272"/>
        <v>0</v>
      </c>
      <c r="R137" s="4">
        <f ca="1">-SUMIFS(INDIRECT("Tab_00.Trial["&amp;R$4&amp;"]"),Tab_00.Trial[CONTA],$B137)</f>
        <v>0</v>
      </c>
      <c r="S137" s="78">
        <f ca="1">IFERROR($R137/$R$146,0)</f>
        <v>0</v>
      </c>
      <c r="T137" s="78">
        <f t="shared" ca="1" si="273"/>
        <v>0</v>
      </c>
      <c r="U137" s="4">
        <f ca="1">-SUMIFS(INDIRECT("Tab_00.Trial["&amp;U$4&amp;"]"),Tab_00.Trial[CONTA],$B137)</f>
        <v>0</v>
      </c>
      <c r="V137" s="78">
        <f ca="1">IFERROR($U137/$U$146,0)</f>
        <v>0</v>
      </c>
      <c r="W137" s="78">
        <f t="shared" ca="1" si="274"/>
        <v>0</v>
      </c>
      <c r="X137" s="4">
        <f ca="1">-SUMIFS(INDIRECT("Tab_00.Trial["&amp;X$4&amp;"]"),Tab_00.Trial[CONTA],$B137)</f>
        <v>0</v>
      </c>
      <c r="Y137" s="78">
        <f ca="1">IFERROR($X137/$X$146,0)</f>
        <v>0</v>
      </c>
      <c r="Z137" s="78">
        <f t="shared" ca="1" si="275"/>
        <v>0</v>
      </c>
      <c r="AA137" s="4">
        <f ca="1">-SUMIFS(INDIRECT("Tab_00.Trial["&amp;AA$4&amp;"]"),Tab_00.Trial[CONTA],$B137)</f>
        <v>0</v>
      </c>
      <c r="AB137" s="78">
        <f ca="1">IFERROR($AA137/$AA$146,0)</f>
        <v>0</v>
      </c>
      <c r="AC137" s="78">
        <f t="shared" ca="1" si="276"/>
        <v>0</v>
      </c>
      <c r="AD137" s="4">
        <f ca="1">-SUMIFS(INDIRECT("Tab_00.Trial["&amp;AD$4&amp;"]"),Tab_00.Trial[CONTA],$B137)</f>
        <v>0</v>
      </c>
      <c r="AE137" s="78">
        <f ca="1">IFERROR($AD137/$AD$146,0)</f>
        <v>0</v>
      </c>
      <c r="AF137" s="78">
        <f t="shared" ca="1" si="277"/>
        <v>0</v>
      </c>
      <c r="AG137" s="4">
        <f ca="1">-SUMIFS(INDIRECT("Tab_00.Trial["&amp;AG$4&amp;"]"),Tab_00.Trial[CONTA],$B137)</f>
        <v>0</v>
      </c>
      <c r="AH137" s="78">
        <f ca="1">IFERROR($AG137/$AG$146,0)</f>
        <v>0</v>
      </c>
      <c r="AI137" s="78">
        <f t="shared" ca="1" si="278"/>
        <v>0</v>
      </c>
      <c r="AJ137" s="4">
        <f ca="1">-SUMIFS(INDIRECT("Tab_00.Trial["&amp;AJ$4&amp;"]"),Tab_00.Trial[CONTA],$B137)</f>
        <v>0</v>
      </c>
      <c r="AK137" s="78">
        <f ca="1">IFERROR($AJ137/$AJ$146,0)</f>
        <v>0</v>
      </c>
      <c r="AL137" s="78">
        <f t="shared" ca="1" si="279"/>
        <v>0</v>
      </c>
      <c r="AM137" s="4">
        <f ca="1">-SUMIFS(INDIRECT("Tab_00.Trial["&amp;AM$4&amp;"]"),Tab_00.Trial[CONTA],$B137)</f>
        <v>0</v>
      </c>
      <c r="AN137" s="78">
        <f ca="1">IFERROR(AM137/AM$146,0)</f>
        <v>0</v>
      </c>
      <c r="AO137" s="78">
        <f t="shared" ca="1" si="280"/>
        <v>0</v>
      </c>
      <c r="AQ137" s="142"/>
    </row>
    <row r="138" spans="2:43" ht="15" hidden="1" customHeight="1" outlineLevel="1" x14ac:dyDescent="0.3">
      <c r="B138" s="14"/>
      <c r="C138" s="15"/>
      <c r="AQ138" s="142"/>
    </row>
    <row r="139" spans="2:43" ht="5.0999999999999996" hidden="1" customHeight="1" outlineLevel="1" x14ac:dyDescent="0.3">
      <c r="B139" s="74"/>
      <c r="C139" s="75"/>
      <c r="D139" s="76"/>
      <c r="E139" s="77"/>
      <c r="F139" s="76"/>
      <c r="G139" s="77"/>
      <c r="H139" s="77"/>
      <c r="I139" s="76"/>
      <c r="J139" s="77"/>
      <c r="K139" s="77"/>
      <c r="L139" s="76"/>
      <c r="M139" s="77"/>
      <c r="N139" s="77"/>
      <c r="O139" s="76"/>
      <c r="P139" s="77"/>
      <c r="Q139" s="77"/>
      <c r="R139" s="76"/>
      <c r="S139" s="77"/>
      <c r="T139" s="77"/>
      <c r="U139" s="76"/>
      <c r="V139" s="77"/>
      <c r="W139" s="77"/>
      <c r="X139" s="76"/>
      <c r="Y139" s="77"/>
      <c r="Z139" s="77"/>
      <c r="AA139" s="76"/>
      <c r="AB139" s="77"/>
      <c r="AC139" s="77"/>
      <c r="AD139" s="76"/>
      <c r="AE139" s="77"/>
      <c r="AF139" s="77"/>
      <c r="AG139" s="76"/>
      <c r="AH139" s="77"/>
      <c r="AI139" s="77"/>
      <c r="AJ139" s="76"/>
      <c r="AK139" s="77"/>
      <c r="AL139" s="77"/>
      <c r="AM139" s="76"/>
      <c r="AN139" s="77"/>
      <c r="AO139" s="77"/>
    </row>
    <row r="140" spans="2:43" ht="15" customHeight="1" collapsed="1" x14ac:dyDescent="0.3">
      <c r="C140" s="14" t="s">
        <v>161</v>
      </c>
      <c r="D140" s="4">
        <f ca="1">SUBTOTAL(9,D$141:D$143)</f>
        <v>0</v>
      </c>
      <c r="E140" s="78">
        <f ca="1">IFERROR($D140/$D$146,0)</f>
        <v>0</v>
      </c>
      <c r="F140" s="4">
        <f ca="1">SUBTOTAL(9,F$141:F$143)</f>
        <v>-111264.76</v>
      </c>
      <c r="G140" s="78">
        <f ca="1">IFERROR($F140/$F$146,0)</f>
        <v>-1.2999999999999999E-3</v>
      </c>
      <c r="H140" s="78">
        <f ca="1">IFERROR(($F140-$D140)/ABS($D140),0)</f>
        <v>0</v>
      </c>
      <c r="I140" s="4">
        <f ca="1">SUBTOTAL(9,I$141:I$143)</f>
        <v>-607664.65</v>
      </c>
      <c r="J140" s="78">
        <f ca="1">IFERROR($I140/$I$146,0)</f>
        <v>-7.3000000000000001E-3</v>
      </c>
      <c r="K140" s="78">
        <f ca="1">IFERROR(($I140-$F140)/ABS($F140),0)</f>
        <v>-4.4614000000000003</v>
      </c>
      <c r="L140" s="4">
        <f ca="1">SUBTOTAL(9,L$141:L$143)</f>
        <v>-72348.78</v>
      </c>
      <c r="M140" s="78">
        <f ca="1">IFERROR($L140/$L$146,0)</f>
        <v>-8.9999999999999998E-4</v>
      </c>
      <c r="N140" s="78">
        <f ca="1">IFERROR(($L140-$I140)/ABS($I140),0)</f>
        <v>0.88090000000000002</v>
      </c>
      <c r="O140" s="4">
        <f ca="1">SUBTOTAL(9,O$141:O$143)</f>
        <v>-70070.58</v>
      </c>
      <c r="P140" s="78">
        <f ca="1">IFERROR($O140/$O$146,0)</f>
        <v>-8.0000000000000004E-4</v>
      </c>
      <c r="Q140" s="78">
        <f ca="1">IFERROR(($O140-$L140)/ABS($L140),0)</f>
        <v>3.15E-2</v>
      </c>
      <c r="R140" s="4">
        <f ca="1">SUBTOTAL(9,R$141:R$143)</f>
        <v>392435.31</v>
      </c>
      <c r="S140" s="78">
        <f ca="1">IFERROR($R140/$R$146,0)</f>
        <v>4.7000000000000002E-3</v>
      </c>
      <c r="T140" s="78">
        <f ca="1">IFERROR(($R140-$O140)/ABS($O140),0)</f>
        <v>6.6006</v>
      </c>
      <c r="U140" s="4">
        <f ca="1">SUBTOTAL(9,U$141:U$143)</f>
        <v>743999.31</v>
      </c>
      <c r="V140" s="78">
        <f ca="1">IFERROR($U140/$U$146,0)</f>
        <v>8.8000000000000005E-3</v>
      </c>
      <c r="W140" s="78">
        <f ca="1">IFERROR(($U140-$R140)/ABS($R140),0)</f>
        <v>0.89590000000000003</v>
      </c>
      <c r="X140" s="4">
        <f ca="1">SUBTOTAL(9,X$141:X$143)</f>
        <v>1153079.26</v>
      </c>
      <c r="Y140" s="78">
        <f ca="1">IFERROR($X140/$X$146,0)</f>
        <v>1.3599999999999999E-2</v>
      </c>
      <c r="Z140" s="78">
        <f ca="1">IFERROR(($X140-$U140)/ABS($U140),0)</f>
        <v>0.54979999999999996</v>
      </c>
      <c r="AA140" s="4">
        <f ca="1">SUBTOTAL(9,AA$141:AA$143)</f>
        <v>1489465.21</v>
      </c>
      <c r="AB140" s="78">
        <f ca="1">IFERROR($AA140/$AA$146,0)</f>
        <v>1.7500000000000002E-2</v>
      </c>
      <c r="AC140" s="78">
        <f ca="1">IFERROR(($AA140-$X140)/ABS($X140),0)</f>
        <v>0.29170000000000001</v>
      </c>
      <c r="AD140" s="4">
        <f ca="1">SUBTOTAL(9,AD$141:AD$143)</f>
        <v>1552093.27</v>
      </c>
      <c r="AE140" s="78">
        <f ca="1">IFERROR($AD140/$AD$146,0)</f>
        <v>1.8200000000000001E-2</v>
      </c>
      <c r="AF140" s="78">
        <f ca="1">IFERROR(($AD140-$AA140)/ABS($AA140),0)</f>
        <v>4.2000000000000003E-2</v>
      </c>
      <c r="AG140" s="4">
        <f ca="1">SUBTOTAL(9,AG$141:AG$143)</f>
        <v>1779024.45</v>
      </c>
      <c r="AH140" s="78">
        <f ca="1">IFERROR($AG140/$AG$146,0)</f>
        <v>2.0799999999999999E-2</v>
      </c>
      <c r="AI140" s="78">
        <f ca="1">IFERROR(($AG140-$AD140)/ABS($AD140),0)</f>
        <v>0.1462</v>
      </c>
      <c r="AJ140" s="4">
        <f ca="1">SUBTOTAL(9,AJ$141:AJ$143)</f>
        <v>2280383.38</v>
      </c>
      <c r="AK140" s="78">
        <f ca="1">IFERROR($AJ140/$AJ$146,0)</f>
        <v>2.6599999999999999E-2</v>
      </c>
      <c r="AL140" s="78">
        <f ca="1">IFERROR(($AJ140-$AG140)/ABS($AG140),0)</f>
        <v>0.28179999999999999</v>
      </c>
      <c r="AM140" s="4">
        <f ca="1">SUBTOTAL(9,AM$141:AM$143)</f>
        <v>1789341.58</v>
      </c>
      <c r="AN140" s="78">
        <f ca="1">IFERROR(AM140/AM$146,0)</f>
        <v>2.0899999999999998E-2</v>
      </c>
      <c r="AO140" s="78">
        <f ca="1">IFERROR(($AM140-$AJ140)/ABS($AJ140),0)</f>
        <v>-0.21529999999999999</v>
      </c>
    </row>
    <row r="141" spans="2:43" ht="15" hidden="1" customHeight="1" outlineLevel="1" x14ac:dyDescent="0.3">
      <c r="B141" s="14"/>
      <c r="C141" s="15" t="s">
        <v>121</v>
      </c>
      <c r="D141" s="4">
        <f ca="1">-par_99.LL</f>
        <v>0</v>
      </c>
      <c r="E141" s="78">
        <f ca="1">IFERROR($D141/$D$146,0)</f>
        <v>0</v>
      </c>
      <c r="F141" s="4">
        <f ca="1">par_01.LL</f>
        <v>-111264.76</v>
      </c>
      <c r="G141" s="78">
        <f ca="1">IFERROR($F141/$F$146,0)</f>
        <v>-1.2999999999999999E-3</v>
      </c>
      <c r="H141" s="78">
        <f t="shared" ref="H141:H142" ca="1" si="281">IFERROR(($F141-$D141)/ABS($D141),0)</f>
        <v>0</v>
      </c>
      <c r="I141" s="4">
        <f ca="1">par_02.LL</f>
        <v>-607664.65</v>
      </c>
      <c r="J141" s="78">
        <f ca="1">IFERROR($I141/$I$146,0)</f>
        <v>-7.3000000000000001E-3</v>
      </c>
      <c r="K141" s="78">
        <f t="shared" ref="K141:K142" ca="1" si="282">IFERROR(($I141-$F141)/ABS($F141),0)</f>
        <v>-4.4614000000000003</v>
      </c>
      <c r="L141" s="4">
        <f ca="1">par_03.LL</f>
        <v>-72348.78</v>
      </c>
      <c r="M141" s="78">
        <f ca="1">IFERROR($L141/$L$146,0)</f>
        <v>-8.9999999999999998E-4</v>
      </c>
      <c r="N141" s="78">
        <f t="shared" ref="N141:N142" ca="1" si="283">IFERROR(($L141-$I141)/ABS($I141),0)</f>
        <v>0.88090000000000002</v>
      </c>
      <c r="O141" s="4">
        <f ca="1">par_04.LL</f>
        <v>-70070.58</v>
      </c>
      <c r="P141" s="78">
        <f ca="1">IFERROR($O141/$O$146,0)</f>
        <v>-8.0000000000000004E-4</v>
      </c>
      <c r="Q141" s="78">
        <f t="shared" ref="Q141:Q142" ca="1" si="284">IFERROR(($O141-$L141)/ABS($L141),0)</f>
        <v>3.15E-2</v>
      </c>
      <c r="R141" s="4">
        <f ca="1">par_05.LL</f>
        <v>392435.31</v>
      </c>
      <c r="S141" s="78">
        <f ca="1">IFERROR($R141/$R$146,0)</f>
        <v>4.7000000000000002E-3</v>
      </c>
      <c r="T141" s="78">
        <f t="shared" ref="T141:T142" ca="1" si="285">IFERROR(($R141-$O141)/ABS($O141),0)</f>
        <v>6.6006</v>
      </c>
      <c r="U141" s="4">
        <f ca="1">par_06.LL</f>
        <v>743999.31</v>
      </c>
      <c r="V141" s="78">
        <f ca="1">IFERROR($U141/$U$146,0)</f>
        <v>8.8000000000000005E-3</v>
      </c>
      <c r="W141" s="78">
        <f t="shared" ref="W141:W142" ca="1" si="286">IFERROR(($U141-$R141)/ABS($R141),0)</f>
        <v>0.89590000000000003</v>
      </c>
      <c r="X141" s="4">
        <f ca="1">par_07.LL</f>
        <v>1153079.26</v>
      </c>
      <c r="Y141" s="78">
        <f ca="1">IFERROR($X141/$X$146,0)</f>
        <v>1.3599999999999999E-2</v>
      </c>
      <c r="Z141" s="78">
        <f t="shared" ref="Z141:Z142" ca="1" si="287">IFERROR(($X141-$U141)/ABS($U141),0)</f>
        <v>0.54979999999999996</v>
      </c>
      <c r="AA141" s="4">
        <f ca="1">par_08.LL</f>
        <v>1489465.21</v>
      </c>
      <c r="AB141" s="78">
        <f ca="1">IFERROR($AA141/$AA$146,0)</f>
        <v>1.7500000000000002E-2</v>
      </c>
      <c r="AC141" s="78">
        <f t="shared" ref="AC141:AC142" ca="1" si="288">IFERROR(($AA141-$X141)/ABS($X141),0)</f>
        <v>0.29170000000000001</v>
      </c>
      <c r="AD141" s="4">
        <f ca="1">par_09.LL</f>
        <v>1552093.27</v>
      </c>
      <c r="AE141" s="78">
        <f ca="1">IFERROR($AD141/$AD$146,0)</f>
        <v>1.8200000000000001E-2</v>
      </c>
      <c r="AF141" s="78">
        <f t="shared" ref="AF141:AF142" ca="1" si="289">IFERROR(($AD141-$AA141)/ABS($AA141),0)</f>
        <v>4.2000000000000003E-2</v>
      </c>
      <c r="AG141" s="4">
        <f ca="1">par_10.LL</f>
        <v>1779024.45</v>
      </c>
      <c r="AH141" s="78">
        <f ca="1">IFERROR($AG141/$AG$146,0)</f>
        <v>2.0799999999999999E-2</v>
      </c>
      <c r="AI141" s="78">
        <f t="shared" ref="AI141:AI142" ca="1" si="290">IFERROR(($AG141-$AD141)/ABS($AD141),0)</f>
        <v>0.1462</v>
      </c>
      <c r="AJ141" s="4">
        <f ca="1">par_11.LL</f>
        <v>2280383.38</v>
      </c>
      <c r="AK141" s="78">
        <f ca="1">IFERROR($AJ141/$AJ$146,0)</f>
        <v>2.6599999999999999E-2</v>
      </c>
      <c r="AL141" s="78">
        <f t="shared" ref="AL141:AL142" ca="1" si="291">IFERROR(($AJ141-$AG141)/ABS($AG141),0)</f>
        <v>0.28179999999999999</v>
      </c>
      <c r="AM141" s="4">
        <f ca="1">par_12.LL</f>
        <v>1789341.58</v>
      </c>
      <c r="AN141" s="78">
        <f ca="1">IFERROR(AM141/AM$146,0)</f>
        <v>2.0899999999999998E-2</v>
      </c>
      <c r="AO141" s="78">
        <f t="shared" ref="AO141:AO142" ca="1" si="292">IFERROR(($AM141-$AJ141)/ABS($AJ141),0)</f>
        <v>-0.21529999999999999</v>
      </c>
    </row>
    <row r="142" spans="2:43" ht="15" hidden="1" customHeight="1" outlineLevel="1" x14ac:dyDescent="0.3">
      <c r="B142" s="14"/>
      <c r="C142" s="15"/>
      <c r="D142" s="4">
        <f>-SUMIFS(Tab_99.Trial[DEZEMBRO],Tab_99.Trial[CONTA],$B142)</f>
        <v>0</v>
      </c>
      <c r="E142" s="78">
        <f ca="1">IFERROR($D142/$D$146,0)</f>
        <v>0</v>
      </c>
      <c r="F142" s="4">
        <f ca="1">-SUMIFS(INDIRECT("Tab_00.Trial["&amp;F$4&amp;"]"),Tab_00.Trial[CONTA],$B142)</f>
        <v>0</v>
      </c>
      <c r="G142" s="78">
        <f ca="1">IFERROR($F142/$F$146,0)</f>
        <v>0</v>
      </c>
      <c r="H142" s="78">
        <f t="shared" ca="1" si="281"/>
        <v>0</v>
      </c>
      <c r="I142" s="4">
        <f ca="1">-SUMIFS(INDIRECT("Tab_00.Trial["&amp;I$4&amp;"]"),Tab_00.Trial[CONTA],$B142)</f>
        <v>0</v>
      </c>
      <c r="J142" s="78">
        <f ca="1">IFERROR($I142/$I$146,0)</f>
        <v>0</v>
      </c>
      <c r="K142" s="78">
        <f t="shared" ca="1" si="282"/>
        <v>0</v>
      </c>
      <c r="L142" s="4">
        <f ca="1">-SUMIFS(INDIRECT("Tab_00.Trial["&amp;L$4&amp;"]"),Tab_00.Trial[CONTA],$B142)</f>
        <v>0</v>
      </c>
      <c r="M142" s="78">
        <f ca="1">IFERROR($L142/$L$146,0)</f>
        <v>0</v>
      </c>
      <c r="N142" s="78">
        <f t="shared" ca="1" si="283"/>
        <v>0</v>
      </c>
      <c r="O142" s="4">
        <f ca="1">-SUMIFS(INDIRECT("Tab_00.Trial["&amp;O$4&amp;"]"),Tab_00.Trial[CONTA],$B142)</f>
        <v>0</v>
      </c>
      <c r="P142" s="78">
        <f ca="1">IFERROR($O142/$O$146,0)</f>
        <v>0</v>
      </c>
      <c r="Q142" s="78">
        <f t="shared" ca="1" si="284"/>
        <v>0</v>
      </c>
      <c r="R142" s="4">
        <f ca="1">-SUMIFS(INDIRECT("Tab_00.Trial["&amp;R$4&amp;"]"),Tab_00.Trial[CONTA],$B142)</f>
        <v>0</v>
      </c>
      <c r="S142" s="78">
        <f ca="1">IFERROR($R142/$R$146,0)</f>
        <v>0</v>
      </c>
      <c r="T142" s="78">
        <f t="shared" ca="1" si="285"/>
        <v>0</v>
      </c>
      <c r="U142" s="4">
        <f ca="1">-SUMIFS(INDIRECT("Tab_00.Trial["&amp;U$4&amp;"]"),Tab_00.Trial[CONTA],$B142)</f>
        <v>0</v>
      </c>
      <c r="V142" s="78">
        <f ca="1">IFERROR($U142/$U$146,0)</f>
        <v>0</v>
      </c>
      <c r="W142" s="78">
        <f t="shared" ca="1" si="286"/>
        <v>0</v>
      </c>
      <c r="X142" s="4">
        <f ca="1">-SUMIFS(INDIRECT("Tab_00.Trial["&amp;X$4&amp;"]"),Tab_00.Trial[CONTA],$B142)</f>
        <v>0</v>
      </c>
      <c r="Y142" s="78">
        <f ca="1">IFERROR($X142/$X$146,0)</f>
        <v>0</v>
      </c>
      <c r="Z142" s="78">
        <f t="shared" ca="1" si="287"/>
        <v>0</v>
      </c>
      <c r="AA142" s="4">
        <f ca="1">-SUMIFS(INDIRECT("Tab_00.Trial["&amp;AA$4&amp;"]"),Tab_00.Trial[CONTA],$B142)</f>
        <v>0</v>
      </c>
      <c r="AB142" s="78">
        <f ca="1">IFERROR($AA142/$AA$146,0)</f>
        <v>0</v>
      </c>
      <c r="AC142" s="78">
        <f t="shared" ca="1" si="288"/>
        <v>0</v>
      </c>
      <c r="AD142" s="4">
        <f ca="1">-SUMIFS(INDIRECT("Tab_00.Trial["&amp;AD$4&amp;"]"),Tab_00.Trial[CONTA],$B142)</f>
        <v>0</v>
      </c>
      <c r="AE142" s="78">
        <f ca="1">IFERROR($AD142/$AD$146,0)</f>
        <v>0</v>
      </c>
      <c r="AF142" s="78">
        <f t="shared" ca="1" si="289"/>
        <v>0</v>
      </c>
      <c r="AG142" s="4">
        <f ca="1">-SUMIFS(INDIRECT("Tab_00.Trial["&amp;AG$4&amp;"]"),Tab_00.Trial[CONTA],$B142)</f>
        <v>0</v>
      </c>
      <c r="AH142" s="78">
        <f ca="1">IFERROR($AG142/$AG$146,0)</f>
        <v>0</v>
      </c>
      <c r="AI142" s="78">
        <f t="shared" ca="1" si="290"/>
        <v>0</v>
      </c>
      <c r="AJ142" s="4">
        <f ca="1">-SUMIFS(INDIRECT("Tab_00.Trial["&amp;AJ$4&amp;"]"),Tab_00.Trial[CONTA],$B142)</f>
        <v>0</v>
      </c>
      <c r="AK142" s="78">
        <f ca="1">IFERROR($AJ142/$AJ$146,0)</f>
        <v>0</v>
      </c>
      <c r="AL142" s="78">
        <f t="shared" ca="1" si="291"/>
        <v>0</v>
      </c>
      <c r="AM142" s="4">
        <f ca="1">-SUMIFS(INDIRECT("Tab_00.Trial["&amp;AM$4&amp;"]"),Tab_00.Trial[CONTA],$B142)</f>
        <v>0</v>
      </c>
      <c r="AN142" s="78">
        <f ca="1">IFERROR(AM142/AM$146,0)</f>
        <v>0</v>
      </c>
      <c r="AO142" s="78">
        <f t="shared" ca="1" si="292"/>
        <v>0</v>
      </c>
    </row>
    <row r="143" spans="2:43" ht="5.0999999999999996" hidden="1" customHeight="1" outlineLevel="1" x14ac:dyDescent="0.3">
      <c r="B143" s="74"/>
      <c r="C143" s="75"/>
      <c r="D143" s="76"/>
      <c r="E143" s="77"/>
      <c r="F143" s="76"/>
      <c r="G143" s="77"/>
      <c r="H143" s="77"/>
      <c r="I143" s="76"/>
      <c r="J143" s="77"/>
      <c r="K143" s="77"/>
      <c r="L143" s="76"/>
      <c r="M143" s="77"/>
      <c r="N143" s="77"/>
      <c r="O143" s="76"/>
      <c r="P143" s="77"/>
      <c r="Q143" s="77"/>
      <c r="R143" s="76"/>
      <c r="S143" s="77"/>
      <c r="T143" s="77"/>
      <c r="U143" s="76"/>
      <c r="V143" s="77"/>
      <c r="W143" s="77"/>
      <c r="X143" s="76"/>
      <c r="Y143" s="77"/>
      <c r="Z143" s="77"/>
      <c r="AA143" s="76"/>
      <c r="AB143" s="77"/>
      <c r="AC143" s="77"/>
      <c r="AD143" s="76"/>
      <c r="AE143" s="77"/>
      <c r="AF143" s="77"/>
      <c r="AG143" s="76"/>
      <c r="AH143" s="77"/>
      <c r="AI143" s="77"/>
      <c r="AJ143" s="76"/>
      <c r="AK143" s="77"/>
      <c r="AL143" s="77"/>
      <c r="AM143" s="76"/>
      <c r="AN143" s="77"/>
      <c r="AO143" s="77"/>
    </row>
    <row r="144" spans="2:43" ht="15" customHeight="1" collapsed="1" x14ac:dyDescent="0.3">
      <c r="D144" s="16">
        <f ca="1">SUBTOTAL(9,D$124:D$143)</f>
        <v>0</v>
      </c>
      <c r="E144" s="80">
        <f ca="1">IFERROR($D144/$D$146,0)</f>
        <v>0</v>
      </c>
      <c r="F144" s="16">
        <f ca="1">SUBTOTAL(9,F$124:F$143)</f>
        <v>81976702.969999999</v>
      </c>
      <c r="G144" s="80">
        <f ca="1">IFERROR($F144/$F$146,0)</f>
        <v>0.9778</v>
      </c>
      <c r="H144" s="80">
        <f t="shared" ref="H144" ca="1" si="293">IFERROR(($F144-$D144)/ABS($D144),0)</f>
        <v>0</v>
      </c>
      <c r="I144" s="16">
        <f ca="1">SUBTOTAL(9,I$124:I$143)</f>
        <v>81480303.079999998</v>
      </c>
      <c r="J144" s="80">
        <f ca="1">IFERROR($I144/$I$146,0)</f>
        <v>0.97950000000000004</v>
      </c>
      <c r="K144" s="80">
        <f t="shared" ref="K144" ca="1" si="294">IFERROR(($I144-$F144)/ABS($F144),0)</f>
        <v>-6.1000000000000004E-3</v>
      </c>
      <c r="L144" s="16">
        <f ca="1">SUBTOTAL(9,L$124:L$143)</f>
        <v>82015618.950000003</v>
      </c>
      <c r="M144" s="80">
        <f ca="1">IFERROR($L144/$L$146,0)</f>
        <v>0.98499999999999999</v>
      </c>
      <c r="N144" s="80">
        <f t="shared" ref="N144" ca="1" si="295">IFERROR(($L144-$I144)/ABS($I144),0)</f>
        <v>6.6E-3</v>
      </c>
      <c r="O144" s="16">
        <f ca="1">SUBTOTAL(9,O$124:O$143)</f>
        <v>82017897.150000006</v>
      </c>
      <c r="P144" s="80">
        <f ca="1">IFERROR($O144/$O$146,0)</f>
        <v>0.98089999999999999</v>
      </c>
      <c r="Q144" s="80">
        <f t="shared" ref="Q144" ca="1" si="296">IFERROR(($O144-$L144)/ABS($L144),0)</f>
        <v>0</v>
      </c>
      <c r="R144" s="16">
        <f ca="1">SUBTOTAL(9,R$124:R$143)</f>
        <v>82480403.040000007</v>
      </c>
      <c r="S144" s="80">
        <f ca="1">IFERROR($R144/$R$146,0)</f>
        <v>0.98250000000000004</v>
      </c>
      <c r="T144" s="80">
        <f t="shared" ref="T144" ca="1" si="297">IFERROR(($R144-$O144)/ABS($O144),0)</f>
        <v>5.5999999999999999E-3</v>
      </c>
      <c r="U144" s="16">
        <f ca="1">SUBTOTAL(9,U$124:U$143)</f>
        <v>82831967.040000007</v>
      </c>
      <c r="V144" s="80">
        <f ca="1">IFERROR($U144/$U$146,0)</f>
        <v>0.9839</v>
      </c>
      <c r="W144" s="80">
        <f t="shared" ref="W144" ca="1" si="298">IFERROR(($U144-$R144)/ABS($R144),0)</f>
        <v>4.3E-3</v>
      </c>
      <c r="X144" s="16">
        <f ca="1">SUBTOTAL(9,X$124:X$143)</f>
        <v>83241046.989999995</v>
      </c>
      <c r="Y144" s="80">
        <f ca="1">IFERROR($X144/$X$146,0)</f>
        <v>0.98240000000000005</v>
      </c>
      <c r="Z144" s="80">
        <f t="shared" ref="Z144" ca="1" si="299">IFERROR(($X144-$U144)/ABS($U144),0)</f>
        <v>4.8999999999999998E-3</v>
      </c>
      <c r="AA144" s="16">
        <f ca="1">SUBTOTAL(9,AA$124:AA$143)</f>
        <v>83577432.939999998</v>
      </c>
      <c r="AB144" s="80">
        <f ca="1">IFERROR($AA144/$AA$146,0)</f>
        <v>0.98180000000000001</v>
      </c>
      <c r="AC144" s="80">
        <f t="shared" ref="AC144" ca="1" si="300">IFERROR(($AA144-$X144)/ABS($X144),0)</f>
        <v>4.0000000000000001E-3</v>
      </c>
      <c r="AD144" s="16">
        <f ca="1">SUBTOTAL(9,AD$124:AD$143)</f>
        <v>83640061</v>
      </c>
      <c r="AE144" s="80">
        <f ca="1">IFERROR($AD144/$AD$146,0)</f>
        <v>0.98250000000000004</v>
      </c>
      <c r="AF144" s="80">
        <f t="shared" ref="AF144" ca="1" si="301">IFERROR(($AD144-$AA144)/ABS($AA144),0)</f>
        <v>6.9999999999999999E-4</v>
      </c>
      <c r="AG144" s="16">
        <f ca="1">SUBTOTAL(9,AG$124:AG$143)</f>
        <v>83866992.180000007</v>
      </c>
      <c r="AH144" s="80">
        <f ca="1">IFERROR($AG144/$AG$146,0)</f>
        <v>0.98260000000000003</v>
      </c>
      <c r="AI144" s="80">
        <f t="shared" ref="AI144" ca="1" si="302">IFERROR(($AG144-$AD144)/ABS($AD144),0)</f>
        <v>2.7000000000000001E-3</v>
      </c>
      <c r="AJ144" s="16">
        <f ca="1">SUBTOTAL(9,AJ$124:AJ$143)</f>
        <v>84368351.109999999</v>
      </c>
      <c r="AK144" s="80">
        <f ca="1">IFERROR($AJ144/$AJ$146,0)</f>
        <v>0.98480000000000001</v>
      </c>
      <c r="AL144" s="80">
        <f t="shared" ref="AL144" ca="1" si="303">IFERROR(($AJ144-$AG144)/ABS($AG144),0)</f>
        <v>6.0000000000000001E-3</v>
      </c>
      <c r="AM144" s="16">
        <f ca="1">SUBTOTAL(9,AM$124:AM$143)</f>
        <v>84915140.549999997</v>
      </c>
      <c r="AN144" s="80">
        <f ca="1">IFERROR(AM144/AM$146,0)</f>
        <v>0.99239999999999995</v>
      </c>
      <c r="AO144" s="80">
        <f t="shared" ref="AO144" ca="1" si="304">IFERROR(($AM144-$AJ144)/ABS($AJ144),0)</f>
        <v>6.4999999999999997E-3</v>
      </c>
    </row>
    <row r="145" spans="3:41" ht="9.9" customHeight="1" x14ac:dyDescent="0.3"/>
    <row r="146" spans="3:41" ht="20.100000000000001" customHeight="1" thickBot="1" x14ac:dyDescent="0.35">
      <c r="C146" s="17" t="s">
        <v>49</v>
      </c>
      <c r="D146" s="18">
        <f ca="1">SUBTOTAL(9,D$5:D$145)</f>
        <v>0</v>
      </c>
      <c r="E146" s="81">
        <f ca="1">IFERROR($D146/$D$146,0)</f>
        <v>0</v>
      </c>
      <c r="F146" s="18">
        <f ca="1">SUBTOTAL(9,F$5:F$145)</f>
        <v>83838931.319999993</v>
      </c>
      <c r="G146" s="81">
        <f ca="1">IFERROR($F146/$F$146,0)</f>
        <v>1</v>
      </c>
      <c r="H146" s="81">
        <f ca="1">IFERROR(($F146-$D146)/ABS($D146),0)</f>
        <v>0</v>
      </c>
      <c r="I146" s="18">
        <f ca="1">SUBTOTAL(9,I$5:I$145)</f>
        <v>83183649.450000003</v>
      </c>
      <c r="J146" s="81">
        <f ca="1">IFERROR($I146/$I$146,0)</f>
        <v>1</v>
      </c>
      <c r="K146" s="81">
        <f ca="1">IFERROR(($I146-$F146)/ABS($F146),0)</f>
        <v>-7.7999999999999996E-3</v>
      </c>
      <c r="L146" s="18">
        <f ca="1">SUBTOTAL(9,L$5:L$145)</f>
        <v>83266768.689999998</v>
      </c>
      <c r="M146" s="81">
        <f ca="1">IFERROR($L146/$L$146,0)</f>
        <v>1</v>
      </c>
      <c r="N146" s="81">
        <f ca="1">IFERROR(($L146-$I146)/ABS($I146),0)</f>
        <v>1E-3</v>
      </c>
      <c r="O146" s="18">
        <f ca="1">SUBTOTAL(9,O$5:O$145)</f>
        <v>83616244.030000001</v>
      </c>
      <c r="P146" s="81">
        <f ca="1">IFERROR($O146/$O$146,0)</f>
        <v>1</v>
      </c>
      <c r="Q146" s="81">
        <f ca="1">IFERROR(($O146-$L146)/ABS($L146),0)</f>
        <v>4.1999999999999997E-3</v>
      </c>
      <c r="R146" s="18">
        <f ca="1">SUBTOTAL(9,R$5:R$145)</f>
        <v>83951070.920000002</v>
      </c>
      <c r="S146" s="81">
        <f ca="1">IFERROR($R146/$R$146,0)</f>
        <v>1</v>
      </c>
      <c r="T146" s="81">
        <f ca="1">IFERROR(($R146-$O146)/ABS($O146),0)</f>
        <v>4.0000000000000001E-3</v>
      </c>
      <c r="U146" s="18">
        <f ca="1">SUBTOTAL(9,U$5:U$145)</f>
        <v>84190298.299999997</v>
      </c>
      <c r="V146" s="81">
        <f ca="1">IFERROR($U146/$U$146,0)</f>
        <v>1</v>
      </c>
      <c r="W146" s="81">
        <f ca="1">IFERROR(($U146-$R146)/ABS($R146),0)</f>
        <v>2.8E-3</v>
      </c>
      <c r="X146" s="18">
        <f ca="1">SUBTOTAL(9,X$5:X$145)</f>
        <v>84733754.090000004</v>
      </c>
      <c r="Y146" s="81">
        <f ca="1">IFERROR($X146/$X$146,0)</f>
        <v>1</v>
      </c>
      <c r="Z146" s="81">
        <f ca="1">IFERROR(($X146-$U146)/ABS($U146),0)</f>
        <v>6.4999999999999997E-3</v>
      </c>
      <c r="AA146" s="18">
        <f ca="1">SUBTOTAL(9,AA$5:AA$145)</f>
        <v>85129496.230000004</v>
      </c>
      <c r="AB146" s="81">
        <f ca="1">IFERROR($AA146/$AA$146,0)</f>
        <v>1</v>
      </c>
      <c r="AC146" s="81">
        <f ca="1">IFERROR(($AA146-$X146)/ABS($X146),0)</f>
        <v>4.7000000000000002E-3</v>
      </c>
      <c r="AD146" s="18">
        <f ca="1">SUBTOTAL(9,AD$5:AD$145)</f>
        <v>85129419.170000002</v>
      </c>
      <c r="AE146" s="81">
        <f ca="1">IFERROR($AD146/$AD$146,0)</f>
        <v>1</v>
      </c>
      <c r="AF146" s="81">
        <f ca="1">IFERROR(($AD146-$AA146)/ABS($AA146),0)</f>
        <v>0</v>
      </c>
      <c r="AG146" s="18">
        <f ca="1">SUBTOTAL(9,AG$5:AG$145)</f>
        <v>85355176.530000001</v>
      </c>
      <c r="AH146" s="81">
        <f ca="1">IFERROR($AG146/$AG$146,0)</f>
        <v>1</v>
      </c>
      <c r="AI146" s="81">
        <f ca="1">IFERROR(($AG146-$AD146)/ABS($AD146),0)</f>
        <v>2.7000000000000001E-3</v>
      </c>
      <c r="AJ146" s="18">
        <f ca="1">SUBTOTAL(9,AJ$5:AJ$145)</f>
        <v>85670972.069999993</v>
      </c>
      <c r="AK146" s="81">
        <f ca="1">IFERROR($AJ146/$AJ$146,0)</f>
        <v>1</v>
      </c>
      <c r="AL146" s="81">
        <f ca="1">IFERROR(($AJ146-$AG146)/ABS($AG146),0)</f>
        <v>3.7000000000000002E-3</v>
      </c>
      <c r="AM146" s="18">
        <f ca="1">SUBTOTAL(9,AM$5:AM$145)</f>
        <v>85565083.819999993</v>
      </c>
      <c r="AN146" s="81">
        <f ca="1">IFERROR(AM146/AM$146,0)</f>
        <v>1</v>
      </c>
      <c r="AO146" s="81">
        <f ca="1">IFERROR(($AM146-$AJ146)/ABS($AJ146),0)</f>
        <v>-1.1999999999999999E-3</v>
      </c>
    </row>
    <row r="147" spans="3:41" ht="14.4" thickTop="1" x14ac:dyDescent="0.3"/>
    <row r="148" spans="3:41" ht="13.8" x14ac:dyDescent="0.3">
      <c r="C148" s="17" t="s">
        <v>63</v>
      </c>
      <c r="D148" s="11">
        <f ca="1">D$146-ATIVO!D$160</f>
        <v>0</v>
      </c>
      <c r="F148" s="11">
        <f ca="1">F$146-ATIVO!F$160</f>
        <v>0</v>
      </c>
      <c r="I148" s="11">
        <f ca="1">I$146-ATIVO!I$160</f>
        <v>0</v>
      </c>
      <c r="L148" s="11">
        <f ca="1">L$146-ATIVO!L$160</f>
        <v>0</v>
      </c>
      <c r="O148" s="11">
        <f ca="1">O$146-ATIVO!O$160</f>
        <v>0</v>
      </c>
      <c r="R148" s="11">
        <f ca="1">R$146-ATIVO!R$160</f>
        <v>0</v>
      </c>
      <c r="U148" s="11">
        <f ca="1">U$146-ATIVO!U$160</f>
        <v>0</v>
      </c>
      <c r="X148" s="11">
        <f ca="1">X$146-ATIVO!X$160</f>
        <v>0</v>
      </c>
      <c r="AA148" s="11">
        <f ca="1">AA$146-ATIVO!AA$160</f>
        <v>0</v>
      </c>
      <c r="AD148" s="11">
        <f ca="1">AD$146-ATIVO!AD$160</f>
        <v>0</v>
      </c>
      <c r="AG148" s="11">
        <f ca="1">AG$146-ATIVO!AG$160</f>
        <v>0</v>
      </c>
      <c r="AJ148" s="11">
        <f ca="1">AJ$146-ATIVO!AJ$160</f>
        <v>0</v>
      </c>
      <c r="AM148" s="11">
        <f ca="1">AM$146-ATIVO!AM$160</f>
        <v>0</v>
      </c>
    </row>
  </sheetData>
  <sheetProtection autoFilter="0"/>
  <dataValidations disablePrompts="1" count="1">
    <dataValidation type="custom" allowBlank="1" showInputMessage="1" showErrorMessage="1" error="Inserir linhas acima!!!" sqref="B14:AO14 B38:AO38 B53:AO53 B57:AO57 B62:AO62 B117:AO117 B121:AO121 B19:AO19 B143:AO143 B110:AO110 B103:AO103 B128:AO128 B113:AO113 B139:AO139 B132:AO132" xr:uid="{DE6DE784-E736-428D-99AB-8E5626F9EEA3}">
      <formula1>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CAB81-5DED-4C0D-B3F9-0678BA0C9945}">
  <sheetPr codeName="Planilha6">
    <outlinePr summaryBelow="0" summaryRight="0"/>
  </sheetPr>
  <dimension ref="B2:AO242"/>
  <sheetViews>
    <sheetView showGridLines="0" zoomScale="115" zoomScaleNormal="115" workbookViewId="0">
      <pane xSplit="3" ySplit="4" topLeftCell="AF216" activePane="bottomRight" state="frozen"/>
      <selection activeCell="D5" sqref="D5"/>
      <selection pane="topRight" activeCell="D5" sqref="D5"/>
      <selection pane="bottomLeft" activeCell="D5" sqref="D5"/>
      <selection pane="bottomRight" activeCell="AL230" sqref="AL230"/>
    </sheetView>
  </sheetViews>
  <sheetFormatPr defaultColWidth="8.88671875" defaultRowHeight="13.8" outlineLevelRow="1" x14ac:dyDescent="0.3"/>
  <cols>
    <col min="1" max="1" width="2.6640625" style="1" customWidth="1"/>
    <col min="2" max="2" width="20.6640625" style="3" customWidth="1"/>
    <col min="3" max="3" width="50.6640625" style="1" customWidth="1"/>
    <col min="4" max="4" width="15.6640625" style="4" customWidth="1"/>
    <col min="5" max="5" width="8.6640625" style="78" customWidth="1"/>
    <col min="6" max="6" width="15.6640625" style="4" customWidth="1"/>
    <col min="7" max="8" width="8.6640625" style="78" customWidth="1"/>
    <col min="9" max="9" width="15.6640625" style="4" customWidth="1"/>
    <col min="10" max="11" width="8.6640625" style="78" customWidth="1"/>
    <col min="12" max="12" width="15.6640625" style="4" customWidth="1"/>
    <col min="13" max="14" width="8.6640625" style="78" customWidth="1"/>
    <col min="15" max="15" width="15.6640625" style="4" customWidth="1"/>
    <col min="16" max="17" width="8.6640625" style="78" customWidth="1"/>
    <col min="18" max="18" width="15.6640625" style="4" customWidth="1"/>
    <col min="19" max="19" width="8.6640625" style="78" customWidth="1"/>
    <col min="20" max="20" width="10.44140625" style="78" bestFit="1" customWidth="1"/>
    <col min="21" max="21" width="15.6640625" style="4" customWidth="1"/>
    <col min="22" max="23" width="8.6640625" style="78" customWidth="1"/>
    <col min="24" max="24" width="15.6640625" style="4" customWidth="1"/>
    <col min="25" max="26" width="8.6640625" style="78" customWidth="1"/>
    <col min="27" max="27" width="15.6640625" style="4" customWidth="1"/>
    <col min="28" max="29" width="8.6640625" style="78" customWidth="1"/>
    <col min="30" max="30" width="15.6640625" style="4" customWidth="1"/>
    <col min="31" max="32" width="8.6640625" style="78" customWidth="1"/>
    <col min="33" max="33" width="15.6640625" style="4" customWidth="1"/>
    <col min="34" max="35" width="8.6640625" style="78" customWidth="1"/>
    <col min="36" max="36" width="15.6640625" style="4" customWidth="1" collapsed="1"/>
    <col min="37" max="38" width="8.6640625" style="78" customWidth="1"/>
    <col min="39" max="39" width="12.44140625" style="1" bestFit="1" customWidth="1"/>
    <col min="40" max="40" width="11" style="1" bestFit="1" customWidth="1"/>
    <col min="41" max="16384" width="8.88671875" style="1"/>
  </cols>
  <sheetData>
    <row r="2" spans="2:39" x14ac:dyDescent="0.3">
      <c r="C2" s="17" t="s">
        <v>64</v>
      </c>
      <c r="R2" s="4">
        <v>862209.08</v>
      </c>
      <c r="U2" s="4">
        <f ca="1">U123/7</f>
        <v>-3241.31</v>
      </c>
    </row>
    <row r="4" spans="2:39" ht="24.9" customHeight="1" x14ac:dyDescent="0.3">
      <c r="D4" s="20" t="s">
        <v>3</v>
      </c>
      <c r="E4" s="84" t="s">
        <v>47</v>
      </c>
      <c r="F4" s="20" t="s">
        <v>4</v>
      </c>
      <c r="G4" s="84" t="s">
        <v>47</v>
      </c>
      <c r="H4" s="84" t="s">
        <v>48</v>
      </c>
      <c r="I4" s="20" t="s">
        <v>5</v>
      </c>
      <c r="J4" s="84" t="s">
        <v>47</v>
      </c>
      <c r="K4" s="84" t="s">
        <v>48</v>
      </c>
      <c r="L4" s="20" t="s">
        <v>6</v>
      </c>
      <c r="M4" s="84" t="s">
        <v>47</v>
      </c>
      <c r="N4" s="84" t="s">
        <v>48</v>
      </c>
      <c r="O4" s="20" t="s">
        <v>7</v>
      </c>
      <c r="P4" s="84" t="s">
        <v>47</v>
      </c>
      <c r="Q4" s="84" t="s">
        <v>48</v>
      </c>
      <c r="R4" s="20" t="s">
        <v>8</v>
      </c>
      <c r="S4" s="84" t="s">
        <v>47</v>
      </c>
      <c r="T4" s="84" t="s">
        <v>48</v>
      </c>
      <c r="U4" s="20" t="s">
        <v>9</v>
      </c>
      <c r="V4" s="84" t="s">
        <v>47</v>
      </c>
      <c r="W4" s="84" t="s">
        <v>48</v>
      </c>
      <c r="X4" s="20" t="s">
        <v>10</v>
      </c>
      <c r="Y4" s="84" t="s">
        <v>47</v>
      </c>
      <c r="Z4" s="84" t="s">
        <v>48</v>
      </c>
      <c r="AA4" s="20" t="s">
        <v>11</v>
      </c>
      <c r="AB4" s="84" t="s">
        <v>47</v>
      </c>
      <c r="AC4" s="84" t="s">
        <v>48</v>
      </c>
      <c r="AD4" s="20" t="s">
        <v>12</v>
      </c>
      <c r="AE4" s="84" t="s">
        <v>47</v>
      </c>
      <c r="AF4" s="84" t="s">
        <v>48</v>
      </c>
      <c r="AG4" s="20" t="s">
        <v>13</v>
      </c>
      <c r="AH4" s="84" t="s">
        <v>47</v>
      </c>
      <c r="AI4" s="84" t="s">
        <v>48</v>
      </c>
      <c r="AJ4" s="20" t="s">
        <v>14</v>
      </c>
      <c r="AK4" s="84" t="s">
        <v>47</v>
      </c>
      <c r="AL4" s="84" t="s">
        <v>48</v>
      </c>
    </row>
    <row r="5" spans="2:39" ht="9.9" customHeight="1" x14ac:dyDescent="0.3">
      <c r="C5" s="17"/>
      <c r="D5" s="7"/>
      <c r="E5" s="79"/>
      <c r="F5" s="7"/>
      <c r="G5" s="79"/>
      <c r="H5" s="79"/>
      <c r="I5" s="7"/>
      <c r="J5" s="79"/>
      <c r="K5" s="79"/>
      <c r="L5" s="7"/>
      <c r="M5" s="79"/>
      <c r="N5" s="79"/>
      <c r="O5" s="7"/>
      <c r="P5" s="79"/>
      <c r="Q5" s="79"/>
      <c r="R5" s="7"/>
      <c r="S5" s="79"/>
      <c r="T5" s="79"/>
      <c r="U5" s="7"/>
      <c r="V5" s="79"/>
      <c r="W5" s="79"/>
      <c r="X5" s="7"/>
      <c r="Y5" s="79"/>
      <c r="Z5" s="79"/>
      <c r="AA5" s="7"/>
      <c r="AB5" s="79"/>
      <c r="AC5" s="79"/>
      <c r="AD5" s="7"/>
      <c r="AE5" s="79"/>
      <c r="AF5" s="79"/>
      <c r="AG5" s="7"/>
      <c r="AH5" s="79"/>
      <c r="AI5" s="79"/>
      <c r="AJ5" s="7"/>
      <c r="AK5" s="79"/>
      <c r="AL5" s="79"/>
    </row>
    <row r="6" spans="2:39" ht="15" customHeight="1" x14ac:dyDescent="0.3">
      <c r="B6" s="3" t="s">
        <v>101</v>
      </c>
      <c r="C6" s="1" t="s">
        <v>145</v>
      </c>
      <c r="D6" s="4">
        <f ca="1">SUBTOTAL(9,D$7:D$24)</f>
        <v>949895.11</v>
      </c>
      <c r="E6" s="78">
        <f ca="1">IFERROR($D6/$D$6,0)</f>
        <v>1</v>
      </c>
      <c r="F6" s="4">
        <f ca="1">SUBTOTAL(9,F$7:F$24)</f>
        <v>1925231.14</v>
      </c>
      <c r="G6" s="78">
        <f ca="1">IFERROR($F6/$F$6,0)</f>
        <v>1</v>
      </c>
      <c r="H6" s="78">
        <f ca="1">IFERROR(($F6-$D6)/ABS($D6),0)</f>
        <v>1.0267999999999999</v>
      </c>
      <c r="I6" s="4">
        <f ca="1">SUBTOTAL(9,I$7:I$24)</f>
        <v>2976060.21</v>
      </c>
      <c r="J6" s="78">
        <f ca="1">IFERROR($I6/$I$6,0)</f>
        <v>1</v>
      </c>
      <c r="K6" s="78">
        <f ca="1">IFERROR(($I6-$F6)/ABS($F6),0)</f>
        <v>0.54579999999999995</v>
      </c>
      <c r="L6" s="4">
        <f ca="1">SUBTOTAL(9,L$7:L$24)</f>
        <v>4082787.39</v>
      </c>
      <c r="M6" s="78">
        <f ca="1">IFERROR($L6/$L$6,0)</f>
        <v>1</v>
      </c>
      <c r="N6" s="78">
        <f ca="1">IFERROR(($L6-$I6)/ABS($I6),0)</f>
        <v>0.37190000000000001</v>
      </c>
      <c r="O6" s="4">
        <f ca="1">SUBTOTAL(9,O$7:O$24)</f>
        <v>5295079.75</v>
      </c>
      <c r="P6" s="78">
        <f ca="1">IFERROR($O6/$O$6,0)</f>
        <v>1</v>
      </c>
      <c r="Q6" s="78">
        <f ca="1">IFERROR(($O6-$L6)/ABS($L6),0)</f>
        <v>0.2969</v>
      </c>
      <c r="R6" s="4">
        <f ca="1">SUBTOTAL(9,R$7:R$24)</f>
        <v>6303337.3700000001</v>
      </c>
      <c r="S6" s="78">
        <f ca="1">IFERROR($R6/$R$6,0)</f>
        <v>1</v>
      </c>
      <c r="T6" s="78">
        <f ca="1">IFERROR(($R6-$O6)/ABS($O6),0)</f>
        <v>0.19040000000000001</v>
      </c>
      <c r="U6" s="4">
        <f ca="1">SUBTOTAL(9,U$7:U$24)</f>
        <v>7378371.2699999996</v>
      </c>
      <c r="V6" s="78">
        <f ca="1">IFERROR($U6/$U$6,0)</f>
        <v>1</v>
      </c>
      <c r="W6" s="78">
        <f ca="1">IFERROR(($U6-$R6)/ABS($R6),0)</f>
        <v>0.17050000000000001</v>
      </c>
      <c r="X6" s="4">
        <f ca="1">SUBTOTAL(9,X$7:X$24)</f>
        <v>8420268.0099999998</v>
      </c>
      <c r="Y6" s="78">
        <f ca="1">IFERROR($X6/$X$6,0)</f>
        <v>1</v>
      </c>
      <c r="Z6" s="78">
        <f ca="1">IFERROR(($X6-$U6)/ABS($U6),0)</f>
        <v>0.14119999999999999</v>
      </c>
      <c r="AA6" s="4">
        <f ca="1">SUBTOTAL(9,AA$7:AA$24)</f>
        <v>9394417.0600000005</v>
      </c>
      <c r="AB6" s="78">
        <f ca="1">IFERROR($AA6/$AA$6,0)</f>
        <v>1</v>
      </c>
      <c r="AC6" s="78">
        <f ca="1">IFERROR(($AA6-$X6)/ABS($X6),0)</f>
        <v>0.1157</v>
      </c>
      <c r="AD6" s="4">
        <f ca="1">SUBTOTAL(9,AD$7:AD$24)</f>
        <v>10637863.52</v>
      </c>
      <c r="AE6" s="78">
        <f ca="1">IFERROR($AD6/$AD$6,0)</f>
        <v>1</v>
      </c>
      <c r="AF6" s="78">
        <f ca="1">IFERROR(($AD6-$AA6)/ABS($AA6),0)</f>
        <v>0.13239999999999999</v>
      </c>
      <c r="AG6" s="4">
        <f ca="1">SUBTOTAL(9,AG$7:AG$24)</f>
        <v>11555636.890000001</v>
      </c>
      <c r="AH6" s="78">
        <f ca="1">IFERROR($AG6/$AG$6,0)</f>
        <v>1</v>
      </c>
      <c r="AI6" s="78">
        <f ca="1">IFERROR(($AG6-$AD6)/ABS($AD6),0)</f>
        <v>8.6300000000000002E-2</v>
      </c>
      <c r="AJ6" s="4">
        <f ca="1">SUBTOTAL(9,AJ$7:AJ$24)</f>
        <v>13039607.33</v>
      </c>
      <c r="AK6" s="78">
        <f ca="1">IFERROR($AJ6/$AJ$6,0)</f>
        <v>1</v>
      </c>
      <c r="AL6" s="78">
        <f ca="1">IFERROR(($AJ6-$AG6)/ABS($AG6),0)</f>
        <v>0.12839999999999999</v>
      </c>
    </row>
    <row r="7" spans="2:39" ht="15" customHeight="1" outlineLevel="1" x14ac:dyDescent="0.3">
      <c r="B7" s="14" t="s">
        <v>194</v>
      </c>
      <c r="C7" s="15" t="s">
        <v>367</v>
      </c>
      <c r="D7" s="4">
        <f ca="1">-SUMIFS(INDIRECT("Tab_00.Trial["&amp;D$4&amp;"]"),Tab_00.Trial[CONTA],$B7)</f>
        <v>122569.24</v>
      </c>
      <c r="E7" s="78">
        <f ca="1">IFERROR($D7/$D$6,0)</f>
        <v>0.129</v>
      </c>
      <c r="F7" s="4">
        <f ca="1">-SUMIFS(INDIRECT("Tab_00.Trial["&amp;F$4&amp;"]"),Tab_00.Trial[CONTA],$B7)</f>
        <v>227807.2</v>
      </c>
      <c r="G7" s="78">
        <f t="shared" ref="G7:G23" ca="1" si="0">IFERROR($F7/$F$6,0)</f>
        <v>0.1183</v>
      </c>
      <c r="H7" s="78">
        <f ca="1">IFERROR(($F7-$D7)/ABS($D7),0)</f>
        <v>0.85860000000000003</v>
      </c>
      <c r="I7" s="4">
        <f ca="1">-SUMIFS(INDIRECT("Tab_00.Trial["&amp;I$4&amp;"]"),Tab_00.Trial[CONTA],$B7)</f>
        <v>382498.04</v>
      </c>
      <c r="J7" s="78">
        <f t="shared" ref="J7:J23" ca="1" si="1">IFERROR($I7/$I$6,0)</f>
        <v>0.1285</v>
      </c>
      <c r="K7" s="78">
        <f t="shared" ref="K7:K23" ca="1" si="2">IFERROR(($I7-$F7)/ABS($F7),0)</f>
        <v>0.67900000000000005</v>
      </c>
      <c r="L7" s="4">
        <f ca="1">-SUMIFS(INDIRECT("Tab_00.Trial["&amp;L$4&amp;"]"),Tab_00.Trial[CONTA],$B7)</f>
        <v>514787.48</v>
      </c>
      <c r="M7" s="78">
        <f t="shared" ref="M7:M23" ca="1" si="3">IFERROR($L7/$L$6,0)</f>
        <v>0.12609999999999999</v>
      </c>
      <c r="N7" s="78">
        <f t="shared" ref="N7:N23" ca="1" si="4">IFERROR(($L7-$I7)/ABS($I7),0)</f>
        <v>0.34589999999999999</v>
      </c>
      <c r="O7" s="4">
        <f ca="1">-SUMIFS(INDIRECT("Tab_00.Trial["&amp;O$4&amp;"]"),Tab_00.Trial[CONTA],$B7)</f>
        <v>652647.16</v>
      </c>
      <c r="P7" s="78">
        <f t="shared" ref="P7:P23" ca="1" si="5">IFERROR($O7/$O$6,0)</f>
        <v>0.12330000000000001</v>
      </c>
      <c r="Q7" s="78">
        <f t="shared" ref="Q7:Q23" ca="1" si="6">IFERROR(($O7-$L7)/ABS($L7),0)</f>
        <v>0.26779999999999998</v>
      </c>
      <c r="R7" s="4">
        <f ca="1">-SUMIFS(INDIRECT("Tab_00.Trial["&amp;R$4&amp;"]"),Tab_00.Trial[CONTA],$B7)</f>
        <v>782226.4</v>
      </c>
      <c r="S7" s="78">
        <f t="shared" ref="S7:S23" ca="1" si="7">IFERROR($R7/$R$6,0)</f>
        <v>0.1241</v>
      </c>
      <c r="T7" s="78">
        <f t="shared" ref="T7:T23" ca="1" si="8">IFERROR(($R7-$O7)/ABS($O7),0)</f>
        <v>0.19850000000000001</v>
      </c>
      <c r="U7" s="4">
        <f ca="1">-SUMIFS(INDIRECT("Tab_00.Trial["&amp;U$4&amp;"]"),Tab_00.Trial[CONTA],$B7)</f>
        <v>916108.28</v>
      </c>
      <c r="V7" s="78">
        <f t="shared" ref="V7:V23" ca="1" si="9">IFERROR($U7/$U$6,0)</f>
        <v>0.1242</v>
      </c>
      <c r="W7" s="78">
        <f t="shared" ref="W7:W23" ca="1" si="10">IFERROR(($U7-$R7)/ABS($R7),0)</f>
        <v>0.17119999999999999</v>
      </c>
      <c r="X7" s="4">
        <f ca="1">-SUMIFS(INDIRECT("Tab_00.Trial["&amp;X$4&amp;"]"),Tab_00.Trial[CONTA],$B7)</f>
        <v>1056206.8400000001</v>
      </c>
      <c r="Y7" s="78">
        <f ca="1">IFERROR($X7/$X$6,0)</f>
        <v>0.12540000000000001</v>
      </c>
      <c r="Z7" s="78">
        <f ca="1">IFERROR(($X7-$U7)/ABS($U7),0)</f>
        <v>0.15290000000000001</v>
      </c>
      <c r="AA7" s="4">
        <f ca="1">-SUMIFS(INDIRECT("Tab_00.Trial["&amp;AA$4&amp;"]"),Tab_00.Trial[CONTA],$B7)</f>
        <v>1184785.28</v>
      </c>
      <c r="AB7" s="78">
        <f t="shared" ref="AB7:AB23" ca="1" si="11">IFERROR($AA7/$AA$6,0)</f>
        <v>0.12609999999999999</v>
      </c>
      <c r="AC7" s="78">
        <f t="shared" ref="AC7:AC23" ca="1" si="12">IFERROR(($AA7-$X7)/ABS($X7),0)</f>
        <v>0.1217</v>
      </c>
      <c r="AD7" s="4">
        <f ca="1">-SUMIFS(INDIRECT("Tab_00.Trial["&amp;AD$4&amp;"]"),Tab_00.Trial[CONTA],$B7)</f>
        <v>1333697.1200000001</v>
      </c>
      <c r="AE7" s="78">
        <f t="shared" ref="AE7:AE23" ca="1" si="13">IFERROR($AD7/$AD$6,0)</f>
        <v>0.12540000000000001</v>
      </c>
      <c r="AF7" s="78">
        <f t="shared" ref="AF7:AF23" ca="1" si="14">IFERROR(($AD7-$AA7)/ABS($AA7),0)</f>
        <v>0.12570000000000001</v>
      </c>
      <c r="AG7" s="4">
        <f ca="1">-SUMIFS(INDIRECT("Tab_00.Trial["&amp;AG$4&amp;"]"),Tab_00.Trial[CONTA],$B7)</f>
        <v>1443114.24</v>
      </c>
      <c r="AH7" s="78">
        <f t="shared" ref="AH7:AH23" ca="1" si="15">IFERROR($AG7/$AG$6,0)</f>
        <v>0.1249</v>
      </c>
      <c r="AI7" s="78">
        <f t="shared" ref="AI7:AI23" ca="1" si="16">IFERROR(($AG7-$AD7)/ABS($AD7),0)</f>
        <v>8.2000000000000003E-2</v>
      </c>
      <c r="AJ7" s="4">
        <f ca="1">-SUMIFS(INDIRECT("Tab_00.Trial["&amp;AJ$4&amp;"]"),Tab_00.Trial[CONTA],$B7)</f>
        <v>1555909.28</v>
      </c>
      <c r="AK7" s="78">
        <f t="shared" ref="AK7:AK23" ca="1" si="17">IFERROR($AJ7/$AJ$6,0)</f>
        <v>0.1193</v>
      </c>
      <c r="AL7" s="78">
        <f t="shared" ref="AL7:AL23" ca="1" si="18">IFERROR(($AJ7-$AG7)/ABS($AG7),0)</f>
        <v>7.8200000000000006E-2</v>
      </c>
    </row>
    <row r="8" spans="2:39" ht="15" customHeight="1" outlineLevel="1" x14ac:dyDescent="0.3">
      <c r="B8" s="14" t="s">
        <v>737</v>
      </c>
      <c r="C8" s="14" t="s">
        <v>422</v>
      </c>
      <c r="D8" s="4">
        <f ca="1">-SUMIFS(INDIRECT("Tab_00.Trial["&amp;D$4&amp;"]"),Tab_00.Trial[CONTA],$B8)</f>
        <v>187419.37</v>
      </c>
      <c r="E8" s="78">
        <f ca="1">IFERROR($D8/$D$6,0)</f>
        <v>0.1973</v>
      </c>
      <c r="F8" s="4">
        <f ca="1">-SUMIFS(INDIRECT("Tab_00.Trial["&amp;F$4&amp;"]"),Tab_00.Trial[CONTA],$B8)</f>
        <v>434953.93</v>
      </c>
      <c r="G8" s="78">
        <f t="shared" ca="1" si="0"/>
        <v>0.22589999999999999</v>
      </c>
      <c r="H8" s="78">
        <f ca="1">IFERROR(($F8-$D8)/ABS($D8),0)</f>
        <v>1.3208</v>
      </c>
      <c r="I8" s="4">
        <f ca="1">-SUMIFS(INDIRECT("Tab_00.Trial["&amp;I$4&amp;"]"),Tab_00.Trial[CONTA],$B8)</f>
        <v>682368.86</v>
      </c>
      <c r="J8" s="78">
        <f t="shared" ca="1" si="1"/>
        <v>0.2293</v>
      </c>
      <c r="K8" s="78">
        <f t="shared" ca="1" si="2"/>
        <v>0.56879999999999997</v>
      </c>
      <c r="L8" s="4">
        <f ca="1">-SUMIFS(INDIRECT("Tab_00.Trial["&amp;L$4&amp;"]"),Tab_00.Trial[CONTA],$B8)</f>
        <v>862584.28</v>
      </c>
      <c r="M8" s="78">
        <f t="shared" ca="1" si="3"/>
        <v>0.21129999999999999</v>
      </c>
      <c r="N8" s="78">
        <f t="shared" ca="1" si="4"/>
        <v>0.2641</v>
      </c>
      <c r="O8" s="4">
        <f ca="1">-SUMIFS(INDIRECT("Tab_00.Trial["&amp;O$4&amp;"]"),Tab_00.Trial[CONTA],$B8)</f>
        <v>1195265.1000000001</v>
      </c>
      <c r="P8" s="78">
        <f t="shared" ca="1" si="5"/>
        <v>0.22570000000000001</v>
      </c>
      <c r="Q8" s="78">
        <f t="shared" ca="1" si="6"/>
        <v>0.38569999999999999</v>
      </c>
      <c r="R8" s="4">
        <f ca="1">-SUMIFS(INDIRECT("Tab_00.Trial["&amp;R$4&amp;"]"),Tab_00.Trial[CONTA],$B8)</f>
        <v>1379286.95</v>
      </c>
      <c r="S8" s="78">
        <f t="shared" ca="1" si="7"/>
        <v>0.21879999999999999</v>
      </c>
      <c r="T8" s="78">
        <f t="shared" ca="1" si="8"/>
        <v>0.154</v>
      </c>
      <c r="U8" s="4">
        <f ca="1">-SUMIFS(INDIRECT("Tab_00.Trial["&amp;U$4&amp;"]"),Tab_00.Trial[CONTA],$B8)</f>
        <v>1702436.3</v>
      </c>
      <c r="V8" s="78">
        <f t="shared" ca="1" si="9"/>
        <v>0.23069999999999999</v>
      </c>
      <c r="W8" s="78">
        <f t="shared" ca="1" si="10"/>
        <v>0.23430000000000001</v>
      </c>
      <c r="X8" s="4">
        <f ca="1">-SUMIFS(INDIRECT("Tab_00.Trial["&amp;X$4&amp;"]"),Tab_00.Trial[CONTA],$B8)</f>
        <v>1927127.25</v>
      </c>
      <c r="Y8" s="78">
        <f ca="1">IFERROR($X8/$X$6,0)</f>
        <v>0.22889999999999999</v>
      </c>
      <c r="Z8" s="78">
        <f ca="1">IFERROR(($X8-$U8)/ABS($U8),0)</f>
        <v>0.13200000000000001</v>
      </c>
      <c r="AA8" s="4">
        <f ca="1">-SUMIFS(INDIRECT("Tab_00.Trial["&amp;AA$4&amp;"]"),Tab_00.Trial[CONTA],$B8)</f>
        <v>2125464.3199999998</v>
      </c>
      <c r="AB8" s="78">
        <f t="shared" ca="1" si="11"/>
        <v>0.22620000000000001</v>
      </c>
      <c r="AC8" s="78">
        <f t="shared" ca="1" si="12"/>
        <v>0.10290000000000001</v>
      </c>
      <c r="AD8" s="4">
        <f ca="1">-SUMIFS(INDIRECT("Tab_00.Trial["&amp;AD$4&amp;"]"),Tab_00.Trial[CONTA],$B8)</f>
        <v>2555246.16</v>
      </c>
      <c r="AE8" s="78">
        <f t="shared" ca="1" si="13"/>
        <v>0.2402</v>
      </c>
      <c r="AF8" s="78">
        <f t="shared" ca="1" si="14"/>
        <v>0.20219999999999999</v>
      </c>
      <c r="AG8" s="4">
        <f ca="1">-SUMIFS(INDIRECT("Tab_00.Trial["&amp;AG$4&amp;"]"),Tab_00.Trial[CONTA],$B8)</f>
        <v>2743319.47</v>
      </c>
      <c r="AH8" s="78">
        <f t="shared" ca="1" si="15"/>
        <v>0.2374</v>
      </c>
      <c r="AI8" s="78">
        <f t="shared" ca="1" si="16"/>
        <v>7.3599999999999999E-2</v>
      </c>
      <c r="AJ8" s="4">
        <f ca="1">-SUMIFS(INDIRECT("Tab_00.Trial["&amp;AJ$4&amp;"]"),Tab_00.Trial[CONTA],$B8)</f>
        <v>3185948.49</v>
      </c>
      <c r="AK8" s="78">
        <f t="shared" ca="1" si="17"/>
        <v>0.24429999999999999</v>
      </c>
      <c r="AL8" s="78">
        <f t="shared" ca="1" si="18"/>
        <v>0.1613</v>
      </c>
    </row>
    <row r="9" spans="2:39" ht="15" customHeight="1" outlineLevel="1" x14ac:dyDescent="0.3">
      <c r="B9" s="14" t="s">
        <v>368</v>
      </c>
      <c r="C9" s="15" t="s">
        <v>369</v>
      </c>
      <c r="D9" s="4">
        <f ca="1">-SUMIFS(INDIRECT("Tab_00.Trial["&amp;D$4&amp;"]"),Tab_00.Trial[CONTA],$B9)</f>
        <v>52200</v>
      </c>
      <c r="E9" s="78">
        <f ca="1">IFERROR($D9/$D$6,0)</f>
        <v>5.5E-2</v>
      </c>
      <c r="F9" s="4">
        <f ca="1">-SUMIFS(INDIRECT("Tab_00.Trial["&amp;F$4&amp;"]"),Tab_00.Trial[CONTA],$B9)</f>
        <v>84600.24</v>
      </c>
      <c r="G9" s="78">
        <f t="shared" ca="1" si="0"/>
        <v>4.3900000000000002E-2</v>
      </c>
      <c r="H9" s="78">
        <f ca="1">IFERROR(($F9-$D9)/ABS($D9),0)</f>
        <v>0.62070000000000003</v>
      </c>
      <c r="I9" s="4">
        <f ca="1">-SUMIFS(INDIRECT("Tab_00.Trial["&amp;I$4&amp;"]"),Tab_00.Trial[CONTA],$B9)</f>
        <v>115763.06</v>
      </c>
      <c r="J9" s="78">
        <f t="shared" ca="1" si="1"/>
        <v>3.8899999999999997E-2</v>
      </c>
      <c r="K9" s="78">
        <f t="shared" ca="1" si="2"/>
        <v>0.36840000000000001</v>
      </c>
      <c r="L9" s="4">
        <f ca="1">-SUMIFS(INDIRECT("Tab_00.Trial["&amp;L$4&amp;"]"),Tab_00.Trial[CONTA],$B9)</f>
        <v>241930.76</v>
      </c>
      <c r="M9" s="78">
        <f t="shared" ca="1" si="3"/>
        <v>5.9299999999999999E-2</v>
      </c>
      <c r="N9" s="78">
        <f t="shared" ca="1" si="4"/>
        <v>1.0899000000000001</v>
      </c>
      <c r="O9" s="4">
        <f ca="1">-SUMIFS(INDIRECT("Tab_00.Trial["&amp;O$4&amp;"]"),Tab_00.Trial[CONTA],$B9)</f>
        <v>401174.76</v>
      </c>
      <c r="P9" s="78">
        <f t="shared" ca="1" si="5"/>
        <v>7.5800000000000006E-2</v>
      </c>
      <c r="Q9" s="78">
        <f t="shared" ca="1" si="6"/>
        <v>0.65820000000000001</v>
      </c>
      <c r="R9" s="4">
        <f ca="1">-SUMIFS(INDIRECT("Tab_00.Trial["&amp;R$4&amp;"]"),Tab_00.Trial[CONTA],$B9)</f>
        <v>453145.9</v>
      </c>
      <c r="S9" s="78">
        <f t="shared" ca="1" si="7"/>
        <v>7.1900000000000006E-2</v>
      </c>
      <c r="T9" s="78">
        <f t="shared" ca="1" si="8"/>
        <v>0.1295</v>
      </c>
      <c r="U9" s="4">
        <f ca="1">-SUMIFS(INDIRECT("Tab_00.Trial["&amp;U$4&amp;"]"),Tab_00.Trial[CONTA],$B9)</f>
        <v>488798.45</v>
      </c>
      <c r="V9" s="78">
        <f t="shared" ca="1" si="9"/>
        <v>6.6199999999999995E-2</v>
      </c>
      <c r="W9" s="78">
        <f t="shared" ca="1" si="10"/>
        <v>7.8700000000000006E-2</v>
      </c>
      <c r="X9" s="4">
        <f ca="1">-SUMIFS(INDIRECT("Tab_00.Trial["&amp;X$4&amp;"]"),Tab_00.Trial[CONTA],$B9)</f>
        <v>492698.45</v>
      </c>
      <c r="Y9" s="78">
        <f ca="1">IFERROR($X9/$X$6,0)</f>
        <v>5.8500000000000003E-2</v>
      </c>
      <c r="Z9" s="78">
        <f ca="1">IFERROR(($X9-$U9)/ABS($U9),0)</f>
        <v>8.0000000000000002E-3</v>
      </c>
      <c r="AA9" s="4">
        <f ca="1">-SUMIFS(INDIRECT("Tab_00.Trial["&amp;AA$4&amp;"]"),Tab_00.Trial[CONTA],$B9)</f>
        <v>496498.45</v>
      </c>
      <c r="AB9" s="78">
        <f t="shared" ca="1" si="11"/>
        <v>5.2900000000000003E-2</v>
      </c>
      <c r="AC9" s="78">
        <f t="shared" ca="1" si="12"/>
        <v>7.7000000000000002E-3</v>
      </c>
      <c r="AD9" s="4">
        <f ca="1">-SUMIFS(INDIRECT("Tab_00.Trial["&amp;AD$4&amp;"]"),Tab_00.Trial[CONTA],$B9)</f>
        <v>500498.45</v>
      </c>
      <c r="AE9" s="78">
        <f t="shared" ca="1" si="13"/>
        <v>4.7E-2</v>
      </c>
      <c r="AF9" s="78">
        <f t="shared" ca="1" si="14"/>
        <v>8.0999999999999996E-3</v>
      </c>
      <c r="AG9" s="4">
        <f ca="1">-SUMIFS(INDIRECT("Tab_00.Trial["&amp;AG$4&amp;"]"),Tab_00.Trial[CONTA],$B9)</f>
        <v>504398.45</v>
      </c>
      <c r="AH9" s="78">
        <f t="shared" ca="1" si="15"/>
        <v>4.36E-2</v>
      </c>
      <c r="AI9" s="78">
        <f t="shared" ca="1" si="16"/>
        <v>7.7999999999999996E-3</v>
      </c>
      <c r="AJ9" s="4">
        <f ca="1">-SUMIFS(INDIRECT("Tab_00.Trial["&amp;AJ$4&amp;"]"),Tab_00.Trial[CONTA],$B9)</f>
        <v>508298.45</v>
      </c>
      <c r="AK9" s="78">
        <f t="shared" ca="1" si="17"/>
        <v>3.9E-2</v>
      </c>
      <c r="AL9" s="78">
        <f t="shared" ca="1" si="18"/>
        <v>7.7000000000000002E-3</v>
      </c>
    </row>
    <row r="10" spans="2:39" ht="15" customHeight="1" outlineLevel="1" x14ac:dyDescent="0.3">
      <c r="B10" s="14" t="s">
        <v>370</v>
      </c>
      <c r="C10" s="15" t="s">
        <v>371</v>
      </c>
      <c r="D10" s="4">
        <f ca="1">-SUMIFS(INDIRECT("Tab_00.Trial["&amp;D$4&amp;"]"),Tab_00.Trial[CONTA],$B10)</f>
        <v>66574.53</v>
      </c>
      <c r="E10" s="78">
        <f t="shared" ref="E10:E23" ca="1" si="19">IFERROR($D10/$D$6,0)</f>
        <v>7.0099999999999996E-2</v>
      </c>
      <c r="F10" s="4">
        <f ca="1">-SUMIFS(INDIRECT("Tab_00.Trial["&amp;F$4&amp;"]"),Tab_00.Trial[CONTA],$B10)</f>
        <v>121536.37</v>
      </c>
      <c r="G10" s="78">
        <f t="shared" ca="1" si="0"/>
        <v>6.3100000000000003E-2</v>
      </c>
      <c r="H10" s="78">
        <f t="shared" ref="H10:H23" ca="1" si="20">IFERROR(($F10-$D10)/ABS($D10),0)</f>
        <v>0.8256</v>
      </c>
      <c r="I10" s="4">
        <f ca="1">-SUMIFS(INDIRECT("Tab_00.Trial["&amp;I$4&amp;"]"),Tab_00.Trial[CONTA],$B10)</f>
        <v>199421.78</v>
      </c>
      <c r="J10" s="78">
        <f t="shared" ca="1" si="1"/>
        <v>6.7000000000000004E-2</v>
      </c>
      <c r="K10" s="78">
        <f t="shared" ca="1" si="2"/>
        <v>0.64080000000000004</v>
      </c>
      <c r="L10" s="4">
        <f ca="1">-SUMIFS(INDIRECT("Tab_00.Trial["&amp;L$4&amp;"]"),Tab_00.Trial[CONTA],$B10)</f>
        <v>236231.01</v>
      </c>
      <c r="M10" s="78">
        <f t="shared" ca="1" si="3"/>
        <v>5.79E-2</v>
      </c>
      <c r="N10" s="78">
        <f t="shared" ca="1" si="4"/>
        <v>0.18459999999999999</v>
      </c>
      <c r="O10" s="4">
        <f ca="1">-SUMIFS(INDIRECT("Tab_00.Trial["&amp;O$4&amp;"]"),Tab_00.Trial[CONTA],$B10)</f>
        <v>271081.68</v>
      </c>
      <c r="P10" s="78">
        <f t="shared" ca="1" si="5"/>
        <v>5.1200000000000002E-2</v>
      </c>
      <c r="Q10" s="78">
        <f t="shared" ca="1" si="6"/>
        <v>0.14749999999999999</v>
      </c>
      <c r="R10" s="4">
        <f ca="1">-SUMIFS(INDIRECT("Tab_00.Trial["&amp;R$4&amp;"]"),Tab_00.Trial[CONTA],$B10)</f>
        <v>371413.04</v>
      </c>
      <c r="S10" s="78">
        <f t="shared" ca="1" si="7"/>
        <v>5.8900000000000001E-2</v>
      </c>
      <c r="T10" s="78">
        <f t="shared" ca="1" si="8"/>
        <v>0.37009999999999998</v>
      </c>
      <c r="U10" s="4">
        <f ca="1">-SUMIFS(INDIRECT("Tab_00.Trial["&amp;U$4&amp;"]"),Tab_00.Trial[CONTA],$B10)</f>
        <v>406878.7</v>
      </c>
      <c r="V10" s="78">
        <f t="shared" ca="1" si="9"/>
        <v>5.5100000000000003E-2</v>
      </c>
      <c r="W10" s="78">
        <f t="shared" ca="1" si="10"/>
        <v>9.5500000000000002E-2</v>
      </c>
      <c r="X10" s="4">
        <f ca="1">-SUMIFS(INDIRECT("Tab_00.Trial["&amp;X$4&amp;"]"),Tab_00.Trial[CONTA],$B10)</f>
        <v>538657.03</v>
      </c>
      <c r="Y10" s="78">
        <f t="shared" ref="Y10:Y23" ca="1" si="21">IFERROR($X10/$X$6,0)</f>
        <v>6.4000000000000001E-2</v>
      </c>
      <c r="Z10" s="78">
        <f t="shared" ref="Z10:Z23" ca="1" si="22">IFERROR(($X10-$U10)/ABS($U10),0)</f>
        <v>0.32390000000000002</v>
      </c>
      <c r="AA10" s="4">
        <f ca="1">-SUMIFS(INDIRECT("Tab_00.Trial["&amp;AA$4&amp;"]"),Tab_00.Trial[CONTA],$B10)</f>
        <v>634430.9</v>
      </c>
      <c r="AB10" s="78">
        <f t="shared" ca="1" si="11"/>
        <v>6.7500000000000004E-2</v>
      </c>
      <c r="AC10" s="78">
        <f t="shared" ca="1" si="12"/>
        <v>0.17780000000000001</v>
      </c>
      <c r="AD10" s="4">
        <f ca="1">-SUMIFS(INDIRECT("Tab_00.Trial["&amp;AD$4&amp;"]"),Tab_00.Trial[CONTA],$B10)</f>
        <v>725893.83</v>
      </c>
      <c r="AE10" s="78">
        <f t="shared" ca="1" si="13"/>
        <v>6.8199999999999997E-2</v>
      </c>
      <c r="AF10" s="78">
        <f t="shared" ca="1" si="14"/>
        <v>0.14419999999999999</v>
      </c>
      <c r="AG10" s="4">
        <f ca="1">-SUMIFS(INDIRECT("Tab_00.Trial["&amp;AG$4&amp;"]"),Tab_00.Trial[CONTA],$B10)</f>
        <v>798298.19</v>
      </c>
      <c r="AH10" s="78">
        <f t="shared" ca="1" si="15"/>
        <v>6.9099999999999995E-2</v>
      </c>
      <c r="AI10" s="78">
        <f t="shared" ca="1" si="16"/>
        <v>9.9699999999999997E-2</v>
      </c>
      <c r="AJ10" s="4">
        <f ca="1">-SUMIFS(INDIRECT("Tab_00.Trial["&amp;AJ$4&amp;"]"),Tab_00.Trial[CONTA],$B10)</f>
        <v>1188139.3400000001</v>
      </c>
      <c r="AK10" s="78">
        <f t="shared" ca="1" si="17"/>
        <v>9.11E-2</v>
      </c>
      <c r="AL10" s="78">
        <f t="shared" ca="1" si="18"/>
        <v>0.48830000000000001</v>
      </c>
    </row>
    <row r="11" spans="2:39" ht="15" customHeight="1" outlineLevel="1" x14ac:dyDescent="0.3">
      <c r="B11" s="14" t="s">
        <v>372</v>
      </c>
      <c r="C11" s="15" t="s">
        <v>373</v>
      </c>
      <c r="D11" s="4">
        <f ca="1">-SUMIFS(INDIRECT("Tab_00.Trial["&amp;D$4&amp;"]"),Tab_00.Trial[CONTA],$B11)</f>
        <v>0</v>
      </c>
      <c r="E11" s="78">
        <f t="shared" ca="1" si="19"/>
        <v>0</v>
      </c>
      <c r="F11" s="4">
        <f ca="1">-SUMIFS(INDIRECT("Tab_00.Trial["&amp;F$4&amp;"]"),Tab_00.Trial[CONTA],$B11)</f>
        <v>5670.16</v>
      </c>
      <c r="G11" s="78">
        <f t="shared" ca="1" si="0"/>
        <v>2.8999999999999998E-3</v>
      </c>
      <c r="H11" s="78">
        <f t="shared" ca="1" si="20"/>
        <v>0</v>
      </c>
      <c r="I11" s="4">
        <f ca="1">-SUMIFS(INDIRECT("Tab_00.Trial["&amp;I$4&amp;"]"),Tab_00.Trial[CONTA],$B11)</f>
        <v>5670.16</v>
      </c>
      <c r="J11" s="78">
        <f t="shared" ca="1" si="1"/>
        <v>1.9E-3</v>
      </c>
      <c r="K11" s="78">
        <f t="shared" ca="1" si="2"/>
        <v>0</v>
      </c>
      <c r="L11" s="4">
        <f ca="1">-SUMIFS(INDIRECT("Tab_00.Trial["&amp;L$4&amp;"]"),Tab_00.Trial[CONTA],$B11)</f>
        <v>5670.16</v>
      </c>
      <c r="M11" s="78">
        <f t="shared" ca="1" si="3"/>
        <v>1.4E-3</v>
      </c>
      <c r="N11" s="78">
        <f t="shared" ca="1" si="4"/>
        <v>0</v>
      </c>
      <c r="O11" s="4">
        <f ca="1">-SUMIFS(INDIRECT("Tab_00.Trial["&amp;O$4&amp;"]"),Tab_00.Trial[CONTA],$B11)</f>
        <v>5670.16</v>
      </c>
      <c r="P11" s="78">
        <f t="shared" ca="1" si="5"/>
        <v>1.1000000000000001E-3</v>
      </c>
      <c r="Q11" s="78">
        <f t="shared" ca="1" si="6"/>
        <v>0</v>
      </c>
      <c r="R11" s="4">
        <f ca="1">-SUMIFS(INDIRECT("Tab_00.Trial["&amp;R$4&amp;"]"),Tab_00.Trial[CONTA],$B11)</f>
        <v>6547.36</v>
      </c>
      <c r="S11" s="78">
        <f t="shared" ca="1" si="7"/>
        <v>1E-3</v>
      </c>
      <c r="T11" s="78">
        <f t="shared" ca="1" si="8"/>
        <v>0.1547</v>
      </c>
      <c r="U11" s="4">
        <f ca="1">-SUMIFS(INDIRECT("Tab_00.Trial["&amp;U$4&amp;"]"),Tab_00.Trial[CONTA],$B11)</f>
        <v>6547.36</v>
      </c>
      <c r="V11" s="78">
        <f t="shared" ca="1" si="9"/>
        <v>8.9999999999999998E-4</v>
      </c>
      <c r="W11" s="78">
        <f t="shared" ca="1" si="10"/>
        <v>0</v>
      </c>
      <c r="X11" s="4">
        <f ca="1">-SUMIFS(INDIRECT("Tab_00.Trial["&amp;X$4&amp;"]"),Tab_00.Trial[CONTA],$B11)</f>
        <v>6547.36</v>
      </c>
      <c r="Y11" s="78">
        <f t="shared" ca="1" si="21"/>
        <v>8.0000000000000004E-4</v>
      </c>
      <c r="Z11" s="78">
        <f t="shared" ca="1" si="22"/>
        <v>0</v>
      </c>
      <c r="AA11" s="4">
        <f ca="1">-SUMIFS(INDIRECT("Tab_00.Trial["&amp;AA$4&amp;"]"),Tab_00.Trial[CONTA],$B11)</f>
        <v>6547.36</v>
      </c>
      <c r="AB11" s="78">
        <f t="shared" ca="1" si="11"/>
        <v>6.9999999999999999E-4</v>
      </c>
      <c r="AC11" s="78">
        <f t="shared" ca="1" si="12"/>
        <v>0</v>
      </c>
      <c r="AD11" s="4">
        <f ca="1">-SUMIFS(INDIRECT("Tab_00.Trial["&amp;AD$4&amp;"]"),Tab_00.Trial[CONTA],$B11)</f>
        <v>6547.36</v>
      </c>
      <c r="AE11" s="78">
        <f t="shared" ca="1" si="13"/>
        <v>5.9999999999999995E-4</v>
      </c>
      <c r="AF11" s="78">
        <f t="shared" ca="1" si="14"/>
        <v>0</v>
      </c>
      <c r="AG11" s="4">
        <f ca="1">-SUMIFS(INDIRECT("Tab_00.Trial["&amp;AG$4&amp;"]"),Tab_00.Trial[CONTA],$B11)</f>
        <v>6547.36</v>
      </c>
      <c r="AH11" s="78">
        <f t="shared" ca="1" si="15"/>
        <v>5.9999999999999995E-4</v>
      </c>
      <c r="AI11" s="78">
        <f t="shared" ca="1" si="16"/>
        <v>0</v>
      </c>
      <c r="AJ11" s="4">
        <f ca="1">-SUMIFS(INDIRECT("Tab_00.Trial["&amp;AJ$4&amp;"]"),Tab_00.Trial[CONTA],$B11)</f>
        <v>6547.36</v>
      </c>
      <c r="AK11" s="78">
        <f t="shared" ca="1" si="17"/>
        <v>5.0000000000000001E-4</v>
      </c>
      <c r="AL11" s="78">
        <f t="shared" ca="1" si="18"/>
        <v>0</v>
      </c>
    </row>
    <row r="12" spans="2:39" ht="15" customHeight="1" outlineLevel="1" x14ac:dyDescent="0.3">
      <c r="B12" s="14" t="s">
        <v>845</v>
      </c>
      <c r="C12" s="15" t="s">
        <v>846</v>
      </c>
      <c r="D12" s="4">
        <f ca="1">-SUMIFS(INDIRECT("Tab_00.Trial["&amp;D$4&amp;"]"),Tab_00.Trial[CONTA],$B12)</f>
        <v>0</v>
      </c>
      <c r="E12" s="78">
        <f t="shared" ca="1" si="19"/>
        <v>0</v>
      </c>
      <c r="F12" s="4">
        <f ca="1">-SUMIFS(INDIRECT("Tab_00.Trial["&amp;F$4&amp;"]"),Tab_00.Trial[CONTA],$B12)</f>
        <v>0</v>
      </c>
      <c r="G12" s="78">
        <f t="shared" ca="1" si="0"/>
        <v>0</v>
      </c>
      <c r="H12" s="78">
        <f t="shared" ca="1" si="20"/>
        <v>0</v>
      </c>
      <c r="I12" s="4">
        <f ca="1">-SUMIFS(INDIRECT("Tab_00.Trial["&amp;I$4&amp;"]"),Tab_00.Trial[CONTA],$B12)</f>
        <v>0</v>
      </c>
      <c r="J12" s="78">
        <f t="shared" ca="1" si="1"/>
        <v>0</v>
      </c>
      <c r="K12" s="78">
        <f t="shared" ca="1" si="2"/>
        <v>0</v>
      </c>
      <c r="L12" s="4">
        <f ca="1">-SUMIFS(INDIRECT("Tab_00.Trial["&amp;L$4&amp;"]"),Tab_00.Trial[CONTA],$B12)</f>
        <v>89524.57</v>
      </c>
      <c r="M12" s="78">
        <f t="shared" ca="1" si="3"/>
        <v>2.1899999999999999E-2</v>
      </c>
      <c r="N12" s="78">
        <f t="shared" ca="1" si="4"/>
        <v>0</v>
      </c>
      <c r="O12" s="4">
        <f ca="1">-SUMIFS(INDIRECT("Tab_00.Trial["&amp;O$4&amp;"]"),Tab_00.Trial[CONTA],$B12)</f>
        <v>89524.57</v>
      </c>
      <c r="P12" s="78">
        <f t="shared" ca="1" si="5"/>
        <v>1.6899999999999998E-2</v>
      </c>
      <c r="Q12" s="78">
        <f t="shared" ca="1" si="6"/>
        <v>0</v>
      </c>
      <c r="R12" s="4">
        <f ca="1">-SUMIFS(INDIRECT("Tab_00.Trial["&amp;R$4&amp;"]"),Tab_00.Trial[CONTA],$B12)</f>
        <v>89524.57</v>
      </c>
      <c r="S12" s="78">
        <f t="shared" ca="1" si="7"/>
        <v>1.4200000000000001E-2</v>
      </c>
      <c r="T12" s="78">
        <f t="shared" ca="1" si="8"/>
        <v>0</v>
      </c>
      <c r="U12" s="4">
        <f ca="1">-SUMIFS(INDIRECT("Tab_00.Trial["&amp;U$4&amp;"]"),Tab_00.Trial[CONTA],$B12)</f>
        <v>89524.57</v>
      </c>
      <c r="V12" s="78">
        <f t="shared" ca="1" si="9"/>
        <v>1.21E-2</v>
      </c>
      <c r="W12" s="78">
        <f t="shared" ca="1" si="10"/>
        <v>0</v>
      </c>
      <c r="X12" s="4">
        <f ca="1">-SUMIFS(INDIRECT("Tab_00.Trial["&amp;X$4&amp;"]"),Tab_00.Trial[CONTA],$B12)</f>
        <v>89617.06</v>
      </c>
      <c r="Y12" s="78">
        <f t="shared" ca="1" si="21"/>
        <v>1.06E-2</v>
      </c>
      <c r="Z12" s="78">
        <f t="shared" ca="1" si="22"/>
        <v>1E-3</v>
      </c>
      <c r="AA12" s="4">
        <f ca="1">-SUMIFS(INDIRECT("Tab_00.Trial["&amp;AA$4&amp;"]"),Tab_00.Trial[CONTA],$B12)</f>
        <v>89617.06</v>
      </c>
      <c r="AB12" s="78">
        <f t="shared" ca="1" si="11"/>
        <v>9.4999999999999998E-3</v>
      </c>
      <c r="AC12" s="78">
        <f t="shared" ca="1" si="12"/>
        <v>0</v>
      </c>
      <c r="AD12" s="4">
        <f ca="1">-SUMIFS(INDIRECT("Tab_00.Trial["&amp;AD$4&amp;"]"),Tab_00.Trial[CONTA],$B12)</f>
        <v>89617.06</v>
      </c>
      <c r="AE12" s="78">
        <f t="shared" ca="1" si="13"/>
        <v>8.3999999999999995E-3</v>
      </c>
      <c r="AF12" s="78">
        <f t="shared" ca="1" si="14"/>
        <v>0</v>
      </c>
      <c r="AG12" s="4">
        <f ca="1">-SUMIFS(INDIRECT("Tab_00.Trial["&amp;AG$4&amp;"]"),Tab_00.Trial[CONTA],$B12)</f>
        <v>89617.06</v>
      </c>
      <c r="AH12" s="78">
        <f t="shared" ca="1" si="15"/>
        <v>7.7999999999999996E-3</v>
      </c>
      <c r="AI12" s="78">
        <f t="shared" ca="1" si="16"/>
        <v>0</v>
      </c>
      <c r="AJ12" s="4">
        <f ca="1">-SUMIFS(INDIRECT("Tab_00.Trial["&amp;AJ$4&amp;"]"),Tab_00.Trial[CONTA],$B12)</f>
        <v>89617.06</v>
      </c>
      <c r="AK12" s="78">
        <f t="shared" ca="1" si="17"/>
        <v>6.8999999999999999E-3</v>
      </c>
      <c r="AL12" s="78">
        <f t="shared" ca="1" si="18"/>
        <v>0</v>
      </c>
    </row>
    <row r="13" spans="2:39" ht="15" customHeight="1" outlineLevel="1" x14ac:dyDescent="0.3">
      <c r="B13" s="14" t="s">
        <v>374</v>
      </c>
      <c r="C13" s="15" t="s">
        <v>375</v>
      </c>
      <c r="D13" s="4">
        <f ca="1">-SUMIFS(INDIRECT("Tab_00.Trial["&amp;D$4&amp;"]"),Tab_00.Trial[CONTA],$B13)</f>
        <v>0</v>
      </c>
      <c r="E13" s="78">
        <f t="shared" ca="1" si="19"/>
        <v>0</v>
      </c>
      <c r="F13" s="4">
        <f ca="1">-SUMIFS(INDIRECT("Tab_00.Trial["&amp;F$4&amp;"]"),Tab_00.Trial[CONTA],$B13)</f>
        <v>0</v>
      </c>
      <c r="G13" s="78">
        <f t="shared" ca="1" si="0"/>
        <v>0</v>
      </c>
      <c r="H13" s="78">
        <f t="shared" ca="1" si="20"/>
        <v>0</v>
      </c>
      <c r="I13" s="4">
        <f ca="1">-SUMIFS(INDIRECT("Tab_00.Trial["&amp;I$4&amp;"]"),Tab_00.Trial[CONTA],$B13)</f>
        <v>0</v>
      </c>
      <c r="J13" s="78">
        <f t="shared" ca="1" si="1"/>
        <v>0</v>
      </c>
      <c r="K13" s="78">
        <f t="shared" ca="1" si="2"/>
        <v>0</v>
      </c>
      <c r="L13" s="4">
        <f ca="1">-SUMIFS(INDIRECT("Tab_00.Trial["&amp;L$4&amp;"]"),Tab_00.Trial[CONTA],$B13)</f>
        <v>0</v>
      </c>
      <c r="M13" s="78">
        <f t="shared" ca="1" si="3"/>
        <v>0</v>
      </c>
      <c r="N13" s="78">
        <f t="shared" ca="1" si="4"/>
        <v>0</v>
      </c>
      <c r="O13" s="4">
        <f ca="1">-SUMIFS(INDIRECT("Tab_00.Trial["&amp;O$4&amp;"]"),Tab_00.Trial[CONTA],$B13)</f>
        <v>0</v>
      </c>
      <c r="P13" s="78">
        <f t="shared" ca="1" si="5"/>
        <v>0</v>
      </c>
      <c r="Q13" s="78">
        <f t="shared" ca="1" si="6"/>
        <v>0</v>
      </c>
      <c r="R13" s="4">
        <f ca="1">-SUMIFS(INDIRECT("Tab_00.Trial["&amp;R$4&amp;"]"),Tab_00.Trial[CONTA],$B13)</f>
        <v>0</v>
      </c>
      <c r="S13" s="78">
        <f t="shared" ca="1" si="7"/>
        <v>0</v>
      </c>
      <c r="T13" s="78">
        <f t="shared" ca="1" si="8"/>
        <v>0</v>
      </c>
      <c r="U13" s="4">
        <f ca="1">-SUMIFS(INDIRECT("Tab_00.Trial["&amp;U$4&amp;"]"),Tab_00.Trial[CONTA],$B13)</f>
        <v>0</v>
      </c>
      <c r="V13" s="78">
        <f t="shared" ca="1" si="9"/>
        <v>0</v>
      </c>
      <c r="W13" s="78">
        <f t="shared" ca="1" si="10"/>
        <v>0</v>
      </c>
      <c r="X13" s="4">
        <f ca="1">-SUMIFS(INDIRECT("Tab_00.Trial["&amp;X$4&amp;"]"),Tab_00.Trial[CONTA],$B13)</f>
        <v>0</v>
      </c>
      <c r="Y13" s="78">
        <f t="shared" ca="1" si="21"/>
        <v>0</v>
      </c>
      <c r="Z13" s="78">
        <f t="shared" ca="1" si="22"/>
        <v>0</v>
      </c>
      <c r="AA13" s="4">
        <f ca="1">-SUMIFS(INDIRECT("Tab_00.Trial["&amp;AA$4&amp;"]"),Tab_00.Trial[CONTA],$B13)</f>
        <v>0</v>
      </c>
      <c r="AB13" s="78">
        <f t="shared" ca="1" si="11"/>
        <v>0</v>
      </c>
      <c r="AC13" s="78">
        <f t="shared" ca="1" si="12"/>
        <v>0</v>
      </c>
      <c r="AD13" s="4">
        <f ca="1">-SUMIFS(INDIRECT("Tab_00.Trial["&amp;AD$4&amp;"]"),Tab_00.Trial[CONTA],$B13)</f>
        <v>0</v>
      </c>
      <c r="AE13" s="78">
        <f t="shared" ca="1" si="13"/>
        <v>0</v>
      </c>
      <c r="AF13" s="78">
        <f t="shared" ca="1" si="14"/>
        <v>0</v>
      </c>
      <c r="AG13" s="4">
        <f ca="1">-SUMIFS(INDIRECT("Tab_00.Trial["&amp;AG$4&amp;"]"),Tab_00.Trial[CONTA],$B13)</f>
        <v>0</v>
      </c>
      <c r="AH13" s="78">
        <f t="shared" ca="1" si="15"/>
        <v>0</v>
      </c>
      <c r="AI13" s="78">
        <f t="shared" ca="1" si="16"/>
        <v>0</v>
      </c>
      <c r="AJ13" s="4">
        <f ca="1">-SUMIFS(INDIRECT("Tab_00.Trial["&amp;AJ$4&amp;"]"),Tab_00.Trial[CONTA],$B13)</f>
        <v>0</v>
      </c>
      <c r="AK13" s="78">
        <f t="shared" ca="1" si="17"/>
        <v>0</v>
      </c>
      <c r="AL13" s="78">
        <f t="shared" ca="1" si="18"/>
        <v>0</v>
      </c>
    </row>
    <row r="14" spans="2:39" ht="15" customHeight="1" outlineLevel="1" x14ac:dyDescent="0.3">
      <c r="B14" s="14" t="s">
        <v>927</v>
      </c>
      <c r="C14" s="14" t="s">
        <v>928</v>
      </c>
      <c r="D14" s="4">
        <f ca="1">-SUMIFS(INDIRECT("Tab_00.Trial["&amp;D$4&amp;"]"),Tab_00.Trial[CONTA],$B14)</f>
        <v>16644.91</v>
      </c>
      <c r="E14" s="78">
        <f t="shared" ca="1" si="19"/>
        <v>1.7500000000000002E-2</v>
      </c>
      <c r="F14" s="4">
        <f ca="1">-SUMIFS(INDIRECT("Tab_00.Trial["&amp;F$4&amp;"]"),Tab_00.Trial[CONTA],$B14)</f>
        <v>28452.26</v>
      </c>
      <c r="G14" s="78">
        <f t="shared" ca="1" si="0"/>
        <v>1.4800000000000001E-2</v>
      </c>
      <c r="H14" s="78">
        <f t="shared" ca="1" si="20"/>
        <v>0.70940000000000003</v>
      </c>
      <c r="I14" s="4">
        <f ca="1">-SUMIFS(INDIRECT("Tab_00.Trial["&amp;I$4&amp;"]"),Tab_00.Trial[CONTA],$B14)</f>
        <v>41108.99</v>
      </c>
      <c r="J14" s="78">
        <f t="shared" ca="1" si="1"/>
        <v>1.38E-2</v>
      </c>
      <c r="K14" s="78">
        <f t="shared" ca="1" si="2"/>
        <v>0.44479999999999997</v>
      </c>
      <c r="L14" s="4">
        <f ca="1">-SUMIFS(INDIRECT("Tab_00.Trial["&amp;L$4&amp;"]"),Tab_00.Trial[CONTA],$B14)</f>
        <v>57142.15</v>
      </c>
      <c r="M14" s="78">
        <f t="shared" ca="1" si="3"/>
        <v>1.4E-2</v>
      </c>
      <c r="N14" s="78">
        <f t="shared" ca="1" si="4"/>
        <v>0.39</v>
      </c>
      <c r="O14" s="4">
        <f ca="1">-SUMIFS(INDIRECT("Tab_00.Trial["&amp;O$4&amp;"]"),Tab_00.Trial[CONTA],$B14)</f>
        <v>68328.84</v>
      </c>
      <c r="P14" s="78">
        <f t="shared" ca="1" si="5"/>
        <v>1.29E-2</v>
      </c>
      <c r="Q14" s="78">
        <f t="shared" ca="1" si="6"/>
        <v>0.1958</v>
      </c>
      <c r="R14" s="4">
        <f ca="1">-SUMIFS(INDIRECT("Tab_00.Trial["&amp;R$4&amp;"]"),Tab_00.Trial[CONTA],$B14)</f>
        <v>85718.01</v>
      </c>
      <c r="S14" s="78">
        <f t="shared" ca="1" si="7"/>
        <v>1.3599999999999999E-2</v>
      </c>
      <c r="T14" s="78">
        <f t="shared" ca="1" si="8"/>
        <v>0.2545</v>
      </c>
      <c r="U14" s="4">
        <f ca="1">-SUMIFS(INDIRECT("Tab_00.Trial["&amp;U$4&amp;"]"),Tab_00.Trial[CONTA],$B14)</f>
        <v>101400.55</v>
      </c>
      <c r="V14" s="78">
        <f t="shared" ca="1" si="9"/>
        <v>1.37E-2</v>
      </c>
      <c r="W14" s="78">
        <f t="shared" ca="1" si="10"/>
        <v>0.183</v>
      </c>
      <c r="X14" s="4">
        <f ca="1">-SUMIFS(INDIRECT("Tab_00.Trial["&amp;X$4&amp;"]"),Tab_00.Trial[CONTA],$B14)</f>
        <v>112835.04</v>
      </c>
      <c r="Y14" s="78">
        <f t="shared" ca="1" si="21"/>
        <v>1.34E-2</v>
      </c>
      <c r="Z14" s="78">
        <f t="shared" ca="1" si="22"/>
        <v>0.1128</v>
      </c>
      <c r="AA14" s="4">
        <f ca="1">-SUMIFS(INDIRECT("Tab_00.Trial["&amp;AA$4&amp;"]"),Tab_00.Trial[CONTA],$B14)</f>
        <v>119078.52</v>
      </c>
      <c r="AB14" s="78">
        <f t="shared" ca="1" si="11"/>
        <v>1.2699999999999999E-2</v>
      </c>
      <c r="AC14" s="78">
        <f t="shared" ca="1" si="12"/>
        <v>5.5300000000000002E-2</v>
      </c>
      <c r="AD14" s="4">
        <f ca="1">-SUMIFS(INDIRECT("Tab_00.Trial["&amp;AD$4&amp;"]"),Tab_00.Trial[CONTA],$B14)</f>
        <v>137700.01</v>
      </c>
      <c r="AE14" s="78">
        <f t="shared" ca="1" si="13"/>
        <v>1.29E-2</v>
      </c>
      <c r="AF14" s="78">
        <f t="shared" ca="1" si="14"/>
        <v>0.15640000000000001</v>
      </c>
      <c r="AG14" s="4">
        <f ca="1">-SUMIFS(INDIRECT("Tab_00.Trial["&amp;AG$4&amp;"]"),Tab_00.Trial[CONTA],$B14)</f>
        <v>151870.23000000001</v>
      </c>
      <c r="AH14" s="78">
        <f t="shared" ca="1" si="15"/>
        <v>1.3100000000000001E-2</v>
      </c>
      <c r="AI14" s="78">
        <f t="shared" ca="1" si="16"/>
        <v>0.10290000000000001</v>
      </c>
      <c r="AJ14" s="4">
        <f ca="1">-SUMIFS(INDIRECT("Tab_00.Trial["&amp;AJ$4&amp;"]"),Tab_00.Trial[CONTA],$B14)</f>
        <v>161743.51</v>
      </c>
      <c r="AK14" s="78">
        <f t="shared" ca="1" si="17"/>
        <v>1.24E-2</v>
      </c>
      <c r="AL14" s="78">
        <f t="shared" ca="1" si="18"/>
        <v>6.5000000000000002E-2</v>
      </c>
      <c r="AM14" s="1" t="s">
        <v>763</v>
      </c>
    </row>
    <row r="15" spans="2:39" ht="15" customHeight="1" outlineLevel="1" x14ac:dyDescent="0.3">
      <c r="B15" s="14" t="s">
        <v>376</v>
      </c>
      <c r="C15" s="15" t="s">
        <v>377</v>
      </c>
      <c r="D15" s="4">
        <f ca="1">-SUMIFS(INDIRECT("Tab_00.Trial["&amp;D$4&amp;"]"),Tab_00.Trial[CONTA],$B15)</f>
        <v>82966.080000000002</v>
      </c>
      <c r="E15" s="78">
        <f t="shared" ca="1" si="19"/>
        <v>8.7300000000000003E-2</v>
      </c>
      <c r="F15" s="4">
        <f ca="1">-SUMIFS(INDIRECT("Tab_00.Trial["&amp;F$4&amp;"]"),Tab_00.Trial[CONTA],$B15)</f>
        <v>165932.16</v>
      </c>
      <c r="G15" s="78">
        <f t="shared" ca="1" si="0"/>
        <v>8.6199999999999999E-2</v>
      </c>
      <c r="H15" s="78">
        <f t="shared" ca="1" si="20"/>
        <v>1</v>
      </c>
      <c r="I15" s="4">
        <f ca="1">-SUMIFS(INDIRECT("Tab_00.Trial["&amp;I$4&amp;"]"),Tab_00.Trial[CONTA],$B15)</f>
        <v>248898.24</v>
      </c>
      <c r="J15" s="78">
        <f t="shared" ca="1" si="1"/>
        <v>8.3599999999999994E-2</v>
      </c>
      <c r="K15" s="78">
        <f t="shared" ca="1" si="2"/>
        <v>0.5</v>
      </c>
      <c r="L15" s="4">
        <f ca="1">-SUMIFS(INDIRECT("Tab_00.Trial["&amp;L$4&amp;"]"),Tab_00.Trial[CONTA],$B15)</f>
        <v>331864.32000000001</v>
      </c>
      <c r="M15" s="78">
        <f t="shared" ca="1" si="3"/>
        <v>8.1299999999999997E-2</v>
      </c>
      <c r="N15" s="78">
        <f t="shared" ca="1" si="4"/>
        <v>0.33329999999999999</v>
      </c>
      <c r="O15" s="4">
        <f ca="1">-SUMIFS(INDIRECT("Tab_00.Trial["&amp;O$4&amp;"]"),Tab_00.Trial[CONTA],$B15)</f>
        <v>414830.4</v>
      </c>
      <c r="P15" s="78">
        <f t="shared" ca="1" si="5"/>
        <v>7.8299999999999995E-2</v>
      </c>
      <c r="Q15" s="78">
        <f t="shared" ca="1" si="6"/>
        <v>0.25</v>
      </c>
      <c r="R15" s="4">
        <f ca="1">-SUMIFS(INDIRECT("Tab_00.Trial["&amp;R$4&amp;"]"),Tab_00.Trial[CONTA],$B15)</f>
        <v>497796.48</v>
      </c>
      <c r="S15" s="78">
        <f t="shared" ca="1" si="7"/>
        <v>7.9000000000000001E-2</v>
      </c>
      <c r="T15" s="78">
        <f t="shared" ca="1" si="8"/>
        <v>0.2</v>
      </c>
      <c r="U15" s="4">
        <f ca="1">-SUMIFS(INDIRECT("Tab_00.Trial["&amp;U$4&amp;"]"),Tab_00.Trial[CONTA],$B15)</f>
        <v>580762.56000000006</v>
      </c>
      <c r="V15" s="78">
        <f t="shared" ca="1" si="9"/>
        <v>7.8700000000000006E-2</v>
      </c>
      <c r="W15" s="78">
        <f t="shared" ca="1" si="10"/>
        <v>0.16669999999999999</v>
      </c>
      <c r="X15" s="4">
        <f ca="1">-SUMIFS(INDIRECT("Tab_00.Trial["&amp;X$4&amp;"]"),Tab_00.Trial[CONTA],$B15)</f>
        <v>663728.64000000001</v>
      </c>
      <c r="Y15" s="78">
        <f t="shared" ca="1" si="21"/>
        <v>7.8799999999999995E-2</v>
      </c>
      <c r="Z15" s="78">
        <f t="shared" ca="1" si="22"/>
        <v>0.1429</v>
      </c>
      <c r="AA15" s="4">
        <f ca="1">-SUMIFS(INDIRECT("Tab_00.Trial["&amp;AA$4&amp;"]"),Tab_00.Trial[CONTA],$B15)</f>
        <v>746694.73</v>
      </c>
      <c r="AB15" s="78">
        <f t="shared" ca="1" si="11"/>
        <v>7.9500000000000001E-2</v>
      </c>
      <c r="AC15" s="78">
        <f t="shared" ca="1" si="12"/>
        <v>0.125</v>
      </c>
      <c r="AD15" s="4">
        <f ca="1">-SUMIFS(INDIRECT("Tab_00.Trial["&amp;AD$4&amp;"]"),Tab_00.Trial[CONTA],$B15)</f>
        <v>829660.81</v>
      </c>
      <c r="AE15" s="78">
        <f t="shared" ca="1" si="13"/>
        <v>7.8E-2</v>
      </c>
      <c r="AF15" s="78">
        <f t="shared" ca="1" si="14"/>
        <v>0.1111</v>
      </c>
      <c r="AG15" s="4">
        <f ca="1">-SUMIFS(INDIRECT("Tab_00.Trial["&amp;AG$4&amp;"]"),Tab_00.Trial[CONTA],$B15)</f>
        <v>912626.89</v>
      </c>
      <c r="AH15" s="78">
        <f t="shared" ca="1" si="15"/>
        <v>7.9000000000000001E-2</v>
      </c>
      <c r="AI15" s="78">
        <f t="shared" ca="1" si="16"/>
        <v>0.1</v>
      </c>
      <c r="AJ15" s="4">
        <f ca="1">-SUMIFS(INDIRECT("Tab_00.Trial["&amp;AJ$4&amp;"]"),Tab_00.Trial[CONTA],$B15)</f>
        <v>995592.97</v>
      </c>
      <c r="AK15" s="78">
        <f t="shared" ca="1" si="17"/>
        <v>7.6399999999999996E-2</v>
      </c>
      <c r="AL15" s="78">
        <f t="shared" ca="1" si="18"/>
        <v>9.0899999999999995E-2</v>
      </c>
    </row>
    <row r="16" spans="2:39" ht="15" customHeight="1" outlineLevel="1" x14ac:dyDescent="0.3">
      <c r="B16" s="14" t="s">
        <v>378</v>
      </c>
      <c r="C16" s="15" t="s">
        <v>379</v>
      </c>
      <c r="D16" s="4">
        <f ca="1">-SUMIFS(INDIRECT("Tab_00.Trial["&amp;D$4&amp;"]"),Tab_00.Trial[CONTA],$B16)</f>
        <v>0</v>
      </c>
      <c r="E16" s="78">
        <f t="shared" ca="1" si="19"/>
        <v>0</v>
      </c>
      <c r="F16" s="4">
        <f ca="1">-SUMIFS(INDIRECT("Tab_00.Trial["&amp;F$4&amp;"]"),Tab_00.Trial[CONTA],$B16)</f>
        <v>0</v>
      </c>
      <c r="G16" s="78">
        <f t="shared" ca="1" si="0"/>
        <v>0</v>
      </c>
      <c r="H16" s="78">
        <f t="shared" ca="1" si="20"/>
        <v>0</v>
      </c>
      <c r="I16" s="4">
        <f ca="1">-SUMIFS(INDIRECT("Tab_00.Trial["&amp;I$4&amp;"]"),Tab_00.Trial[CONTA],$B16)</f>
        <v>0</v>
      </c>
      <c r="J16" s="78">
        <f t="shared" ca="1" si="1"/>
        <v>0</v>
      </c>
      <c r="K16" s="78">
        <f t="shared" ca="1" si="2"/>
        <v>0</v>
      </c>
      <c r="L16" s="4">
        <f ca="1">-SUMIFS(INDIRECT("Tab_00.Trial["&amp;L$4&amp;"]"),Tab_00.Trial[CONTA],$B16)</f>
        <v>0</v>
      </c>
      <c r="M16" s="78">
        <f t="shared" ca="1" si="3"/>
        <v>0</v>
      </c>
      <c r="N16" s="78">
        <f t="shared" ca="1" si="4"/>
        <v>0</v>
      </c>
      <c r="O16" s="4">
        <f ca="1">-SUMIFS(INDIRECT("Tab_00.Trial["&amp;O$4&amp;"]"),Tab_00.Trial[CONTA],$B16)</f>
        <v>0</v>
      </c>
      <c r="P16" s="78">
        <f t="shared" ca="1" si="5"/>
        <v>0</v>
      </c>
      <c r="Q16" s="78">
        <f t="shared" ca="1" si="6"/>
        <v>0</v>
      </c>
      <c r="R16" s="4">
        <f ca="1">-SUMIFS(INDIRECT("Tab_00.Trial["&amp;R$4&amp;"]"),Tab_00.Trial[CONTA],$B16)</f>
        <v>0</v>
      </c>
      <c r="S16" s="78">
        <f t="shared" ca="1" si="7"/>
        <v>0</v>
      </c>
      <c r="T16" s="78">
        <f t="shared" ca="1" si="8"/>
        <v>0</v>
      </c>
      <c r="U16" s="4">
        <f ca="1">-SUMIFS(INDIRECT("Tab_00.Trial["&amp;U$4&amp;"]"),Tab_00.Trial[CONTA],$B16)</f>
        <v>0</v>
      </c>
      <c r="V16" s="78">
        <f t="shared" ca="1" si="9"/>
        <v>0</v>
      </c>
      <c r="W16" s="78">
        <f t="shared" ca="1" si="10"/>
        <v>0</v>
      </c>
      <c r="X16" s="4">
        <f ca="1">-SUMIFS(INDIRECT("Tab_00.Trial["&amp;X$4&amp;"]"),Tab_00.Trial[CONTA],$B16)</f>
        <v>0</v>
      </c>
      <c r="Y16" s="78">
        <f t="shared" ca="1" si="21"/>
        <v>0</v>
      </c>
      <c r="Z16" s="78">
        <f t="shared" ca="1" si="22"/>
        <v>0</v>
      </c>
      <c r="AA16" s="4">
        <f ca="1">-SUMIFS(INDIRECT("Tab_00.Trial["&amp;AA$4&amp;"]"),Tab_00.Trial[CONTA],$B16)</f>
        <v>0</v>
      </c>
      <c r="AB16" s="78">
        <f t="shared" ca="1" si="11"/>
        <v>0</v>
      </c>
      <c r="AC16" s="78">
        <f t="shared" ca="1" si="12"/>
        <v>0</v>
      </c>
      <c r="AD16" s="4">
        <f ca="1">-SUMIFS(INDIRECT("Tab_00.Trial["&amp;AD$4&amp;"]"),Tab_00.Trial[CONTA],$B16)</f>
        <v>0</v>
      </c>
      <c r="AE16" s="78">
        <f t="shared" ca="1" si="13"/>
        <v>0</v>
      </c>
      <c r="AF16" s="78">
        <f t="shared" ca="1" si="14"/>
        <v>0</v>
      </c>
      <c r="AG16" s="4">
        <f ca="1">-SUMIFS(INDIRECT("Tab_00.Trial["&amp;AG$4&amp;"]"),Tab_00.Trial[CONTA],$B16)</f>
        <v>0</v>
      </c>
      <c r="AH16" s="78">
        <f t="shared" ca="1" si="15"/>
        <v>0</v>
      </c>
      <c r="AI16" s="78">
        <f t="shared" ca="1" si="16"/>
        <v>0</v>
      </c>
      <c r="AJ16" s="4">
        <f ca="1">-SUMIFS(INDIRECT("Tab_00.Trial["&amp;AJ$4&amp;"]"),Tab_00.Trial[CONTA],$B16)</f>
        <v>0</v>
      </c>
      <c r="AK16" s="78">
        <f t="shared" ca="1" si="17"/>
        <v>0</v>
      </c>
      <c r="AL16" s="78">
        <f t="shared" ca="1" si="18"/>
        <v>0</v>
      </c>
    </row>
    <row r="17" spans="2:40" ht="15" customHeight="1" outlineLevel="1" x14ac:dyDescent="0.3">
      <c r="B17" s="14" t="s">
        <v>380</v>
      </c>
      <c r="C17" s="15" t="s">
        <v>381</v>
      </c>
      <c r="D17" s="4">
        <f ca="1">-SUMIFS(INDIRECT("Tab_00.Trial["&amp;D$4&amp;"]"),Tab_00.Trial[CONTA],$B17)</f>
        <v>0</v>
      </c>
      <c r="E17" s="78">
        <f t="shared" ca="1" si="19"/>
        <v>0</v>
      </c>
      <c r="F17" s="4">
        <f ca="1">-SUMIFS(INDIRECT("Tab_00.Trial["&amp;F$4&amp;"]"),Tab_00.Trial[CONTA],$B17)</f>
        <v>0</v>
      </c>
      <c r="G17" s="78">
        <f t="shared" ca="1" si="0"/>
        <v>0</v>
      </c>
      <c r="H17" s="78">
        <f t="shared" ca="1" si="20"/>
        <v>0</v>
      </c>
      <c r="I17" s="4">
        <f ca="1">-SUMIFS(INDIRECT("Tab_00.Trial["&amp;I$4&amp;"]"),Tab_00.Trial[CONTA],$B17)</f>
        <v>0</v>
      </c>
      <c r="J17" s="78">
        <f t="shared" ca="1" si="1"/>
        <v>0</v>
      </c>
      <c r="K17" s="78">
        <f t="shared" ca="1" si="2"/>
        <v>0</v>
      </c>
      <c r="L17" s="4">
        <f ca="1">-SUMIFS(INDIRECT("Tab_00.Trial["&amp;L$4&amp;"]"),Tab_00.Trial[CONTA],$B17)</f>
        <v>0</v>
      </c>
      <c r="M17" s="78">
        <f t="shared" ca="1" si="3"/>
        <v>0</v>
      </c>
      <c r="N17" s="78">
        <f t="shared" ca="1" si="4"/>
        <v>0</v>
      </c>
      <c r="O17" s="4">
        <f ca="1">-SUMIFS(INDIRECT("Tab_00.Trial["&amp;O$4&amp;"]"),Tab_00.Trial[CONTA],$B17)</f>
        <v>0</v>
      </c>
      <c r="P17" s="78">
        <f t="shared" ca="1" si="5"/>
        <v>0</v>
      </c>
      <c r="Q17" s="78">
        <f t="shared" ca="1" si="6"/>
        <v>0</v>
      </c>
      <c r="R17" s="4">
        <f ca="1">-SUMIFS(INDIRECT("Tab_00.Trial["&amp;R$4&amp;"]"),Tab_00.Trial[CONTA],$B17)</f>
        <v>0</v>
      </c>
      <c r="S17" s="78">
        <f t="shared" ca="1" si="7"/>
        <v>0</v>
      </c>
      <c r="T17" s="78">
        <f t="shared" ca="1" si="8"/>
        <v>0</v>
      </c>
      <c r="U17" s="4">
        <f ca="1">-SUMIFS(INDIRECT("Tab_00.Trial["&amp;U$4&amp;"]"),Tab_00.Trial[CONTA],$B17)</f>
        <v>0</v>
      </c>
      <c r="V17" s="78">
        <f t="shared" ca="1" si="9"/>
        <v>0</v>
      </c>
      <c r="W17" s="78">
        <f t="shared" ca="1" si="10"/>
        <v>0</v>
      </c>
      <c r="X17" s="4">
        <f ca="1">-SUMIFS(INDIRECT("Tab_00.Trial["&amp;X$4&amp;"]"),Tab_00.Trial[CONTA],$B17)</f>
        <v>0</v>
      </c>
      <c r="Y17" s="78">
        <f t="shared" ca="1" si="21"/>
        <v>0</v>
      </c>
      <c r="Z17" s="78">
        <f t="shared" ca="1" si="22"/>
        <v>0</v>
      </c>
      <c r="AA17" s="4">
        <f ca="1">-SUMIFS(INDIRECT("Tab_00.Trial["&amp;AA$4&amp;"]"),Tab_00.Trial[CONTA],$B17)</f>
        <v>0</v>
      </c>
      <c r="AB17" s="78">
        <f t="shared" ca="1" si="11"/>
        <v>0</v>
      </c>
      <c r="AC17" s="78">
        <f t="shared" ca="1" si="12"/>
        <v>0</v>
      </c>
      <c r="AD17" s="4">
        <f ca="1">-SUMIFS(INDIRECT("Tab_00.Trial["&amp;AD$4&amp;"]"),Tab_00.Trial[CONTA],$B17)</f>
        <v>0</v>
      </c>
      <c r="AE17" s="78">
        <f t="shared" ca="1" si="13"/>
        <v>0</v>
      </c>
      <c r="AF17" s="78">
        <f t="shared" ca="1" si="14"/>
        <v>0</v>
      </c>
      <c r="AG17" s="4">
        <f ca="1">-SUMIFS(INDIRECT("Tab_00.Trial["&amp;AG$4&amp;"]"),Tab_00.Trial[CONTA],$B17)</f>
        <v>0</v>
      </c>
      <c r="AH17" s="78">
        <f t="shared" ca="1" si="15"/>
        <v>0</v>
      </c>
      <c r="AI17" s="78">
        <f t="shared" ca="1" si="16"/>
        <v>0</v>
      </c>
      <c r="AJ17" s="4">
        <f ca="1">-SUMIFS(INDIRECT("Tab_00.Trial["&amp;AJ$4&amp;"]"),Tab_00.Trial[CONTA],$B17)</f>
        <v>0</v>
      </c>
      <c r="AK17" s="78">
        <f t="shared" ca="1" si="17"/>
        <v>0</v>
      </c>
      <c r="AL17" s="78">
        <f t="shared" ca="1" si="18"/>
        <v>0</v>
      </c>
    </row>
    <row r="18" spans="2:40" ht="15" customHeight="1" outlineLevel="1" x14ac:dyDescent="0.3">
      <c r="B18" s="14" t="s">
        <v>382</v>
      </c>
      <c r="C18" s="15" t="s">
        <v>292</v>
      </c>
      <c r="D18" s="4">
        <f ca="1">-SUMIFS(INDIRECT("Tab_00.Trial["&amp;D$4&amp;"]"),Tab_00.Trial[CONTA],$B18)</f>
        <v>0</v>
      </c>
      <c r="E18" s="78">
        <f t="shared" ca="1" si="19"/>
        <v>0</v>
      </c>
      <c r="F18" s="4">
        <f ca="1">-SUMIFS(INDIRECT("Tab_00.Trial["&amp;F$4&amp;"]"),Tab_00.Trial[CONTA],$B18)</f>
        <v>0</v>
      </c>
      <c r="G18" s="78">
        <f t="shared" ca="1" si="0"/>
        <v>0</v>
      </c>
      <c r="H18" s="78">
        <f t="shared" ca="1" si="20"/>
        <v>0</v>
      </c>
      <c r="I18" s="4">
        <f ca="1">-SUMIFS(INDIRECT("Tab_00.Trial["&amp;I$4&amp;"]"),Tab_00.Trial[CONTA],$B18)</f>
        <v>0</v>
      </c>
      <c r="J18" s="78">
        <f t="shared" ca="1" si="1"/>
        <v>0</v>
      </c>
      <c r="K18" s="78">
        <f t="shared" ca="1" si="2"/>
        <v>0</v>
      </c>
      <c r="L18" s="4">
        <f ca="1">-SUMIFS(INDIRECT("Tab_00.Trial["&amp;L$4&amp;"]"),Tab_00.Trial[CONTA],$B18)</f>
        <v>0</v>
      </c>
      <c r="M18" s="78">
        <f t="shared" ca="1" si="3"/>
        <v>0</v>
      </c>
      <c r="N18" s="78">
        <f t="shared" ca="1" si="4"/>
        <v>0</v>
      </c>
      <c r="O18" s="4">
        <f ca="1">-SUMIFS(INDIRECT("Tab_00.Trial["&amp;O$4&amp;"]"),Tab_00.Trial[CONTA],$B18)</f>
        <v>0</v>
      </c>
      <c r="P18" s="78">
        <f t="shared" ca="1" si="5"/>
        <v>0</v>
      </c>
      <c r="Q18" s="78">
        <f t="shared" ca="1" si="6"/>
        <v>0</v>
      </c>
      <c r="R18" s="4">
        <f ca="1">-SUMIFS(INDIRECT("Tab_00.Trial["&amp;R$4&amp;"]"),Tab_00.Trial[CONTA],$B18)</f>
        <v>0</v>
      </c>
      <c r="S18" s="78">
        <f t="shared" ca="1" si="7"/>
        <v>0</v>
      </c>
      <c r="T18" s="78">
        <f t="shared" ca="1" si="8"/>
        <v>0</v>
      </c>
      <c r="U18" s="4">
        <f ca="1">-SUMIFS(INDIRECT("Tab_00.Trial["&amp;U$4&amp;"]"),Tab_00.Trial[CONTA],$B18)</f>
        <v>50</v>
      </c>
      <c r="V18" s="78">
        <f t="shared" ca="1" si="9"/>
        <v>0</v>
      </c>
      <c r="W18" s="78">
        <f t="shared" ca="1" si="10"/>
        <v>0</v>
      </c>
      <c r="X18" s="4">
        <f ca="1">-SUMIFS(INDIRECT("Tab_00.Trial["&amp;X$4&amp;"]"),Tab_00.Trial[CONTA],$B18)</f>
        <v>50</v>
      </c>
      <c r="Y18" s="78">
        <f t="shared" ca="1" si="21"/>
        <v>0</v>
      </c>
      <c r="Z18" s="78">
        <f t="shared" ca="1" si="22"/>
        <v>0</v>
      </c>
      <c r="AA18" s="4">
        <f ca="1">-SUMIFS(INDIRECT("Tab_00.Trial["&amp;AA$4&amp;"]"),Tab_00.Trial[CONTA],$B18)</f>
        <v>5050</v>
      </c>
      <c r="AB18" s="78">
        <f t="shared" ca="1" si="11"/>
        <v>5.0000000000000001E-4</v>
      </c>
      <c r="AC18" s="78">
        <f t="shared" ca="1" si="12"/>
        <v>100</v>
      </c>
      <c r="AD18" s="4">
        <f ca="1">-SUMIFS(INDIRECT("Tab_00.Trial["&amp;AD$4&amp;"]"),Tab_00.Trial[CONTA],$B18)</f>
        <v>7313.46</v>
      </c>
      <c r="AE18" s="78">
        <f t="shared" ca="1" si="13"/>
        <v>6.9999999999999999E-4</v>
      </c>
      <c r="AF18" s="78">
        <f t="shared" ca="1" si="14"/>
        <v>0.44819999999999999</v>
      </c>
      <c r="AG18" s="4">
        <f ca="1">-SUMIFS(INDIRECT("Tab_00.Trial["&amp;AG$4&amp;"]"),Tab_00.Trial[CONTA],$B18)</f>
        <v>13734.16</v>
      </c>
      <c r="AH18" s="78">
        <f t="shared" ca="1" si="15"/>
        <v>1.1999999999999999E-3</v>
      </c>
      <c r="AI18" s="78">
        <f t="shared" ca="1" si="16"/>
        <v>0.87790000000000001</v>
      </c>
      <c r="AJ18" s="4">
        <f ca="1">-SUMIFS(INDIRECT("Tab_00.Trial["&amp;AJ$4&amp;"]"),Tab_00.Trial[CONTA],$B18)</f>
        <v>15055.61</v>
      </c>
      <c r="AK18" s="78">
        <f t="shared" ca="1" si="17"/>
        <v>1.1999999999999999E-3</v>
      </c>
      <c r="AL18" s="78">
        <f t="shared" ca="1" si="18"/>
        <v>9.6199999999999994E-2</v>
      </c>
    </row>
    <row r="19" spans="2:40" ht="15" customHeight="1" outlineLevel="1" x14ac:dyDescent="0.3">
      <c r="B19" s="14" t="s">
        <v>383</v>
      </c>
      <c r="C19" s="14" t="s">
        <v>384</v>
      </c>
      <c r="D19" s="4">
        <f ca="1">-SUMIFS(INDIRECT("Tab_00.Trial["&amp;D$4&amp;"]"),Tab_00.Trial[CONTA],$B19)</f>
        <v>0</v>
      </c>
      <c r="E19" s="78">
        <f t="shared" ca="1" si="19"/>
        <v>0</v>
      </c>
      <c r="F19" s="4">
        <f ca="1">-SUMIFS(INDIRECT("Tab_00.Trial["&amp;F$4&amp;"]"),Tab_00.Trial[CONTA],$B19)</f>
        <v>0</v>
      </c>
      <c r="G19" s="78">
        <f t="shared" ca="1" si="0"/>
        <v>0</v>
      </c>
      <c r="H19" s="78">
        <f t="shared" ca="1" si="20"/>
        <v>0</v>
      </c>
      <c r="I19" s="4">
        <f ca="1">-SUMIFS(INDIRECT("Tab_00.Trial["&amp;I$4&amp;"]"),Tab_00.Trial[CONTA],$B19)</f>
        <v>0</v>
      </c>
      <c r="J19" s="78">
        <f t="shared" ca="1" si="1"/>
        <v>0</v>
      </c>
      <c r="K19" s="78">
        <f t="shared" ca="1" si="2"/>
        <v>0</v>
      </c>
      <c r="L19" s="4">
        <f ca="1">-SUMIFS(INDIRECT("Tab_00.Trial["&amp;L$4&amp;"]"),Tab_00.Trial[CONTA],$B19)</f>
        <v>0</v>
      </c>
      <c r="M19" s="78">
        <f t="shared" ca="1" si="3"/>
        <v>0</v>
      </c>
      <c r="N19" s="78">
        <f t="shared" ca="1" si="4"/>
        <v>0</v>
      </c>
      <c r="O19" s="4">
        <f ca="1">-SUMIFS(INDIRECT("Tab_00.Trial["&amp;O$4&amp;"]"),Tab_00.Trial[CONTA],$B19)</f>
        <v>0</v>
      </c>
      <c r="P19" s="78">
        <f t="shared" ca="1" si="5"/>
        <v>0</v>
      </c>
      <c r="Q19" s="78">
        <f t="shared" ca="1" si="6"/>
        <v>0</v>
      </c>
      <c r="R19" s="4">
        <f ca="1">-SUMIFS(INDIRECT("Tab_00.Trial["&amp;R$4&amp;"]"),Tab_00.Trial[CONTA],$B19)</f>
        <v>0</v>
      </c>
      <c r="S19" s="78">
        <f t="shared" ca="1" si="7"/>
        <v>0</v>
      </c>
      <c r="T19" s="78">
        <f t="shared" ca="1" si="8"/>
        <v>0</v>
      </c>
      <c r="U19" s="4">
        <f ca="1">-SUMIFS(INDIRECT("Tab_00.Trial["&amp;U$4&amp;"]"),Tab_00.Trial[CONTA],$B19)</f>
        <v>0</v>
      </c>
      <c r="V19" s="78">
        <f t="shared" ca="1" si="9"/>
        <v>0</v>
      </c>
      <c r="W19" s="78">
        <f t="shared" ca="1" si="10"/>
        <v>0</v>
      </c>
      <c r="X19" s="4">
        <f ca="1">-SUMIFS(INDIRECT("Tab_00.Trial["&amp;X$4&amp;"]"),Tab_00.Trial[CONTA],$B19)</f>
        <v>0</v>
      </c>
      <c r="Y19" s="78">
        <f t="shared" ca="1" si="21"/>
        <v>0</v>
      </c>
      <c r="Z19" s="78">
        <f t="shared" ca="1" si="22"/>
        <v>0</v>
      </c>
      <c r="AA19" s="4">
        <f ca="1">-SUMIFS(INDIRECT("Tab_00.Trial["&amp;AA$4&amp;"]"),Tab_00.Trial[CONTA],$B19)</f>
        <v>0</v>
      </c>
      <c r="AB19" s="78">
        <f t="shared" ca="1" si="11"/>
        <v>0</v>
      </c>
      <c r="AC19" s="78">
        <f t="shared" ca="1" si="12"/>
        <v>0</v>
      </c>
      <c r="AD19" s="4">
        <f ca="1">-SUMIFS(INDIRECT("Tab_00.Trial["&amp;AD$4&amp;"]"),Tab_00.Trial[CONTA],$B19)</f>
        <v>0</v>
      </c>
      <c r="AE19" s="78">
        <f t="shared" ca="1" si="13"/>
        <v>0</v>
      </c>
      <c r="AF19" s="78">
        <f t="shared" ca="1" si="14"/>
        <v>0</v>
      </c>
      <c r="AG19" s="4">
        <f ca="1">-SUMIFS(INDIRECT("Tab_00.Trial["&amp;AG$4&amp;"]"),Tab_00.Trial[CONTA],$B19)</f>
        <v>0</v>
      </c>
      <c r="AH19" s="78">
        <f t="shared" ca="1" si="15"/>
        <v>0</v>
      </c>
      <c r="AI19" s="78">
        <f t="shared" ca="1" si="16"/>
        <v>0</v>
      </c>
      <c r="AJ19" s="4">
        <f ca="1">-SUMIFS(INDIRECT("Tab_00.Trial["&amp;AJ$4&amp;"]"),Tab_00.Trial[CONTA],$B19)</f>
        <v>0</v>
      </c>
      <c r="AK19" s="78">
        <f t="shared" ca="1" si="17"/>
        <v>0</v>
      </c>
      <c r="AL19" s="78">
        <f t="shared" ca="1" si="18"/>
        <v>0</v>
      </c>
    </row>
    <row r="20" spans="2:40" ht="15" customHeight="1" outlineLevel="1" x14ac:dyDescent="0.3">
      <c r="B20" s="14" t="s">
        <v>385</v>
      </c>
      <c r="C20" s="14" t="s">
        <v>386</v>
      </c>
      <c r="D20" s="4">
        <f ca="1">-SUMIFS(INDIRECT("Tab_00.Trial["&amp;D$4&amp;"]"),Tab_00.Trial[CONTA],$B20)</f>
        <v>0</v>
      </c>
      <c r="E20" s="78">
        <f t="shared" ca="1" si="19"/>
        <v>0</v>
      </c>
      <c r="F20" s="4">
        <f ca="1">-SUMIFS(INDIRECT("Tab_00.Trial["&amp;F$4&amp;"]"),Tab_00.Trial[CONTA],$B20)</f>
        <v>0</v>
      </c>
      <c r="G20" s="78">
        <f t="shared" ca="1" si="0"/>
        <v>0</v>
      </c>
      <c r="H20" s="78">
        <f t="shared" ca="1" si="20"/>
        <v>0</v>
      </c>
      <c r="I20" s="4">
        <f ca="1">-SUMIFS(INDIRECT("Tab_00.Trial["&amp;I$4&amp;"]"),Tab_00.Trial[CONTA],$B20)</f>
        <v>0</v>
      </c>
      <c r="J20" s="78">
        <f t="shared" ca="1" si="1"/>
        <v>0</v>
      </c>
      <c r="K20" s="78">
        <f t="shared" ca="1" si="2"/>
        <v>0</v>
      </c>
      <c r="L20" s="4">
        <f ca="1">-SUMIFS(INDIRECT("Tab_00.Trial["&amp;L$4&amp;"]"),Tab_00.Trial[CONTA],$B20)</f>
        <v>0</v>
      </c>
      <c r="M20" s="78">
        <f t="shared" ca="1" si="3"/>
        <v>0</v>
      </c>
      <c r="N20" s="78">
        <f t="shared" ca="1" si="4"/>
        <v>0</v>
      </c>
      <c r="O20" s="4">
        <f ca="1">-SUMIFS(INDIRECT("Tab_00.Trial["&amp;O$4&amp;"]"),Tab_00.Trial[CONTA],$B20)</f>
        <v>0</v>
      </c>
      <c r="P20" s="78">
        <f t="shared" ca="1" si="5"/>
        <v>0</v>
      </c>
      <c r="Q20" s="78">
        <f t="shared" ca="1" si="6"/>
        <v>0</v>
      </c>
      <c r="R20" s="4">
        <f ca="1">-SUMIFS(INDIRECT("Tab_00.Trial["&amp;R$4&amp;"]"),Tab_00.Trial[CONTA],$B20)</f>
        <v>0</v>
      </c>
      <c r="S20" s="78">
        <f t="shared" ca="1" si="7"/>
        <v>0</v>
      </c>
      <c r="T20" s="78">
        <f t="shared" ca="1" si="8"/>
        <v>0</v>
      </c>
      <c r="U20" s="4">
        <f ca="1">-SUMIFS(INDIRECT("Tab_00.Trial["&amp;U$4&amp;"]"),Tab_00.Trial[CONTA],$B20)</f>
        <v>0</v>
      </c>
      <c r="V20" s="78">
        <f t="shared" ca="1" si="9"/>
        <v>0</v>
      </c>
      <c r="W20" s="78">
        <f t="shared" ca="1" si="10"/>
        <v>0</v>
      </c>
      <c r="X20" s="4">
        <f ca="1">-SUMIFS(INDIRECT("Tab_00.Trial["&amp;X$4&amp;"]"),Tab_00.Trial[CONTA],$B20)</f>
        <v>0</v>
      </c>
      <c r="Y20" s="78">
        <f t="shared" ca="1" si="21"/>
        <v>0</v>
      </c>
      <c r="Z20" s="78">
        <f t="shared" ca="1" si="22"/>
        <v>0</v>
      </c>
      <c r="AA20" s="4">
        <f ca="1">-SUMIFS(INDIRECT("Tab_00.Trial["&amp;AA$4&amp;"]"),Tab_00.Trial[CONTA],$B20)</f>
        <v>0</v>
      </c>
      <c r="AB20" s="78">
        <f t="shared" ca="1" si="11"/>
        <v>0</v>
      </c>
      <c r="AC20" s="78">
        <f t="shared" ca="1" si="12"/>
        <v>0</v>
      </c>
      <c r="AD20" s="4">
        <f ca="1">-SUMIFS(INDIRECT("Tab_00.Trial["&amp;AD$4&amp;"]"),Tab_00.Trial[CONTA],$B20)</f>
        <v>0</v>
      </c>
      <c r="AE20" s="78">
        <f t="shared" ca="1" si="13"/>
        <v>0</v>
      </c>
      <c r="AF20" s="78">
        <f t="shared" ca="1" si="14"/>
        <v>0</v>
      </c>
      <c r="AG20" s="4">
        <f ca="1">-SUMIFS(INDIRECT("Tab_00.Trial["&amp;AG$4&amp;"]"),Tab_00.Trial[CONTA],$B20)</f>
        <v>0</v>
      </c>
      <c r="AH20" s="78">
        <f t="shared" ca="1" si="15"/>
        <v>0</v>
      </c>
      <c r="AI20" s="78">
        <f t="shared" ca="1" si="16"/>
        <v>0</v>
      </c>
      <c r="AJ20" s="4">
        <f ca="1">-SUMIFS(INDIRECT("Tab_00.Trial["&amp;AJ$4&amp;"]"),Tab_00.Trial[CONTA],$B20)</f>
        <v>0</v>
      </c>
      <c r="AK20" s="78">
        <f t="shared" ca="1" si="17"/>
        <v>0</v>
      </c>
      <c r="AL20" s="78">
        <f t="shared" ca="1" si="18"/>
        <v>0</v>
      </c>
    </row>
    <row r="21" spans="2:40" ht="15" customHeight="1" outlineLevel="1" x14ac:dyDescent="0.3">
      <c r="B21" s="14" t="s">
        <v>387</v>
      </c>
      <c r="C21" s="15" t="s">
        <v>388</v>
      </c>
      <c r="D21" s="4">
        <f ca="1">-SUMIFS(INDIRECT("Tab_00.Trial["&amp;D$4&amp;"]"),Tab_00.Trial[CONTA],$B21)</f>
        <v>421470.98</v>
      </c>
      <c r="E21" s="78">
        <f t="shared" ca="1" si="19"/>
        <v>0.44369999999999998</v>
      </c>
      <c r="F21" s="4">
        <f ca="1">-SUMIFS(INDIRECT("Tab_00.Trial["&amp;F$4&amp;"]"),Tab_00.Trial[CONTA],$B21)</f>
        <v>842941.96</v>
      </c>
      <c r="G21" s="78">
        <f t="shared" ca="1" si="0"/>
        <v>0.43780000000000002</v>
      </c>
      <c r="H21" s="78">
        <f t="shared" ca="1" si="20"/>
        <v>1</v>
      </c>
      <c r="I21" s="4">
        <f ca="1">-SUMIFS(INDIRECT("Tab_00.Trial["&amp;I$4&amp;"]"),Tab_00.Trial[CONTA],$B21)</f>
        <v>1264412.94</v>
      </c>
      <c r="J21" s="78">
        <f t="shared" ca="1" si="1"/>
        <v>0.4249</v>
      </c>
      <c r="K21" s="78">
        <f t="shared" ca="1" si="2"/>
        <v>0.5</v>
      </c>
      <c r="L21" s="4">
        <f ca="1">-SUMIFS(INDIRECT("Tab_00.Trial["&amp;L$4&amp;"]"),Tab_00.Trial[CONTA],$B21)</f>
        <v>1704834.52</v>
      </c>
      <c r="M21" s="78">
        <f t="shared" ca="1" si="3"/>
        <v>0.41760000000000003</v>
      </c>
      <c r="N21" s="78">
        <f t="shared" ca="1" si="4"/>
        <v>0.3483</v>
      </c>
      <c r="O21" s="4">
        <f ca="1">-SUMIFS(INDIRECT("Tab_00.Trial["&amp;O$4&amp;"]"),Tab_00.Trial[CONTA],$B21)</f>
        <v>2145256.1</v>
      </c>
      <c r="P21" s="78">
        <f t="shared" ca="1" si="5"/>
        <v>0.40510000000000002</v>
      </c>
      <c r="Q21" s="78">
        <f t="shared" ca="1" si="6"/>
        <v>0.25829999999999997</v>
      </c>
      <c r="R21" s="4">
        <f ca="1">-SUMIFS(INDIRECT("Tab_00.Trial["&amp;R$4&amp;"]"),Tab_00.Trial[CONTA],$B21)</f>
        <v>2585677.6800000002</v>
      </c>
      <c r="S21" s="78">
        <f t="shared" ca="1" si="7"/>
        <v>0.41020000000000001</v>
      </c>
      <c r="T21" s="78">
        <f t="shared" ca="1" si="8"/>
        <v>0.20530000000000001</v>
      </c>
      <c r="U21" s="4">
        <f ca="1">-SUMIFS(INDIRECT("Tab_00.Trial["&amp;U$4&amp;"]"),Tab_00.Trial[CONTA],$B21)</f>
        <v>3026099.26</v>
      </c>
      <c r="V21" s="78">
        <f t="shared" ca="1" si="9"/>
        <v>0.41010000000000002</v>
      </c>
      <c r="W21" s="78">
        <f t="shared" ca="1" si="10"/>
        <v>0.17030000000000001</v>
      </c>
      <c r="X21" s="4">
        <f ca="1">-SUMIFS(INDIRECT("Tab_00.Trial["&amp;X$4&amp;"]"),Tab_00.Trial[CONTA],$B21)</f>
        <v>3466520.84</v>
      </c>
      <c r="Y21" s="78">
        <f t="shared" ca="1" si="21"/>
        <v>0.41170000000000001</v>
      </c>
      <c r="Z21" s="78">
        <f t="shared" ca="1" si="22"/>
        <v>0.14549999999999999</v>
      </c>
      <c r="AA21" s="4">
        <f ca="1">-SUMIFS(INDIRECT("Tab_00.Trial["&amp;AA$4&amp;"]"),Tab_00.Trial[CONTA],$B21)</f>
        <v>3906942.42</v>
      </c>
      <c r="AB21" s="78">
        <f t="shared" ca="1" si="11"/>
        <v>0.41589999999999999</v>
      </c>
      <c r="AC21" s="78">
        <f t="shared" ca="1" si="12"/>
        <v>0.12709999999999999</v>
      </c>
      <c r="AD21" s="4">
        <f ca="1">-SUMIFS(INDIRECT("Tab_00.Trial["&amp;AD$4&amp;"]"),Tab_00.Trial[CONTA],$B21)</f>
        <v>4347364</v>
      </c>
      <c r="AE21" s="78">
        <f t="shared" ca="1" si="13"/>
        <v>0.40870000000000001</v>
      </c>
      <c r="AF21" s="78">
        <f t="shared" ca="1" si="14"/>
        <v>0.11269999999999999</v>
      </c>
      <c r="AG21" s="4">
        <f ca="1">-SUMIFS(INDIRECT("Tab_00.Trial["&amp;AG$4&amp;"]"),Tab_00.Trial[CONTA],$B21)</f>
        <v>4787785.58</v>
      </c>
      <c r="AH21" s="78">
        <f t="shared" ca="1" si="15"/>
        <v>0.4143</v>
      </c>
      <c r="AI21" s="78">
        <f t="shared" ca="1" si="16"/>
        <v>0.1013</v>
      </c>
      <c r="AJ21" s="4">
        <f ca="1">-SUMIFS(INDIRECT("Tab_00.Trial["&amp;AJ$4&amp;"]"),Tab_00.Trial[CONTA],$B21)</f>
        <v>5228207.16</v>
      </c>
      <c r="AK21" s="78">
        <f t="shared" ca="1" si="17"/>
        <v>0.40089999999999998</v>
      </c>
      <c r="AL21" s="78">
        <f t="shared" ca="1" si="18"/>
        <v>9.1999999999999998E-2</v>
      </c>
    </row>
    <row r="22" spans="2:40" ht="15" customHeight="1" outlineLevel="1" x14ac:dyDescent="0.3">
      <c r="B22" s="14" t="s">
        <v>389</v>
      </c>
      <c r="C22" s="15" t="s">
        <v>390</v>
      </c>
      <c r="D22" s="4">
        <f ca="1">-SUMIFS(INDIRECT("Tab_00.Trial["&amp;D$4&amp;"]"),Tab_00.Trial[CONTA],$B22)</f>
        <v>0</v>
      </c>
      <c r="E22" s="78">
        <f t="shared" ca="1" si="19"/>
        <v>0</v>
      </c>
      <c r="F22" s="4">
        <f ca="1">-SUMIFS(INDIRECT("Tab_00.Trial["&amp;F$4&amp;"]"),Tab_00.Trial[CONTA],$B22)</f>
        <v>12636.86</v>
      </c>
      <c r="G22" s="78">
        <f t="shared" ca="1" si="0"/>
        <v>6.6E-3</v>
      </c>
      <c r="H22" s="78">
        <f t="shared" ca="1" si="20"/>
        <v>0</v>
      </c>
      <c r="I22" s="4">
        <f ca="1">-SUMIFS(INDIRECT("Tab_00.Trial["&amp;I$4&amp;"]"),Tab_00.Trial[CONTA],$B22)</f>
        <v>33218.14</v>
      </c>
      <c r="J22" s="78">
        <f t="shared" ca="1" si="1"/>
        <v>1.12E-2</v>
      </c>
      <c r="K22" s="78">
        <f t="shared" ca="1" si="2"/>
        <v>1.6287</v>
      </c>
      <c r="L22" s="4">
        <f ca="1">-SUMIFS(INDIRECT("Tab_00.Trial["&amp;L$4&amp;"]"),Tab_00.Trial[CONTA],$B22)</f>
        <v>33218.14</v>
      </c>
      <c r="M22" s="78">
        <f t="shared" ca="1" si="3"/>
        <v>8.0999999999999996E-3</v>
      </c>
      <c r="N22" s="78">
        <f t="shared" ca="1" si="4"/>
        <v>0</v>
      </c>
      <c r="O22" s="4">
        <f ca="1">-SUMIFS(INDIRECT("Tab_00.Trial["&amp;O$4&amp;"]"),Tab_00.Trial[CONTA],$B22)</f>
        <v>45800.98</v>
      </c>
      <c r="P22" s="78">
        <f t="shared" ca="1" si="5"/>
        <v>8.6E-3</v>
      </c>
      <c r="Q22" s="78">
        <f t="shared" ca="1" si="6"/>
        <v>0.37880000000000003</v>
      </c>
      <c r="R22" s="4">
        <f ca="1">-SUMIFS(INDIRECT("Tab_00.Trial["&amp;R$4&amp;"]"),Tab_00.Trial[CONTA],$B22)</f>
        <v>45800.98</v>
      </c>
      <c r="S22" s="78">
        <f t="shared" ca="1" si="7"/>
        <v>7.3000000000000001E-3</v>
      </c>
      <c r="T22" s="78">
        <f t="shared" ca="1" si="8"/>
        <v>0</v>
      </c>
      <c r="U22" s="4">
        <f ca="1">-SUMIFS(INDIRECT("Tab_00.Trial["&amp;U$4&amp;"]"),Tab_00.Trial[CONTA],$B22)</f>
        <v>52315.24</v>
      </c>
      <c r="V22" s="78">
        <f t="shared" ca="1" si="9"/>
        <v>7.1000000000000004E-3</v>
      </c>
      <c r="W22" s="78">
        <f t="shared" ca="1" si="10"/>
        <v>0.14219999999999999</v>
      </c>
      <c r="X22" s="4">
        <f ca="1">-SUMIFS(INDIRECT("Tab_00.Trial["&amp;X$4&amp;"]"),Tab_00.Trial[CONTA],$B22)</f>
        <v>58829.5</v>
      </c>
      <c r="Y22" s="78">
        <f t="shared" ca="1" si="21"/>
        <v>7.0000000000000001E-3</v>
      </c>
      <c r="Z22" s="78">
        <f t="shared" ca="1" si="22"/>
        <v>0.1245</v>
      </c>
      <c r="AA22" s="4">
        <f ca="1">-SUMIFS(INDIRECT("Tab_00.Trial["&amp;AA$4&amp;"]"),Tab_00.Trial[CONTA],$B22)</f>
        <v>71858.02</v>
      </c>
      <c r="AB22" s="78">
        <f t="shared" ca="1" si="11"/>
        <v>7.6E-3</v>
      </c>
      <c r="AC22" s="78">
        <f t="shared" ca="1" si="12"/>
        <v>0.2215</v>
      </c>
      <c r="AD22" s="4">
        <f ca="1">-SUMIFS(INDIRECT("Tab_00.Trial["&amp;AD$4&amp;"]"),Tab_00.Trial[CONTA],$B22)</f>
        <v>96875.26</v>
      </c>
      <c r="AE22" s="78">
        <f t="shared" ca="1" si="13"/>
        <v>9.1000000000000004E-3</v>
      </c>
      <c r="AF22" s="78">
        <f t="shared" ca="1" si="14"/>
        <v>0.34810000000000002</v>
      </c>
      <c r="AG22" s="4">
        <f ca="1">-SUMIFS(INDIRECT("Tab_00.Trial["&amp;AG$4&amp;"]"),Tab_00.Trial[CONTA],$B22)</f>
        <v>96875.26</v>
      </c>
      <c r="AH22" s="78">
        <f t="shared" ca="1" si="15"/>
        <v>8.3999999999999995E-3</v>
      </c>
      <c r="AI22" s="78">
        <f t="shared" ca="1" si="16"/>
        <v>0</v>
      </c>
      <c r="AJ22" s="4">
        <f ca="1">-SUMIFS(INDIRECT("Tab_00.Trial["&amp;AJ$4&amp;"]"),Tab_00.Trial[CONTA],$B22)</f>
        <v>97098.1</v>
      </c>
      <c r="AK22" s="78">
        <f t="shared" ca="1" si="17"/>
        <v>7.4000000000000003E-3</v>
      </c>
      <c r="AL22" s="78">
        <f t="shared" ca="1" si="18"/>
        <v>2.3E-3</v>
      </c>
    </row>
    <row r="23" spans="2:40" ht="15" customHeight="1" outlineLevel="1" x14ac:dyDescent="0.3">
      <c r="B23" s="14" t="s">
        <v>395</v>
      </c>
      <c r="C23" s="15" t="s">
        <v>396</v>
      </c>
      <c r="D23" s="4">
        <f ca="1">-SUMIFS(INDIRECT("Tab_00.Trial["&amp;D$4&amp;"]"),Tab_00.Trial[CONTA],$B23)</f>
        <v>50</v>
      </c>
      <c r="E23" s="78">
        <f t="shared" ca="1" si="19"/>
        <v>1E-4</v>
      </c>
      <c r="F23" s="4">
        <f ca="1">-SUMIFS(INDIRECT("Tab_00.Trial["&amp;F$4&amp;"]"),Tab_00.Trial[CONTA],$B23)</f>
        <v>700</v>
      </c>
      <c r="G23" s="78">
        <f t="shared" ca="1" si="0"/>
        <v>4.0000000000000002E-4</v>
      </c>
      <c r="H23" s="78">
        <f t="shared" ca="1" si="20"/>
        <v>13</v>
      </c>
      <c r="I23" s="4">
        <f ca="1">-SUMIFS(INDIRECT("Tab_00.Trial["&amp;I$4&amp;"]"),Tab_00.Trial[CONTA],$B23)</f>
        <v>2700</v>
      </c>
      <c r="J23" s="78">
        <f t="shared" ca="1" si="1"/>
        <v>8.9999999999999998E-4</v>
      </c>
      <c r="K23" s="78">
        <f t="shared" ca="1" si="2"/>
        <v>2.8571</v>
      </c>
      <c r="L23" s="4">
        <f ca="1">-SUMIFS(INDIRECT("Tab_00.Trial["&amp;L$4&amp;"]"),Tab_00.Trial[CONTA],$B23)</f>
        <v>5000</v>
      </c>
      <c r="M23" s="78">
        <f t="shared" ca="1" si="3"/>
        <v>1.1999999999999999E-3</v>
      </c>
      <c r="N23" s="78">
        <f t="shared" ca="1" si="4"/>
        <v>0.85189999999999999</v>
      </c>
      <c r="O23" s="4">
        <f ca="1">-SUMIFS(INDIRECT("Tab_00.Trial["&amp;O$4&amp;"]"),Tab_00.Trial[CONTA],$B23)</f>
        <v>5500</v>
      </c>
      <c r="P23" s="78">
        <f t="shared" ca="1" si="5"/>
        <v>1E-3</v>
      </c>
      <c r="Q23" s="78">
        <f t="shared" ca="1" si="6"/>
        <v>0.1</v>
      </c>
      <c r="R23" s="4">
        <f ca="1">-SUMIFS(INDIRECT("Tab_00.Trial["&amp;R$4&amp;"]"),Tab_00.Trial[CONTA],$B23)</f>
        <v>6200</v>
      </c>
      <c r="S23" s="78">
        <f t="shared" ca="1" si="7"/>
        <v>1E-3</v>
      </c>
      <c r="T23" s="78">
        <f t="shared" ca="1" si="8"/>
        <v>0.1273</v>
      </c>
      <c r="U23" s="4">
        <f ca="1">-SUMIFS(INDIRECT("Tab_00.Trial["&amp;U$4&amp;"]"),Tab_00.Trial[CONTA],$B23)</f>
        <v>7450</v>
      </c>
      <c r="V23" s="78">
        <f t="shared" ca="1" si="9"/>
        <v>1E-3</v>
      </c>
      <c r="W23" s="78">
        <f t="shared" ca="1" si="10"/>
        <v>0.2016</v>
      </c>
      <c r="X23" s="4">
        <f ca="1">-SUMIFS(INDIRECT("Tab_00.Trial["&amp;X$4&amp;"]"),Tab_00.Trial[CONTA],$B23)</f>
        <v>7450</v>
      </c>
      <c r="Y23" s="78">
        <f t="shared" ca="1" si="21"/>
        <v>8.9999999999999998E-4</v>
      </c>
      <c r="Z23" s="78">
        <f t="shared" ca="1" si="22"/>
        <v>0</v>
      </c>
      <c r="AA23" s="4">
        <f ca="1">-SUMIFS(INDIRECT("Tab_00.Trial["&amp;AA$4&amp;"]"),Tab_00.Trial[CONTA],$B23)</f>
        <v>7450</v>
      </c>
      <c r="AB23" s="78">
        <f t="shared" ca="1" si="11"/>
        <v>8.0000000000000004E-4</v>
      </c>
      <c r="AC23" s="78">
        <f t="shared" ca="1" si="12"/>
        <v>0</v>
      </c>
      <c r="AD23" s="4">
        <f ca="1">-SUMIFS(INDIRECT("Tab_00.Trial["&amp;AD$4&amp;"]"),Tab_00.Trial[CONTA],$B23)</f>
        <v>7450</v>
      </c>
      <c r="AE23" s="78">
        <f t="shared" ca="1" si="13"/>
        <v>6.9999999999999999E-4</v>
      </c>
      <c r="AF23" s="78">
        <f t="shared" ca="1" si="14"/>
        <v>0</v>
      </c>
      <c r="AG23" s="4">
        <f ca="1">-SUMIFS(INDIRECT("Tab_00.Trial["&amp;AG$4&amp;"]"),Tab_00.Trial[CONTA],$B23)</f>
        <v>7450</v>
      </c>
      <c r="AH23" s="78">
        <f t="shared" ca="1" si="15"/>
        <v>5.9999999999999995E-4</v>
      </c>
      <c r="AI23" s="78">
        <f t="shared" ca="1" si="16"/>
        <v>0</v>
      </c>
      <c r="AJ23" s="4">
        <f ca="1">-SUMIFS(INDIRECT("Tab_00.Trial["&amp;AJ$4&amp;"]"),Tab_00.Trial[CONTA],$B23)</f>
        <v>7450</v>
      </c>
      <c r="AK23" s="78">
        <f t="shared" ca="1" si="17"/>
        <v>5.9999999999999995E-4</v>
      </c>
      <c r="AL23" s="78">
        <f t="shared" ca="1" si="18"/>
        <v>0</v>
      </c>
    </row>
    <row r="24" spans="2:40" ht="5.0999999999999996" customHeight="1" outlineLevel="1" x14ac:dyDescent="0.3">
      <c r="B24" s="74"/>
      <c r="C24" s="75"/>
      <c r="D24" s="76"/>
      <c r="E24" s="77"/>
      <c r="F24" s="76"/>
      <c r="G24" s="77"/>
      <c r="H24" s="77"/>
      <c r="I24" s="76"/>
      <c r="J24" s="77"/>
      <c r="K24" s="77"/>
      <c r="L24" s="76"/>
      <c r="M24" s="77"/>
      <c r="N24" s="77"/>
      <c r="O24" s="76"/>
      <c r="P24" s="77"/>
      <c r="Q24" s="77"/>
      <c r="R24" s="76"/>
      <c r="S24" s="77"/>
      <c r="T24" s="77"/>
      <c r="U24" s="76"/>
      <c r="V24" s="77"/>
      <c r="W24" s="77"/>
      <c r="X24" s="76"/>
      <c r="Y24" s="77"/>
      <c r="Z24" s="77"/>
      <c r="AA24" s="76"/>
      <c r="AB24" s="77"/>
      <c r="AC24" s="77"/>
      <c r="AD24" s="76"/>
      <c r="AE24" s="77"/>
      <c r="AF24" s="77"/>
      <c r="AG24" s="76"/>
      <c r="AH24" s="77"/>
      <c r="AI24" s="77"/>
      <c r="AJ24" s="76"/>
      <c r="AK24" s="77"/>
      <c r="AL24" s="77"/>
    </row>
    <row r="25" spans="2:40" ht="15" customHeight="1" x14ac:dyDescent="0.3">
      <c r="B25" s="3" t="s">
        <v>102</v>
      </c>
      <c r="C25" s="1" t="s">
        <v>155</v>
      </c>
      <c r="D25" s="4">
        <f ca="1">SUBTOTAL(9,D$26:D$34)</f>
        <v>0</v>
      </c>
      <c r="E25" s="78">
        <f t="shared" ref="E25:E33" ca="1" si="23">IFERROR($D25/$D$6,0)</f>
        <v>0</v>
      </c>
      <c r="F25" s="4">
        <f ca="1">SUBTOTAL(9,F$26:F$34)</f>
        <v>0</v>
      </c>
      <c r="G25" s="78">
        <f ca="1">IFERROR($F25/$F$6,0)</f>
        <v>0</v>
      </c>
      <c r="H25" s="78">
        <f t="shared" ref="H25:H33" ca="1" si="24">IFERROR(($F25-$D25)/ABS($D25),0)</f>
        <v>0</v>
      </c>
      <c r="I25" s="4">
        <f ca="1">SUBTOTAL(9,I$26:I$34)</f>
        <v>0</v>
      </c>
      <c r="J25" s="78">
        <f ca="1">IFERROR($I25/$I$6,0)</f>
        <v>0</v>
      </c>
      <c r="K25" s="78">
        <f ca="1">IFERROR(($I25-$F25)/ABS($F25),0)</f>
        <v>0</v>
      </c>
      <c r="L25" s="4">
        <f ca="1">SUBTOTAL(9,L$26:L$34)</f>
        <v>0</v>
      </c>
      <c r="M25" s="78">
        <f ca="1">IFERROR($L25/$L$6,0)</f>
        <v>0</v>
      </c>
      <c r="N25" s="78">
        <f ca="1">IFERROR(($L25-$I25)/ABS($I25),0)</f>
        <v>0</v>
      </c>
      <c r="O25" s="4">
        <f ca="1">SUBTOTAL(9,O$26:O$34)</f>
        <v>0</v>
      </c>
      <c r="P25" s="78">
        <f ca="1">IFERROR($O25/$O$6,0)</f>
        <v>0</v>
      </c>
      <c r="Q25" s="78">
        <f ca="1">IFERROR(($O25-$L25)/ABS($L25),0)</f>
        <v>0</v>
      </c>
      <c r="R25" s="4">
        <f ca="1">SUBTOTAL(9,R$26:R$34)</f>
        <v>0</v>
      </c>
      <c r="S25" s="78">
        <f ca="1">IFERROR($R25/$R$6,0)</f>
        <v>0</v>
      </c>
      <c r="T25" s="78">
        <f ca="1">IFERROR(($R25-$O25)/ABS($O25),0)</f>
        <v>0</v>
      </c>
      <c r="U25" s="4">
        <f ca="1">SUBTOTAL(9,U$26:U$34)</f>
        <v>-11</v>
      </c>
      <c r="V25" s="78">
        <f ca="1">IFERROR($U25/$U$6,0)</f>
        <v>0</v>
      </c>
      <c r="W25" s="78">
        <f ca="1">IFERROR(($U25-$R25)/ABS($R25),0)</f>
        <v>0</v>
      </c>
      <c r="X25" s="4">
        <f ca="1">SUBTOTAL(9,X$26:X$34)</f>
        <v>-48.73</v>
      </c>
      <c r="Y25" s="78">
        <f t="shared" ref="Y25:Y33" ca="1" si="25">IFERROR($X25/$X$6,0)</f>
        <v>0</v>
      </c>
      <c r="Z25" s="78">
        <f t="shared" ref="Z25:Z33" ca="1" si="26">IFERROR(($X25-$U25)/ABS($U25),0)</f>
        <v>-3.43</v>
      </c>
      <c r="AA25" s="4">
        <f ca="1">SUBTOTAL(9,AA$26:AA$34)</f>
        <v>-12127.06</v>
      </c>
      <c r="AB25" s="78">
        <f ca="1">IFERROR($AA25/$AA$6,0)</f>
        <v>-1.2999999999999999E-3</v>
      </c>
      <c r="AC25" s="78">
        <f ca="1">IFERROR(($AA25-$X25)/ABS($X25),0)</f>
        <v>-247.8623</v>
      </c>
      <c r="AD25" s="4">
        <f ca="1">SUBTOTAL(9,AD$26:AD$34)</f>
        <v>-12139.16</v>
      </c>
      <c r="AE25" s="78">
        <f ca="1">IFERROR($AD25/$AD$6,0)</f>
        <v>-1.1000000000000001E-3</v>
      </c>
      <c r="AF25" s="78">
        <f ca="1">IFERROR(($AD25-$AA25)/ABS($AA25),0)</f>
        <v>-1E-3</v>
      </c>
      <c r="AG25" s="4">
        <f ca="1">SUBTOTAL(9,AG$26:AG$34)</f>
        <v>-14038.16</v>
      </c>
      <c r="AH25" s="78">
        <f ca="1">IFERROR($AG25/$AG$6,0)</f>
        <v>-1.1999999999999999E-3</v>
      </c>
      <c r="AI25" s="78">
        <f ca="1">IFERROR(($AG25-$AD25)/ABS($AD25),0)</f>
        <v>-0.15640000000000001</v>
      </c>
      <c r="AJ25" s="4">
        <f ca="1">SUBTOTAL(9,AJ$26:AJ$34)</f>
        <v>-14303.78</v>
      </c>
      <c r="AK25" s="78">
        <f ca="1">IFERROR($AJ25/$AJ$6,0)</f>
        <v>-1.1000000000000001E-3</v>
      </c>
      <c r="AL25" s="78">
        <f ca="1">IFERROR(($AJ25-$AG25)/ABS($AG25),0)</f>
        <v>-1.89E-2</v>
      </c>
    </row>
    <row r="26" spans="2:40" ht="15" customHeight="1" outlineLevel="1" x14ac:dyDescent="0.3">
      <c r="B26" s="181" t="s">
        <v>849</v>
      </c>
      <c r="C26" s="181" t="s">
        <v>850</v>
      </c>
      <c r="D26" s="4">
        <f ca="1">-SUMIFS(INDIRECT("Tab_00.Trial["&amp;D$4&amp;"]"),Tab_00.Trial[CONTA],$B26)</f>
        <v>0</v>
      </c>
      <c r="E26" s="78">
        <f t="shared" ca="1" si="23"/>
        <v>0</v>
      </c>
      <c r="F26" s="4">
        <f ca="1">-SUMIFS(INDIRECT("Tab_00.Trial["&amp;F$4&amp;"]"),Tab_00.Trial[CONTA],$B26)</f>
        <v>0</v>
      </c>
      <c r="G26" s="78">
        <f t="shared" ref="G26:G33" ca="1" si="27">IFERROR($F26/$F$6,0)</f>
        <v>0</v>
      </c>
      <c r="H26" s="78">
        <f t="shared" ca="1" si="24"/>
        <v>0</v>
      </c>
      <c r="I26" s="4">
        <f ca="1">-SUMIFS(INDIRECT("Tab_00.Trial["&amp;I$4&amp;"]"),Tab_00.Trial[CONTA],$B26)</f>
        <v>0</v>
      </c>
      <c r="J26" s="78">
        <f t="shared" ref="J26:J33" ca="1" si="28">IFERROR($I26/$I$6,0)</f>
        <v>0</v>
      </c>
      <c r="K26" s="78">
        <f t="shared" ref="K26:K33" ca="1" si="29">IFERROR(($I26-$F26)/ABS($F26),0)</f>
        <v>0</v>
      </c>
      <c r="L26" s="4">
        <f ca="1">-SUMIFS(INDIRECT("Tab_00.Trial["&amp;L$4&amp;"]"),Tab_00.Trial[CONTA],$B26)</f>
        <v>0</v>
      </c>
      <c r="M26" s="78">
        <f t="shared" ref="M26:M33" ca="1" si="30">IFERROR($L26/$L$6,0)</f>
        <v>0</v>
      </c>
      <c r="N26" s="78">
        <f t="shared" ref="N26:N33" ca="1" si="31">IFERROR(($L26-$I26)/ABS($I26),0)</f>
        <v>0</v>
      </c>
      <c r="O26" s="4">
        <f ca="1">-SUMIFS(INDIRECT("Tab_00.Trial["&amp;O$4&amp;"]"),Tab_00.Trial[CONTA],$B26)</f>
        <v>0</v>
      </c>
      <c r="P26" s="78">
        <f t="shared" ref="P26:P33" ca="1" si="32">IFERROR($O26/$O$6,0)</f>
        <v>0</v>
      </c>
      <c r="Q26" s="78">
        <f t="shared" ref="Q26:Q33" ca="1" si="33">IFERROR(($O26-$L26)/ABS($L26),0)</f>
        <v>0</v>
      </c>
      <c r="R26" s="4">
        <f ca="1">-SUMIFS(INDIRECT("Tab_00.Trial["&amp;R$4&amp;"]"),Tab_00.Trial[CONTA],$B26)</f>
        <v>0</v>
      </c>
      <c r="S26" s="78">
        <f t="shared" ref="S26:S33" ca="1" si="34">IFERROR($R26/$R$6,0)</f>
        <v>0</v>
      </c>
      <c r="T26" s="78">
        <f t="shared" ref="T26:T33" ca="1" si="35">IFERROR(($R26-$O26)/ABS($O26),0)</f>
        <v>0</v>
      </c>
      <c r="U26" s="4">
        <f ca="1">-SUMIFS(INDIRECT("Tab_00.Trial["&amp;U$4&amp;"]"),Tab_00.Trial[CONTA],$B26)</f>
        <v>-11</v>
      </c>
      <c r="V26" s="78">
        <f t="shared" ref="V26:V33" ca="1" si="36">IFERROR($U26/$U$6,0)</f>
        <v>0</v>
      </c>
      <c r="W26" s="78">
        <f t="shared" ref="W26:W33" ca="1" si="37">IFERROR(($U26-$R26)/ABS($R26),0)</f>
        <v>0</v>
      </c>
      <c r="X26" s="4">
        <f ca="1">-SUMIFS(INDIRECT("Tab_00.Trial["&amp;X$4&amp;"]"),Tab_00.Trial[CONTA],$B26)</f>
        <v>-48.73</v>
      </c>
      <c r="Y26" s="78">
        <f t="shared" ca="1" si="25"/>
        <v>0</v>
      </c>
      <c r="Z26" s="78">
        <f t="shared" ca="1" si="26"/>
        <v>-3.43</v>
      </c>
      <c r="AA26" s="4">
        <f ca="1">-SUMIFS(INDIRECT("Tab_00.Trial["&amp;AA$4&amp;"]"),Tab_00.Trial[CONTA],$B26)</f>
        <v>-12127.06</v>
      </c>
      <c r="AB26" s="78">
        <f t="shared" ref="AB26:AB33" ca="1" si="38">IFERROR($AA26/$AA$6,0)</f>
        <v>-1.2999999999999999E-3</v>
      </c>
      <c r="AC26" s="78">
        <f t="shared" ref="AC26:AC33" ca="1" si="39">IFERROR(($AA26-$X26)/ABS($X26),0)</f>
        <v>-247.8623</v>
      </c>
      <c r="AD26" s="4">
        <f ca="1">-SUMIFS(INDIRECT("Tab_00.Trial["&amp;AD$4&amp;"]"),Tab_00.Trial[CONTA],$B26)</f>
        <v>-12139.16</v>
      </c>
      <c r="AE26" s="78">
        <f t="shared" ref="AE26:AE33" ca="1" si="40">IFERROR($AD26/$AD$6,0)</f>
        <v>-1.1000000000000001E-3</v>
      </c>
      <c r="AF26" s="78">
        <f t="shared" ref="AF26:AF33" ca="1" si="41">IFERROR(($AD26-$AA26)/ABS($AA26),0)</f>
        <v>-1E-3</v>
      </c>
      <c r="AG26" s="4">
        <f ca="1">-SUMIFS(INDIRECT("Tab_00.Trial["&amp;AG$4&amp;"]"),Tab_00.Trial[CONTA],$B26)</f>
        <v>-14038.16</v>
      </c>
      <c r="AH26" s="78">
        <f t="shared" ref="AH26:AH33" ca="1" si="42">IFERROR($AG26/$AG$6,0)</f>
        <v>-1.1999999999999999E-3</v>
      </c>
      <c r="AI26" s="78">
        <f t="shared" ref="AI26:AI33" ca="1" si="43">IFERROR(($AG26-$AD26)/ABS($AD26),0)</f>
        <v>-0.15640000000000001</v>
      </c>
      <c r="AJ26" s="4">
        <f ca="1">-SUMIFS(INDIRECT("Tab_00.Trial["&amp;AJ$4&amp;"]"),Tab_00.Trial[CONTA],$B26)</f>
        <v>-14303.78</v>
      </c>
      <c r="AK26" s="78">
        <f ca="1">IFERROR($AJ26/$AJ$6,0)</f>
        <v>-1.1000000000000001E-3</v>
      </c>
      <c r="AL26" s="78">
        <f t="shared" ref="AL26:AL33" ca="1" si="44">IFERROR(($AJ26-$AG26)/ABS($AG26),0)</f>
        <v>-1.89E-2</v>
      </c>
      <c r="AN26" s="141">
        <v>700000</v>
      </c>
    </row>
    <row r="27" spans="2:40" ht="15" customHeight="1" outlineLevel="1" x14ac:dyDescent="0.3">
      <c r="B27" s="14"/>
      <c r="C27" s="14"/>
      <c r="D27" s="4">
        <f ca="1">-SUMIFS(INDIRECT("Tab_00.Trial["&amp;D$4&amp;"]"),Tab_00.Trial[CONTA],$B27)</f>
        <v>0</v>
      </c>
      <c r="E27" s="78">
        <f t="shared" ca="1" si="23"/>
        <v>0</v>
      </c>
      <c r="F27" s="4">
        <f ca="1">-SUMIFS(INDIRECT("Tab_00.Trial["&amp;F$4&amp;"]"),Tab_00.Trial[CONTA],$B27)</f>
        <v>0</v>
      </c>
      <c r="G27" s="78">
        <f t="shared" ca="1" si="27"/>
        <v>0</v>
      </c>
      <c r="H27" s="78">
        <f t="shared" ca="1" si="24"/>
        <v>0</v>
      </c>
      <c r="I27" s="4">
        <f ca="1">-SUMIFS(INDIRECT("Tab_00.Trial["&amp;I$4&amp;"]"),Tab_00.Trial[CONTA],$B27)</f>
        <v>0</v>
      </c>
      <c r="J27" s="78">
        <f t="shared" ca="1" si="28"/>
        <v>0</v>
      </c>
      <c r="K27" s="78">
        <f t="shared" ca="1" si="29"/>
        <v>0</v>
      </c>
      <c r="L27" s="4">
        <f ca="1">-SUMIFS(INDIRECT("Tab_00.Trial["&amp;L$4&amp;"]"),Tab_00.Trial[CONTA],$B27)</f>
        <v>0</v>
      </c>
      <c r="M27" s="78">
        <f t="shared" ca="1" si="30"/>
        <v>0</v>
      </c>
      <c r="N27" s="78">
        <f t="shared" ca="1" si="31"/>
        <v>0</v>
      </c>
      <c r="O27" s="4">
        <f ca="1">-SUMIFS(INDIRECT("Tab_00.Trial["&amp;O$4&amp;"]"),Tab_00.Trial[CONTA],$B27)</f>
        <v>0</v>
      </c>
      <c r="P27" s="78">
        <f t="shared" ca="1" si="32"/>
        <v>0</v>
      </c>
      <c r="Q27" s="78">
        <f t="shared" ca="1" si="33"/>
        <v>0</v>
      </c>
      <c r="R27" s="4">
        <f ca="1">-SUMIFS(INDIRECT("Tab_00.Trial["&amp;R$4&amp;"]"),Tab_00.Trial[CONTA],$B27)</f>
        <v>0</v>
      </c>
      <c r="S27" s="78">
        <f t="shared" ca="1" si="34"/>
        <v>0</v>
      </c>
      <c r="T27" s="78">
        <f t="shared" ca="1" si="35"/>
        <v>0</v>
      </c>
      <c r="U27" s="4">
        <f ca="1">-SUMIFS(INDIRECT("Tab_00.Trial["&amp;U$4&amp;"]"),Tab_00.Trial[CONTA],$B27)</f>
        <v>0</v>
      </c>
      <c r="V27" s="78">
        <f t="shared" ca="1" si="36"/>
        <v>0</v>
      </c>
      <c r="W27" s="78">
        <f t="shared" ca="1" si="37"/>
        <v>0</v>
      </c>
      <c r="X27" s="4">
        <f ca="1">-SUMIFS(INDIRECT("Tab_00.Trial["&amp;X$4&amp;"]"),Tab_00.Trial[CONTA],$B27)</f>
        <v>0</v>
      </c>
      <c r="Y27" s="78">
        <f t="shared" ca="1" si="25"/>
        <v>0</v>
      </c>
      <c r="Z27" s="78">
        <f t="shared" ca="1" si="26"/>
        <v>0</v>
      </c>
      <c r="AA27" s="4">
        <f ca="1">-SUMIFS(INDIRECT("Tab_00.Trial["&amp;AA$4&amp;"]"),Tab_00.Trial[CONTA],$B27)</f>
        <v>0</v>
      </c>
      <c r="AB27" s="78">
        <f t="shared" ca="1" si="38"/>
        <v>0</v>
      </c>
      <c r="AC27" s="78">
        <f t="shared" ca="1" si="39"/>
        <v>0</v>
      </c>
      <c r="AD27" s="4">
        <f ca="1">-SUMIFS(INDIRECT("Tab_00.Trial["&amp;AD$4&amp;"]"),Tab_00.Trial[CONTA],$B27)</f>
        <v>0</v>
      </c>
      <c r="AE27" s="78">
        <f t="shared" ca="1" si="40"/>
        <v>0</v>
      </c>
      <c r="AF27" s="78">
        <f t="shared" ca="1" si="41"/>
        <v>0</v>
      </c>
      <c r="AG27" s="4">
        <f ca="1">-SUMIFS(INDIRECT("Tab_00.Trial["&amp;AG$4&amp;"]"),Tab_00.Trial[CONTA],$B27)</f>
        <v>0</v>
      </c>
      <c r="AH27" s="78">
        <f t="shared" ca="1" si="42"/>
        <v>0</v>
      </c>
      <c r="AI27" s="78">
        <f t="shared" ca="1" si="43"/>
        <v>0</v>
      </c>
      <c r="AJ27" s="4">
        <f ca="1">-SUMIFS(INDIRECT("Tab_00.Trial["&amp;AJ$4&amp;"]"),Tab_00.Trial[CONTA],$B27)</f>
        <v>0</v>
      </c>
      <c r="AK27" s="78">
        <f t="shared" ref="AK27:AK33" ca="1" si="45">IFERROR($AJ27/$AJ$6,0)</f>
        <v>0</v>
      </c>
      <c r="AL27" s="78">
        <f t="shared" ca="1" si="44"/>
        <v>0</v>
      </c>
    </row>
    <row r="28" spans="2:40" ht="15" customHeight="1" outlineLevel="1" x14ac:dyDescent="0.3">
      <c r="B28" s="14"/>
      <c r="C28" s="14"/>
      <c r="D28" s="4">
        <f ca="1">-SUMIFS(INDIRECT("Tab_00.Trial["&amp;D$4&amp;"]"),Tab_00.Trial[CONTA],$B28)</f>
        <v>0</v>
      </c>
      <c r="E28" s="78">
        <f t="shared" ca="1" si="23"/>
        <v>0</v>
      </c>
      <c r="F28" s="4">
        <f ca="1">-SUMIFS(INDIRECT("Tab_00.Trial["&amp;F$4&amp;"]"),Tab_00.Trial[CONTA],$B28)</f>
        <v>0</v>
      </c>
      <c r="G28" s="78">
        <f t="shared" ca="1" si="27"/>
        <v>0</v>
      </c>
      <c r="H28" s="78">
        <f t="shared" ca="1" si="24"/>
        <v>0</v>
      </c>
      <c r="I28" s="4">
        <f ca="1">-SUMIFS(INDIRECT("Tab_00.Trial["&amp;I$4&amp;"]"),Tab_00.Trial[CONTA],$B28)</f>
        <v>0</v>
      </c>
      <c r="J28" s="78">
        <f t="shared" ca="1" si="28"/>
        <v>0</v>
      </c>
      <c r="K28" s="78">
        <f t="shared" ca="1" si="29"/>
        <v>0</v>
      </c>
      <c r="L28" s="4">
        <f ca="1">-SUMIFS(INDIRECT("Tab_00.Trial["&amp;L$4&amp;"]"),Tab_00.Trial[CONTA],$B28)</f>
        <v>0</v>
      </c>
      <c r="M28" s="78">
        <f t="shared" ca="1" si="30"/>
        <v>0</v>
      </c>
      <c r="N28" s="78">
        <f t="shared" ca="1" si="31"/>
        <v>0</v>
      </c>
      <c r="O28" s="4">
        <f ca="1">-SUMIFS(INDIRECT("Tab_00.Trial["&amp;O$4&amp;"]"),Tab_00.Trial[CONTA],$B28)</f>
        <v>0</v>
      </c>
      <c r="P28" s="78">
        <f t="shared" ca="1" si="32"/>
        <v>0</v>
      </c>
      <c r="Q28" s="78">
        <f t="shared" ca="1" si="33"/>
        <v>0</v>
      </c>
      <c r="R28" s="4">
        <f ca="1">-SUMIFS(INDIRECT("Tab_00.Trial["&amp;R$4&amp;"]"),Tab_00.Trial[CONTA],$B28)</f>
        <v>0</v>
      </c>
      <c r="S28" s="78">
        <f t="shared" ca="1" si="34"/>
        <v>0</v>
      </c>
      <c r="T28" s="78">
        <f t="shared" ca="1" si="35"/>
        <v>0</v>
      </c>
      <c r="U28" s="4">
        <f ca="1">-SUMIFS(INDIRECT("Tab_00.Trial["&amp;U$4&amp;"]"),Tab_00.Trial[CONTA],$B28)</f>
        <v>0</v>
      </c>
      <c r="V28" s="78">
        <f t="shared" ca="1" si="36"/>
        <v>0</v>
      </c>
      <c r="W28" s="78">
        <f t="shared" ca="1" si="37"/>
        <v>0</v>
      </c>
      <c r="X28" s="4">
        <f ca="1">-SUMIFS(INDIRECT("Tab_00.Trial["&amp;X$4&amp;"]"),Tab_00.Trial[CONTA],$B28)</f>
        <v>0</v>
      </c>
      <c r="Y28" s="78">
        <f t="shared" ca="1" si="25"/>
        <v>0</v>
      </c>
      <c r="Z28" s="78">
        <f t="shared" ca="1" si="26"/>
        <v>0</v>
      </c>
      <c r="AA28" s="4">
        <f ca="1">-SUMIFS(INDIRECT("Tab_00.Trial["&amp;AA$4&amp;"]"),Tab_00.Trial[CONTA],$B28)</f>
        <v>0</v>
      </c>
      <c r="AB28" s="78">
        <f t="shared" ca="1" si="38"/>
        <v>0</v>
      </c>
      <c r="AC28" s="78">
        <f t="shared" ca="1" si="39"/>
        <v>0</v>
      </c>
      <c r="AD28" s="4">
        <f ca="1">-SUMIFS(INDIRECT("Tab_00.Trial["&amp;AD$4&amp;"]"),Tab_00.Trial[CONTA],$B28)</f>
        <v>0</v>
      </c>
      <c r="AE28" s="78">
        <f t="shared" ca="1" si="40"/>
        <v>0</v>
      </c>
      <c r="AF28" s="78">
        <f t="shared" ca="1" si="41"/>
        <v>0</v>
      </c>
      <c r="AG28" s="4">
        <f ca="1">-SUMIFS(INDIRECT("Tab_00.Trial["&amp;AG$4&amp;"]"),Tab_00.Trial[CONTA],$B28)</f>
        <v>0</v>
      </c>
      <c r="AH28" s="78">
        <f t="shared" ca="1" si="42"/>
        <v>0</v>
      </c>
      <c r="AI28" s="78">
        <f t="shared" ca="1" si="43"/>
        <v>0</v>
      </c>
      <c r="AJ28" s="4">
        <f ca="1">-SUMIFS(INDIRECT("Tab_00.Trial["&amp;AJ$4&amp;"]"),Tab_00.Trial[CONTA],$B28)</f>
        <v>0</v>
      </c>
      <c r="AK28" s="78">
        <f t="shared" ca="1" si="45"/>
        <v>0</v>
      </c>
      <c r="AL28" s="78">
        <f t="shared" ca="1" si="44"/>
        <v>0</v>
      </c>
    </row>
    <row r="29" spans="2:40" ht="15" customHeight="1" outlineLevel="1" x14ac:dyDescent="0.3">
      <c r="B29" s="14"/>
      <c r="C29" s="14"/>
      <c r="D29" s="4">
        <f ca="1">-SUMIFS(INDIRECT("Tab_00.Trial["&amp;D$4&amp;"]"),Tab_00.Trial[CONTA],$B29)</f>
        <v>0</v>
      </c>
      <c r="E29" s="78">
        <f t="shared" ca="1" si="23"/>
        <v>0</v>
      </c>
      <c r="F29" s="4">
        <f ca="1">-SUMIFS(INDIRECT("Tab_00.Trial["&amp;F$4&amp;"]"),Tab_00.Trial[CONTA],$B29)</f>
        <v>0</v>
      </c>
      <c r="G29" s="78">
        <f t="shared" ca="1" si="27"/>
        <v>0</v>
      </c>
      <c r="H29" s="78">
        <f t="shared" ca="1" si="24"/>
        <v>0</v>
      </c>
      <c r="I29" s="4">
        <f ca="1">-SUMIFS(INDIRECT("Tab_00.Trial["&amp;I$4&amp;"]"),Tab_00.Trial[CONTA],$B29)</f>
        <v>0</v>
      </c>
      <c r="J29" s="78">
        <f t="shared" ca="1" si="28"/>
        <v>0</v>
      </c>
      <c r="K29" s="78">
        <f t="shared" ca="1" si="29"/>
        <v>0</v>
      </c>
      <c r="L29" s="4">
        <f ca="1">-SUMIFS(INDIRECT("Tab_00.Trial["&amp;L$4&amp;"]"),Tab_00.Trial[CONTA],$B29)</f>
        <v>0</v>
      </c>
      <c r="M29" s="78">
        <f t="shared" ca="1" si="30"/>
        <v>0</v>
      </c>
      <c r="N29" s="78">
        <f t="shared" ca="1" si="31"/>
        <v>0</v>
      </c>
      <c r="O29" s="4">
        <f ca="1">-SUMIFS(INDIRECT("Tab_00.Trial["&amp;O$4&amp;"]"),Tab_00.Trial[CONTA],$B29)</f>
        <v>0</v>
      </c>
      <c r="P29" s="78">
        <f t="shared" ca="1" si="32"/>
        <v>0</v>
      </c>
      <c r="Q29" s="78">
        <f t="shared" ca="1" si="33"/>
        <v>0</v>
      </c>
      <c r="R29" s="4">
        <f ca="1">-SUMIFS(INDIRECT("Tab_00.Trial["&amp;R$4&amp;"]"),Tab_00.Trial[CONTA],$B29)</f>
        <v>0</v>
      </c>
      <c r="S29" s="78">
        <f t="shared" ca="1" si="34"/>
        <v>0</v>
      </c>
      <c r="T29" s="78">
        <f t="shared" ca="1" si="35"/>
        <v>0</v>
      </c>
      <c r="U29" s="4">
        <f ca="1">-SUMIFS(INDIRECT("Tab_00.Trial["&amp;U$4&amp;"]"),Tab_00.Trial[CONTA],$B29)</f>
        <v>0</v>
      </c>
      <c r="V29" s="78">
        <f t="shared" ca="1" si="36"/>
        <v>0</v>
      </c>
      <c r="W29" s="78">
        <f t="shared" ca="1" si="37"/>
        <v>0</v>
      </c>
      <c r="X29" s="4">
        <f ca="1">-SUMIFS(INDIRECT("Tab_00.Trial["&amp;X$4&amp;"]"),Tab_00.Trial[CONTA],$B29)</f>
        <v>0</v>
      </c>
      <c r="Y29" s="78">
        <f t="shared" ca="1" si="25"/>
        <v>0</v>
      </c>
      <c r="Z29" s="78">
        <f t="shared" ca="1" si="26"/>
        <v>0</v>
      </c>
      <c r="AA29" s="4">
        <f ca="1">-SUMIFS(INDIRECT("Tab_00.Trial["&amp;AA$4&amp;"]"),Tab_00.Trial[CONTA],$B29)</f>
        <v>0</v>
      </c>
      <c r="AB29" s="78">
        <f t="shared" ca="1" si="38"/>
        <v>0</v>
      </c>
      <c r="AC29" s="78">
        <f t="shared" ca="1" si="39"/>
        <v>0</v>
      </c>
      <c r="AD29" s="4">
        <f ca="1">-SUMIFS(INDIRECT("Tab_00.Trial["&amp;AD$4&amp;"]"),Tab_00.Trial[CONTA],$B29)</f>
        <v>0</v>
      </c>
      <c r="AE29" s="78">
        <f t="shared" ca="1" si="40"/>
        <v>0</v>
      </c>
      <c r="AF29" s="78">
        <f t="shared" ca="1" si="41"/>
        <v>0</v>
      </c>
      <c r="AG29" s="4">
        <f ca="1">-SUMIFS(INDIRECT("Tab_00.Trial["&amp;AG$4&amp;"]"),Tab_00.Trial[CONTA],$B29)</f>
        <v>0</v>
      </c>
      <c r="AH29" s="78">
        <f t="shared" ca="1" si="42"/>
        <v>0</v>
      </c>
      <c r="AI29" s="78">
        <f t="shared" ca="1" si="43"/>
        <v>0</v>
      </c>
      <c r="AJ29" s="4">
        <f ca="1">-SUMIFS(INDIRECT("Tab_00.Trial["&amp;AJ$4&amp;"]"),Tab_00.Trial[CONTA],$B29)</f>
        <v>0</v>
      </c>
      <c r="AK29" s="78">
        <f t="shared" ca="1" si="45"/>
        <v>0</v>
      </c>
      <c r="AL29" s="78">
        <f t="shared" ca="1" si="44"/>
        <v>0</v>
      </c>
    </row>
    <row r="30" spans="2:40" ht="15" customHeight="1" outlineLevel="1" x14ac:dyDescent="0.3">
      <c r="B30" s="14"/>
      <c r="C30" s="14"/>
      <c r="D30" s="4">
        <f ca="1">-SUMIFS(INDIRECT("Tab_00.Trial["&amp;D$4&amp;"]"),Tab_00.Trial[CONTA],$B30)</f>
        <v>0</v>
      </c>
      <c r="E30" s="78">
        <f t="shared" ca="1" si="23"/>
        <v>0</v>
      </c>
      <c r="F30" s="4">
        <f ca="1">-SUMIFS(INDIRECT("Tab_00.Trial["&amp;F$4&amp;"]"),Tab_00.Trial[CONTA],$B30)</f>
        <v>0</v>
      </c>
      <c r="G30" s="78">
        <f t="shared" ca="1" si="27"/>
        <v>0</v>
      </c>
      <c r="H30" s="78">
        <f t="shared" ca="1" si="24"/>
        <v>0</v>
      </c>
      <c r="I30" s="4">
        <f ca="1">-SUMIFS(INDIRECT("Tab_00.Trial["&amp;I$4&amp;"]"),Tab_00.Trial[CONTA],$B30)</f>
        <v>0</v>
      </c>
      <c r="J30" s="78">
        <f t="shared" ca="1" si="28"/>
        <v>0</v>
      </c>
      <c r="K30" s="78">
        <f t="shared" ca="1" si="29"/>
        <v>0</v>
      </c>
      <c r="L30" s="4">
        <f ca="1">-SUMIFS(INDIRECT("Tab_00.Trial["&amp;L$4&amp;"]"),Tab_00.Trial[CONTA],$B30)</f>
        <v>0</v>
      </c>
      <c r="M30" s="78">
        <f t="shared" ca="1" si="30"/>
        <v>0</v>
      </c>
      <c r="N30" s="78">
        <f t="shared" ca="1" si="31"/>
        <v>0</v>
      </c>
      <c r="O30" s="4">
        <f ca="1">-SUMIFS(INDIRECT("Tab_00.Trial["&amp;O$4&amp;"]"),Tab_00.Trial[CONTA],$B30)</f>
        <v>0</v>
      </c>
      <c r="P30" s="78">
        <f t="shared" ca="1" si="32"/>
        <v>0</v>
      </c>
      <c r="Q30" s="78">
        <f t="shared" ca="1" si="33"/>
        <v>0</v>
      </c>
      <c r="R30" s="4">
        <f ca="1">-SUMIFS(INDIRECT("Tab_00.Trial["&amp;R$4&amp;"]"),Tab_00.Trial[CONTA],$B30)</f>
        <v>0</v>
      </c>
      <c r="S30" s="78">
        <f t="shared" ca="1" si="34"/>
        <v>0</v>
      </c>
      <c r="T30" s="78">
        <f t="shared" ca="1" si="35"/>
        <v>0</v>
      </c>
      <c r="U30" s="4">
        <f ca="1">-SUMIFS(INDIRECT("Tab_00.Trial["&amp;U$4&amp;"]"),Tab_00.Trial[CONTA],$B30)</f>
        <v>0</v>
      </c>
      <c r="V30" s="78">
        <f t="shared" ca="1" si="36"/>
        <v>0</v>
      </c>
      <c r="W30" s="78">
        <f t="shared" ca="1" si="37"/>
        <v>0</v>
      </c>
      <c r="X30" s="4">
        <f ca="1">-SUMIFS(INDIRECT("Tab_00.Trial["&amp;X$4&amp;"]"),Tab_00.Trial[CONTA],$B30)</f>
        <v>0</v>
      </c>
      <c r="Y30" s="78">
        <f t="shared" ca="1" si="25"/>
        <v>0</v>
      </c>
      <c r="Z30" s="78">
        <f t="shared" ca="1" si="26"/>
        <v>0</v>
      </c>
      <c r="AA30" s="4">
        <f ca="1">-SUMIFS(INDIRECT("Tab_00.Trial["&amp;AA$4&amp;"]"),Tab_00.Trial[CONTA],$B30)</f>
        <v>0</v>
      </c>
      <c r="AB30" s="78">
        <f t="shared" ca="1" si="38"/>
        <v>0</v>
      </c>
      <c r="AC30" s="78">
        <f t="shared" ca="1" si="39"/>
        <v>0</v>
      </c>
      <c r="AD30" s="4">
        <f ca="1">-SUMIFS(INDIRECT("Tab_00.Trial["&amp;AD$4&amp;"]"),Tab_00.Trial[CONTA],$B30)</f>
        <v>0</v>
      </c>
      <c r="AE30" s="78">
        <f t="shared" ca="1" si="40"/>
        <v>0</v>
      </c>
      <c r="AF30" s="78">
        <f t="shared" ca="1" si="41"/>
        <v>0</v>
      </c>
      <c r="AG30" s="4">
        <f ca="1">-SUMIFS(INDIRECT("Tab_00.Trial["&amp;AG$4&amp;"]"),Tab_00.Trial[CONTA],$B30)</f>
        <v>0</v>
      </c>
      <c r="AH30" s="78">
        <f t="shared" ca="1" si="42"/>
        <v>0</v>
      </c>
      <c r="AI30" s="78">
        <f t="shared" ca="1" si="43"/>
        <v>0</v>
      </c>
      <c r="AJ30" s="4">
        <f ca="1">-SUMIFS(INDIRECT("Tab_00.Trial["&amp;AJ$4&amp;"]"),Tab_00.Trial[CONTA],$B30)</f>
        <v>0</v>
      </c>
      <c r="AK30" s="78">
        <f t="shared" ca="1" si="45"/>
        <v>0</v>
      </c>
      <c r="AL30" s="78">
        <f t="shared" ca="1" si="44"/>
        <v>0</v>
      </c>
    </row>
    <row r="31" spans="2:40" ht="15" customHeight="1" outlineLevel="1" x14ac:dyDescent="0.3">
      <c r="B31" s="14"/>
      <c r="C31" s="14"/>
      <c r="D31" s="4">
        <f ca="1">-SUMIFS(INDIRECT("Tab_00.Trial["&amp;D$4&amp;"]"),Tab_00.Trial[CONTA],$B31)</f>
        <v>0</v>
      </c>
      <c r="E31" s="78">
        <f t="shared" ca="1" si="23"/>
        <v>0</v>
      </c>
      <c r="F31" s="4">
        <f ca="1">-SUMIFS(INDIRECT("Tab_00.Trial["&amp;F$4&amp;"]"),Tab_00.Trial[CONTA],$B31)</f>
        <v>0</v>
      </c>
      <c r="G31" s="78">
        <f t="shared" ca="1" si="27"/>
        <v>0</v>
      </c>
      <c r="H31" s="78">
        <f t="shared" ca="1" si="24"/>
        <v>0</v>
      </c>
      <c r="I31" s="4">
        <f ca="1">-SUMIFS(INDIRECT("Tab_00.Trial["&amp;I$4&amp;"]"),Tab_00.Trial[CONTA],$B31)</f>
        <v>0</v>
      </c>
      <c r="J31" s="78">
        <f t="shared" ca="1" si="28"/>
        <v>0</v>
      </c>
      <c r="K31" s="78">
        <f t="shared" ca="1" si="29"/>
        <v>0</v>
      </c>
      <c r="L31" s="4">
        <f ca="1">-SUMIFS(INDIRECT("Tab_00.Trial["&amp;L$4&amp;"]"),Tab_00.Trial[CONTA],$B31)</f>
        <v>0</v>
      </c>
      <c r="M31" s="78">
        <f t="shared" ca="1" si="30"/>
        <v>0</v>
      </c>
      <c r="N31" s="78">
        <f t="shared" ca="1" si="31"/>
        <v>0</v>
      </c>
      <c r="O31" s="4">
        <f ca="1">-SUMIFS(INDIRECT("Tab_00.Trial["&amp;O$4&amp;"]"),Tab_00.Trial[CONTA],$B31)</f>
        <v>0</v>
      </c>
      <c r="P31" s="78">
        <f t="shared" ca="1" si="32"/>
        <v>0</v>
      </c>
      <c r="Q31" s="78">
        <f t="shared" ca="1" si="33"/>
        <v>0</v>
      </c>
      <c r="R31" s="4">
        <f ca="1">-SUMIFS(INDIRECT("Tab_00.Trial["&amp;R$4&amp;"]"),Tab_00.Trial[CONTA],$B31)</f>
        <v>0</v>
      </c>
      <c r="S31" s="78">
        <f t="shared" ca="1" si="34"/>
        <v>0</v>
      </c>
      <c r="T31" s="78">
        <f t="shared" ca="1" si="35"/>
        <v>0</v>
      </c>
      <c r="U31" s="4">
        <f ca="1">-SUMIFS(INDIRECT("Tab_00.Trial["&amp;U$4&amp;"]"),Tab_00.Trial[CONTA],$B31)</f>
        <v>0</v>
      </c>
      <c r="V31" s="78">
        <f t="shared" ca="1" si="36"/>
        <v>0</v>
      </c>
      <c r="W31" s="78">
        <f t="shared" ca="1" si="37"/>
        <v>0</v>
      </c>
      <c r="X31" s="4">
        <f ca="1">-SUMIFS(INDIRECT("Tab_00.Trial["&amp;X$4&amp;"]"),Tab_00.Trial[CONTA],$B31)</f>
        <v>0</v>
      </c>
      <c r="Y31" s="78">
        <f t="shared" ca="1" si="25"/>
        <v>0</v>
      </c>
      <c r="Z31" s="78">
        <f t="shared" ca="1" si="26"/>
        <v>0</v>
      </c>
      <c r="AA31" s="4">
        <f ca="1">-SUMIFS(INDIRECT("Tab_00.Trial["&amp;AA$4&amp;"]"),Tab_00.Trial[CONTA],$B31)</f>
        <v>0</v>
      </c>
      <c r="AB31" s="78">
        <f t="shared" ca="1" si="38"/>
        <v>0</v>
      </c>
      <c r="AC31" s="78">
        <f t="shared" ca="1" si="39"/>
        <v>0</v>
      </c>
      <c r="AD31" s="4">
        <f ca="1">-SUMIFS(INDIRECT("Tab_00.Trial["&amp;AD$4&amp;"]"),Tab_00.Trial[CONTA],$B31)</f>
        <v>0</v>
      </c>
      <c r="AE31" s="78">
        <f t="shared" ca="1" si="40"/>
        <v>0</v>
      </c>
      <c r="AF31" s="78">
        <f t="shared" ca="1" si="41"/>
        <v>0</v>
      </c>
      <c r="AG31" s="4">
        <f ca="1">-SUMIFS(INDIRECT("Tab_00.Trial["&amp;AG$4&amp;"]"),Tab_00.Trial[CONTA],$B31)</f>
        <v>0</v>
      </c>
      <c r="AH31" s="78">
        <f t="shared" ca="1" si="42"/>
        <v>0</v>
      </c>
      <c r="AI31" s="78">
        <f t="shared" ca="1" si="43"/>
        <v>0</v>
      </c>
      <c r="AJ31" s="4">
        <f ca="1">-SUMIFS(INDIRECT("Tab_00.Trial["&amp;AJ$4&amp;"]"),Tab_00.Trial[CONTA],$B31)</f>
        <v>0</v>
      </c>
      <c r="AK31" s="78">
        <f t="shared" ca="1" si="45"/>
        <v>0</v>
      </c>
      <c r="AL31" s="78">
        <f t="shared" ca="1" si="44"/>
        <v>0</v>
      </c>
    </row>
    <row r="32" spans="2:40" ht="15" customHeight="1" outlineLevel="1" x14ac:dyDescent="0.3">
      <c r="B32" s="14"/>
      <c r="C32" s="14"/>
      <c r="D32" s="4">
        <f ca="1">-SUMIFS(INDIRECT("Tab_00.Trial["&amp;D$4&amp;"]"),Tab_00.Trial[CONTA],$B32)</f>
        <v>0</v>
      </c>
      <c r="E32" s="78">
        <f t="shared" ca="1" si="23"/>
        <v>0</v>
      </c>
      <c r="F32" s="4">
        <f ca="1">-SUMIFS(INDIRECT("Tab_00.Trial["&amp;F$4&amp;"]"),Tab_00.Trial[CONTA],$B32)</f>
        <v>0</v>
      </c>
      <c r="G32" s="78">
        <f t="shared" ca="1" si="27"/>
        <v>0</v>
      </c>
      <c r="H32" s="78">
        <f t="shared" ca="1" si="24"/>
        <v>0</v>
      </c>
      <c r="I32" s="4">
        <f ca="1">-SUMIFS(INDIRECT("Tab_00.Trial["&amp;I$4&amp;"]"),Tab_00.Trial[CONTA],$B32)</f>
        <v>0</v>
      </c>
      <c r="J32" s="78">
        <f t="shared" ca="1" si="28"/>
        <v>0</v>
      </c>
      <c r="K32" s="78">
        <f t="shared" ca="1" si="29"/>
        <v>0</v>
      </c>
      <c r="L32" s="4">
        <f ca="1">-SUMIFS(INDIRECT("Tab_00.Trial["&amp;L$4&amp;"]"),Tab_00.Trial[CONTA],$B32)</f>
        <v>0</v>
      </c>
      <c r="M32" s="78">
        <f t="shared" ca="1" si="30"/>
        <v>0</v>
      </c>
      <c r="N32" s="78">
        <f t="shared" ca="1" si="31"/>
        <v>0</v>
      </c>
      <c r="O32" s="4">
        <f ca="1">-SUMIFS(INDIRECT("Tab_00.Trial["&amp;O$4&amp;"]"),Tab_00.Trial[CONTA],$B32)</f>
        <v>0</v>
      </c>
      <c r="P32" s="78">
        <f t="shared" ca="1" si="32"/>
        <v>0</v>
      </c>
      <c r="Q32" s="78">
        <f t="shared" ca="1" si="33"/>
        <v>0</v>
      </c>
      <c r="R32" s="4">
        <f ca="1">-SUMIFS(INDIRECT("Tab_00.Trial["&amp;R$4&amp;"]"),Tab_00.Trial[CONTA],$B32)</f>
        <v>0</v>
      </c>
      <c r="S32" s="78">
        <f t="shared" ca="1" si="34"/>
        <v>0</v>
      </c>
      <c r="T32" s="78">
        <f t="shared" ca="1" si="35"/>
        <v>0</v>
      </c>
      <c r="U32" s="4">
        <f ca="1">-SUMIFS(INDIRECT("Tab_00.Trial["&amp;U$4&amp;"]"),Tab_00.Trial[CONTA],$B32)</f>
        <v>0</v>
      </c>
      <c r="V32" s="78">
        <f t="shared" ca="1" si="36"/>
        <v>0</v>
      </c>
      <c r="W32" s="78">
        <f t="shared" ca="1" si="37"/>
        <v>0</v>
      </c>
      <c r="X32" s="4">
        <f ca="1">-SUMIFS(INDIRECT("Tab_00.Trial["&amp;X$4&amp;"]"),Tab_00.Trial[CONTA],$B32)</f>
        <v>0</v>
      </c>
      <c r="Y32" s="78">
        <f t="shared" ca="1" si="25"/>
        <v>0</v>
      </c>
      <c r="Z32" s="78">
        <f t="shared" ca="1" si="26"/>
        <v>0</v>
      </c>
      <c r="AA32" s="4">
        <f ca="1">-SUMIFS(INDIRECT("Tab_00.Trial["&amp;AA$4&amp;"]"),Tab_00.Trial[CONTA],$B32)</f>
        <v>0</v>
      </c>
      <c r="AB32" s="78">
        <f t="shared" ca="1" si="38"/>
        <v>0</v>
      </c>
      <c r="AC32" s="78">
        <f t="shared" ca="1" si="39"/>
        <v>0</v>
      </c>
      <c r="AD32" s="4">
        <f ca="1">-SUMIFS(INDIRECT("Tab_00.Trial["&amp;AD$4&amp;"]"),Tab_00.Trial[CONTA],$B32)</f>
        <v>0</v>
      </c>
      <c r="AE32" s="78">
        <f t="shared" ca="1" si="40"/>
        <v>0</v>
      </c>
      <c r="AF32" s="78">
        <f t="shared" ca="1" si="41"/>
        <v>0</v>
      </c>
      <c r="AG32" s="4">
        <f ca="1">-SUMIFS(INDIRECT("Tab_00.Trial["&amp;AG$4&amp;"]"),Tab_00.Trial[CONTA],$B32)</f>
        <v>0</v>
      </c>
      <c r="AH32" s="78">
        <f t="shared" ca="1" si="42"/>
        <v>0</v>
      </c>
      <c r="AI32" s="78">
        <f t="shared" ca="1" si="43"/>
        <v>0</v>
      </c>
      <c r="AJ32" s="4">
        <f ca="1">-SUMIFS(INDIRECT("Tab_00.Trial["&amp;AJ$4&amp;"]"),Tab_00.Trial[CONTA],$B32)</f>
        <v>0</v>
      </c>
      <c r="AK32" s="78">
        <f t="shared" ca="1" si="45"/>
        <v>0</v>
      </c>
      <c r="AL32" s="78">
        <f t="shared" ca="1" si="44"/>
        <v>0</v>
      </c>
    </row>
    <row r="33" spans="2:41" ht="15" customHeight="1" outlineLevel="1" x14ac:dyDescent="0.3">
      <c r="B33" s="14"/>
      <c r="C33" s="14"/>
      <c r="D33" s="4">
        <f ca="1">-SUMIFS(INDIRECT("Tab_00.Trial["&amp;D$4&amp;"]"),Tab_00.Trial[CONTA],$B33)</f>
        <v>0</v>
      </c>
      <c r="E33" s="78">
        <f t="shared" ca="1" si="23"/>
        <v>0</v>
      </c>
      <c r="F33" s="4">
        <f ca="1">-SUMIFS(INDIRECT("Tab_00.Trial["&amp;F$4&amp;"]"),Tab_00.Trial[CONTA],$B33)</f>
        <v>0</v>
      </c>
      <c r="G33" s="78">
        <f t="shared" ca="1" si="27"/>
        <v>0</v>
      </c>
      <c r="H33" s="78">
        <f t="shared" ca="1" si="24"/>
        <v>0</v>
      </c>
      <c r="I33" s="4">
        <f ca="1">-SUMIFS(INDIRECT("Tab_00.Trial["&amp;I$4&amp;"]"),Tab_00.Trial[CONTA],$B33)</f>
        <v>0</v>
      </c>
      <c r="J33" s="78">
        <f t="shared" ca="1" si="28"/>
        <v>0</v>
      </c>
      <c r="K33" s="78">
        <f t="shared" ca="1" si="29"/>
        <v>0</v>
      </c>
      <c r="L33" s="4">
        <f ca="1">-SUMIFS(INDIRECT("Tab_00.Trial["&amp;L$4&amp;"]"),Tab_00.Trial[CONTA],$B33)</f>
        <v>0</v>
      </c>
      <c r="M33" s="78">
        <f t="shared" ca="1" si="30"/>
        <v>0</v>
      </c>
      <c r="N33" s="78">
        <f t="shared" ca="1" si="31"/>
        <v>0</v>
      </c>
      <c r="O33" s="4">
        <f ca="1">-SUMIFS(INDIRECT("Tab_00.Trial["&amp;O$4&amp;"]"),Tab_00.Trial[CONTA],$B33)</f>
        <v>0</v>
      </c>
      <c r="P33" s="78">
        <f t="shared" ca="1" si="32"/>
        <v>0</v>
      </c>
      <c r="Q33" s="78">
        <f t="shared" ca="1" si="33"/>
        <v>0</v>
      </c>
      <c r="R33" s="4">
        <f ca="1">-SUMIFS(INDIRECT("Tab_00.Trial["&amp;R$4&amp;"]"),Tab_00.Trial[CONTA],$B33)</f>
        <v>0</v>
      </c>
      <c r="S33" s="78">
        <f t="shared" ca="1" si="34"/>
        <v>0</v>
      </c>
      <c r="T33" s="78">
        <f t="shared" ca="1" si="35"/>
        <v>0</v>
      </c>
      <c r="U33" s="4">
        <f ca="1">-SUMIFS(INDIRECT("Tab_00.Trial["&amp;U$4&amp;"]"),Tab_00.Trial[CONTA],$B33)</f>
        <v>0</v>
      </c>
      <c r="V33" s="78">
        <f t="shared" ca="1" si="36"/>
        <v>0</v>
      </c>
      <c r="W33" s="78">
        <f t="shared" ca="1" si="37"/>
        <v>0</v>
      </c>
      <c r="X33" s="4">
        <f ca="1">-SUMIFS(INDIRECT("Tab_00.Trial["&amp;X$4&amp;"]"),Tab_00.Trial[CONTA],$B33)</f>
        <v>0</v>
      </c>
      <c r="Y33" s="78">
        <f t="shared" ca="1" si="25"/>
        <v>0</v>
      </c>
      <c r="Z33" s="78">
        <f t="shared" ca="1" si="26"/>
        <v>0</v>
      </c>
      <c r="AA33" s="4">
        <f ca="1">-SUMIFS(INDIRECT("Tab_00.Trial["&amp;AA$4&amp;"]"),Tab_00.Trial[CONTA],$B33)</f>
        <v>0</v>
      </c>
      <c r="AB33" s="78">
        <f t="shared" ca="1" si="38"/>
        <v>0</v>
      </c>
      <c r="AC33" s="78">
        <f t="shared" ca="1" si="39"/>
        <v>0</v>
      </c>
      <c r="AD33" s="4">
        <f ca="1">-SUMIFS(INDIRECT("Tab_00.Trial["&amp;AD$4&amp;"]"),Tab_00.Trial[CONTA],$B33)</f>
        <v>0</v>
      </c>
      <c r="AE33" s="78">
        <f t="shared" ca="1" si="40"/>
        <v>0</v>
      </c>
      <c r="AF33" s="78">
        <f t="shared" ca="1" si="41"/>
        <v>0</v>
      </c>
      <c r="AG33" s="4">
        <f ca="1">-SUMIFS(INDIRECT("Tab_00.Trial["&amp;AG$4&amp;"]"),Tab_00.Trial[CONTA],$B33)</f>
        <v>0</v>
      </c>
      <c r="AH33" s="78">
        <f t="shared" ca="1" si="42"/>
        <v>0</v>
      </c>
      <c r="AI33" s="78">
        <f t="shared" ca="1" si="43"/>
        <v>0</v>
      </c>
      <c r="AJ33" s="4">
        <f ca="1">-SUMIFS(INDIRECT("Tab_00.Trial["&amp;AJ$4&amp;"]"),Tab_00.Trial[CONTA],$B33)</f>
        <v>0</v>
      </c>
      <c r="AK33" s="78">
        <f t="shared" ca="1" si="45"/>
        <v>0</v>
      </c>
      <c r="AL33" s="78">
        <f t="shared" ca="1" si="44"/>
        <v>0</v>
      </c>
    </row>
    <row r="34" spans="2:41" ht="5.0999999999999996" customHeight="1" outlineLevel="1" x14ac:dyDescent="0.3">
      <c r="B34" s="74"/>
      <c r="C34" s="75"/>
      <c r="D34" s="76"/>
      <c r="E34" s="77"/>
      <c r="F34" s="76"/>
      <c r="G34" s="77"/>
      <c r="H34" s="77"/>
      <c r="I34" s="76"/>
      <c r="J34" s="77"/>
      <c r="K34" s="77"/>
      <c r="L34" s="76"/>
      <c r="M34" s="77"/>
      <c r="N34" s="77"/>
      <c r="O34" s="76"/>
      <c r="P34" s="77"/>
      <c r="Q34" s="77"/>
      <c r="R34" s="76"/>
      <c r="S34" s="77"/>
      <c r="T34" s="77"/>
      <c r="U34" s="76"/>
      <c r="V34" s="77"/>
      <c r="W34" s="77"/>
      <c r="X34" s="76"/>
      <c r="Y34" s="77"/>
      <c r="Z34" s="77"/>
      <c r="AA34" s="76"/>
      <c r="AB34" s="77"/>
      <c r="AC34" s="77"/>
      <c r="AD34" s="76"/>
      <c r="AE34" s="77"/>
      <c r="AF34" s="77"/>
      <c r="AG34" s="76"/>
      <c r="AH34" s="77"/>
      <c r="AI34" s="77"/>
      <c r="AJ34" s="76"/>
      <c r="AK34" s="77"/>
      <c r="AL34" s="77"/>
    </row>
    <row r="35" spans="2:41" ht="5.0999999999999996" customHeight="1" x14ac:dyDescent="0.3"/>
    <row r="36" spans="2:41" ht="15" customHeight="1" x14ac:dyDescent="0.3">
      <c r="C36" s="17" t="s">
        <v>151</v>
      </c>
      <c r="D36" s="16">
        <f ca="1">SUBTOTAL(9,D$5:D$35)</f>
        <v>949895.11</v>
      </c>
      <c r="E36" s="80">
        <f ca="1">IFERROR($D36/$D$6,0)</f>
        <v>1</v>
      </c>
      <c r="F36" s="16">
        <f ca="1">SUBTOTAL(9,F$5:F$35)</f>
        <v>1925231.14</v>
      </c>
      <c r="G36" s="80">
        <f ca="1">IFERROR($F36/$F$6,0)</f>
        <v>1</v>
      </c>
      <c r="H36" s="80">
        <f ca="1">IFERROR(($F36-$D36)/ABS($D36),0)</f>
        <v>1.0267999999999999</v>
      </c>
      <c r="I36" s="16">
        <f ca="1">SUBTOTAL(9,I$5:I$35)</f>
        <v>2976060.21</v>
      </c>
      <c r="J36" s="80">
        <f ca="1">IFERROR($I36/$I$6,0)</f>
        <v>1</v>
      </c>
      <c r="K36" s="80">
        <f t="shared" ref="K36" ca="1" si="46">IFERROR(($I36-$F36)/ABS($F36),0)</f>
        <v>0.54579999999999995</v>
      </c>
      <c r="L36" s="16">
        <f ca="1">SUBTOTAL(9,L$5:L$35)</f>
        <v>4082787.39</v>
      </c>
      <c r="M36" s="80">
        <f ca="1">IFERROR($L36/$L$6,0)</f>
        <v>1</v>
      </c>
      <c r="N36" s="80">
        <f t="shared" ref="N36" ca="1" si="47">IFERROR(($L36-$I36)/ABS($I36),0)</f>
        <v>0.37190000000000001</v>
      </c>
      <c r="O36" s="16">
        <f ca="1">SUBTOTAL(9,O$5:O$35)</f>
        <v>5295079.75</v>
      </c>
      <c r="P36" s="80">
        <f ca="1">IFERROR($O36/$O$6,0)</f>
        <v>1</v>
      </c>
      <c r="Q36" s="80">
        <f t="shared" ref="Q36" ca="1" si="48">IFERROR(($O36-$L36)/ABS($L36),0)</f>
        <v>0.2969</v>
      </c>
      <c r="R36" s="16">
        <f ca="1">SUBTOTAL(9,R$5:R$35)</f>
        <v>6303337.3700000001</v>
      </c>
      <c r="S36" s="80">
        <f ca="1">IFERROR($R36/$R$6,0)</f>
        <v>1</v>
      </c>
      <c r="T36" s="80">
        <f t="shared" ref="T36" ca="1" si="49">IFERROR(($R36-$O36)/ABS($O36),0)</f>
        <v>0.19040000000000001</v>
      </c>
      <c r="U36" s="16">
        <f ca="1">SUBTOTAL(9,U$5:U$35)</f>
        <v>7378360.2699999996</v>
      </c>
      <c r="V36" s="80">
        <f ca="1">IFERROR($U36/$U$6,0)</f>
        <v>1</v>
      </c>
      <c r="W36" s="80">
        <f t="shared" ref="W36" ca="1" si="50">IFERROR(($U36-$R36)/ABS($R36),0)</f>
        <v>0.17050000000000001</v>
      </c>
      <c r="X36" s="16">
        <f ca="1">SUBTOTAL(9,X$5:X$35)</f>
        <v>8420219.2799999993</v>
      </c>
      <c r="Y36" s="80">
        <f ca="1">IFERROR($X36/$X$6,0)</f>
        <v>1</v>
      </c>
      <c r="Z36" s="80">
        <f t="shared" ref="Z36" ca="1" si="51">IFERROR(($X36-$U36)/ABS($U36),0)</f>
        <v>0.14119999999999999</v>
      </c>
      <c r="AA36" s="16">
        <f ca="1">SUBTOTAL(9,AA$5:AA$35)</f>
        <v>9382290</v>
      </c>
      <c r="AB36" s="80">
        <f ca="1">IFERROR($AA36/$AA$6,0)</f>
        <v>0.99870000000000003</v>
      </c>
      <c r="AC36" s="80">
        <f t="shared" ref="AC36" ca="1" si="52">IFERROR(($AA36-$X36)/ABS($X36),0)</f>
        <v>0.1143</v>
      </c>
      <c r="AD36" s="16">
        <f ca="1">SUBTOTAL(9,AD$5:AD$35)</f>
        <v>10625724.359999999</v>
      </c>
      <c r="AE36" s="80">
        <f ca="1">IFERROR($AD36/$AD$6,0)</f>
        <v>0.99890000000000001</v>
      </c>
      <c r="AF36" s="80">
        <f t="shared" ref="AF36" ca="1" si="53">IFERROR(($AD36-$AA36)/ABS($AA36),0)</f>
        <v>0.13250000000000001</v>
      </c>
      <c r="AG36" s="16">
        <f ca="1">SUBTOTAL(9,AG$5:AG$35)</f>
        <v>11541598.73</v>
      </c>
      <c r="AH36" s="80">
        <f ca="1">IFERROR($AG36/$AG$6,0)</f>
        <v>0.99880000000000002</v>
      </c>
      <c r="AI36" s="80">
        <f t="shared" ref="AI36" ca="1" si="54">IFERROR(($AG36-$AD36)/ABS($AD36),0)</f>
        <v>8.6199999999999999E-2</v>
      </c>
      <c r="AJ36" s="16">
        <f ca="1">SUBTOTAL(9,AJ$5:AJ$35)</f>
        <v>13025303.550000001</v>
      </c>
      <c r="AK36" s="80">
        <f ca="1">IFERROR($AJ36/$AJ$6,0)</f>
        <v>0.99890000000000001</v>
      </c>
      <c r="AL36" s="80">
        <f t="shared" ref="AL36" ca="1" si="55">IFERROR(($AJ36-$AG36)/ABS($AG36),0)</f>
        <v>0.12859999999999999</v>
      </c>
    </row>
    <row r="37" spans="2:41" ht="5.0999999999999996" customHeight="1" x14ac:dyDescent="0.3"/>
    <row r="38" spans="2:41" ht="9.9" customHeight="1" x14ac:dyDescent="0.3">
      <c r="C38" s="17" t="s">
        <v>152</v>
      </c>
    </row>
    <row r="39" spans="2:41" ht="15" customHeight="1" x14ac:dyDescent="0.3">
      <c r="B39" s="3" t="s">
        <v>103</v>
      </c>
      <c r="C39" s="1" t="s">
        <v>153</v>
      </c>
      <c r="D39" s="4">
        <f ca="1">SUBTOTAL(9,D$40:D$58)</f>
        <v>-907517.82</v>
      </c>
      <c r="E39" s="78">
        <f t="shared" ref="E39:E57" ca="1" si="56">IFERROR($D39/$D$6,0)</f>
        <v>-0.95540000000000003</v>
      </c>
      <c r="F39" s="4">
        <f ca="1">SUBTOTAL(9,F$40:F$58)</f>
        <v>-1972675.84</v>
      </c>
      <c r="G39" s="78">
        <f ca="1">IFERROR($F39/$F$6,0)</f>
        <v>-1.0246</v>
      </c>
      <c r="H39" s="78">
        <f t="shared" ref="H39:H57" ca="1" si="57">IFERROR(($F39-$D39)/ABS($D39),0)</f>
        <v>-1.1737</v>
      </c>
      <c r="I39" s="4">
        <f ca="1">SUBTOTAL(9,I$40:I$58)</f>
        <v>-2423426.7200000002</v>
      </c>
      <c r="J39" s="78">
        <f ca="1">IFERROR($I39/$I$6,0)</f>
        <v>-0.81430000000000002</v>
      </c>
      <c r="K39" s="78">
        <f ca="1">IFERROR(($I39-$F39)/ABS($F39),0)</f>
        <v>-0.22850000000000001</v>
      </c>
      <c r="L39" s="4">
        <f ca="1">SUBTOTAL(9,L$40:L$58)</f>
        <v>-3138604.03</v>
      </c>
      <c r="M39" s="78">
        <f ca="1">IFERROR($L39/$L$6,0)</f>
        <v>-0.76870000000000005</v>
      </c>
      <c r="N39" s="78">
        <f ca="1">IFERROR(($L39-$I39)/ABS($I39),0)</f>
        <v>-0.29509999999999997</v>
      </c>
      <c r="O39" s="4">
        <f ca="1">SUBTOTAL(9,O$40:O$58)</f>
        <v>-3870890.15</v>
      </c>
      <c r="P39" s="78">
        <f ca="1">IFERROR($O39/$O$6,0)</f>
        <v>-0.73099999999999998</v>
      </c>
      <c r="Q39" s="78">
        <f ca="1">IFERROR(($O39-$L39)/ABS($L39),0)</f>
        <v>-0.23330000000000001</v>
      </c>
      <c r="R39" s="4">
        <f ca="1">SUBTOTAL(9,R$40:R$58)</f>
        <v>-4303751.16</v>
      </c>
      <c r="S39" s="78">
        <f ca="1">IFERROR($R39/$R$6,0)</f>
        <v>-0.68279999999999996</v>
      </c>
      <c r="T39" s="78">
        <f ca="1">IFERROR(($R39-$O39)/ABS($O39),0)</f>
        <v>-0.1118</v>
      </c>
      <c r="U39" s="4">
        <f ca="1">SUBTOTAL(9,U$40:U$58)</f>
        <v>-5056160.7</v>
      </c>
      <c r="V39" s="78">
        <f ca="1">IFERROR($U39/$U$6,0)</f>
        <v>-0.68530000000000002</v>
      </c>
      <c r="W39" s="78">
        <f ca="1">IFERROR(($U39-$R39)/ABS($R39),0)</f>
        <v>-0.17480000000000001</v>
      </c>
      <c r="X39" s="4">
        <f ca="1">SUBTOTAL(9,X$40:X$58)</f>
        <v>-5759259.3600000003</v>
      </c>
      <c r="Y39" s="78">
        <f t="shared" ref="Y39:Y57" ca="1" si="58">IFERROR($X39/$X$6,0)</f>
        <v>-0.68400000000000005</v>
      </c>
      <c r="Z39" s="78">
        <f t="shared" ref="Z39:Z57" ca="1" si="59">IFERROR(($X39-$U39)/ABS($U39),0)</f>
        <v>-0.1391</v>
      </c>
      <c r="AA39" s="4">
        <f ca="1">SUBTOTAL(9,AA$40:AA$58)</f>
        <v>-6377428.5899999999</v>
      </c>
      <c r="AB39" s="78">
        <f ca="1">IFERROR($AA39/$AA$6,0)</f>
        <v>-0.67889999999999995</v>
      </c>
      <c r="AC39" s="78">
        <f ca="1">IFERROR(($AA39-$X39)/ABS($X39),0)</f>
        <v>-0.10730000000000001</v>
      </c>
      <c r="AD39" s="4">
        <f ca="1">SUBTOTAL(9,AD$40:AD$58)</f>
        <v>-7236141.0899999999</v>
      </c>
      <c r="AE39" s="78">
        <f ca="1">IFERROR($AD39/$AD$6,0)</f>
        <v>-0.68020000000000003</v>
      </c>
      <c r="AF39" s="78">
        <f ca="1">IFERROR(($AD39-$AA39)/ABS($AA39),0)</f>
        <v>-0.1346</v>
      </c>
      <c r="AG39" s="4">
        <f ca="1">SUBTOTAL(9,AG$40:AG$58)</f>
        <v>-7594443.3700000001</v>
      </c>
      <c r="AH39" s="78">
        <f ca="1">IFERROR($AG39/$AG$6,0)</f>
        <v>-0.65720000000000001</v>
      </c>
      <c r="AI39" s="78">
        <f ca="1">IFERROR(($AG39-$AD39)/ABS($AD39),0)</f>
        <v>-4.9500000000000002E-2</v>
      </c>
      <c r="AJ39" s="4">
        <f ca="1">SUBTOTAL(9,AJ$40:AJ$58)</f>
        <v>-9088992.2300000004</v>
      </c>
      <c r="AK39" s="78">
        <f ca="1">IFERROR($AJ39/$AJ$6,0)</f>
        <v>-0.69699999999999995</v>
      </c>
      <c r="AL39" s="78">
        <f ca="1">IFERROR(($AJ39-$AG39)/ABS($AG39),0)</f>
        <v>-0.1968</v>
      </c>
    </row>
    <row r="40" spans="2:41" ht="15" customHeight="1" outlineLevel="1" x14ac:dyDescent="0.3">
      <c r="B40" s="14" t="s">
        <v>397</v>
      </c>
      <c r="C40" s="14" t="s">
        <v>398</v>
      </c>
      <c r="D40" s="4">
        <f ca="1">-SUMIFS(INDIRECT("Tab_00.Trial["&amp;D$4&amp;"]"),Tab_00.Trial[CONTA],$B40)</f>
        <v>-2235.4699999999998</v>
      </c>
      <c r="E40" s="78">
        <f t="shared" ca="1" si="56"/>
        <v>-2.3999999999999998E-3</v>
      </c>
      <c r="F40" s="4">
        <f ca="1">-SUMIFS(INDIRECT("Tab_00.Trial["&amp;F$4&amp;"]"),Tab_00.Trial[CONTA],$B40)</f>
        <v>-2235.4699999999998</v>
      </c>
      <c r="G40" s="78">
        <f t="shared" ref="G40:G57" ca="1" si="60">IFERROR($F40/$F$6,0)</f>
        <v>-1.1999999999999999E-3</v>
      </c>
      <c r="H40" s="78">
        <f t="shared" ca="1" si="57"/>
        <v>0</v>
      </c>
      <c r="I40" s="4">
        <f ca="1">-SUMIFS(INDIRECT("Tab_00.Trial["&amp;I$4&amp;"]"),Tab_00.Trial[CONTA],$B40)</f>
        <v>-5788.26</v>
      </c>
      <c r="J40" s="78">
        <f t="shared" ref="J40:J57" ca="1" si="61">IFERROR($I40/$I$6,0)</f>
        <v>-1.9E-3</v>
      </c>
      <c r="K40" s="78">
        <f t="shared" ref="K40:K57" ca="1" si="62">IFERROR(($I40-$F40)/ABS($F40),0)</f>
        <v>-1.5892999999999999</v>
      </c>
      <c r="L40" s="4">
        <f ca="1">-SUMIFS(INDIRECT("Tab_00.Trial["&amp;L$4&amp;"]"),Tab_00.Trial[CONTA],$B40)</f>
        <v>-6378.77</v>
      </c>
      <c r="M40" s="78">
        <f t="shared" ref="M40:M57" ca="1" si="63">IFERROR($L40/$L$6,0)</f>
        <v>-1.6000000000000001E-3</v>
      </c>
      <c r="N40" s="78">
        <f t="shared" ref="N40:N57" ca="1" si="64">IFERROR(($L40-$I40)/ABS($I40),0)</f>
        <v>-0.10199999999999999</v>
      </c>
      <c r="O40" s="4">
        <f ca="1">-SUMIFS(INDIRECT("Tab_00.Trial["&amp;O$4&amp;"]"),Tab_00.Trial[CONTA],$B40)</f>
        <v>-6378.77</v>
      </c>
      <c r="P40" s="78">
        <f t="shared" ref="P40:P57" ca="1" si="65">IFERROR($O40/$O$6,0)</f>
        <v>-1.1999999999999999E-3</v>
      </c>
      <c r="Q40" s="78">
        <f t="shared" ref="Q40:Q57" ca="1" si="66">IFERROR(($O40-$L40)/ABS($L40),0)</f>
        <v>0</v>
      </c>
      <c r="R40" s="4">
        <f ca="1">-SUMIFS(INDIRECT("Tab_00.Trial["&amp;R$4&amp;"]"),Tab_00.Trial[CONTA],$B40)</f>
        <v>-8031.9</v>
      </c>
      <c r="S40" s="78">
        <f t="shared" ref="S40:S57" ca="1" si="67">IFERROR($R40/$R$6,0)</f>
        <v>-1.2999999999999999E-3</v>
      </c>
      <c r="T40" s="78">
        <f t="shared" ref="T40:T57" ca="1" si="68">IFERROR(($R40-$O40)/ABS($O40),0)</f>
        <v>-0.25919999999999999</v>
      </c>
      <c r="U40" s="4">
        <f ca="1">-SUMIFS(INDIRECT("Tab_00.Trial["&amp;U$4&amp;"]"),Tab_00.Trial[CONTA],$B40)</f>
        <v>-9743.5</v>
      </c>
      <c r="V40" s="78">
        <f t="shared" ref="V40:V57" ca="1" si="69">IFERROR($U40/$U$6,0)</f>
        <v>-1.2999999999999999E-3</v>
      </c>
      <c r="W40" s="78">
        <f t="shared" ref="W40:W57" ca="1" si="70">IFERROR(($U40-$R40)/ABS($R40),0)</f>
        <v>-0.21310000000000001</v>
      </c>
      <c r="X40" s="4">
        <f ca="1">-SUMIFS(INDIRECT("Tab_00.Trial["&amp;X$4&amp;"]"),Tab_00.Trial[CONTA],$B40)</f>
        <v>-9743.5</v>
      </c>
      <c r="Y40" s="78">
        <f t="shared" ca="1" si="58"/>
        <v>-1.1999999999999999E-3</v>
      </c>
      <c r="Z40" s="78">
        <f t="shared" ca="1" si="59"/>
        <v>0</v>
      </c>
      <c r="AA40" s="4">
        <f ca="1">-SUMIFS(INDIRECT("Tab_00.Trial["&amp;AA$4&amp;"]"),Tab_00.Trial[CONTA],$B40)</f>
        <v>-9768.99</v>
      </c>
      <c r="AB40" s="78">
        <f t="shared" ref="AB40:AB57" ca="1" si="71">IFERROR($AA40/$AA$6,0)</f>
        <v>-1E-3</v>
      </c>
      <c r="AC40" s="78">
        <f t="shared" ref="AC40:AC57" ca="1" si="72">IFERROR(($AA40-$X40)/ABS($X40),0)</f>
        <v>-2.5999999999999999E-3</v>
      </c>
      <c r="AD40" s="4">
        <f ca="1">-SUMIFS(INDIRECT("Tab_00.Trial["&amp;AD$4&amp;"]"),Tab_00.Trial[CONTA],$B40)</f>
        <v>-10917.24</v>
      </c>
      <c r="AE40" s="78">
        <f t="shared" ref="AE40:AE57" ca="1" si="73">IFERROR($AD40/$AD$6,0)</f>
        <v>-1E-3</v>
      </c>
      <c r="AF40" s="78">
        <f t="shared" ref="AF40:AF57" ca="1" si="74">IFERROR(($AD40-$AA40)/ABS($AA40),0)</f>
        <v>-0.11749999999999999</v>
      </c>
      <c r="AG40" s="4">
        <f ca="1">-SUMIFS(INDIRECT("Tab_00.Trial["&amp;AG$4&amp;"]"),Tab_00.Trial[CONTA],$B40)</f>
        <v>-10917.24</v>
      </c>
      <c r="AH40" s="78">
        <f t="shared" ref="AH40:AH57" ca="1" si="75">IFERROR($AG40/$AG$6,0)</f>
        <v>-8.9999999999999998E-4</v>
      </c>
      <c r="AI40" s="78">
        <f t="shared" ref="AI40:AI57" ca="1" si="76">IFERROR(($AG40-$AD40)/ABS($AD40),0)</f>
        <v>0</v>
      </c>
      <c r="AJ40" s="4">
        <f ca="1">-SUMIFS(INDIRECT("Tab_00.Trial["&amp;AJ$4&amp;"]"),Tab_00.Trial[CONTA],$B40)</f>
        <v>-12276.76</v>
      </c>
      <c r="AK40" s="78">
        <f t="shared" ref="AK40:AK57" ca="1" si="77">IFERROR($AJ40/$AJ$6,0)</f>
        <v>-8.9999999999999998E-4</v>
      </c>
      <c r="AL40" s="78">
        <f t="shared" ref="AL40:AL57" ca="1" si="78">IFERROR(($AJ40-$AG40)/ABS($AG40),0)</f>
        <v>-0.1245</v>
      </c>
      <c r="AM40" s="141"/>
    </row>
    <row r="41" spans="2:41" ht="15" customHeight="1" outlineLevel="1" x14ac:dyDescent="0.3">
      <c r="B41" s="14" t="s">
        <v>399</v>
      </c>
      <c r="C41" s="14" t="s">
        <v>400</v>
      </c>
      <c r="D41" s="4">
        <f ca="1">-SUMIFS(INDIRECT("Tab_00.Trial["&amp;D$4&amp;"]"),Tab_00.Trial[CONTA],$B41)</f>
        <v>0</v>
      </c>
      <c r="E41" s="78">
        <f t="shared" ca="1" si="56"/>
        <v>0</v>
      </c>
      <c r="F41" s="4">
        <f ca="1">-SUMIFS(INDIRECT("Tab_00.Trial["&amp;F$4&amp;"]"),Tab_00.Trial[CONTA],$B41)</f>
        <v>0</v>
      </c>
      <c r="G41" s="78">
        <f t="shared" ca="1" si="60"/>
        <v>0</v>
      </c>
      <c r="H41" s="78">
        <f t="shared" ca="1" si="57"/>
        <v>0</v>
      </c>
      <c r="I41" s="4">
        <f ca="1">-SUMIFS(INDIRECT("Tab_00.Trial["&amp;I$4&amp;"]"),Tab_00.Trial[CONTA],$B41)</f>
        <v>0</v>
      </c>
      <c r="J41" s="78">
        <f t="shared" ca="1" si="61"/>
        <v>0</v>
      </c>
      <c r="K41" s="78">
        <f t="shared" ca="1" si="62"/>
        <v>0</v>
      </c>
      <c r="L41" s="4">
        <f ca="1">-SUMIFS(INDIRECT("Tab_00.Trial["&amp;L$4&amp;"]"),Tab_00.Trial[CONTA],$B41)</f>
        <v>0</v>
      </c>
      <c r="M41" s="78">
        <f t="shared" ca="1" si="63"/>
        <v>0</v>
      </c>
      <c r="N41" s="78">
        <f t="shared" ca="1" si="64"/>
        <v>0</v>
      </c>
      <c r="O41" s="4">
        <f ca="1">-SUMIFS(INDIRECT("Tab_00.Trial["&amp;O$4&amp;"]"),Tab_00.Trial[CONTA],$B41)</f>
        <v>0</v>
      </c>
      <c r="P41" s="78">
        <f t="shared" ca="1" si="65"/>
        <v>0</v>
      </c>
      <c r="Q41" s="78">
        <f t="shared" ca="1" si="66"/>
        <v>0</v>
      </c>
      <c r="R41" s="4">
        <f ca="1">-SUMIFS(INDIRECT("Tab_00.Trial["&amp;R$4&amp;"]"),Tab_00.Trial[CONTA],$B41)</f>
        <v>0</v>
      </c>
      <c r="S41" s="78">
        <f t="shared" ca="1" si="67"/>
        <v>0</v>
      </c>
      <c r="T41" s="78">
        <f t="shared" ca="1" si="68"/>
        <v>0</v>
      </c>
      <c r="U41" s="4">
        <f ca="1">-SUMIFS(INDIRECT("Tab_00.Trial["&amp;U$4&amp;"]"),Tab_00.Trial[CONTA],$B41)</f>
        <v>0</v>
      </c>
      <c r="V41" s="78">
        <f t="shared" ca="1" si="69"/>
        <v>0</v>
      </c>
      <c r="W41" s="78">
        <f t="shared" ca="1" si="70"/>
        <v>0</v>
      </c>
      <c r="X41" s="4">
        <f ca="1">-SUMIFS(INDIRECT("Tab_00.Trial["&amp;X$4&amp;"]"),Tab_00.Trial[CONTA],$B41)</f>
        <v>0</v>
      </c>
      <c r="Y41" s="78">
        <f t="shared" ca="1" si="58"/>
        <v>0</v>
      </c>
      <c r="Z41" s="78">
        <f t="shared" ca="1" si="59"/>
        <v>0</v>
      </c>
      <c r="AA41" s="4">
        <f ca="1">-SUMIFS(INDIRECT("Tab_00.Trial["&amp;AA$4&amp;"]"),Tab_00.Trial[CONTA],$B41)</f>
        <v>-593.83000000000004</v>
      </c>
      <c r="AB41" s="78">
        <f t="shared" ca="1" si="71"/>
        <v>-1E-4</v>
      </c>
      <c r="AC41" s="78">
        <f t="shared" ca="1" si="72"/>
        <v>0</v>
      </c>
      <c r="AD41" s="4">
        <f ca="1">-SUMIFS(INDIRECT("Tab_00.Trial["&amp;AD$4&amp;"]"),Tab_00.Trial[CONTA],$B41)</f>
        <v>-1631.63</v>
      </c>
      <c r="AE41" s="78">
        <f t="shared" ca="1" si="73"/>
        <v>-2.0000000000000001E-4</v>
      </c>
      <c r="AF41" s="78">
        <f t="shared" ca="1" si="74"/>
        <v>-1.7476</v>
      </c>
      <c r="AG41" s="4">
        <f ca="1">-SUMIFS(INDIRECT("Tab_00.Trial["&amp;AG$4&amp;"]"),Tab_00.Trial[CONTA],$B41)</f>
        <v>-1631.63</v>
      </c>
      <c r="AH41" s="78">
        <f t="shared" ca="1" si="75"/>
        <v>-1E-4</v>
      </c>
      <c r="AI41" s="78">
        <f t="shared" ca="1" si="76"/>
        <v>0</v>
      </c>
      <c r="AJ41" s="4">
        <f ca="1">-SUMIFS(INDIRECT("Tab_00.Trial["&amp;AJ$4&amp;"]"),Tab_00.Trial[CONTA],$B41)</f>
        <v>-1631.63</v>
      </c>
      <c r="AK41" s="78">
        <f t="shared" ca="1" si="77"/>
        <v>-1E-4</v>
      </c>
      <c r="AL41" s="78">
        <f t="shared" ca="1" si="78"/>
        <v>0</v>
      </c>
    </row>
    <row r="42" spans="2:41" ht="15" customHeight="1" outlineLevel="1" x14ac:dyDescent="0.3">
      <c r="B42" s="14" t="s">
        <v>401</v>
      </c>
      <c r="C42" s="14" t="s">
        <v>402</v>
      </c>
      <c r="D42" s="4">
        <f ca="1">-SUMIFS(INDIRECT("Tab_00.Trial["&amp;D$4&amp;"]"),Tab_00.Trial[CONTA],$B42)</f>
        <v>0</v>
      </c>
      <c r="E42" s="78">
        <f t="shared" ca="1" si="56"/>
        <v>0</v>
      </c>
      <c r="F42" s="4">
        <f ca="1">-SUMIFS(INDIRECT("Tab_00.Trial["&amp;F$4&amp;"]"),Tab_00.Trial[CONTA],$B42)</f>
        <v>0</v>
      </c>
      <c r="G42" s="78">
        <f t="shared" ca="1" si="60"/>
        <v>0</v>
      </c>
      <c r="H42" s="78">
        <f t="shared" ca="1" si="57"/>
        <v>0</v>
      </c>
      <c r="I42" s="4">
        <f ca="1">-SUMIFS(INDIRECT("Tab_00.Trial["&amp;I$4&amp;"]"),Tab_00.Trial[CONTA],$B42)</f>
        <v>0</v>
      </c>
      <c r="J42" s="78">
        <f t="shared" ca="1" si="61"/>
        <v>0</v>
      </c>
      <c r="K42" s="78">
        <f t="shared" ca="1" si="62"/>
        <v>0</v>
      </c>
      <c r="L42" s="4">
        <f ca="1">-SUMIFS(INDIRECT("Tab_00.Trial["&amp;L$4&amp;"]"),Tab_00.Trial[CONTA],$B42)</f>
        <v>0</v>
      </c>
      <c r="M42" s="78">
        <f t="shared" ca="1" si="63"/>
        <v>0</v>
      </c>
      <c r="N42" s="78">
        <f t="shared" ca="1" si="64"/>
        <v>0</v>
      </c>
      <c r="O42" s="4">
        <f ca="1">-SUMIFS(INDIRECT("Tab_00.Trial["&amp;O$4&amp;"]"),Tab_00.Trial[CONTA],$B42)</f>
        <v>0</v>
      </c>
      <c r="P42" s="78">
        <f t="shared" ca="1" si="65"/>
        <v>0</v>
      </c>
      <c r="Q42" s="78">
        <f t="shared" ca="1" si="66"/>
        <v>0</v>
      </c>
      <c r="R42" s="4">
        <f ca="1">-SUMIFS(INDIRECT("Tab_00.Trial["&amp;R$4&amp;"]"),Tab_00.Trial[CONTA],$B42)</f>
        <v>0</v>
      </c>
      <c r="S42" s="78">
        <f t="shared" ca="1" si="67"/>
        <v>0</v>
      </c>
      <c r="T42" s="78">
        <f t="shared" ca="1" si="68"/>
        <v>0</v>
      </c>
      <c r="U42" s="4">
        <f ca="1">-SUMIFS(INDIRECT("Tab_00.Trial["&amp;U$4&amp;"]"),Tab_00.Trial[CONTA],$B42)</f>
        <v>0</v>
      </c>
      <c r="V42" s="78">
        <f t="shared" ca="1" si="69"/>
        <v>0</v>
      </c>
      <c r="W42" s="78">
        <f t="shared" ca="1" si="70"/>
        <v>0</v>
      </c>
      <c r="X42" s="4">
        <f ca="1">-SUMIFS(INDIRECT("Tab_00.Trial["&amp;X$4&amp;"]"),Tab_00.Trial[CONTA],$B42)</f>
        <v>0</v>
      </c>
      <c r="Y42" s="78">
        <f t="shared" ca="1" si="58"/>
        <v>0</v>
      </c>
      <c r="Z42" s="78">
        <f t="shared" ca="1" si="59"/>
        <v>0</v>
      </c>
      <c r="AA42" s="4">
        <f ca="1">-SUMIFS(INDIRECT("Tab_00.Trial["&amp;AA$4&amp;"]"),Tab_00.Trial[CONTA],$B42)</f>
        <v>0</v>
      </c>
      <c r="AB42" s="78">
        <f t="shared" ca="1" si="71"/>
        <v>0</v>
      </c>
      <c r="AC42" s="78">
        <f t="shared" ca="1" si="72"/>
        <v>0</v>
      </c>
      <c r="AD42" s="4">
        <f ca="1">-SUMIFS(INDIRECT("Tab_00.Trial["&amp;AD$4&amp;"]"),Tab_00.Trial[CONTA],$B42)</f>
        <v>0</v>
      </c>
      <c r="AE42" s="78">
        <f t="shared" ca="1" si="73"/>
        <v>0</v>
      </c>
      <c r="AF42" s="78">
        <f t="shared" ca="1" si="74"/>
        <v>0</v>
      </c>
      <c r="AG42" s="4">
        <f ca="1">-SUMIFS(INDIRECT("Tab_00.Trial["&amp;AG$4&amp;"]"),Tab_00.Trial[CONTA],$B42)</f>
        <v>0</v>
      </c>
      <c r="AH42" s="78">
        <f t="shared" ca="1" si="75"/>
        <v>0</v>
      </c>
      <c r="AI42" s="78">
        <f t="shared" ca="1" si="76"/>
        <v>0</v>
      </c>
      <c r="AJ42" s="4">
        <f ca="1">-SUMIFS(INDIRECT("Tab_00.Trial["&amp;AJ$4&amp;"]"),Tab_00.Trial[CONTA],$B42)</f>
        <v>0</v>
      </c>
      <c r="AK42" s="78">
        <f t="shared" ca="1" si="77"/>
        <v>0</v>
      </c>
      <c r="AL42" s="78">
        <f t="shared" ca="1" si="78"/>
        <v>0</v>
      </c>
    </row>
    <row r="43" spans="2:41" ht="15" customHeight="1" outlineLevel="1" x14ac:dyDescent="0.3">
      <c r="B43" s="14" t="s">
        <v>403</v>
      </c>
      <c r="C43" s="14" t="s">
        <v>404</v>
      </c>
      <c r="D43" s="4">
        <f ca="1">-SUMIFS(INDIRECT("Tab_00.Trial["&amp;D$4&amp;"]"),Tab_00.Trial[CONTA],$B43)</f>
        <v>-4135.96</v>
      </c>
      <c r="E43" s="78">
        <f t="shared" ca="1" si="56"/>
        <v>-4.4000000000000003E-3</v>
      </c>
      <c r="F43" s="4">
        <f ca="1">-SUMIFS(INDIRECT("Tab_00.Trial["&amp;F$4&amp;"]"),Tab_00.Trial[CONTA],$B43)</f>
        <v>-8271.92</v>
      </c>
      <c r="G43" s="78">
        <f t="shared" ca="1" si="60"/>
        <v>-4.3E-3</v>
      </c>
      <c r="H43" s="78">
        <f t="shared" ca="1" si="57"/>
        <v>-1</v>
      </c>
      <c r="I43" s="4">
        <f ca="1">-SUMIFS(INDIRECT("Tab_00.Trial["&amp;I$4&amp;"]"),Tab_00.Trial[CONTA],$B43)</f>
        <v>-12407.88</v>
      </c>
      <c r="J43" s="78">
        <f t="shared" ca="1" si="61"/>
        <v>-4.1999999999999997E-3</v>
      </c>
      <c r="K43" s="78">
        <f t="shared" ca="1" si="62"/>
        <v>-0.5</v>
      </c>
      <c r="L43" s="4">
        <f ca="1">-SUMIFS(INDIRECT("Tab_00.Trial["&amp;L$4&amp;"]"),Tab_00.Trial[CONTA],$B43)</f>
        <v>-16543.84</v>
      </c>
      <c r="M43" s="78">
        <f t="shared" ca="1" si="63"/>
        <v>-4.1000000000000003E-3</v>
      </c>
      <c r="N43" s="78">
        <f t="shared" ca="1" si="64"/>
        <v>-0.33329999999999999</v>
      </c>
      <c r="O43" s="4">
        <f ca="1">-SUMIFS(INDIRECT("Tab_00.Trial["&amp;O$4&amp;"]"),Tab_00.Trial[CONTA],$B43)</f>
        <v>-20679.8</v>
      </c>
      <c r="P43" s="78">
        <f t="shared" ca="1" si="65"/>
        <v>-3.8999999999999998E-3</v>
      </c>
      <c r="Q43" s="78">
        <f t="shared" ca="1" si="66"/>
        <v>-0.25</v>
      </c>
      <c r="R43" s="4">
        <f ca="1">-SUMIFS(INDIRECT("Tab_00.Trial["&amp;R$4&amp;"]"),Tab_00.Trial[CONTA],$B43)</f>
        <v>-24815.759999999998</v>
      </c>
      <c r="S43" s="78">
        <f t="shared" ca="1" si="67"/>
        <v>-3.8999999999999998E-3</v>
      </c>
      <c r="T43" s="78">
        <f t="shared" ca="1" si="68"/>
        <v>-0.2</v>
      </c>
      <c r="U43" s="4">
        <f ca="1">-SUMIFS(INDIRECT("Tab_00.Trial["&amp;U$4&amp;"]"),Tab_00.Trial[CONTA],$B43)</f>
        <v>-28951.72</v>
      </c>
      <c r="V43" s="78">
        <f t="shared" ca="1" si="69"/>
        <v>-3.8999999999999998E-3</v>
      </c>
      <c r="W43" s="78">
        <f t="shared" ca="1" si="70"/>
        <v>-0.16669999999999999</v>
      </c>
      <c r="X43" s="4">
        <f ca="1">-SUMIFS(INDIRECT("Tab_00.Trial["&amp;X$4&amp;"]"),Tab_00.Trial[CONTA],$B43)</f>
        <v>-33892.68</v>
      </c>
      <c r="Y43" s="78">
        <f t="shared" ca="1" si="58"/>
        <v>-4.0000000000000001E-3</v>
      </c>
      <c r="Z43" s="78">
        <f t="shared" ca="1" si="59"/>
        <v>-0.17069999999999999</v>
      </c>
      <c r="AA43" s="4">
        <f ca="1">-SUMIFS(INDIRECT("Tab_00.Trial["&amp;AA$4&amp;"]"),Tab_00.Trial[CONTA],$B43)</f>
        <v>-39293.440000000002</v>
      </c>
      <c r="AB43" s="78">
        <f t="shared" ca="1" si="71"/>
        <v>-4.1999999999999997E-3</v>
      </c>
      <c r="AC43" s="78">
        <f t="shared" ca="1" si="72"/>
        <v>-0.1593</v>
      </c>
      <c r="AD43" s="4">
        <f ca="1">-SUMIFS(INDIRECT("Tab_00.Trial["&amp;AD$4&amp;"]"),Tab_00.Trial[CONTA],$B43)</f>
        <v>-43709.4</v>
      </c>
      <c r="AE43" s="78">
        <f t="shared" ca="1" si="73"/>
        <v>-4.1000000000000003E-3</v>
      </c>
      <c r="AF43" s="78">
        <f t="shared" ca="1" si="74"/>
        <v>-0.1124</v>
      </c>
      <c r="AG43" s="4">
        <f ca="1">-SUMIFS(INDIRECT("Tab_00.Trial["&amp;AG$4&amp;"]"),Tab_00.Trial[CONTA],$B43)</f>
        <v>-48374.95</v>
      </c>
      <c r="AH43" s="78">
        <f t="shared" ca="1" si="75"/>
        <v>-4.1999999999999997E-3</v>
      </c>
      <c r="AI43" s="78">
        <f t="shared" ca="1" si="76"/>
        <v>-0.1067</v>
      </c>
      <c r="AJ43" s="4">
        <f ca="1">-SUMIFS(INDIRECT("Tab_00.Trial["&amp;AJ$4&amp;"]"),Tab_00.Trial[CONTA],$B43)</f>
        <v>-52960.91</v>
      </c>
      <c r="AK43" s="78">
        <f t="shared" ca="1" si="77"/>
        <v>-4.1000000000000003E-3</v>
      </c>
      <c r="AL43" s="78">
        <f t="shared" ca="1" si="78"/>
        <v>-9.4799999999999995E-2</v>
      </c>
    </row>
    <row r="44" spans="2:41" ht="15" customHeight="1" outlineLevel="1" x14ac:dyDescent="0.3">
      <c r="B44" s="14" t="s">
        <v>405</v>
      </c>
      <c r="C44" s="14" t="s">
        <v>406</v>
      </c>
      <c r="D44" s="4">
        <f ca="1">-SUMIFS(INDIRECT("Tab_00.Trial["&amp;D$4&amp;"]"),Tab_00.Trial[CONTA],$B44)</f>
        <v>-27797</v>
      </c>
      <c r="E44" s="78">
        <f t="shared" ca="1" si="56"/>
        <v>-2.93E-2</v>
      </c>
      <c r="F44" s="4">
        <f ca="1">-SUMIFS(INDIRECT("Tab_00.Trial["&amp;F$4&amp;"]"),Tab_00.Trial[CONTA],$B44)</f>
        <v>-53137</v>
      </c>
      <c r="G44" s="78">
        <f t="shared" ca="1" si="60"/>
        <v>-2.76E-2</v>
      </c>
      <c r="H44" s="78">
        <f t="shared" ca="1" si="57"/>
        <v>-0.91159999999999997</v>
      </c>
      <c r="I44" s="4">
        <f ca="1">-SUMIFS(INDIRECT("Tab_00.Trial["&amp;I$4&amp;"]"),Tab_00.Trial[CONTA],$B44)</f>
        <v>-76447</v>
      </c>
      <c r="J44" s="78">
        <f t="shared" ca="1" si="61"/>
        <v>-2.5700000000000001E-2</v>
      </c>
      <c r="K44" s="78">
        <f t="shared" ca="1" si="62"/>
        <v>-0.43869999999999998</v>
      </c>
      <c r="L44" s="4">
        <f ca="1">-SUMIFS(INDIRECT("Tab_00.Trial["&amp;L$4&amp;"]"),Tab_00.Trial[CONTA],$B44)</f>
        <v>-107817</v>
      </c>
      <c r="M44" s="78">
        <f t="shared" ca="1" si="63"/>
        <v>-2.64E-2</v>
      </c>
      <c r="N44" s="78">
        <f t="shared" ca="1" si="64"/>
        <v>-0.4103</v>
      </c>
      <c r="O44" s="4">
        <f ca="1">-SUMIFS(INDIRECT("Tab_00.Trial["&amp;O$4&amp;"]"),Tab_00.Trial[CONTA],$B44)</f>
        <v>-139137</v>
      </c>
      <c r="P44" s="78">
        <f t="shared" ca="1" si="65"/>
        <v>-2.63E-2</v>
      </c>
      <c r="Q44" s="78">
        <f t="shared" ca="1" si="66"/>
        <v>-0.29049999999999998</v>
      </c>
      <c r="R44" s="4">
        <f ca="1">-SUMIFS(INDIRECT("Tab_00.Trial["&amp;R$4&amp;"]"),Tab_00.Trial[CONTA],$B44)</f>
        <v>-168542</v>
      </c>
      <c r="S44" s="78">
        <f t="shared" ca="1" si="67"/>
        <v>-2.6700000000000002E-2</v>
      </c>
      <c r="T44" s="78">
        <f t="shared" ca="1" si="68"/>
        <v>-0.21129999999999999</v>
      </c>
      <c r="U44" s="4">
        <f ca="1">-SUMIFS(INDIRECT("Tab_00.Trial["&amp;U$4&amp;"]"),Tab_00.Trial[CONTA],$B44)</f>
        <v>-196382</v>
      </c>
      <c r="V44" s="78">
        <f t="shared" ca="1" si="69"/>
        <v>-2.6599999999999999E-2</v>
      </c>
      <c r="W44" s="78">
        <f t="shared" ca="1" si="70"/>
        <v>-0.16520000000000001</v>
      </c>
      <c r="X44" s="4">
        <f ca="1">-SUMIFS(INDIRECT("Tab_00.Trial["&amp;X$4&amp;"]"),Tab_00.Trial[CONTA],$B44)</f>
        <v>-229502</v>
      </c>
      <c r="Y44" s="78">
        <f t="shared" ca="1" si="58"/>
        <v>-2.7300000000000001E-2</v>
      </c>
      <c r="Z44" s="78">
        <f t="shared" ca="1" si="59"/>
        <v>-0.16869999999999999</v>
      </c>
      <c r="AA44" s="4">
        <f ca="1">-SUMIFS(INDIRECT("Tab_00.Trial["&amp;AA$4&amp;"]"),Tab_00.Trial[CONTA],$B44)</f>
        <v>-261562</v>
      </c>
      <c r="AB44" s="78">
        <f t="shared" ca="1" si="71"/>
        <v>-2.7799999999999998E-2</v>
      </c>
      <c r="AC44" s="78">
        <f t="shared" ca="1" si="72"/>
        <v>-0.13969999999999999</v>
      </c>
      <c r="AD44" s="4">
        <f ca="1">-SUMIFS(INDIRECT("Tab_00.Trial["&amp;AD$4&amp;"]"),Tab_00.Trial[CONTA],$B44)</f>
        <v>-289312</v>
      </c>
      <c r="AE44" s="78">
        <f t="shared" ca="1" si="73"/>
        <v>-2.7199999999999998E-2</v>
      </c>
      <c r="AF44" s="78">
        <f t="shared" ca="1" si="74"/>
        <v>-0.1061</v>
      </c>
      <c r="AG44" s="4">
        <f ca="1">-SUMIFS(INDIRECT("Tab_00.Trial["&amp;AG$4&amp;"]"),Tab_00.Trial[CONTA],$B44)</f>
        <v>-329522</v>
      </c>
      <c r="AH44" s="78">
        <f t="shared" ca="1" si="75"/>
        <v>-2.8500000000000001E-2</v>
      </c>
      <c r="AI44" s="78">
        <f t="shared" ca="1" si="76"/>
        <v>-0.13900000000000001</v>
      </c>
      <c r="AJ44" s="4">
        <f ca="1">-SUMIFS(INDIRECT("Tab_00.Trial["&amp;AJ$4&amp;"]"),Tab_00.Trial[CONTA],$B44)</f>
        <v>-352242</v>
      </c>
      <c r="AK44" s="78">
        <f t="shared" ca="1" si="77"/>
        <v>-2.7E-2</v>
      </c>
      <c r="AL44" s="78">
        <f t="shared" ca="1" si="78"/>
        <v>-6.8900000000000003E-2</v>
      </c>
    </row>
    <row r="45" spans="2:41" ht="15" customHeight="1" outlineLevel="1" x14ac:dyDescent="0.3">
      <c r="B45" s="14" t="s">
        <v>407</v>
      </c>
      <c r="C45" s="14" t="s">
        <v>408</v>
      </c>
      <c r="D45" s="4">
        <f ca="1">-SUMIFS(INDIRECT("Tab_00.Trial["&amp;D$4&amp;"]"),Tab_00.Trial[CONTA],$B45)</f>
        <v>-2247.19</v>
      </c>
      <c r="E45" s="78">
        <f t="shared" ca="1" si="56"/>
        <v>-2.3999999999999998E-3</v>
      </c>
      <c r="F45" s="4">
        <f ca="1">-SUMIFS(INDIRECT("Tab_00.Trial["&amp;F$4&amp;"]"),Tab_00.Trial[CONTA],$B45)</f>
        <v>-2621.72</v>
      </c>
      <c r="G45" s="78">
        <f t="shared" ca="1" si="60"/>
        <v>-1.4E-3</v>
      </c>
      <c r="H45" s="78">
        <f t="shared" ca="1" si="57"/>
        <v>-0.16669999999999999</v>
      </c>
      <c r="I45" s="4">
        <f ca="1">-SUMIFS(INDIRECT("Tab_00.Trial["&amp;I$4&amp;"]"),Tab_00.Trial[CONTA],$B45)</f>
        <v>-6352.05</v>
      </c>
      <c r="J45" s="78">
        <f t="shared" ca="1" si="61"/>
        <v>-2.0999999999999999E-3</v>
      </c>
      <c r="K45" s="78">
        <f t="shared" ca="1" si="62"/>
        <v>-1.4229000000000001</v>
      </c>
      <c r="L45" s="4">
        <f ca="1">-SUMIFS(INDIRECT("Tab_00.Trial["&amp;L$4&amp;"]"),Tab_00.Trial[CONTA],$B45)</f>
        <v>-9352.0499999999993</v>
      </c>
      <c r="M45" s="78">
        <f t="shared" ca="1" si="63"/>
        <v>-2.3E-3</v>
      </c>
      <c r="N45" s="78">
        <f t="shared" ca="1" si="64"/>
        <v>-0.4723</v>
      </c>
      <c r="O45" s="4">
        <f ca="1">-SUMIFS(INDIRECT("Tab_00.Trial["&amp;O$4&amp;"]"),Tab_00.Trial[CONTA],$B45)</f>
        <v>-15352.05</v>
      </c>
      <c r="P45" s="78">
        <f t="shared" ca="1" si="65"/>
        <v>-2.8999999999999998E-3</v>
      </c>
      <c r="Q45" s="78">
        <f t="shared" ca="1" si="66"/>
        <v>-0.64159999999999995</v>
      </c>
      <c r="R45" s="4">
        <f ca="1">-SUMIFS(INDIRECT("Tab_00.Trial["&amp;R$4&amp;"]"),Tab_00.Trial[CONTA],$B45)</f>
        <v>-20365.25</v>
      </c>
      <c r="S45" s="78">
        <f t="shared" ca="1" si="67"/>
        <v>-3.2000000000000002E-3</v>
      </c>
      <c r="T45" s="78">
        <f t="shared" ca="1" si="68"/>
        <v>-0.32650000000000001</v>
      </c>
      <c r="U45" s="4">
        <f ca="1">-SUMIFS(INDIRECT("Tab_00.Trial["&amp;U$4&amp;"]"),Tab_00.Trial[CONTA],$B45)</f>
        <v>-20365.25</v>
      </c>
      <c r="V45" s="78">
        <f t="shared" ca="1" si="69"/>
        <v>-2.8E-3</v>
      </c>
      <c r="W45" s="78">
        <f t="shared" ca="1" si="70"/>
        <v>0</v>
      </c>
      <c r="X45" s="4">
        <f ca="1">-SUMIFS(INDIRECT("Tab_00.Trial["&amp;X$4&amp;"]"),Tab_00.Trial[CONTA],$B45)</f>
        <v>-20365.25</v>
      </c>
      <c r="Y45" s="78">
        <f t="shared" ca="1" si="58"/>
        <v>-2.3999999999999998E-3</v>
      </c>
      <c r="Z45" s="78">
        <f t="shared" ca="1" si="59"/>
        <v>0</v>
      </c>
      <c r="AA45" s="4">
        <f ca="1">-SUMIFS(INDIRECT("Tab_00.Trial["&amp;AA$4&amp;"]"),Tab_00.Trial[CONTA],$B45)</f>
        <v>-20365.25</v>
      </c>
      <c r="AB45" s="78">
        <f t="shared" ca="1" si="71"/>
        <v>-2.2000000000000001E-3</v>
      </c>
      <c r="AC45" s="78">
        <f t="shared" ca="1" si="72"/>
        <v>0</v>
      </c>
      <c r="AD45" s="4">
        <f ca="1">-SUMIFS(INDIRECT("Tab_00.Trial["&amp;AD$4&amp;"]"),Tab_00.Trial[CONTA],$B45)</f>
        <v>-20365.25</v>
      </c>
      <c r="AE45" s="78">
        <f t="shared" ca="1" si="73"/>
        <v>-1.9E-3</v>
      </c>
      <c r="AF45" s="78">
        <f t="shared" ca="1" si="74"/>
        <v>0</v>
      </c>
      <c r="AG45" s="4">
        <f ca="1">-SUMIFS(INDIRECT("Tab_00.Trial["&amp;AG$4&amp;"]"),Tab_00.Trial[CONTA],$B45)</f>
        <v>-20365.25</v>
      </c>
      <c r="AH45" s="78">
        <f t="shared" ca="1" si="75"/>
        <v>-1.8E-3</v>
      </c>
      <c r="AI45" s="78">
        <f t="shared" ca="1" si="76"/>
        <v>0</v>
      </c>
      <c r="AJ45" s="4">
        <f ca="1">-SUMIFS(INDIRECT("Tab_00.Trial["&amp;AJ$4&amp;"]"),Tab_00.Trial[CONTA],$B45)</f>
        <v>-20365.25</v>
      </c>
      <c r="AK45" s="78">
        <f t="shared" ca="1" si="77"/>
        <v>-1.6000000000000001E-3</v>
      </c>
      <c r="AL45" s="78">
        <f t="shared" ca="1" si="78"/>
        <v>0</v>
      </c>
    </row>
    <row r="46" spans="2:41" ht="15" customHeight="1" outlineLevel="1" x14ac:dyDescent="0.3">
      <c r="B46" s="14" t="s">
        <v>409</v>
      </c>
      <c r="C46" s="14" t="s">
        <v>410</v>
      </c>
      <c r="D46" s="4">
        <f ca="1">-SUMIFS(INDIRECT("Tab_00.Trial["&amp;D$4&amp;"]"),Tab_00.Trial[CONTA],$B46)</f>
        <v>0</v>
      </c>
      <c r="E46" s="78">
        <f t="shared" ca="1" si="56"/>
        <v>0</v>
      </c>
      <c r="F46" s="4">
        <f ca="1">-SUMIFS(INDIRECT("Tab_00.Trial["&amp;F$4&amp;"]"),Tab_00.Trial[CONTA],$B46)</f>
        <v>0</v>
      </c>
      <c r="G46" s="78">
        <f t="shared" ca="1" si="60"/>
        <v>0</v>
      </c>
      <c r="H46" s="78">
        <f t="shared" ca="1" si="57"/>
        <v>0</v>
      </c>
      <c r="I46" s="4">
        <f ca="1">-SUMIFS(INDIRECT("Tab_00.Trial["&amp;I$4&amp;"]"),Tab_00.Trial[CONTA],$B46)</f>
        <v>0</v>
      </c>
      <c r="J46" s="78">
        <f t="shared" ca="1" si="61"/>
        <v>0</v>
      </c>
      <c r="K46" s="78">
        <f t="shared" ca="1" si="62"/>
        <v>0</v>
      </c>
      <c r="L46" s="4">
        <f ca="1">-SUMIFS(INDIRECT("Tab_00.Trial["&amp;L$4&amp;"]"),Tab_00.Trial[CONTA],$B46)</f>
        <v>0</v>
      </c>
      <c r="M46" s="78">
        <f t="shared" ca="1" si="63"/>
        <v>0</v>
      </c>
      <c r="N46" s="78">
        <f t="shared" ca="1" si="64"/>
        <v>0</v>
      </c>
      <c r="O46" s="4">
        <f ca="1">-SUMIFS(INDIRECT("Tab_00.Trial["&amp;O$4&amp;"]"),Tab_00.Trial[CONTA],$B46)</f>
        <v>0</v>
      </c>
      <c r="P46" s="78">
        <f t="shared" ca="1" si="65"/>
        <v>0</v>
      </c>
      <c r="Q46" s="78">
        <f t="shared" ca="1" si="66"/>
        <v>0</v>
      </c>
      <c r="R46" s="4">
        <f ca="1">-SUMIFS(INDIRECT("Tab_00.Trial["&amp;R$4&amp;"]"),Tab_00.Trial[CONTA],$B46)</f>
        <v>0</v>
      </c>
      <c r="S46" s="78">
        <f t="shared" ca="1" si="67"/>
        <v>0</v>
      </c>
      <c r="T46" s="78">
        <f t="shared" ca="1" si="68"/>
        <v>0</v>
      </c>
      <c r="U46" s="4">
        <f ca="1">-SUMIFS(INDIRECT("Tab_00.Trial["&amp;U$4&amp;"]"),Tab_00.Trial[CONTA],$B46)</f>
        <v>0</v>
      </c>
      <c r="V46" s="78">
        <f t="shared" ca="1" si="69"/>
        <v>0</v>
      </c>
      <c r="W46" s="78">
        <f t="shared" ca="1" si="70"/>
        <v>0</v>
      </c>
      <c r="X46" s="4">
        <f ca="1">-SUMIFS(INDIRECT("Tab_00.Trial["&amp;X$4&amp;"]"),Tab_00.Trial[CONTA],$B46)</f>
        <v>0</v>
      </c>
      <c r="Y46" s="78">
        <f t="shared" ca="1" si="58"/>
        <v>0</v>
      </c>
      <c r="Z46" s="78">
        <f t="shared" ca="1" si="59"/>
        <v>0</v>
      </c>
      <c r="AA46" s="4">
        <f ca="1">-SUMIFS(INDIRECT("Tab_00.Trial["&amp;AA$4&amp;"]"),Tab_00.Trial[CONTA],$B46)</f>
        <v>0</v>
      </c>
      <c r="AB46" s="78">
        <f t="shared" ca="1" si="71"/>
        <v>0</v>
      </c>
      <c r="AC46" s="78">
        <f t="shared" ca="1" si="72"/>
        <v>0</v>
      </c>
      <c r="AD46" s="4">
        <f ca="1">-SUMIFS(INDIRECT("Tab_00.Trial["&amp;AD$4&amp;"]"),Tab_00.Trial[CONTA],$B46)</f>
        <v>0</v>
      </c>
      <c r="AE46" s="78">
        <f t="shared" ca="1" si="73"/>
        <v>0</v>
      </c>
      <c r="AF46" s="78">
        <f t="shared" ca="1" si="74"/>
        <v>0</v>
      </c>
      <c r="AG46" s="4">
        <f ca="1">-SUMIFS(INDIRECT("Tab_00.Trial["&amp;AG$4&amp;"]"),Tab_00.Trial[CONTA],$B46)</f>
        <v>0</v>
      </c>
      <c r="AH46" s="78">
        <f t="shared" ca="1" si="75"/>
        <v>0</v>
      </c>
      <c r="AI46" s="78">
        <f t="shared" ca="1" si="76"/>
        <v>0</v>
      </c>
      <c r="AJ46" s="4">
        <f ca="1">-SUMIFS(INDIRECT("Tab_00.Trial["&amp;AJ$4&amp;"]"),Tab_00.Trial[CONTA],$B46)</f>
        <v>0</v>
      </c>
      <c r="AK46" s="78">
        <f t="shared" ca="1" si="77"/>
        <v>0</v>
      </c>
      <c r="AL46" s="78">
        <f t="shared" ca="1" si="78"/>
        <v>0</v>
      </c>
    </row>
    <row r="47" spans="2:41" ht="15" customHeight="1" outlineLevel="1" x14ac:dyDescent="0.3">
      <c r="B47" s="14" t="s">
        <v>411</v>
      </c>
      <c r="C47" s="14" t="s">
        <v>412</v>
      </c>
      <c r="D47" s="4">
        <f ca="1">-SUMIFS(INDIRECT("Tab_00.Trial["&amp;D$4&amp;"]"),Tab_00.Trial[CONTA],$B47)</f>
        <v>-300</v>
      </c>
      <c r="E47" s="78">
        <f t="shared" ca="1" si="56"/>
        <v>-2.9999999999999997E-4</v>
      </c>
      <c r="F47" s="4">
        <f ca="1">-SUMIFS(INDIRECT("Tab_00.Trial["&amp;F$4&amp;"]"),Tab_00.Trial[CONTA],$B47)</f>
        <v>-300</v>
      </c>
      <c r="G47" s="78">
        <f t="shared" ca="1" si="60"/>
        <v>-2.0000000000000001E-4</v>
      </c>
      <c r="H47" s="78">
        <f t="shared" ca="1" si="57"/>
        <v>0</v>
      </c>
      <c r="I47" s="4">
        <f ca="1">-SUMIFS(INDIRECT("Tab_00.Trial["&amp;I$4&amp;"]"),Tab_00.Trial[CONTA],$B47)</f>
        <v>-300</v>
      </c>
      <c r="J47" s="78">
        <f t="shared" ca="1" si="61"/>
        <v>-1E-4</v>
      </c>
      <c r="K47" s="78">
        <f t="shared" ca="1" si="62"/>
        <v>0</v>
      </c>
      <c r="L47" s="4">
        <f ca="1">-SUMIFS(INDIRECT("Tab_00.Trial["&amp;L$4&amp;"]"),Tab_00.Trial[CONTA],$B47)</f>
        <v>-300</v>
      </c>
      <c r="M47" s="78">
        <f t="shared" ca="1" si="63"/>
        <v>-1E-4</v>
      </c>
      <c r="N47" s="78">
        <f t="shared" ca="1" si="64"/>
        <v>0</v>
      </c>
      <c r="O47" s="4">
        <f ca="1">-SUMIFS(INDIRECT("Tab_00.Trial["&amp;O$4&amp;"]"),Tab_00.Trial[CONTA],$B47)</f>
        <v>-300</v>
      </c>
      <c r="P47" s="78">
        <f t="shared" ca="1" si="65"/>
        <v>-1E-4</v>
      </c>
      <c r="Q47" s="78">
        <f t="shared" ca="1" si="66"/>
        <v>0</v>
      </c>
      <c r="R47" s="4">
        <f ca="1">-SUMIFS(INDIRECT("Tab_00.Trial["&amp;R$4&amp;"]"),Tab_00.Trial[CONTA],$B47)</f>
        <v>-300</v>
      </c>
      <c r="S47" s="78">
        <f t="shared" ca="1" si="67"/>
        <v>0</v>
      </c>
      <c r="T47" s="78">
        <f t="shared" ca="1" si="68"/>
        <v>0</v>
      </c>
      <c r="U47" s="4">
        <f ca="1">-SUMIFS(INDIRECT("Tab_00.Trial["&amp;U$4&amp;"]"),Tab_00.Trial[CONTA],$B47)</f>
        <v>-300</v>
      </c>
      <c r="V47" s="78">
        <f t="shared" ca="1" si="69"/>
        <v>0</v>
      </c>
      <c r="W47" s="78">
        <f t="shared" ca="1" si="70"/>
        <v>0</v>
      </c>
      <c r="X47" s="4">
        <f ca="1">-SUMIFS(INDIRECT("Tab_00.Trial["&amp;X$4&amp;"]"),Tab_00.Trial[CONTA],$B47)</f>
        <v>-300</v>
      </c>
      <c r="Y47" s="78">
        <f t="shared" ca="1" si="58"/>
        <v>0</v>
      </c>
      <c r="Z47" s="78">
        <f t="shared" ca="1" si="59"/>
        <v>0</v>
      </c>
      <c r="AA47" s="4">
        <f ca="1">-SUMIFS(INDIRECT("Tab_00.Trial["&amp;AA$4&amp;"]"),Tab_00.Trial[CONTA],$B47)</f>
        <v>-300</v>
      </c>
      <c r="AB47" s="78">
        <f t="shared" ca="1" si="71"/>
        <v>0</v>
      </c>
      <c r="AC47" s="78">
        <f t="shared" ca="1" si="72"/>
        <v>0</v>
      </c>
      <c r="AD47" s="4">
        <f ca="1">-SUMIFS(INDIRECT("Tab_00.Trial["&amp;AD$4&amp;"]"),Tab_00.Trial[CONTA],$B47)</f>
        <v>-300</v>
      </c>
      <c r="AE47" s="78">
        <f t="shared" ca="1" si="73"/>
        <v>0</v>
      </c>
      <c r="AF47" s="78">
        <f t="shared" ca="1" si="74"/>
        <v>0</v>
      </c>
      <c r="AG47" s="4">
        <f ca="1">-SUMIFS(INDIRECT("Tab_00.Trial["&amp;AG$4&amp;"]"),Tab_00.Trial[CONTA],$B47)</f>
        <v>-300</v>
      </c>
      <c r="AH47" s="78">
        <f t="shared" ca="1" si="75"/>
        <v>0</v>
      </c>
      <c r="AI47" s="78">
        <f t="shared" ca="1" si="76"/>
        <v>0</v>
      </c>
      <c r="AJ47" s="4">
        <f ca="1">-SUMIFS(INDIRECT("Tab_00.Trial["&amp;AJ$4&amp;"]"),Tab_00.Trial[CONTA],$B47)</f>
        <v>-300</v>
      </c>
      <c r="AK47" s="78">
        <f t="shared" ca="1" si="77"/>
        <v>0</v>
      </c>
      <c r="AL47" s="78">
        <f t="shared" ca="1" si="78"/>
        <v>0</v>
      </c>
    </row>
    <row r="48" spans="2:41" ht="15" customHeight="1" outlineLevel="1" x14ac:dyDescent="0.3">
      <c r="B48" s="14" t="s">
        <v>413</v>
      </c>
      <c r="C48" s="14" t="s">
        <v>414</v>
      </c>
      <c r="D48" s="4">
        <f ca="1">-SUMIFS(INDIRECT("Tab_00.Trial["&amp;D$4&amp;"]"),Tab_00.Trial[CONTA],$B48)</f>
        <v>-17935.75</v>
      </c>
      <c r="E48" s="78">
        <f t="shared" ca="1" si="56"/>
        <v>-1.89E-2</v>
      </c>
      <c r="F48" s="4">
        <f ca="1">-SUMIFS(INDIRECT("Tab_00.Trial["&amp;F$4&amp;"]"),Tab_00.Trial[CONTA],$B48)</f>
        <v>-29743.1</v>
      </c>
      <c r="G48" s="78">
        <f t="shared" ca="1" si="60"/>
        <v>-1.54E-2</v>
      </c>
      <c r="H48" s="78">
        <f t="shared" ca="1" si="57"/>
        <v>-0.6583</v>
      </c>
      <c r="I48" s="4">
        <f ca="1">-SUMIFS(INDIRECT("Tab_00.Trial["&amp;I$4&amp;"]"),Tab_00.Trial[CONTA],$B48)</f>
        <v>-43231.87</v>
      </c>
      <c r="J48" s="78">
        <f t="shared" ca="1" si="61"/>
        <v>-1.4500000000000001E-2</v>
      </c>
      <c r="K48" s="78">
        <f t="shared" ca="1" si="62"/>
        <v>-0.45350000000000001</v>
      </c>
      <c r="L48" s="4">
        <f ca="1">-SUMIFS(INDIRECT("Tab_00.Trial["&amp;L$4&amp;"]"),Tab_00.Trial[CONTA],$B48)</f>
        <v>-59848.480000000003</v>
      </c>
      <c r="M48" s="78">
        <f t="shared" ca="1" si="63"/>
        <v>-1.47E-2</v>
      </c>
      <c r="N48" s="78">
        <f t="shared" ca="1" si="64"/>
        <v>-0.38440000000000002</v>
      </c>
      <c r="O48" s="4">
        <f ca="1">-SUMIFS(INDIRECT("Tab_00.Trial["&amp;O$4&amp;"]"),Tab_00.Trial[CONTA],$B48)</f>
        <v>-71923.539999999994</v>
      </c>
      <c r="P48" s="78">
        <f t="shared" ca="1" si="65"/>
        <v>-1.3599999999999999E-2</v>
      </c>
      <c r="Q48" s="78">
        <f t="shared" ca="1" si="66"/>
        <v>-0.20180000000000001</v>
      </c>
      <c r="R48" s="4">
        <f ca="1">-SUMIFS(INDIRECT("Tab_00.Trial["&amp;R$4&amp;"]"),Tab_00.Trial[CONTA],$B48)</f>
        <v>-90556.76</v>
      </c>
      <c r="S48" s="78">
        <f t="shared" ca="1" si="67"/>
        <v>-1.44E-2</v>
      </c>
      <c r="T48" s="78">
        <f t="shared" ca="1" si="68"/>
        <v>-0.2591</v>
      </c>
      <c r="U48" s="4">
        <f ca="1">-SUMIFS(INDIRECT("Tab_00.Trial["&amp;U$4&amp;"]"),Tab_00.Trial[CONTA],$B48)</f>
        <v>-106838.72</v>
      </c>
      <c r="V48" s="78">
        <f t="shared" ca="1" si="69"/>
        <v>-1.4500000000000001E-2</v>
      </c>
      <c r="W48" s="78">
        <f t="shared" ca="1" si="70"/>
        <v>-0.17979999999999999</v>
      </c>
      <c r="X48" s="4">
        <f ca="1">-SUMIFS(INDIRECT("Tab_00.Trial["&amp;X$4&amp;"]"),Tab_00.Trial[CONTA],$B48)</f>
        <v>-119608.09</v>
      </c>
      <c r="Y48" s="78">
        <f t="shared" ca="1" si="58"/>
        <v>-1.4200000000000001E-2</v>
      </c>
      <c r="Z48" s="78">
        <f t="shared" ca="1" si="59"/>
        <v>-0.1195</v>
      </c>
      <c r="AA48" s="4">
        <f ca="1">-SUMIFS(INDIRECT("Tab_00.Trial["&amp;AA$4&amp;"]"),Tab_00.Trial[CONTA],$B48)</f>
        <v>-125851.57</v>
      </c>
      <c r="AB48" s="78">
        <f t="shared" ca="1" si="71"/>
        <v>-1.34E-2</v>
      </c>
      <c r="AC48" s="78">
        <f t="shared" ca="1" si="72"/>
        <v>-5.2200000000000003E-2</v>
      </c>
      <c r="AD48" s="4">
        <f ca="1">-SUMIFS(INDIRECT("Tab_00.Trial["&amp;AD$4&amp;"]"),Tab_00.Trial[CONTA],$B48)</f>
        <v>-145603.67000000001</v>
      </c>
      <c r="AE48" s="78">
        <f t="shared" ca="1" si="73"/>
        <v>-1.37E-2</v>
      </c>
      <c r="AF48" s="78">
        <f t="shared" ca="1" si="74"/>
        <v>-0.15690000000000001</v>
      </c>
      <c r="AG48" s="4">
        <f ca="1">-SUMIFS(INDIRECT("Tab_00.Trial["&amp;AG$4&amp;"]"),Tab_00.Trial[CONTA],$B48)</f>
        <v>-160682.54999999999</v>
      </c>
      <c r="AH48" s="78">
        <f t="shared" ca="1" si="75"/>
        <v>-1.3899999999999999E-2</v>
      </c>
      <c r="AI48" s="78">
        <f t="shared" ca="1" si="76"/>
        <v>-0.1036</v>
      </c>
      <c r="AJ48" s="4">
        <f ca="1">-SUMIFS(INDIRECT("Tab_00.Trial["&amp;AJ$4&amp;"]"),Tab_00.Trial[CONTA],$B48)</f>
        <v>-171507.28</v>
      </c>
      <c r="AK48" s="78">
        <f t="shared" ca="1" si="77"/>
        <v>-1.32E-2</v>
      </c>
      <c r="AL48" s="78">
        <f t="shared" ca="1" si="78"/>
        <v>-6.7400000000000002E-2</v>
      </c>
      <c r="AM48" s="1" t="s">
        <v>768</v>
      </c>
      <c r="AN48" s="1" t="s">
        <v>769</v>
      </c>
      <c r="AO48" s="1" t="s">
        <v>770</v>
      </c>
    </row>
    <row r="49" spans="2:38" ht="15" customHeight="1" outlineLevel="1" x14ac:dyDescent="0.3">
      <c r="B49" s="14" t="s">
        <v>415</v>
      </c>
      <c r="C49" s="14" t="s">
        <v>416</v>
      </c>
      <c r="D49" s="4">
        <f ca="1">-SUMIFS(INDIRECT("Tab_00.Trial["&amp;D$4&amp;"]"),Tab_00.Trial[CONTA],$B49)</f>
        <v>0</v>
      </c>
      <c r="E49" s="78">
        <f t="shared" ca="1" si="56"/>
        <v>0</v>
      </c>
      <c r="F49" s="4">
        <f ca="1">-SUMIFS(INDIRECT("Tab_00.Trial["&amp;F$4&amp;"]"),Tab_00.Trial[CONTA],$B49)</f>
        <v>0</v>
      </c>
      <c r="G49" s="78">
        <f t="shared" ca="1" si="60"/>
        <v>0</v>
      </c>
      <c r="H49" s="78">
        <f t="shared" ca="1" si="57"/>
        <v>0</v>
      </c>
      <c r="I49" s="4">
        <f ca="1">-SUMIFS(INDIRECT("Tab_00.Trial["&amp;I$4&amp;"]"),Tab_00.Trial[CONTA],$B49)</f>
        <v>0</v>
      </c>
      <c r="J49" s="78">
        <f t="shared" ca="1" si="61"/>
        <v>0</v>
      </c>
      <c r="K49" s="78">
        <f t="shared" ca="1" si="62"/>
        <v>0</v>
      </c>
      <c r="L49" s="4">
        <f ca="1">-SUMIFS(INDIRECT("Tab_00.Trial["&amp;L$4&amp;"]"),Tab_00.Trial[CONTA],$B49)</f>
        <v>0</v>
      </c>
      <c r="M49" s="78">
        <f t="shared" ca="1" si="63"/>
        <v>0</v>
      </c>
      <c r="N49" s="78">
        <f t="shared" ca="1" si="64"/>
        <v>0</v>
      </c>
      <c r="O49" s="4">
        <f ca="1">-SUMIFS(INDIRECT("Tab_00.Trial["&amp;O$4&amp;"]"),Tab_00.Trial[CONTA],$B49)</f>
        <v>0</v>
      </c>
      <c r="P49" s="78">
        <f t="shared" ca="1" si="65"/>
        <v>0</v>
      </c>
      <c r="Q49" s="78">
        <f t="shared" ca="1" si="66"/>
        <v>0</v>
      </c>
      <c r="R49" s="4">
        <f ca="1">-SUMIFS(INDIRECT("Tab_00.Trial["&amp;R$4&amp;"]"),Tab_00.Trial[CONTA],$B49)</f>
        <v>0</v>
      </c>
      <c r="S49" s="78">
        <f t="shared" ca="1" si="67"/>
        <v>0</v>
      </c>
      <c r="T49" s="78">
        <f t="shared" ca="1" si="68"/>
        <v>0</v>
      </c>
      <c r="U49" s="4">
        <f ca="1">-SUMIFS(INDIRECT("Tab_00.Trial["&amp;U$4&amp;"]"),Tab_00.Trial[CONTA],$B49)</f>
        <v>0</v>
      </c>
      <c r="V49" s="78">
        <f t="shared" ca="1" si="69"/>
        <v>0</v>
      </c>
      <c r="W49" s="78">
        <f t="shared" ca="1" si="70"/>
        <v>0</v>
      </c>
      <c r="X49" s="4">
        <f ca="1">-SUMIFS(INDIRECT("Tab_00.Trial["&amp;X$4&amp;"]"),Tab_00.Trial[CONTA],$B49)</f>
        <v>0</v>
      </c>
      <c r="Y49" s="78">
        <f t="shared" ca="1" si="58"/>
        <v>0</v>
      </c>
      <c r="Z49" s="78">
        <f t="shared" ca="1" si="59"/>
        <v>0</v>
      </c>
      <c r="AA49" s="4">
        <f ca="1">-SUMIFS(INDIRECT("Tab_00.Trial["&amp;AA$4&amp;"]"),Tab_00.Trial[CONTA],$B49)</f>
        <v>0</v>
      </c>
      <c r="AB49" s="78">
        <f t="shared" ca="1" si="71"/>
        <v>0</v>
      </c>
      <c r="AC49" s="78">
        <f t="shared" ca="1" si="72"/>
        <v>0</v>
      </c>
      <c r="AD49" s="4">
        <f ca="1">-SUMIFS(INDIRECT("Tab_00.Trial["&amp;AD$4&amp;"]"),Tab_00.Trial[CONTA],$B49)</f>
        <v>0</v>
      </c>
      <c r="AE49" s="78">
        <f t="shared" ca="1" si="73"/>
        <v>0</v>
      </c>
      <c r="AF49" s="78">
        <f t="shared" ca="1" si="74"/>
        <v>0</v>
      </c>
      <c r="AG49" s="4">
        <f ca="1">-SUMIFS(INDIRECT("Tab_00.Trial["&amp;AG$4&amp;"]"),Tab_00.Trial[CONTA],$B49)</f>
        <v>0</v>
      </c>
      <c r="AH49" s="78">
        <f t="shared" ca="1" si="75"/>
        <v>0</v>
      </c>
      <c r="AI49" s="78">
        <f t="shared" ca="1" si="76"/>
        <v>0</v>
      </c>
      <c r="AJ49" s="4">
        <f ca="1">-SUMIFS(INDIRECT("Tab_00.Trial["&amp;AJ$4&amp;"]"),Tab_00.Trial[CONTA],$B49)</f>
        <v>0</v>
      </c>
      <c r="AK49" s="78">
        <f t="shared" ca="1" si="77"/>
        <v>0</v>
      </c>
      <c r="AL49" s="78">
        <f t="shared" ca="1" si="78"/>
        <v>0</v>
      </c>
    </row>
    <row r="50" spans="2:38" ht="15" customHeight="1" outlineLevel="1" x14ac:dyDescent="0.3">
      <c r="B50" s="14" t="s">
        <v>417</v>
      </c>
      <c r="C50" s="14" t="s">
        <v>418</v>
      </c>
      <c r="D50" s="4">
        <f ca="1">-SUMIFS(INDIRECT("Tab_00.Trial["&amp;D$4&amp;"]"),Tab_00.Trial[CONTA],$B50)</f>
        <v>0</v>
      </c>
      <c r="E50" s="78">
        <f t="shared" ca="1" si="56"/>
        <v>0</v>
      </c>
      <c r="F50" s="4">
        <f ca="1">-SUMIFS(INDIRECT("Tab_00.Trial["&amp;F$4&amp;"]"),Tab_00.Trial[CONTA],$B50)</f>
        <v>0</v>
      </c>
      <c r="G50" s="78">
        <f t="shared" ca="1" si="60"/>
        <v>0</v>
      </c>
      <c r="H50" s="78">
        <f t="shared" ca="1" si="57"/>
        <v>0</v>
      </c>
      <c r="I50" s="4">
        <f ca="1">-SUMIFS(INDIRECT("Tab_00.Trial["&amp;I$4&amp;"]"),Tab_00.Trial[CONTA],$B50)</f>
        <v>0</v>
      </c>
      <c r="J50" s="78">
        <f t="shared" ca="1" si="61"/>
        <v>0</v>
      </c>
      <c r="K50" s="78">
        <f t="shared" ca="1" si="62"/>
        <v>0</v>
      </c>
      <c r="L50" s="4">
        <f ca="1">-SUMIFS(INDIRECT("Tab_00.Trial["&amp;L$4&amp;"]"),Tab_00.Trial[CONTA],$B50)</f>
        <v>0</v>
      </c>
      <c r="M50" s="78">
        <f t="shared" ca="1" si="63"/>
        <v>0</v>
      </c>
      <c r="N50" s="78">
        <f t="shared" ca="1" si="64"/>
        <v>0</v>
      </c>
      <c r="O50" s="4">
        <f ca="1">-SUMIFS(INDIRECT("Tab_00.Trial["&amp;O$4&amp;"]"),Tab_00.Trial[CONTA],$B50)</f>
        <v>0</v>
      </c>
      <c r="P50" s="78">
        <f t="shared" ca="1" si="65"/>
        <v>0</v>
      </c>
      <c r="Q50" s="78">
        <f t="shared" ca="1" si="66"/>
        <v>0</v>
      </c>
      <c r="R50" s="4">
        <f ca="1">-SUMIFS(INDIRECT("Tab_00.Trial["&amp;R$4&amp;"]"),Tab_00.Trial[CONTA],$B50)</f>
        <v>0</v>
      </c>
      <c r="S50" s="78">
        <f t="shared" ca="1" si="67"/>
        <v>0</v>
      </c>
      <c r="T50" s="78">
        <f t="shared" ca="1" si="68"/>
        <v>0</v>
      </c>
      <c r="U50" s="4">
        <f ca="1">-SUMIFS(INDIRECT("Tab_00.Trial["&amp;U$4&amp;"]"),Tab_00.Trial[CONTA],$B50)</f>
        <v>0</v>
      </c>
      <c r="V50" s="78">
        <f t="shared" ca="1" si="69"/>
        <v>0</v>
      </c>
      <c r="W50" s="78">
        <f t="shared" ca="1" si="70"/>
        <v>0</v>
      </c>
      <c r="X50" s="4">
        <f ca="1">-SUMIFS(INDIRECT("Tab_00.Trial["&amp;X$4&amp;"]"),Tab_00.Trial[CONTA],$B50)</f>
        <v>0</v>
      </c>
      <c r="Y50" s="78">
        <f t="shared" ca="1" si="58"/>
        <v>0</v>
      </c>
      <c r="Z50" s="78">
        <f t="shared" ca="1" si="59"/>
        <v>0</v>
      </c>
      <c r="AA50" s="4">
        <f ca="1">-SUMIFS(INDIRECT("Tab_00.Trial["&amp;AA$4&amp;"]"),Tab_00.Trial[CONTA],$B50)</f>
        <v>-52.46</v>
      </c>
      <c r="AB50" s="78">
        <f t="shared" ca="1" si="71"/>
        <v>0</v>
      </c>
      <c r="AC50" s="78">
        <f t="shared" ca="1" si="72"/>
        <v>0</v>
      </c>
      <c r="AD50" s="4">
        <f ca="1">-SUMIFS(INDIRECT("Tab_00.Trial["&amp;AD$4&amp;"]"),Tab_00.Trial[CONTA],$B50)</f>
        <v>-52.46</v>
      </c>
      <c r="AE50" s="78">
        <f t="shared" ca="1" si="73"/>
        <v>0</v>
      </c>
      <c r="AF50" s="78">
        <f t="shared" ca="1" si="74"/>
        <v>0</v>
      </c>
      <c r="AG50" s="4">
        <f ca="1">-SUMIFS(INDIRECT("Tab_00.Trial["&amp;AG$4&amp;"]"),Tab_00.Trial[CONTA],$B50)</f>
        <v>-52.46</v>
      </c>
      <c r="AH50" s="78">
        <f t="shared" ca="1" si="75"/>
        <v>0</v>
      </c>
      <c r="AI50" s="78">
        <f t="shared" ca="1" si="76"/>
        <v>0</v>
      </c>
      <c r="AJ50" s="4">
        <f ca="1">-SUMIFS(INDIRECT("Tab_00.Trial["&amp;AJ$4&amp;"]"),Tab_00.Trial[CONTA],$B50)</f>
        <v>-52.46</v>
      </c>
      <c r="AK50" s="78">
        <f t="shared" ca="1" si="77"/>
        <v>0</v>
      </c>
      <c r="AL50" s="78">
        <f t="shared" ca="1" si="78"/>
        <v>0</v>
      </c>
    </row>
    <row r="51" spans="2:38" ht="15" customHeight="1" outlineLevel="1" x14ac:dyDescent="0.3">
      <c r="B51" s="14" t="s">
        <v>419</v>
      </c>
      <c r="C51" s="14" t="s">
        <v>420</v>
      </c>
      <c r="D51" s="4">
        <f ca="1">-SUMIFS(INDIRECT("Tab_00.Trial["&amp;D$4&amp;"]"),Tab_00.Trial[CONTA],$B51)</f>
        <v>-427.26</v>
      </c>
      <c r="E51" s="78">
        <f t="shared" ca="1" si="56"/>
        <v>-4.0000000000000002E-4</v>
      </c>
      <c r="F51" s="4">
        <f ca="1">-SUMIFS(INDIRECT("Tab_00.Trial["&amp;F$4&amp;"]"),Tab_00.Trial[CONTA],$B51)</f>
        <v>-854.52</v>
      </c>
      <c r="G51" s="78">
        <f t="shared" ca="1" si="60"/>
        <v>-4.0000000000000002E-4</v>
      </c>
      <c r="H51" s="78">
        <f t="shared" ca="1" si="57"/>
        <v>-1</v>
      </c>
      <c r="I51" s="4">
        <f ca="1">-SUMIFS(INDIRECT("Tab_00.Trial["&amp;I$4&amp;"]"),Tab_00.Trial[CONTA],$B51)</f>
        <v>-1281.78</v>
      </c>
      <c r="J51" s="78">
        <f t="shared" ca="1" si="61"/>
        <v>-4.0000000000000002E-4</v>
      </c>
      <c r="K51" s="78">
        <f t="shared" ca="1" si="62"/>
        <v>-0.5</v>
      </c>
      <c r="L51" s="4">
        <f ca="1">-SUMIFS(INDIRECT("Tab_00.Trial["&amp;L$4&amp;"]"),Tab_00.Trial[CONTA],$B51)</f>
        <v>-1709.04</v>
      </c>
      <c r="M51" s="78">
        <f t="shared" ca="1" si="63"/>
        <v>-4.0000000000000002E-4</v>
      </c>
      <c r="N51" s="78">
        <f t="shared" ca="1" si="64"/>
        <v>-0.33329999999999999</v>
      </c>
      <c r="O51" s="4">
        <f ca="1">-SUMIFS(INDIRECT("Tab_00.Trial["&amp;O$4&amp;"]"),Tab_00.Trial[CONTA],$B51)</f>
        <v>-2975.62</v>
      </c>
      <c r="P51" s="78">
        <f t="shared" ca="1" si="65"/>
        <v>-5.9999999999999995E-4</v>
      </c>
      <c r="Q51" s="78">
        <f t="shared" ca="1" si="66"/>
        <v>-0.74109999999999998</v>
      </c>
      <c r="R51" s="4">
        <f ca="1">-SUMIFS(INDIRECT("Tab_00.Trial["&amp;R$4&amp;"]"),Tab_00.Trial[CONTA],$B51)</f>
        <v>-3702.88</v>
      </c>
      <c r="S51" s="78">
        <f t="shared" ca="1" si="67"/>
        <v>-5.9999999999999995E-4</v>
      </c>
      <c r="T51" s="78">
        <f t="shared" ca="1" si="68"/>
        <v>-0.24440000000000001</v>
      </c>
      <c r="U51" s="4">
        <f ca="1">-SUMIFS(INDIRECT("Tab_00.Trial["&amp;U$4&amp;"]"),Tab_00.Trial[CONTA],$B51)</f>
        <v>-4130.1400000000003</v>
      </c>
      <c r="V51" s="78">
        <f t="shared" ca="1" si="69"/>
        <v>-5.9999999999999995E-4</v>
      </c>
      <c r="W51" s="78">
        <f t="shared" ca="1" si="70"/>
        <v>-0.1154</v>
      </c>
      <c r="X51" s="4">
        <f ca="1">-SUMIFS(INDIRECT("Tab_00.Trial["&amp;X$4&amp;"]"),Tab_00.Trial[CONTA],$B51)</f>
        <v>-4557.3999999999996</v>
      </c>
      <c r="Y51" s="78">
        <f t="shared" ca="1" si="58"/>
        <v>-5.0000000000000001E-4</v>
      </c>
      <c r="Z51" s="78">
        <f t="shared" ca="1" si="59"/>
        <v>-0.10340000000000001</v>
      </c>
      <c r="AA51" s="4">
        <f ca="1">-SUMIFS(INDIRECT("Tab_00.Trial["&amp;AA$4&amp;"]"),Tab_00.Trial[CONTA],$B51)</f>
        <v>-6240.61</v>
      </c>
      <c r="AB51" s="78">
        <f t="shared" ca="1" si="71"/>
        <v>-6.9999999999999999E-4</v>
      </c>
      <c r="AC51" s="78">
        <f t="shared" ca="1" si="72"/>
        <v>-0.36930000000000002</v>
      </c>
      <c r="AD51" s="4">
        <f ca="1">-SUMIFS(INDIRECT("Tab_00.Trial["&amp;AD$4&amp;"]"),Tab_00.Trial[CONTA],$B51)</f>
        <v>-6667.87</v>
      </c>
      <c r="AE51" s="78">
        <f t="shared" ca="1" si="73"/>
        <v>-5.9999999999999995E-4</v>
      </c>
      <c r="AF51" s="78">
        <f t="shared" ca="1" si="74"/>
        <v>-6.8500000000000005E-2</v>
      </c>
      <c r="AG51" s="4">
        <f ca="1">-SUMIFS(INDIRECT("Tab_00.Trial["&amp;AG$4&amp;"]"),Tab_00.Trial[CONTA],$B51)</f>
        <v>-7095.13</v>
      </c>
      <c r="AH51" s="78">
        <f t="shared" ca="1" si="75"/>
        <v>-5.9999999999999995E-4</v>
      </c>
      <c r="AI51" s="78">
        <f t="shared" ca="1" si="76"/>
        <v>-6.4100000000000004E-2</v>
      </c>
      <c r="AJ51" s="4">
        <f ca="1">-SUMIFS(INDIRECT("Tab_00.Trial["&amp;AJ$4&amp;"]"),Tab_00.Trial[CONTA],$B51)</f>
        <v>-7522.39</v>
      </c>
      <c r="AK51" s="78">
        <f t="shared" ca="1" si="77"/>
        <v>-5.9999999999999995E-4</v>
      </c>
      <c r="AL51" s="78">
        <f t="shared" ca="1" si="78"/>
        <v>-6.0199999999999997E-2</v>
      </c>
    </row>
    <row r="52" spans="2:38" ht="15" customHeight="1" outlineLevel="1" x14ac:dyDescent="0.3">
      <c r="B52" s="14" t="s">
        <v>421</v>
      </c>
      <c r="C52" s="14" t="s">
        <v>422</v>
      </c>
      <c r="D52" s="4">
        <f ca="1">-SUMIFS(INDIRECT("Tab_00.Trial["&amp;D$4&amp;"]"),Tab_00.Trial[CONTA],$B52)</f>
        <v>-187419.37</v>
      </c>
      <c r="E52" s="78">
        <f t="shared" ca="1" si="56"/>
        <v>-0.1973</v>
      </c>
      <c r="F52" s="4">
        <f ca="1">-SUMIFS(INDIRECT("Tab_00.Trial["&amp;F$4&amp;"]"),Tab_00.Trial[CONTA],$B52)</f>
        <v>-434953.93</v>
      </c>
      <c r="G52" s="78">
        <f t="shared" ca="1" si="60"/>
        <v>-0.22589999999999999</v>
      </c>
      <c r="H52" s="78">
        <f t="shared" ca="1" si="57"/>
        <v>-1.3208</v>
      </c>
      <c r="I52" s="4">
        <f ca="1">-SUMIFS(INDIRECT("Tab_00.Trial["&amp;I$4&amp;"]"),Tab_00.Trial[CONTA],$B52)</f>
        <v>-682368.86</v>
      </c>
      <c r="J52" s="78">
        <f t="shared" ca="1" si="61"/>
        <v>-0.2293</v>
      </c>
      <c r="K52" s="78">
        <f t="shared" ca="1" si="62"/>
        <v>-0.56879999999999997</v>
      </c>
      <c r="L52" s="4">
        <f ca="1">-SUMIFS(INDIRECT("Tab_00.Trial["&amp;L$4&amp;"]"),Tab_00.Trial[CONTA],$B52)</f>
        <v>-862584.28</v>
      </c>
      <c r="M52" s="78">
        <f t="shared" ca="1" si="63"/>
        <v>-0.21129999999999999</v>
      </c>
      <c r="N52" s="78">
        <f t="shared" ca="1" si="64"/>
        <v>-0.2641</v>
      </c>
      <c r="O52" s="4">
        <f ca="1">-SUMIFS(INDIRECT("Tab_00.Trial["&amp;O$4&amp;"]"),Tab_00.Trial[CONTA],$B52)</f>
        <v>-1195265.1000000001</v>
      </c>
      <c r="P52" s="78">
        <f t="shared" ca="1" si="65"/>
        <v>-0.22570000000000001</v>
      </c>
      <c r="Q52" s="78">
        <f t="shared" ca="1" si="66"/>
        <v>-0.38569999999999999</v>
      </c>
      <c r="R52" s="4">
        <f ca="1">-SUMIFS(INDIRECT("Tab_00.Trial["&amp;R$4&amp;"]"),Tab_00.Trial[CONTA],$B52)</f>
        <v>-1379286.95</v>
      </c>
      <c r="S52" s="78">
        <f t="shared" ca="1" si="67"/>
        <v>-0.21879999999999999</v>
      </c>
      <c r="T52" s="78">
        <f t="shared" ca="1" si="68"/>
        <v>-0.154</v>
      </c>
      <c r="U52" s="4">
        <f ca="1">-SUMIFS(INDIRECT("Tab_00.Trial["&amp;U$4&amp;"]"),Tab_00.Trial[CONTA],$B52)</f>
        <v>-1702436.3</v>
      </c>
      <c r="V52" s="78">
        <f t="shared" ca="1" si="69"/>
        <v>-0.23069999999999999</v>
      </c>
      <c r="W52" s="78">
        <f t="shared" ca="1" si="70"/>
        <v>-0.23430000000000001</v>
      </c>
      <c r="X52" s="4">
        <f ca="1">-SUMIFS(INDIRECT("Tab_00.Trial["&amp;X$4&amp;"]"),Tab_00.Trial[CONTA],$B52)</f>
        <v>-1927127.25</v>
      </c>
      <c r="Y52" s="78">
        <f t="shared" ca="1" si="58"/>
        <v>-0.22889999999999999</v>
      </c>
      <c r="Z52" s="78">
        <f t="shared" ca="1" si="59"/>
        <v>-0.13200000000000001</v>
      </c>
      <c r="AA52" s="4">
        <f ca="1">-SUMIFS(INDIRECT("Tab_00.Trial["&amp;AA$4&amp;"]"),Tab_00.Trial[CONTA],$B52)</f>
        <v>-2125464.3199999998</v>
      </c>
      <c r="AB52" s="78">
        <f t="shared" ca="1" si="71"/>
        <v>-0.22620000000000001</v>
      </c>
      <c r="AC52" s="78">
        <f t="shared" ca="1" si="72"/>
        <v>-0.10290000000000001</v>
      </c>
      <c r="AD52" s="4">
        <f ca="1">-SUMIFS(INDIRECT("Tab_00.Trial["&amp;AD$4&amp;"]"),Tab_00.Trial[CONTA],$B52)</f>
        <v>-2555246.16</v>
      </c>
      <c r="AE52" s="78">
        <f t="shared" ca="1" si="73"/>
        <v>-0.2402</v>
      </c>
      <c r="AF52" s="78">
        <f t="shared" ca="1" si="74"/>
        <v>-0.20219999999999999</v>
      </c>
      <c r="AG52" s="4">
        <f ca="1">-SUMIFS(INDIRECT("Tab_00.Trial["&amp;AG$4&amp;"]"),Tab_00.Trial[CONTA],$B52)</f>
        <v>-2743319.47</v>
      </c>
      <c r="AH52" s="78">
        <f t="shared" ca="1" si="75"/>
        <v>-0.2374</v>
      </c>
      <c r="AI52" s="78">
        <f t="shared" ca="1" si="76"/>
        <v>-7.3599999999999999E-2</v>
      </c>
      <c r="AJ52" s="4">
        <f ca="1">-SUMIFS(INDIRECT("Tab_00.Trial["&amp;AJ$4&amp;"]"),Tab_00.Trial[CONTA],$B52)</f>
        <v>-3185948.49</v>
      </c>
      <c r="AK52" s="78">
        <f t="shared" ca="1" si="77"/>
        <v>-0.24429999999999999</v>
      </c>
      <c r="AL52" s="78">
        <f t="shared" ca="1" si="78"/>
        <v>-0.1613</v>
      </c>
    </row>
    <row r="53" spans="2:38" ht="15" customHeight="1" outlineLevel="1" x14ac:dyDescent="0.3">
      <c r="B53" s="14" t="s">
        <v>423</v>
      </c>
      <c r="C53" s="14" t="s">
        <v>424</v>
      </c>
      <c r="D53" s="4">
        <f ca="1">-SUMIFS(INDIRECT("Tab_00.Trial["&amp;D$4&amp;"]"),Tab_00.Trial[CONTA],$B53)</f>
        <v>-542450.57999999996</v>
      </c>
      <c r="E53" s="78">
        <f t="shared" ca="1" si="56"/>
        <v>-0.57110000000000005</v>
      </c>
      <c r="F53" s="4">
        <f ca="1">-SUMIFS(INDIRECT("Tab_00.Trial["&amp;F$4&amp;"]"),Tab_00.Trial[CONTA],$B53)</f>
        <v>-1212750.98</v>
      </c>
      <c r="G53" s="78">
        <f t="shared" ca="1" si="60"/>
        <v>-0.62990000000000002</v>
      </c>
      <c r="H53" s="78">
        <f t="shared" ca="1" si="57"/>
        <v>-1.2357</v>
      </c>
      <c r="I53" s="4">
        <f ca="1">-SUMIFS(INDIRECT("Tab_00.Trial["&amp;I$4&amp;"]"),Tab_00.Trial[CONTA],$B53)</f>
        <v>-1212750.98</v>
      </c>
      <c r="J53" s="78">
        <f t="shared" ca="1" si="61"/>
        <v>-0.40749999999999997</v>
      </c>
      <c r="K53" s="78">
        <f t="shared" ca="1" si="62"/>
        <v>0</v>
      </c>
      <c r="L53" s="4">
        <f ca="1">-SUMIFS(INDIRECT("Tab_00.Trial["&amp;L$4&amp;"]"),Tab_00.Trial[CONTA],$B53)</f>
        <v>-1559283.09</v>
      </c>
      <c r="M53" s="78">
        <f t="shared" ca="1" si="63"/>
        <v>-0.38190000000000002</v>
      </c>
      <c r="N53" s="78">
        <f t="shared" ca="1" si="64"/>
        <v>-0.28570000000000001</v>
      </c>
      <c r="O53" s="4">
        <f ca="1">-SUMIFS(INDIRECT("Tab_00.Trial["&amp;O$4&amp;"]"),Tab_00.Trial[CONTA],$B53)</f>
        <v>-1766231.11</v>
      </c>
      <c r="P53" s="78">
        <f t="shared" ca="1" si="65"/>
        <v>-0.33360000000000001</v>
      </c>
      <c r="Q53" s="78">
        <f t="shared" ca="1" si="66"/>
        <v>-0.13270000000000001</v>
      </c>
      <c r="R53" s="4">
        <f ca="1">-SUMIFS(INDIRECT("Tab_00.Trial["&amp;R$4&amp;"]"),Tab_00.Trial[CONTA],$B53)</f>
        <v>-1825923.26</v>
      </c>
      <c r="S53" s="78">
        <f t="shared" ca="1" si="67"/>
        <v>-0.28970000000000001</v>
      </c>
      <c r="T53" s="78">
        <f t="shared" ca="1" si="68"/>
        <v>-3.3799999999999997E-2</v>
      </c>
      <c r="U53" s="4">
        <f ca="1">-SUMIFS(INDIRECT("Tab_00.Trial["&amp;U$4&amp;"]"),Tab_00.Trial[CONTA],$B53)</f>
        <v>-2070888.62</v>
      </c>
      <c r="V53" s="78">
        <f t="shared" ca="1" si="69"/>
        <v>-0.28070000000000001</v>
      </c>
      <c r="W53" s="78">
        <f t="shared" ca="1" si="70"/>
        <v>-0.13420000000000001</v>
      </c>
      <c r="X53" s="4">
        <f ca="1">-SUMIFS(INDIRECT("Tab_00.Trial["&amp;X$4&amp;"]"),Tab_00.Trial[CONTA],$B53)</f>
        <v>-2357940.1800000002</v>
      </c>
      <c r="Y53" s="78">
        <f t="shared" ca="1" si="58"/>
        <v>-0.28000000000000003</v>
      </c>
      <c r="Z53" s="78">
        <f t="shared" ca="1" si="59"/>
        <v>-0.1386</v>
      </c>
      <c r="AA53" s="4">
        <f ca="1">-SUMIFS(INDIRECT("Tab_00.Trial["&amp;AA$4&amp;"]"),Tab_00.Trial[CONTA],$B53)</f>
        <v>-2602326.17</v>
      </c>
      <c r="AB53" s="78">
        <f t="shared" ca="1" si="71"/>
        <v>-0.27700000000000002</v>
      </c>
      <c r="AC53" s="78">
        <f t="shared" ca="1" si="72"/>
        <v>-0.1036</v>
      </c>
      <c r="AD53" s="4">
        <f ca="1">-SUMIFS(INDIRECT("Tab_00.Trial["&amp;AD$4&amp;"]"),Tab_00.Trial[CONTA],$B53)</f>
        <v>-2827797.45</v>
      </c>
      <c r="AE53" s="78">
        <f t="shared" ca="1" si="73"/>
        <v>-0.26579999999999998</v>
      </c>
      <c r="AF53" s="78">
        <f t="shared" ca="1" si="74"/>
        <v>-8.6599999999999996E-2</v>
      </c>
      <c r="AG53" s="4">
        <f ca="1">-SUMIFS(INDIRECT("Tab_00.Trial["&amp;AG$4&amp;"]"),Tab_00.Trial[CONTA],$B53)</f>
        <v>-2827797.45</v>
      </c>
      <c r="AH53" s="78">
        <f t="shared" ca="1" si="75"/>
        <v>-0.2447</v>
      </c>
      <c r="AI53" s="78">
        <f t="shared" ca="1" si="76"/>
        <v>0</v>
      </c>
      <c r="AJ53" s="4">
        <f ca="1">-SUMIFS(INDIRECT("Tab_00.Trial["&amp;AJ$4&amp;"]"),Tab_00.Trial[CONTA],$B53)</f>
        <v>-3727004.78</v>
      </c>
      <c r="AK53" s="78">
        <f t="shared" ca="1" si="77"/>
        <v>-0.2858</v>
      </c>
      <c r="AL53" s="78">
        <f t="shared" ca="1" si="78"/>
        <v>-0.318</v>
      </c>
    </row>
    <row r="54" spans="2:38" ht="15" customHeight="1" outlineLevel="1" x14ac:dyDescent="0.3">
      <c r="B54" s="14" t="s">
        <v>425</v>
      </c>
      <c r="C54" s="14" t="s">
        <v>426</v>
      </c>
      <c r="D54" s="4">
        <f ca="1">-SUMIFS(INDIRECT("Tab_00.Trial["&amp;D$4&amp;"]"),Tab_00.Trial[CONTA],$B54)</f>
        <v>0</v>
      </c>
      <c r="E54" s="78">
        <f t="shared" ca="1" si="56"/>
        <v>0</v>
      </c>
      <c r="F54" s="4">
        <f ca="1">-SUMIFS(INDIRECT("Tab_00.Trial["&amp;F$4&amp;"]"),Tab_00.Trial[CONTA],$B54)</f>
        <v>0</v>
      </c>
      <c r="G54" s="78">
        <f t="shared" ca="1" si="60"/>
        <v>0</v>
      </c>
      <c r="H54" s="78">
        <f t="shared" ca="1" si="57"/>
        <v>0</v>
      </c>
      <c r="I54" s="4">
        <f ca="1">-SUMIFS(INDIRECT("Tab_00.Trial["&amp;I$4&amp;"]"),Tab_00.Trial[CONTA],$B54)</f>
        <v>0</v>
      </c>
      <c r="J54" s="78">
        <f t="shared" ca="1" si="61"/>
        <v>0</v>
      </c>
      <c r="K54" s="78">
        <f t="shared" ca="1" si="62"/>
        <v>0</v>
      </c>
      <c r="L54" s="4">
        <f ca="1">-SUMIFS(INDIRECT("Tab_00.Trial["&amp;L$4&amp;"]"),Tab_00.Trial[CONTA],$B54)</f>
        <v>0</v>
      </c>
      <c r="M54" s="78">
        <f t="shared" ca="1" si="63"/>
        <v>0</v>
      </c>
      <c r="N54" s="78">
        <f t="shared" ca="1" si="64"/>
        <v>0</v>
      </c>
      <c r="O54" s="4">
        <f ca="1">-SUMIFS(INDIRECT("Tab_00.Trial["&amp;O$4&amp;"]"),Tab_00.Trial[CONTA],$B54)</f>
        <v>0</v>
      </c>
      <c r="P54" s="78">
        <f t="shared" ca="1" si="65"/>
        <v>0</v>
      </c>
      <c r="Q54" s="78">
        <f t="shared" ca="1" si="66"/>
        <v>0</v>
      </c>
      <c r="R54" s="4">
        <f ca="1">-SUMIFS(INDIRECT("Tab_00.Trial["&amp;R$4&amp;"]"),Tab_00.Trial[CONTA],$B54)</f>
        <v>0</v>
      </c>
      <c r="S54" s="78">
        <f t="shared" ca="1" si="67"/>
        <v>0</v>
      </c>
      <c r="T54" s="78">
        <f t="shared" ca="1" si="68"/>
        <v>0</v>
      </c>
      <c r="U54" s="4">
        <f ca="1">-SUMIFS(INDIRECT("Tab_00.Trial["&amp;U$4&amp;"]"),Tab_00.Trial[CONTA],$B54)</f>
        <v>-16.170000000000002</v>
      </c>
      <c r="V54" s="78">
        <f t="shared" ca="1" si="69"/>
        <v>0</v>
      </c>
      <c r="W54" s="78">
        <f t="shared" ca="1" si="70"/>
        <v>0</v>
      </c>
      <c r="X54" s="4">
        <f ca="1">-SUMIFS(INDIRECT("Tab_00.Trial["&amp;X$4&amp;"]"),Tab_00.Trial[CONTA],$B54)</f>
        <v>-16.170000000000002</v>
      </c>
      <c r="Y54" s="78">
        <f t="shared" ca="1" si="58"/>
        <v>0</v>
      </c>
      <c r="Z54" s="78">
        <f t="shared" ca="1" si="59"/>
        <v>0</v>
      </c>
      <c r="AA54" s="4">
        <f ca="1">-SUMIFS(INDIRECT("Tab_00.Trial["&amp;AA$4&amp;"]"),Tab_00.Trial[CONTA],$B54)</f>
        <v>-824.67</v>
      </c>
      <c r="AB54" s="78">
        <f t="shared" ca="1" si="71"/>
        <v>-1E-4</v>
      </c>
      <c r="AC54" s="78">
        <f t="shared" ca="1" si="72"/>
        <v>-50</v>
      </c>
      <c r="AD54" s="4">
        <f ca="1">-SUMIFS(INDIRECT("Tab_00.Trial["&amp;AD$4&amp;"]"),Tab_00.Trial[CONTA],$B54)</f>
        <v>-840.84</v>
      </c>
      <c r="AE54" s="78">
        <f t="shared" ca="1" si="73"/>
        <v>-1E-4</v>
      </c>
      <c r="AF54" s="78">
        <f t="shared" ca="1" si="74"/>
        <v>-1.9599999999999999E-2</v>
      </c>
      <c r="AG54" s="4">
        <f ca="1">-SUMIFS(INDIRECT("Tab_00.Trial["&amp;AG$4&amp;"]"),Tab_00.Trial[CONTA],$B54)</f>
        <v>-1271</v>
      </c>
      <c r="AH54" s="78">
        <f t="shared" ca="1" si="75"/>
        <v>-1E-4</v>
      </c>
      <c r="AI54" s="78">
        <f t="shared" ca="1" si="76"/>
        <v>-0.51160000000000005</v>
      </c>
      <c r="AJ54" s="4">
        <f ca="1">-SUMIFS(INDIRECT("Tab_00.Trial["&amp;AJ$4&amp;"]"),Tab_00.Trial[CONTA],$B54)</f>
        <v>-1271</v>
      </c>
      <c r="AK54" s="78">
        <f t="shared" ca="1" si="77"/>
        <v>-1E-4</v>
      </c>
      <c r="AL54" s="78">
        <f t="shared" ca="1" si="78"/>
        <v>0</v>
      </c>
    </row>
    <row r="55" spans="2:38" ht="15" customHeight="1" outlineLevel="1" x14ac:dyDescent="0.3">
      <c r="B55" s="14" t="s">
        <v>738</v>
      </c>
      <c r="C55" s="14" t="s">
        <v>367</v>
      </c>
      <c r="D55" s="4">
        <f ca="1">-SUMIFS(INDIRECT("Tab_00.Trial["&amp;D$4&amp;"]"),Tab_00.Trial[CONTA],$B55)</f>
        <v>-122569.24</v>
      </c>
      <c r="E55" s="78">
        <f t="shared" ca="1" si="56"/>
        <v>-0.129</v>
      </c>
      <c r="F55" s="4">
        <f ca="1">-SUMIFS(INDIRECT("Tab_00.Trial["&amp;F$4&amp;"]"),Tab_00.Trial[CONTA],$B55)</f>
        <v>-227807.2</v>
      </c>
      <c r="G55" s="78">
        <f t="shared" ca="1" si="60"/>
        <v>-0.1183</v>
      </c>
      <c r="H55" s="78">
        <f t="shared" ca="1" si="57"/>
        <v>-0.85860000000000003</v>
      </c>
      <c r="I55" s="4">
        <f ca="1">-SUMIFS(INDIRECT("Tab_00.Trial["&amp;I$4&amp;"]"),Tab_00.Trial[CONTA],$B55)</f>
        <v>-382498.04</v>
      </c>
      <c r="J55" s="78">
        <f t="shared" ca="1" si="61"/>
        <v>-0.1285</v>
      </c>
      <c r="K55" s="78">
        <f t="shared" ca="1" si="62"/>
        <v>-0.67900000000000005</v>
      </c>
      <c r="L55" s="4">
        <f ca="1">-SUMIFS(INDIRECT("Tab_00.Trial["&amp;L$4&amp;"]"),Tab_00.Trial[CONTA],$B55)</f>
        <v>-514787.48</v>
      </c>
      <c r="M55" s="78">
        <f t="shared" ca="1" si="63"/>
        <v>-0.12609999999999999</v>
      </c>
      <c r="N55" s="78">
        <f t="shared" ca="1" si="64"/>
        <v>-0.34589999999999999</v>
      </c>
      <c r="O55" s="4">
        <f ca="1">-SUMIFS(INDIRECT("Tab_00.Trial["&amp;O$4&amp;"]"),Tab_00.Trial[CONTA],$B55)</f>
        <v>-652647.16</v>
      </c>
      <c r="P55" s="78">
        <f t="shared" ca="1" si="65"/>
        <v>-0.12330000000000001</v>
      </c>
      <c r="Q55" s="78">
        <f t="shared" ca="1" si="66"/>
        <v>-0.26779999999999998</v>
      </c>
      <c r="R55" s="4">
        <f ca="1">-SUMIFS(INDIRECT("Tab_00.Trial["&amp;R$4&amp;"]"),Tab_00.Trial[CONTA],$B55)</f>
        <v>-782226.4</v>
      </c>
      <c r="S55" s="78">
        <f t="shared" ca="1" si="67"/>
        <v>-0.1241</v>
      </c>
      <c r="T55" s="78">
        <f t="shared" ca="1" si="68"/>
        <v>-0.19850000000000001</v>
      </c>
      <c r="U55" s="4">
        <f ca="1">-SUMIFS(INDIRECT("Tab_00.Trial["&amp;U$4&amp;"]"),Tab_00.Trial[CONTA],$B55)</f>
        <v>-916108.28</v>
      </c>
      <c r="V55" s="78">
        <f t="shared" ca="1" si="69"/>
        <v>-0.1242</v>
      </c>
      <c r="W55" s="78">
        <f t="shared" ca="1" si="70"/>
        <v>-0.17119999999999999</v>
      </c>
      <c r="X55" s="4">
        <f ca="1">-SUMIFS(INDIRECT("Tab_00.Trial["&amp;X$4&amp;"]"),Tab_00.Trial[CONTA],$B55)</f>
        <v>-1056206.8400000001</v>
      </c>
      <c r="Y55" s="78">
        <f t="shared" ca="1" si="58"/>
        <v>-0.12540000000000001</v>
      </c>
      <c r="Z55" s="78">
        <f t="shared" ca="1" si="59"/>
        <v>-0.15290000000000001</v>
      </c>
      <c r="AA55" s="4">
        <f ca="1">-SUMIFS(INDIRECT("Tab_00.Trial["&amp;AA$4&amp;"]"),Tab_00.Trial[CONTA],$B55)</f>
        <v>-1184785.28</v>
      </c>
      <c r="AB55" s="78">
        <f t="shared" ca="1" si="71"/>
        <v>-0.12609999999999999</v>
      </c>
      <c r="AC55" s="78">
        <f t="shared" ca="1" si="72"/>
        <v>-0.1217</v>
      </c>
      <c r="AD55" s="4">
        <f ca="1">-SUMIFS(INDIRECT("Tab_00.Trial["&amp;AD$4&amp;"]"),Tab_00.Trial[CONTA],$B55)</f>
        <v>-1333697.1200000001</v>
      </c>
      <c r="AE55" s="78">
        <f t="shared" ca="1" si="73"/>
        <v>-0.12540000000000001</v>
      </c>
      <c r="AF55" s="78">
        <f t="shared" ca="1" si="74"/>
        <v>-0.12570000000000001</v>
      </c>
      <c r="AG55" s="4">
        <f ca="1">-SUMIFS(INDIRECT("Tab_00.Trial["&amp;AG$4&amp;"]"),Tab_00.Trial[CONTA],$B55)</f>
        <v>-1443114.24</v>
      </c>
      <c r="AH55" s="78">
        <f t="shared" ca="1" si="75"/>
        <v>-0.1249</v>
      </c>
      <c r="AI55" s="78">
        <f t="shared" ca="1" si="76"/>
        <v>-8.2000000000000003E-2</v>
      </c>
      <c r="AJ55" s="4">
        <f ca="1">-SUMIFS(INDIRECT("Tab_00.Trial["&amp;AJ$4&amp;"]"),Tab_00.Trial[CONTA],$B55)</f>
        <v>-1555909.28</v>
      </c>
      <c r="AK55" s="78">
        <f t="shared" ca="1" si="77"/>
        <v>-0.1193</v>
      </c>
      <c r="AL55" s="78">
        <f t="shared" ca="1" si="78"/>
        <v>-7.8200000000000006E-2</v>
      </c>
    </row>
    <row r="56" spans="2:38" ht="15" customHeight="1" outlineLevel="1" x14ac:dyDescent="0.3">
      <c r="B56" s="14"/>
      <c r="C56" s="14"/>
      <c r="D56" s="4">
        <f ca="1">-SUMIFS(INDIRECT("Tab_00.Trial["&amp;D$4&amp;"]"),Tab_00.Trial[CONTA],$B56)</f>
        <v>0</v>
      </c>
      <c r="E56" s="78">
        <f t="shared" ca="1" si="56"/>
        <v>0</v>
      </c>
      <c r="F56" s="4">
        <f ca="1">-SUMIFS(INDIRECT("Tab_00.Trial["&amp;F$4&amp;"]"),Tab_00.Trial[CONTA],$B56)</f>
        <v>0</v>
      </c>
      <c r="G56" s="78">
        <f t="shared" ca="1" si="60"/>
        <v>0</v>
      </c>
      <c r="H56" s="78">
        <f t="shared" ca="1" si="57"/>
        <v>0</v>
      </c>
      <c r="I56" s="4">
        <f ca="1">-SUMIFS(INDIRECT("Tab_00.Trial["&amp;I$4&amp;"]"),Tab_00.Trial[CONTA],$B56)</f>
        <v>0</v>
      </c>
      <c r="J56" s="78">
        <f t="shared" ca="1" si="61"/>
        <v>0</v>
      </c>
      <c r="K56" s="78">
        <f t="shared" ca="1" si="62"/>
        <v>0</v>
      </c>
      <c r="L56" s="4">
        <f ca="1">-SUMIFS(INDIRECT("Tab_00.Trial["&amp;L$4&amp;"]"),Tab_00.Trial[CONTA],$B56)</f>
        <v>0</v>
      </c>
      <c r="M56" s="78">
        <f t="shared" ca="1" si="63"/>
        <v>0</v>
      </c>
      <c r="N56" s="78">
        <f t="shared" ca="1" si="64"/>
        <v>0</v>
      </c>
      <c r="O56" s="4">
        <f ca="1">-SUMIFS(INDIRECT("Tab_00.Trial["&amp;O$4&amp;"]"),Tab_00.Trial[CONTA],$B56)</f>
        <v>0</v>
      </c>
      <c r="P56" s="78">
        <f t="shared" ca="1" si="65"/>
        <v>0</v>
      </c>
      <c r="Q56" s="78">
        <f t="shared" ca="1" si="66"/>
        <v>0</v>
      </c>
      <c r="R56" s="4">
        <f ca="1">-SUMIFS(INDIRECT("Tab_00.Trial["&amp;R$4&amp;"]"),Tab_00.Trial[CONTA],$B56)</f>
        <v>0</v>
      </c>
      <c r="S56" s="78">
        <f t="shared" ca="1" si="67"/>
        <v>0</v>
      </c>
      <c r="T56" s="78">
        <f t="shared" ca="1" si="68"/>
        <v>0</v>
      </c>
      <c r="U56" s="4">
        <f ca="1">-SUMIFS(INDIRECT("Tab_00.Trial["&amp;U$4&amp;"]"),Tab_00.Trial[CONTA],$B56)</f>
        <v>0</v>
      </c>
      <c r="V56" s="78">
        <f t="shared" ca="1" si="69"/>
        <v>0</v>
      </c>
      <c r="W56" s="78">
        <f t="shared" ca="1" si="70"/>
        <v>0</v>
      </c>
      <c r="X56" s="4">
        <f ca="1">-SUMIFS(INDIRECT("Tab_00.Trial["&amp;X$4&amp;"]"),Tab_00.Trial[CONTA],$B56)</f>
        <v>0</v>
      </c>
      <c r="Y56" s="78">
        <f t="shared" ca="1" si="58"/>
        <v>0</v>
      </c>
      <c r="Z56" s="78">
        <f t="shared" ca="1" si="59"/>
        <v>0</v>
      </c>
      <c r="AA56" s="4">
        <f ca="1">-SUMIFS(INDIRECT("Tab_00.Trial["&amp;AA$4&amp;"]"),Tab_00.Trial[CONTA],$B56)</f>
        <v>0</v>
      </c>
      <c r="AB56" s="78">
        <f t="shared" ca="1" si="71"/>
        <v>0</v>
      </c>
      <c r="AC56" s="78">
        <f t="shared" ca="1" si="72"/>
        <v>0</v>
      </c>
      <c r="AD56" s="4">
        <f ca="1">-SUMIFS(INDIRECT("Tab_00.Trial["&amp;AD$4&amp;"]"),Tab_00.Trial[CONTA],$B56)</f>
        <v>0</v>
      </c>
      <c r="AE56" s="78">
        <f t="shared" ca="1" si="73"/>
        <v>0</v>
      </c>
      <c r="AF56" s="78">
        <f t="shared" ca="1" si="74"/>
        <v>0</v>
      </c>
      <c r="AG56" s="4">
        <f ca="1">-SUMIFS(INDIRECT("Tab_00.Trial["&amp;AG$4&amp;"]"),Tab_00.Trial[CONTA],$B56)</f>
        <v>0</v>
      </c>
      <c r="AH56" s="78">
        <f t="shared" ca="1" si="75"/>
        <v>0</v>
      </c>
      <c r="AI56" s="78">
        <f t="shared" ca="1" si="76"/>
        <v>0</v>
      </c>
      <c r="AJ56" s="4">
        <f ca="1">-SUMIFS(INDIRECT("Tab_00.Trial["&amp;AJ$4&amp;"]"),Tab_00.Trial[CONTA],$B56)</f>
        <v>0</v>
      </c>
      <c r="AK56" s="78">
        <f t="shared" ca="1" si="77"/>
        <v>0</v>
      </c>
      <c r="AL56" s="78">
        <f t="shared" ca="1" si="78"/>
        <v>0</v>
      </c>
    </row>
    <row r="57" spans="2:38" ht="15" customHeight="1" outlineLevel="1" x14ac:dyDescent="0.3">
      <c r="B57" s="14"/>
      <c r="C57" s="14"/>
      <c r="D57" s="4">
        <f ca="1">-SUMIFS(INDIRECT("Tab_00.Trial["&amp;D$4&amp;"]"),Tab_00.Trial[CONTA],$B57)</f>
        <v>0</v>
      </c>
      <c r="E57" s="78">
        <f t="shared" ca="1" si="56"/>
        <v>0</v>
      </c>
      <c r="F57" s="4">
        <f ca="1">-SUMIFS(INDIRECT("Tab_00.Trial["&amp;F$4&amp;"]"),Tab_00.Trial[CONTA],$B57)</f>
        <v>0</v>
      </c>
      <c r="G57" s="78">
        <f t="shared" ca="1" si="60"/>
        <v>0</v>
      </c>
      <c r="H57" s="78">
        <f t="shared" ca="1" si="57"/>
        <v>0</v>
      </c>
      <c r="I57" s="4">
        <f ca="1">-SUMIFS(INDIRECT("Tab_00.Trial["&amp;I$4&amp;"]"),Tab_00.Trial[CONTA],$B57)</f>
        <v>0</v>
      </c>
      <c r="J57" s="78">
        <f t="shared" ca="1" si="61"/>
        <v>0</v>
      </c>
      <c r="K57" s="78">
        <f t="shared" ca="1" si="62"/>
        <v>0</v>
      </c>
      <c r="L57" s="4">
        <f ca="1">-SUMIFS(INDIRECT("Tab_00.Trial["&amp;L$4&amp;"]"),Tab_00.Trial[CONTA],$B57)</f>
        <v>0</v>
      </c>
      <c r="M57" s="78">
        <f t="shared" ca="1" si="63"/>
        <v>0</v>
      </c>
      <c r="N57" s="78">
        <f t="shared" ca="1" si="64"/>
        <v>0</v>
      </c>
      <c r="O57" s="4">
        <f ca="1">-SUMIFS(INDIRECT("Tab_00.Trial["&amp;O$4&amp;"]"),Tab_00.Trial[CONTA],$B57)</f>
        <v>0</v>
      </c>
      <c r="P57" s="78">
        <f t="shared" ca="1" si="65"/>
        <v>0</v>
      </c>
      <c r="Q57" s="78">
        <f t="shared" ca="1" si="66"/>
        <v>0</v>
      </c>
      <c r="R57" s="4">
        <f ca="1">-SUMIFS(INDIRECT("Tab_00.Trial["&amp;R$4&amp;"]"),Tab_00.Trial[CONTA],$B57)</f>
        <v>0</v>
      </c>
      <c r="S57" s="78">
        <f t="shared" ca="1" si="67"/>
        <v>0</v>
      </c>
      <c r="T57" s="78">
        <f t="shared" ca="1" si="68"/>
        <v>0</v>
      </c>
      <c r="U57" s="4">
        <f ca="1">-SUMIFS(INDIRECT("Tab_00.Trial["&amp;U$4&amp;"]"),Tab_00.Trial[CONTA],$B57)</f>
        <v>0</v>
      </c>
      <c r="V57" s="78">
        <f t="shared" ca="1" si="69"/>
        <v>0</v>
      </c>
      <c r="W57" s="78">
        <f t="shared" ca="1" si="70"/>
        <v>0</v>
      </c>
      <c r="X57" s="4">
        <f ca="1">-SUMIFS(INDIRECT("Tab_00.Trial["&amp;X$4&amp;"]"),Tab_00.Trial[CONTA],$B57)</f>
        <v>0</v>
      </c>
      <c r="Y57" s="78">
        <f t="shared" ca="1" si="58"/>
        <v>0</v>
      </c>
      <c r="Z57" s="78">
        <f t="shared" ca="1" si="59"/>
        <v>0</v>
      </c>
      <c r="AA57" s="4">
        <f ca="1">-SUMIFS(INDIRECT("Tab_00.Trial["&amp;AA$4&amp;"]"),Tab_00.Trial[CONTA],$B57)</f>
        <v>0</v>
      </c>
      <c r="AB57" s="78">
        <f t="shared" ca="1" si="71"/>
        <v>0</v>
      </c>
      <c r="AC57" s="78">
        <f t="shared" ca="1" si="72"/>
        <v>0</v>
      </c>
      <c r="AD57" s="4">
        <f ca="1">-SUMIFS(INDIRECT("Tab_00.Trial["&amp;AD$4&amp;"]"),Tab_00.Trial[CONTA],$B57)</f>
        <v>0</v>
      </c>
      <c r="AE57" s="78">
        <f t="shared" ca="1" si="73"/>
        <v>0</v>
      </c>
      <c r="AF57" s="78">
        <f t="shared" ca="1" si="74"/>
        <v>0</v>
      </c>
      <c r="AG57" s="4">
        <f ca="1">-SUMIFS(INDIRECT("Tab_00.Trial["&amp;AG$4&amp;"]"),Tab_00.Trial[CONTA],$B57)</f>
        <v>0</v>
      </c>
      <c r="AH57" s="78">
        <f t="shared" ca="1" si="75"/>
        <v>0</v>
      </c>
      <c r="AI57" s="78">
        <f t="shared" ca="1" si="76"/>
        <v>0</v>
      </c>
      <c r="AJ57" s="4">
        <f ca="1">-SUMIFS(INDIRECT("Tab_00.Trial["&amp;AJ$4&amp;"]"),Tab_00.Trial[CONTA],$B57)</f>
        <v>0</v>
      </c>
      <c r="AK57" s="78">
        <f t="shared" ca="1" si="77"/>
        <v>0</v>
      </c>
      <c r="AL57" s="78">
        <f t="shared" ca="1" si="78"/>
        <v>0</v>
      </c>
    </row>
    <row r="58" spans="2:38" ht="5.0999999999999996" customHeight="1" outlineLevel="1" x14ac:dyDescent="0.3">
      <c r="B58" s="74"/>
      <c r="C58" s="75"/>
      <c r="D58" s="76"/>
      <c r="E58" s="77"/>
      <c r="F58" s="76"/>
      <c r="G58" s="77"/>
      <c r="H58" s="77"/>
      <c r="I58" s="76"/>
      <c r="J58" s="77"/>
      <c r="K58" s="77"/>
      <c r="L58" s="76"/>
      <c r="M58" s="77"/>
      <c r="N58" s="77"/>
      <c r="O58" s="76"/>
      <c r="P58" s="77"/>
      <c r="Q58" s="77"/>
      <c r="R58" s="76"/>
      <c r="S58" s="77"/>
      <c r="T58" s="77"/>
      <c r="U58" s="76"/>
      <c r="V58" s="77"/>
      <c r="W58" s="77"/>
      <c r="X58" s="76"/>
      <c r="Y58" s="77"/>
      <c r="Z58" s="77"/>
      <c r="AA58" s="76"/>
      <c r="AB58" s="77"/>
      <c r="AC58" s="77"/>
      <c r="AD58" s="76"/>
      <c r="AE58" s="77"/>
      <c r="AF58" s="77"/>
      <c r="AG58" s="76"/>
      <c r="AH58" s="77"/>
      <c r="AI58" s="77"/>
      <c r="AJ58" s="76"/>
      <c r="AK58" s="77"/>
      <c r="AL58" s="77"/>
    </row>
    <row r="59" spans="2:38" ht="5.0999999999999996" customHeight="1" x14ac:dyDescent="0.3"/>
    <row r="60" spans="2:38" ht="15" customHeight="1" x14ac:dyDescent="0.3">
      <c r="C60" s="17" t="s">
        <v>65</v>
      </c>
      <c r="D60" s="16">
        <f ca="1">SUBTOTAL(9,D$5:D$59)</f>
        <v>42377.29</v>
      </c>
      <c r="E60" s="80">
        <f ca="1">IFERROR($D60/$D$6,0)</f>
        <v>4.4600000000000001E-2</v>
      </c>
      <c r="F60" s="16">
        <f ca="1">SUBTOTAL(9,F$5:F$59)</f>
        <v>-47444.7</v>
      </c>
      <c r="G60" s="80">
        <f ca="1">IFERROR($F60/$F$6,0)</f>
        <v>-2.46E-2</v>
      </c>
      <c r="H60" s="80">
        <f ca="1">IFERROR(($F60-$D60)/ABS($D60),0)</f>
        <v>-2.1196000000000002</v>
      </c>
      <c r="I60" s="16">
        <f ca="1">SUBTOTAL(9,I$5:I$59)</f>
        <v>552633.49</v>
      </c>
      <c r="J60" s="80">
        <f ca="1">IFERROR($I60/$I$6,0)</f>
        <v>0.1857</v>
      </c>
      <c r="K60" s="80">
        <f t="shared" ref="K60" ca="1" si="79">IFERROR(($I60-$F60)/ABS($F60),0)</f>
        <v>12.6479</v>
      </c>
      <c r="L60" s="16">
        <f ca="1">SUBTOTAL(9,L$5:L$59)</f>
        <v>944183.36</v>
      </c>
      <c r="M60" s="80">
        <f ca="1">IFERROR($L60/$L$6,0)</f>
        <v>0.23130000000000001</v>
      </c>
      <c r="N60" s="80">
        <f t="shared" ref="N60" ca="1" si="80">IFERROR(($L60-$I60)/ABS($I60),0)</f>
        <v>0.70850000000000002</v>
      </c>
      <c r="O60" s="16">
        <f ca="1">SUBTOTAL(9,O$5:O$59)</f>
        <v>1424189.6</v>
      </c>
      <c r="P60" s="80">
        <f ca="1">IFERROR($O60/$O$6,0)</f>
        <v>0.26900000000000002</v>
      </c>
      <c r="Q60" s="80">
        <f t="shared" ref="Q60" ca="1" si="81">IFERROR(($O60-$L60)/ABS($L60),0)</f>
        <v>0.50839999999999996</v>
      </c>
      <c r="R60" s="16">
        <f ca="1">SUBTOTAL(9,R$5:R$59)</f>
        <v>1999586.21</v>
      </c>
      <c r="S60" s="80">
        <f ca="1">IFERROR($R60/$R$6,0)</f>
        <v>0.31719999999999998</v>
      </c>
      <c r="T60" s="80">
        <f t="shared" ref="T60" ca="1" si="82">IFERROR(($R60-$O60)/ABS($O60),0)</f>
        <v>0.40400000000000003</v>
      </c>
      <c r="U60" s="16">
        <f ca="1">SUBTOTAL(9,U$5:U$59)</f>
        <v>2322199.5699999998</v>
      </c>
      <c r="V60" s="80">
        <f ca="1">IFERROR($U60/$U$6,0)</f>
        <v>0.31469999999999998</v>
      </c>
      <c r="W60" s="80">
        <f t="shared" ref="W60" ca="1" si="83">IFERROR(($U60-$R60)/ABS($R60),0)</f>
        <v>0.1613</v>
      </c>
      <c r="X60" s="16">
        <f ca="1">SUBTOTAL(9,X$5:X$59)</f>
        <v>2660959.92</v>
      </c>
      <c r="Y60" s="80">
        <f ca="1">IFERROR($X60/$X$6,0)</f>
        <v>0.316</v>
      </c>
      <c r="Z60" s="80">
        <f t="shared" ref="Z60" ca="1" si="84">IFERROR(($X60-$U60)/ABS($U60),0)</f>
        <v>0.1459</v>
      </c>
      <c r="AA60" s="16">
        <f ca="1">SUBTOTAL(9,AA$5:AA$59)</f>
        <v>3004861.41</v>
      </c>
      <c r="AB60" s="80">
        <f ca="1">IFERROR($AA60/$AA$6,0)</f>
        <v>0.31990000000000002</v>
      </c>
      <c r="AC60" s="80">
        <f t="shared" ref="AC60" ca="1" si="85">IFERROR(($AA60-$X60)/ABS($X60),0)</f>
        <v>0.12920000000000001</v>
      </c>
      <c r="AD60" s="16">
        <f ca="1">SUBTOTAL(9,AD$5:AD$59)</f>
        <v>3389583.27</v>
      </c>
      <c r="AE60" s="80">
        <f ca="1">IFERROR($AD60/$AD$6,0)</f>
        <v>0.31859999999999999</v>
      </c>
      <c r="AF60" s="80">
        <f t="shared" ref="AF60" ca="1" si="86">IFERROR(($AD60-$AA60)/ABS($AA60),0)</f>
        <v>0.128</v>
      </c>
      <c r="AG60" s="16">
        <f ca="1">SUBTOTAL(9,AG$5:AG$59)</f>
        <v>3947155.36</v>
      </c>
      <c r="AH60" s="80">
        <f ca="1">IFERROR($AG60/$AG$6,0)</f>
        <v>0.34160000000000001</v>
      </c>
      <c r="AI60" s="80">
        <f t="shared" ref="AI60" ca="1" si="87">IFERROR(($AG60-$AD60)/ABS($AD60),0)</f>
        <v>0.16450000000000001</v>
      </c>
      <c r="AJ60" s="16">
        <f ca="1">SUBTOTAL(9,AJ$5:AJ$59)</f>
        <v>3936311.32</v>
      </c>
      <c r="AK60" s="80">
        <f ca="1">IFERROR($AJ60/$AJ$6,0)</f>
        <v>0.3019</v>
      </c>
      <c r="AL60" s="80">
        <f t="shared" ref="AL60" ca="1" si="88">IFERROR(($AJ60-$AG60)/ABS($AG60),0)</f>
        <v>-2.7000000000000001E-3</v>
      </c>
    </row>
    <row r="61" spans="2:38" ht="5.0999999999999996" customHeight="1" x14ac:dyDescent="0.3"/>
    <row r="62" spans="2:38" ht="9.9" customHeight="1" x14ac:dyDescent="0.3">
      <c r="C62" s="17" t="s">
        <v>86</v>
      </c>
    </row>
    <row r="63" spans="2:38" ht="15" customHeight="1" x14ac:dyDescent="0.3">
      <c r="B63" s="3" t="s">
        <v>104</v>
      </c>
      <c r="C63" s="3" t="s">
        <v>146</v>
      </c>
      <c r="D63" s="4">
        <f ca="1">SUBTOTAL(9,D$64:D$100)</f>
        <v>-200564.34</v>
      </c>
      <c r="E63" s="78">
        <f t="shared" ref="E63:E99" ca="1" si="89">IFERROR($D63/$D$6,0)</f>
        <v>-0.21110000000000001</v>
      </c>
      <c r="F63" s="4">
        <f ca="1">SUBTOTAL(9,F$64:F$100)</f>
        <v>-677169.7</v>
      </c>
      <c r="G63" s="78">
        <f ca="1">IFERROR($F63/$F$6,0)</f>
        <v>-0.35170000000000001</v>
      </c>
      <c r="H63" s="78">
        <f t="shared" ref="H63:H99" ca="1" si="90">IFERROR(($F63-$D63)/ABS($D63),0)</f>
        <v>-2.3763000000000001</v>
      </c>
      <c r="I63" s="4">
        <f ca="1">SUBTOTAL(9,I$64:I$100)</f>
        <v>-884774.47</v>
      </c>
      <c r="J63" s="78">
        <f ca="1">IFERROR($I63/$I$6,0)</f>
        <v>-0.29730000000000001</v>
      </c>
      <c r="K63" s="78">
        <f ca="1">IFERROR(($I63-$F63)/ABS($F63),0)</f>
        <v>-0.30659999999999998</v>
      </c>
      <c r="L63" s="4">
        <f ca="1">SUBTOTAL(9,L$64:L$100)</f>
        <v>-1070926.33</v>
      </c>
      <c r="M63" s="78">
        <f ca="1">IFERROR($L63/$L$6,0)</f>
        <v>-0.26229999999999998</v>
      </c>
      <c r="N63" s="78">
        <f ca="1">IFERROR(($L63-$I63)/ABS($I63),0)</f>
        <v>-0.2104</v>
      </c>
      <c r="O63" s="4">
        <f ca="1">SUBTOTAL(9,O$64:O$100)</f>
        <v>-1252040.3700000001</v>
      </c>
      <c r="P63" s="78">
        <f ca="1">IFERROR($O63/$O$6,0)</f>
        <v>-0.23649999999999999</v>
      </c>
      <c r="Q63" s="78">
        <f ca="1">IFERROR(($O63-$L63)/ABS($L63),0)</f>
        <v>-0.1691</v>
      </c>
      <c r="R63" s="4">
        <f ca="1">SUBTOTAL(9,R$64:R$100)</f>
        <v>-1442422.14</v>
      </c>
      <c r="S63" s="78">
        <f ca="1">IFERROR($R63/$R$6,0)</f>
        <v>-0.2288</v>
      </c>
      <c r="T63" s="78">
        <f ca="1">IFERROR(($R63-$O63)/ABS($O63),0)</f>
        <v>-0.15210000000000001</v>
      </c>
      <c r="U63" s="4">
        <f ca="1">SUBTOTAL(9,U$64:U$100)</f>
        <v>-1601483.94</v>
      </c>
      <c r="V63" s="78">
        <f ca="1">IFERROR($U63/$U$6,0)</f>
        <v>-0.21709999999999999</v>
      </c>
      <c r="W63" s="78">
        <f ca="1">IFERROR(($U63-$R63)/ABS($R63),0)</f>
        <v>-0.1103</v>
      </c>
      <c r="X63" s="4">
        <f ca="1">SUBTOTAL(9,X$64:X$100)</f>
        <v>-1792600.84</v>
      </c>
      <c r="Y63" s="78">
        <f ca="1">IFERROR($X63/$X$6,0)</f>
        <v>-0.21290000000000001</v>
      </c>
      <c r="Z63" s="78">
        <f ca="1">IFERROR(($X63-$U63)/ABS($U63),0)</f>
        <v>-0.1193</v>
      </c>
      <c r="AA63" s="4">
        <f ca="1">SUBTOTAL(9,AA$64:AA$100)</f>
        <v>-1980542.68</v>
      </c>
      <c r="AB63" s="78">
        <f ca="1">IFERROR($AA63/$AA$6,0)</f>
        <v>-0.21079999999999999</v>
      </c>
      <c r="AC63" s="78">
        <f ca="1">IFERROR(($AA63-$X63)/ABS($X63),0)</f>
        <v>-0.1048</v>
      </c>
      <c r="AD63" s="4">
        <f ca="1">SUBTOTAL(9,AD$64:AD$100)</f>
        <v>-2154156.81</v>
      </c>
      <c r="AE63" s="78">
        <f ca="1">IFERROR($AD63/$AD$6,0)</f>
        <v>-0.20250000000000001</v>
      </c>
      <c r="AF63" s="78">
        <f ca="1">IFERROR(($AD63-$AA63)/ABS($AA63),0)</f>
        <v>-8.77E-2</v>
      </c>
      <c r="AG63" s="4">
        <f ca="1">SUBTOTAL(9,AG$64:AG$100)</f>
        <v>-2342597.96</v>
      </c>
      <c r="AH63" s="78">
        <f ca="1">IFERROR($AG63/$AG$6,0)</f>
        <v>-0.20269999999999999</v>
      </c>
      <c r="AI63" s="78">
        <f ca="1">IFERROR(($AG63-$AD63)/ABS($AD63),0)</f>
        <v>-8.7499999999999994E-2</v>
      </c>
      <c r="AJ63" s="4">
        <f ca="1">SUBTOTAL(9,AJ$64:AJ$100)</f>
        <v>-2518388.17</v>
      </c>
      <c r="AK63" s="78">
        <f ca="1">IFERROR($AJ63/$AJ$6,0)</f>
        <v>-0.19309999999999999</v>
      </c>
      <c r="AL63" s="78">
        <f ca="1">IFERROR(($AJ63-$AG63)/ABS($AG63),0)</f>
        <v>-7.4999999999999997E-2</v>
      </c>
    </row>
    <row r="64" spans="2:38" ht="15" customHeight="1" outlineLevel="1" x14ac:dyDescent="0.3">
      <c r="B64" s="14" t="s">
        <v>195</v>
      </c>
      <c r="C64" s="14" t="s">
        <v>427</v>
      </c>
      <c r="D64" s="4">
        <f ca="1">-SUMIFS(INDIRECT("Tab_00.Trial["&amp;D$4&amp;"]"),Tab_00.Trial[CONTA],$B64)</f>
        <v>9283.35</v>
      </c>
      <c r="E64" s="78">
        <f t="shared" ca="1" si="89"/>
        <v>9.7999999999999997E-3</v>
      </c>
      <c r="F64" s="4">
        <f ca="1">-SUMIFS(INDIRECT("Tab_00.Trial["&amp;F$4&amp;"]"),Tab_00.Trial[CONTA],$B64)</f>
        <v>-48442.58</v>
      </c>
      <c r="G64" s="78">
        <f t="shared" ref="G64:G190" ca="1" si="91">IFERROR($F64/$F$6,0)</f>
        <v>-2.52E-2</v>
      </c>
      <c r="H64" s="78">
        <f t="shared" ca="1" si="90"/>
        <v>-6.2182000000000004</v>
      </c>
      <c r="I64" s="4">
        <f ca="1">-SUMIFS(INDIRECT("Tab_00.Trial["&amp;I$4&amp;"]"),Tab_00.Trial[CONTA],$B64)</f>
        <v>-103060.46</v>
      </c>
      <c r="J64" s="78">
        <f t="shared" ref="J64:J190" ca="1" si="92">IFERROR($I64/$I$6,0)</f>
        <v>-3.4599999999999999E-2</v>
      </c>
      <c r="K64" s="78">
        <f t="shared" ref="K64:K188" ca="1" si="93">IFERROR(($I64-$F64)/ABS($F64),0)</f>
        <v>-1.1274999999999999</v>
      </c>
      <c r="L64" s="4">
        <f ca="1">-SUMIFS(INDIRECT("Tab_00.Trial["&amp;L$4&amp;"]"),Tab_00.Trial[CONTA],$B64)</f>
        <v>-170393.05</v>
      </c>
      <c r="M64" s="78">
        <f t="shared" ref="M64:M190" ca="1" si="94">IFERROR($L64/$L$6,0)</f>
        <v>-4.1700000000000001E-2</v>
      </c>
      <c r="N64" s="78">
        <f t="shared" ref="N64:N188" ca="1" si="95">IFERROR(($L64-$I64)/ABS($I64),0)</f>
        <v>-0.65329999999999999</v>
      </c>
      <c r="O64" s="4">
        <f ca="1">-SUMIFS(INDIRECT("Tab_00.Trial["&amp;O$4&amp;"]"),Tab_00.Trial[CONTA],$B64)</f>
        <v>-235725.68</v>
      </c>
      <c r="P64" s="78">
        <f t="shared" ref="P64:P99" ca="1" si="96">IFERROR($O64/$O$6,0)</f>
        <v>-4.4499999999999998E-2</v>
      </c>
      <c r="Q64" s="78">
        <f t="shared" ref="Q64:Q99" ca="1" si="97">IFERROR(($O64-$L64)/ABS($L64),0)</f>
        <v>-0.38340000000000002</v>
      </c>
      <c r="R64" s="4">
        <f ca="1">-SUMIFS(INDIRECT("Tab_00.Trial["&amp;R$4&amp;"]"),Tab_00.Trial[CONTA],$B64)</f>
        <v>-289892.45</v>
      </c>
      <c r="S64" s="78">
        <f t="shared" ref="S64:S190" ca="1" si="98">IFERROR($R64/$R$6,0)</f>
        <v>-4.5999999999999999E-2</v>
      </c>
      <c r="T64" s="78">
        <f t="shared" ref="T64:T188" ca="1" si="99">IFERROR(($R64-$O64)/ABS($O64),0)</f>
        <v>-0.2298</v>
      </c>
      <c r="U64" s="4">
        <f ca="1">-SUMIFS(INDIRECT("Tab_00.Trial["&amp;U$4&amp;"]"),Tab_00.Trial[CONTA],$B64)</f>
        <v>-326968.65999999997</v>
      </c>
      <c r="V64" s="78">
        <f t="shared" ref="V64:V190" ca="1" si="100">IFERROR($U64/$U$6,0)</f>
        <v>-4.4299999999999999E-2</v>
      </c>
      <c r="W64" s="78">
        <f t="shared" ref="W64:W188" ca="1" si="101">IFERROR(($U64-$R64)/ABS($R64),0)</f>
        <v>-0.12790000000000001</v>
      </c>
      <c r="X64" s="4">
        <f ca="1">-SUMIFS(INDIRECT("Tab_00.Trial["&amp;X$4&amp;"]"),Tab_00.Trial[CONTA],$B64)</f>
        <v>-381873.53</v>
      </c>
      <c r="Y64" s="78">
        <f t="shared" ref="Y64:Y99" ca="1" si="102">IFERROR($X64/$X$6,0)</f>
        <v>-4.5400000000000003E-2</v>
      </c>
      <c r="Z64" s="78">
        <f t="shared" ref="Z64:Z99" ca="1" si="103">IFERROR(($X64-$U64)/ABS($U64),0)</f>
        <v>-0.16789999999999999</v>
      </c>
      <c r="AA64" s="4">
        <f ca="1">-SUMIFS(INDIRECT("Tab_00.Trial["&amp;AA$4&amp;"]"),Tab_00.Trial[CONTA],$B64)</f>
        <v>-444376.65</v>
      </c>
      <c r="AB64" s="78">
        <f t="shared" ref="AB64:AB190" ca="1" si="104">IFERROR($AA64/$AA$6,0)</f>
        <v>-4.7300000000000002E-2</v>
      </c>
      <c r="AC64" s="78">
        <f t="shared" ref="AC64:AC188" ca="1" si="105">IFERROR(($AA64-$X64)/ABS($X64),0)</f>
        <v>-0.16370000000000001</v>
      </c>
      <c r="AD64" s="4">
        <f ca="1">-SUMIFS(INDIRECT("Tab_00.Trial["&amp;AD$4&amp;"]"),Tab_00.Trial[CONTA],$B64)</f>
        <v>-491573.88</v>
      </c>
      <c r="AE64" s="78">
        <f t="shared" ref="AE64:AE190" ca="1" si="106">IFERROR($AD64/$AD$6,0)</f>
        <v>-4.6199999999999998E-2</v>
      </c>
      <c r="AF64" s="78">
        <f t="shared" ref="AF64:AF188" ca="1" si="107">IFERROR(($AD64-$AA64)/ABS($AA64),0)</f>
        <v>-0.1062</v>
      </c>
      <c r="AG64" s="4">
        <f ca="1">-SUMIFS(INDIRECT("Tab_00.Trial["&amp;AG$4&amp;"]"),Tab_00.Trial[CONTA],$B64)</f>
        <v>-549917.99</v>
      </c>
      <c r="AH64" s="78">
        <f t="shared" ref="AH64:AH190" ca="1" si="108">IFERROR($AG64/$AG$6,0)</f>
        <v>-4.7600000000000003E-2</v>
      </c>
      <c r="AI64" s="78">
        <f t="shared" ref="AI64:AI188" ca="1" si="109">IFERROR(($AG64-$AD64)/ABS($AD64),0)</f>
        <v>-0.1187</v>
      </c>
      <c r="AJ64" s="4">
        <f ca="1">-SUMIFS(INDIRECT("Tab_00.Trial["&amp;AJ$4&amp;"]"),Tab_00.Trial[CONTA],$B64)</f>
        <v>-612404.01</v>
      </c>
      <c r="AK64" s="78">
        <f t="shared" ref="AK64:AK190" ca="1" si="110">IFERROR($AJ64/$AJ$6,0)</f>
        <v>-4.7E-2</v>
      </c>
      <c r="AL64" s="78">
        <f t="shared" ref="AL64:AL188" ca="1" si="111">IFERROR(($AJ64-$AG64)/ABS($AG64),0)</f>
        <v>-0.11360000000000001</v>
      </c>
    </row>
    <row r="65" spans="2:39" ht="15" customHeight="1" outlineLevel="1" x14ac:dyDescent="0.3">
      <c r="B65" s="14" t="s">
        <v>428</v>
      </c>
      <c r="C65" s="14" t="s">
        <v>429</v>
      </c>
      <c r="D65" s="4">
        <f ca="1">-SUMIFS(INDIRECT("Tab_00.Trial["&amp;D$4&amp;"]"),Tab_00.Trial[CONTA],$B65)</f>
        <v>0</v>
      </c>
      <c r="E65" s="78">
        <f t="shared" ca="1" si="89"/>
        <v>0</v>
      </c>
      <c r="F65" s="4">
        <f ca="1">-SUMIFS(INDIRECT("Tab_00.Trial["&amp;F$4&amp;"]"),Tab_00.Trial[CONTA],$B65)</f>
        <v>0</v>
      </c>
      <c r="G65" s="78">
        <f t="shared" ca="1" si="91"/>
        <v>0</v>
      </c>
      <c r="H65" s="78">
        <f t="shared" ca="1" si="90"/>
        <v>0</v>
      </c>
      <c r="I65" s="4">
        <f ca="1">-SUMIFS(INDIRECT("Tab_00.Trial["&amp;I$4&amp;"]"),Tab_00.Trial[CONTA],$B65)</f>
        <v>0</v>
      </c>
      <c r="J65" s="78">
        <f t="shared" ca="1" si="92"/>
        <v>0</v>
      </c>
      <c r="K65" s="78">
        <f t="shared" ca="1" si="93"/>
        <v>0</v>
      </c>
      <c r="L65" s="4">
        <f ca="1">-SUMIFS(INDIRECT("Tab_00.Trial["&amp;L$4&amp;"]"),Tab_00.Trial[CONTA],$B65)</f>
        <v>0</v>
      </c>
      <c r="M65" s="78">
        <f t="shared" ca="1" si="94"/>
        <v>0</v>
      </c>
      <c r="N65" s="78">
        <f t="shared" ca="1" si="95"/>
        <v>0</v>
      </c>
      <c r="O65" s="4">
        <f ca="1">-SUMIFS(INDIRECT("Tab_00.Trial["&amp;O$4&amp;"]"),Tab_00.Trial[CONTA],$B65)</f>
        <v>0</v>
      </c>
      <c r="P65" s="78">
        <f t="shared" ca="1" si="96"/>
        <v>0</v>
      </c>
      <c r="Q65" s="78">
        <f t="shared" ca="1" si="97"/>
        <v>0</v>
      </c>
      <c r="R65" s="4">
        <f ca="1">-SUMIFS(INDIRECT("Tab_00.Trial["&amp;R$4&amp;"]"),Tab_00.Trial[CONTA],$B65)</f>
        <v>0</v>
      </c>
      <c r="S65" s="78">
        <f t="shared" ca="1" si="98"/>
        <v>0</v>
      </c>
      <c r="T65" s="78">
        <f t="shared" ca="1" si="99"/>
        <v>0</v>
      </c>
      <c r="U65" s="4">
        <f ca="1">-SUMIFS(INDIRECT("Tab_00.Trial["&amp;U$4&amp;"]"),Tab_00.Trial[CONTA],$B65)</f>
        <v>0</v>
      </c>
      <c r="V65" s="78">
        <f t="shared" ca="1" si="100"/>
        <v>0</v>
      </c>
      <c r="W65" s="78">
        <f t="shared" ca="1" si="101"/>
        <v>0</v>
      </c>
      <c r="X65" s="4">
        <f ca="1">-SUMIFS(INDIRECT("Tab_00.Trial["&amp;X$4&amp;"]"),Tab_00.Trial[CONTA],$B65)</f>
        <v>0</v>
      </c>
      <c r="Y65" s="78">
        <f t="shared" ca="1" si="102"/>
        <v>0</v>
      </c>
      <c r="Z65" s="78">
        <f t="shared" ca="1" si="103"/>
        <v>0</v>
      </c>
      <c r="AA65" s="4">
        <f ca="1">-SUMIFS(INDIRECT("Tab_00.Trial["&amp;AA$4&amp;"]"),Tab_00.Trial[CONTA],$B65)</f>
        <v>0</v>
      </c>
      <c r="AB65" s="78">
        <f t="shared" ca="1" si="104"/>
        <v>0</v>
      </c>
      <c r="AC65" s="78">
        <f t="shared" ca="1" si="105"/>
        <v>0</v>
      </c>
      <c r="AD65" s="4">
        <f ca="1">-SUMIFS(INDIRECT("Tab_00.Trial["&amp;AD$4&amp;"]"),Tab_00.Trial[CONTA],$B65)</f>
        <v>0</v>
      </c>
      <c r="AE65" s="78">
        <f t="shared" ca="1" si="106"/>
        <v>0</v>
      </c>
      <c r="AF65" s="78">
        <f t="shared" ca="1" si="107"/>
        <v>0</v>
      </c>
      <c r="AG65" s="4">
        <f ca="1">-SUMIFS(INDIRECT("Tab_00.Trial["&amp;AG$4&amp;"]"),Tab_00.Trial[CONTA],$B65)</f>
        <v>0</v>
      </c>
      <c r="AH65" s="78">
        <f t="shared" ca="1" si="108"/>
        <v>0</v>
      </c>
      <c r="AI65" s="78">
        <f t="shared" ca="1" si="109"/>
        <v>0</v>
      </c>
      <c r="AJ65" s="4">
        <f ca="1">-SUMIFS(INDIRECT("Tab_00.Trial["&amp;AJ$4&amp;"]"),Tab_00.Trial[CONTA],$B65)</f>
        <v>0</v>
      </c>
      <c r="AK65" s="78">
        <f t="shared" ca="1" si="110"/>
        <v>0</v>
      </c>
      <c r="AL65" s="78">
        <f t="shared" ca="1" si="111"/>
        <v>0</v>
      </c>
    </row>
    <row r="66" spans="2:39" ht="15" customHeight="1" outlineLevel="1" x14ac:dyDescent="0.3">
      <c r="B66" s="14" t="s">
        <v>430</v>
      </c>
      <c r="C66" s="14" t="s">
        <v>431</v>
      </c>
      <c r="D66" s="4">
        <f ca="1">-SUMIFS(INDIRECT("Tab_00.Trial["&amp;D$4&amp;"]"),Tab_00.Trial[CONTA],$B66)</f>
        <v>-7059.76</v>
      </c>
      <c r="E66" s="78">
        <f t="shared" ca="1" si="89"/>
        <v>-7.4000000000000003E-3</v>
      </c>
      <c r="F66" s="4">
        <f ca="1">-SUMIFS(INDIRECT("Tab_00.Trial["&amp;F$4&amp;"]"),Tab_00.Trial[CONTA],$B66)</f>
        <v>-16723.97</v>
      </c>
      <c r="G66" s="78">
        <f t="shared" ca="1" si="91"/>
        <v>-8.6999999999999994E-3</v>
      </c>
      <c r="H66" s="78">
        <f t="shared" ca="1" si="90"/>
        <v>-1.3689</v>
      </c>
      <c r="I66" s="4">
        <f ca="1">-SUMIFS(INDIRECT("Tab_00.Trial["&amp;I$4&amp;"]"),Tab_00.Trial[CONTA],$B66)</f>
        <v>-23634.400000000001</v>
      </c>
      <c r="J66" s="78">
        <f t="shared" ca="1" si="92"/>
        <v>-7.9000000000000008E-3</v>
      </c>
      <c r="K66" s="78">
        <f t="shared" ca="1" si="93"/>
        <v>-0.41320000000000001</v>
      </c>
      <c r="L66" s="4">
        <f ca="1">-SUMIFS(INDIRECT("Tab_00.Trial["&amp;L$4&amp;"]"),Tab_00.Trial[CONTA],$B66)</f>
        <v>-31810.63</v>
      </c>
      <c r="M66" s="78">
        <f t="shared" ca="1" si="94"/>
        <v>-7.7999999999999996E-3</v>
      </c>
      <c r="N66" s="78">
        <f t="shared" ca="1" si="95"/>
        <v>-0.34589999999999999</v>
      </c>
      <c r="O66" s="4">
        <f ca="1">-SUMIFS(INDIRECT("Tab_00.Trial["&amp;O$4&amp;"]"),Tab_00.Trial[CONTA],$B66)</f>
        <v>-40250.800000000003</v>
      </c>
      <c r="P66" s="78">
        <f t="shared" ca="1" si="96"/>
        <v>-7.6E-3</v>
      </c>
      <c r="Q66" s="78">
        <f t="shared" ca="1" si="97"/>
        <v>-0.26529999999999998</v>
      </c>
      <c r="R66" s="4">
        <f ca="1">-SUMIFS(INDIRECT("Tab_00.Trial["&amp;R$4&amp;"]"),Tab_00.Trial[CONTA],$B66)</f>
        <v>-46745.78</v>
      </c>
      <c r="S66" s="78">
        <f t="shared" ca="1" si="98"/>
        <v>-7.4000000000000003E-3</v>
      </c>
      <c r="T66" s="78">
        <f t="shared" ca="1" si="99"/>
        <v>-0.16139999999999999</v>
      </c>
      <c r="U66" s="4">
        <f ca="1">-SUMIFS(INDIRECT("Tab_00.Trial["&amp;U$4&amp;"]"),Tab_00.Trial[CONTA],$B66)</f>
        <v>-53472.45</v>
      </c>
      <c r="V66" s="78">
        <f t="shared" ca="1" si="100"/>
        <v>-7.1999999999999998E-3</v>
      </c>
      <c r="W66" s="78">
        <f t="shared" ca="1" si="101"/>
        <v>-0.1439</v>
      </c>
      <c r="X66" s="4">
        <f ca="1">-SUMIFS(INDIRECT("Tab_00.Trial["&amp;X$4&amp;"]"),Tab_00.Trial[CONTA],$B66)</f>
        <v>-60199.16</v>
      </c>
      <c r="Y66" s="78">
        <f t="shared" ca="1" si="102"/>
        <v>-7.1000000000000004E-3</v>
      </c>
      <c r="Z66" s="78">
        <f t="shared" ca="1" si="103"/>
        <v>-0.1258</v>
      </c>
      <c r="AA66" s="4">
        <f ca="1">-SUMIFS(INDIRECT("Tab_00.Trial["&amp;AA$4&amp;"]"),Tab_00.Trial[CONTA],$B66)</f>
        <v>-68632.02</v>
      </c>
      <c r="AB66" s="78">
        <f t="shared" ca="1" si="104"/>
        <v>-7.3000000000000001E-3</v>
      </c>
      <c r="AC66" s="78">
        <f t="shared" ca="1" si="105"/>
        <v>-0.1401</v>
      </c>
      <c r="AD66" s="4">
        <f ca="1">-SUMIFS(INDIRECT("Tab_00.Trial["&amp;AD$4&amp;"]"),Tab_00.Trial[CONTA],$B66)</f>
        <v>-81136.55</v>
      </c>
      <c r="AE66" s="78">
        <f t="shared" ca="1" si="106"/>
        <v>-7.6E-3</v>
      </c>
      <c r="AF66" s="78">
        <f t="shared" ca="1" si="107"/>
        <v>-0.1822</v>
      </c>
      <c r="AG66" s="4">
        <f ca="1">-SUMIFS(INDIRECT("Tab_00.Trial["&amp;AG$4&amp;"]"),Tab_00.Trial[CONTA],$B66)</f>
        <v>-93631.43</v>
      </c>
      <c r="AH66" s="78">
        <f t="shared" ca="1" si="108"/>
        <v>-8.0999999999999996E-3</v>
      </c>
      <c r="AI66" s="78">
        <f t="shared" ca="1" si="109"/>
        <v>-0.154</v>
      </c>
      <c r="AJ66" s="4">
        <f ca="1">-SUMIFS(INDIRECT("Tab_00.Trial["&amp;AJ$4&amp;"]"),Tab_00.Trial[CONTA],$B66)</f>
        <v>-106262.17</v>
      </c>
      <c r="AK66" s="78">
        <f t="shared" ca="1" si="110"/>
        <v>-8.0999999999999996E-3</v>
      </c>
      <c r="AL66" s="78">
        <f t="shared" ca="1" si="111"/>
        <v>-0.13489999999999999</v>
      </c>
    </row>
    <row r="67" spans="2:39" ht="15" customHeight="1" outlineLevel="1" x14ac:dyDescent="0.3">
      <c r="B67" s="14" t="s">
        <v>432</v>
      </c>
      <c r="C67" s="14" t="s">
        <v>433</v>
      </c>
      <c r="D67" s="4">
        <f ca="1">-SUMIFS(INDIRECT("Tab_00.Trial["&amp;D$4&amp;"]"),Tab_00.Trial[CONTA],$B67)</f>
        <v>-5045.03</v>
      </c>
      <c r="E67" s="78">
        <f t="shared" ca="1" si="89"/>
        <v>-5.3E-3</v>
      </c>
      <c r="F67" s="4">
        <f ca="1">-SUMIFS(INDIRECT("Tab_00.Trial["&amp;F$4&amp;"]"),Tab_00.Trial[CONTA],$B67)</f>
        <v>-10090.06</v>
      </c>
      <c r="G67" s="78">
        <f t="shared" ca="1" si="91"/>
        <v>-5.1999999999999998E-3</v>
      </c>
      <c r="H67" s="78">
        <f t="shared" ca="1" si="90"/>
        <v>-1</v>
      </c>
      <c r="I67" s="4">
        <f ca="1">-SUMIFS(INDIRECT("Tab_00.Trial["&amp;I$4&amp;"]"),Tab_00.Trial[CONTA],$B67)</f>
        <v>-15135.09</v>
      </c>
      <c r="J67" s="78">
        <f t="shared" ca="1" si="92"/>
        <v>-5.1000000000000004E-3</v>
      </c>
      <c r="K67" s="78">
        <f t="shared" ca="1" si="93"/>
        <v>-0.5</v>
      </c>
      <c r="L67" s="4">
        <f ca="1">-SUMIFS(INDIRECT("Tab_00.Trial["&amp;L$4&amp;"]"),Tab_00.Trial[CONTA],$B67)</f>
        <v>-20180.080000000002</v>
      </c>
      <c r="M67" s="78">
        <f t="shared" ca="1" si="94"/>
        <v>-4.8999999999999998E-3</v>
      </c>
      <c r="N67" s="78">
        <f t="shared" ca="1" si="95"/>
        <v>-0.33329999999999999</v>
      </c>
      <c r="O67" s="4">
        <f ca="1">-SUMIFS(INDIRECT("Tab_00.Trial["&amp;O$4&amp;"]"),Tab_00.Trial[CONTA],$B67)</f>
        <v>-25225.13</v>
      </c>
      <c r="P67" s="78">
        <f t="shared" ca="1" si="96"/>
        <v>-4.7999999999999996E-3</v>
      </c>
      <c r="Q67" s="78">
        <f t="shared" ca="1" si="97"/>
        <v>-0.25</v>
      </c>
      <c r="R67" s="4">
        <f ca="1">-SUMIFS(INDIRECT("Tab_00.Trial["&amp;R$4&amp;"]"),Tab_00.Trial[CONTA],$B67)</f>
        <v>-30270.16</v>
      </c>
      <c r="S67" s="78">
        <f t="shared" ca="1" si="98"/>
        <v>-4.7999999999999996E-3</v>
      </c>
      <c r="T67" s="78">
        <f t="shared" ca="1" si="99"/>
        <v>-0.2</v>
      </c>
      <c r="U67" s="4">
        <f ca="1">-SUMIFS(INDIRECT("Tab_00.Trial["&amp;U$4&amp;"]"),Tab_00.Trial[CONTA],$B67)</f>
        <v>-36600.269999999997</v>
      </c>
      <c r="V67" s="78">
        <f t="shared" ca="1" si="100"/>
        <v>-5.0000000000000001E-3</v>
      </c>
      <c r="W67" s="78">
        <f t="shared" ca="1" si="101"/>
        <v>-0.20910000000000001</v>
      </c>
      <c r="X67" s="4">
        <f ca="1">-SUMIFS(INDIRECT("Tab_00.Trial["&amp;X$4&amp;"]"),Tab_00.Trial[CONTA],$B67)</f>
        <v>-41645.300000000003</v>
      </c>
      <c r="Y67" s="78">
        <f t="shared" ca="1" si="102"/>
        <v>-4.8999999999999998E-3</v>
      </c>
      <c r="Z67" s="78">
        <f t="shared" ca="1" si="103"/>
        <v>-0.13780000000000001</v>
      </c>
      <c r="AA67" s="4">
        <f ca="1">-SUMIFS(INDIRECT("Tab_00.Trial["&amp;AA$4&amp;"]"),Tab_00.Trial[CONTA],$B67)</f>
        <v>-48912.75</v>
      </c>
      <c r="AB67" s="78">
        <f t="shared" ca="1" si="104"/>
        <v>-5.1999999999999998E-3</v>
      </c>
      <c r="AC67" s="78">
        <f t="shared" ca="1" si="105"/>
        <v>-0.17449999999999999</v>
      </c>
      <c r="AD67" s="4">
        <f ca="1">-SUMIFS(INDIRECT("Tab_00.Trial["&amp;AD$4&amp;"]"),Tab_00.Trial[CONTA],$B67)</f>
        <v>-48912.75</v>
      </c>
      <c r="AE67" s="78">
        <f t="shared" ca="1" si="106"/>
        <v>-4.5999999999999999E-3</v>
      </c>
      <c r="AF67" s="78">
        <f t="shared" ca="1" si="107"/>
        <v>0</v>
      </c>
      <c r="AG67" s="4">
        <f ca="1">-SUMIFS(INDIRECT("Tab_00.Trial["&amp;AG$4&amp;"]"),Tab_00.Trial[CONTA],$B67)</f>
        <v>-48912.75</v>
      </c>
      <c r="AH67" s="78">
        <f t="shared" ca="1" si="108"/>
        <v>-4.1999999999999997E-3</v>
      </c>
      <c r="AI67" s="78">
        <f t="shared" ca="1" si="109"/>
        <v>0</v>
      </c>
      <c r="AJ67" s="4">
        <f ca="1">-SUMIFS(INDIRECT("Tab_00.Trial["&amp;AJ$4&amp;"]"),Tab_00.Trial[CONTA],$B67)</f>
        <v>-52347.21</v>
      </c>
      <c r="AK67" s="78">
        <f t="shared" ca="1" si="110"/>
        <v>-4.0000000000000001E-3</v>
      </c>
      <c r="AL67" s="78">
        <f t="shared" ca="1" si="111"/>
        <v>-7.0199999999999999E-2</v>
      </c>
    </row>
    <row r="68" spans="2:39" ht="15" customHeight="1" outlineLevel="1" x14ac:dyDescent="0.3">
      <c r="B68" s="14" t="s">
        <v>434</v>
      </c>
      <c r="C68" s="14" t="s">
        <v>435</v>
      </c>
      <c r="D68" s="4">
        <f ca="1">-SUMIFS(INDIRECT("Tab_00.Trial["&amp;D$4&amp;"]"),Tab_00.Trial[CONTA],$B68)</f>
        <v>-15206.61</v>
      </c>
      <c r="E68" s="78">
        <f t="shared" ca="1" si="89"/>
        <v>-1.6E-2</v>
      </c>
      <c r="F68" s="4">
        <f ca="1">-SUMIFS(INDIRECT("Tab_00.Trial["&amp;F$4&amp;"]"),Tab_00.Trial[CONTA],$B68)</f>
        <v>-31547.72</v>
      </c>
      <c r="G68" s="78">
        <f t="shared" ca="1" si="91"/>
        <v>-1.6400000000000001E-2</v>
      </c>
      <c r="H68" s="78">
        <f t="shared" ca="1" si="90"/>
        <v>-1.0746</v>
      </c>
      <c r="I68" s="4">
        <f ca="1">-SUMIFS(INDIRECT("Tab_00.Trial["&amp;I$4&amp;"]"),Tab_00.Trial[CONTA],$B68)</f>
        <v>-75029.38</v>
      </c>
      <c r="J68" s="78">
        <f t="shared" ca="1" si="92"/>
        <v>-2.52E-2</v>
      </c>
      <c r="K68" s="78">
        <f t="shared" ca="1" si="93"/>
        <v>-1.3783000000000001</v>
      </c>
      <c r="L68" s="4">
        <f ca="1">-SUMIFS(INDIRECT("Tab_00.Trial["&amp;L$4&amp;"]"),Tab_00.Trial[CONTA],$B68)</f>
        <v>-100788.89</v>
      </c>
      <c r="M68" s="78">
        <f t="shared" ca="1" si="94"/>
        <v>-2.47E-2</v>
      </c>
      <c r="N68" s="78">
        <f t="shared" ca="1" si="95"/>
        <v>-0.34329999999999999</v>
      </c>
      <c r="O68" s="4">
        <f ca="1">-SUMIFS(INDIRECT("Tab_00.Trial["&amp;O$4&amp;"]"),Tab_00.Trial[CONTA],$B68)</f>
        <v>-121415.07</v>
      </c>
      <c r="P68" s="78">
        <f t="shared" ca="1" si="96"/>
        <v>-2.29E-2</v>
      </c>
      <c r="Q68" s="78">
        <f t="shared" ca="1" si="97"/>
        <v>-0.2046</v>
      </c>
      <c r="R68" s="4">
        <f ca="1">-SUMIFS(INDIRECT("Tab_00.Trial["&amp;R$4&amp;"]"),Tab_00.Trial[CONTA],$B68)</f>
        <v>-150849.46</v>
      </c>
      <c r="S68" s="78">
        <f t="shared" ca="1" si="98"/>
        <v>-2.3900000000000001E-2</v>
      </c>
      <c r="T68" s="78">
        <f t="shared" ca="1" si="99"/>
        <v>-0.2424</v>
      </c>
      <c r="U68" s="4">
        <f ca="1">-SUMIFS(INDIRECT("Tab_00.Trial["&amp;U$4&amp;"]"),Tab_00.Trial[CONTA],$B68)</f>
        <v>-174412.34</v>
      </c>
      <c r="V68" s="78">
        <f t="shared" ca="1" si="100"/>
        <v>-2.3599999999999999E-2</v>
      </c>
      <c r="W68" s="78">
        <f t="shared" ca="1" si="101"/>
        <v>-0.15620000000000001</v>
      </c>
      <c r="X68" s="4">
        <f ca="1">-SUMIFS(INDIRECT("Tab_00.Trial["&amp;X$4&amp;"]"),Tab_00.Trial[CONTA],$B68)</f>
        <v>-198204.72</v>
      </c>
      <c r="Y68" s="78">
        <f t="shared" ca="1" si="102"/>
        <v>-2.35E-2</v>
      </c>
      <c r="Z68" s="78">
        <f t="shared" ca="1" si="103"/>
        <v>-0.13639999999999999</v>
      </c>
      <c r="AA68" s="4">
        <f ca="1">-SUMIFS(INDIRECT("Tab_00.Trial["&amp;AA$4&amp;"]"),Tab_00.Trial[CONTA],$B68)</f>
        <v>-222850.66</v>
      </c>
      <c r="AB68" s="78">
        <f t="shared" ca="1" si="104"/>
        <v>-2.3699999999999999E-2</v>
      </c>
      <c r="AC68" s="78">
        <f t="shared" ca="1" si="105"/>
        <v>-0.12429999999999999</v>
      </c>
      <c r="AD68" s="4">
        <f ca="1">-SUMIFS(INDIRECT("Tab_00.Trial["&amp;AD$4&amp;"]"),Tab_00.Trial[CONTA],$B68)</f>
        <v>-245658.69</v>
      </c>
      <c r="AE68" s="78">
        <f t="shared" ca="1" si="106"/>
        <v>-2.3099999999999999E-2</v>
      </c>
      <c r="AF68" s="78">
        <f t="shared" ca="1" si="107"/>
        <v>-0.1023</v>
      </c>
      <c r="AG68" s="4">
        <f ca="1">-SUMIFS(INDIRECT("Tab_00.Trial["&amp;AG$4&amp;"]"),Tab_00.Trial[CONTA],$B68)</f>
        <v>-268466.71999999997</v>
      </c>
      <c r="AH68" s="78">
        <f t="shared" ca="1" si="108"/>
        <v>-2.3199999999999998E-2</v>
      </c>
      <c r="AI68" s="78">
        <f t="shared" ca="1" si="109"/>
        <v>-9.2799999999999994E-2</v>
      </c>
      <c r="AJ68" s="4">
        <f ca="1">-SUMIFS(INDIRECT("Tab_00.Trial["&amp;AJ$4&amp;"]"),Tab_00.Trial[CONTA],$B68)</f>
        <v>-291274.75</v>
      </c>
      <c r="AK68" s="78">
        <f t="shared" ca="1" si="110"/>
        <v>-2.23E-2</v>
      </c>
      <c r="AL68" s="78">
        <f t="shared" ca="1" si="111"/>
        <v>-8.5000000000000006E-2</v>
      </c>
    </row>
    <row r="69" spans="2:39" ht="15" customHeight="1" outlineLevel="1" x14ac:dyDescent="0.3">
      <c r="B69" s="14" t="s">
        <v>436</v>
      </c>
      <c r="C69" s="14" t="s">
        <v>437</v>
      </c>
      <c r="D69" s="4">
        <f ca="1">-SUMIFS(INDIRECT("Tab_00.Trial["&amp;D$4&amp;"]"),Tab_00.Trial[CONTA],$B69)</f>
        <v>-13434.9</v>
      </c>
      <c r="E69" s="78">
        <f t="shared" ca="1" si="89"/>
        <v>-1.41E-2</v>
      </c>
      <c r="F69" s="4">
        <f ca="1">-SUMIFS(INDIRECT("Tab_00.Trial["&amp;F$4&amp;"]"),Tab_00.Trial[CONTA],$B69)</f>
        <v>-30560.52</v>
      </c>
      <c r="G69" s="78">
        <f t="shared" ca="1" si="91"/>
        <v>-1.5900000000000001E-2</v>
      </c>
      <c r="H69" s="78">
        <f t="shared" ca="1" si="90"/>
        <v>-1.2746999999999999</v>
      </c>
      <c r="I69" s="4">
        <f ca="1">-SUMIFS(INDIRECT("Tab_00.Trial["&amp;I$4&amp;"]"),Tab_00.Trial[CONTA],$B69)</f>
        <v>-50448.83</v>
      </c>
      <c r="J69" s="78">
        <f t="shared" ca="1" si="92"/>
        <v>-1.7000000000000001E-2</v>
      </c>
      <c r="K69" s="78">
        <f t="shared" ca="1" si="93"/>
        <v>-0.65080000000000005</v>
      </c>
      <c r="L69" s="4">
        <f ca="1">-SUMIFS(INDIRECT("Tab_00.Trial["&amp;L$4&amp;"]"),Tab_00.Trial[CONTA],$B69)</f>
        <v>-69437.960000000006</v>
      </c>
      <c r="M69" s="78">
        <f t="shared" ca="1" si="94"/>
        <v>-1.7000000000000001E-2</v>
      </c>
      <c r="N69" s="78">
        <f t="shared" ca="1" si="95"/>
        <v>-0.37640000000000001</v>
      </c>
      <c r="O69" s="4">
        <f ca="1">-SUMIFS(INDIRECT("Tab_00.Trial["&amp;O$4&amp;"]"),Tab_00.Trial[CONTA],$B69)</f>
        <v>-89987.74</v>
      </c>
      <c r="P69" s="78">
        <f t="shared" ca="1" si="96"/>
        <v>-1.7000000000000001E-2</v>
      </c>
      <c r="Q69" s="78">
        <f t="shared" ca="1" si="97"/>
        <v>-0.2959</v>
      </c>
      <c r="R69" s="4">
        <f ca="1">-SUMIFS(INDIRECT("Tab_00.Trial["&amp;R$4&amp;"]"),Tab_00.Trial[CONTA],$B69)</f>
        <v>-104991.49</v>
      </c>
      <c r="S69" s="78">
        <f t="shared" ca="1" si="98"/>
        <v>-1.67E-2</v>
      </c>
      <c r="T69" s="78">
        <f t="shared" ca="1" si="99"/>
        <v>-0.16669999999999999</v>
      </c>
      <c r="U69" s="4">
        <f ca="1">-SUMIFS(INDIRECT("Tab_00.Trial["&amp;U$4&amp;"]"),Tab_00.Trial[CONTA],$B69)</f>
        <v>-114927.93</v>
      </c>
      <c r="V69" s="78">
        <f t="shared" ca="1" si="100"/>
        <v>-1.5599999999999999E-2</v>
      </c>
      <c r="W69" s="78">
        <f t="shared" ca="1" si="101"/>
        <v>-9.4600000000000004E-2</v>
      </c>
      <c r="X69" s="4">
        <f ca="1">-SUMIFS(INDIRECT("Tab_00.Trial["&amp;X$4&amp;"]"),Tab_00.Trial[CONTA],$B69)</f>
        <v>-127885.04</v>
      </c>
      <c r="Y69" s="78">
        <f t="shared" ca="1" si="102"/>
        <v>-1.52E-2</v>
      </c>
      <c r="Z69" s="78">
        <f t="shared" ca="1" si="103"/>
        <v>-0.11269999999999999</v>
      </c>
      <c r="AA69" s="4">
        <f ca="1">-SUMIFS(INDIRECT("Tab_00.Trial["&amp;AA$4&amp;"]"),Tab_00.Trial[CONTA],$B69)</f>
        <v>-149766.78</v>
      </c>
      <c r="AB69" s="78">
        <f t="shared" ca="1" si="104"/>
        <v>-1.5900000000000001E-2</v>
      </c>
      <c r="AC69" s="78">
        <f t="shared" ca="1" si="105"/>
        <v>-0.1711</v>
      </c>
      <c r="AD69" s="4">
        <f ca="1">-SUMIFS(INDIRECT("Tab_00.Trial["&amp;AD$4&amp;"]"),Tab_00.Trial[CONTA],$B69)</f>
        <v>-160642.68</v>
      </c>
      <c r="AE69" s="78">
        <f t="shared" ca="1" si="106"/>
        <v>-1.5100000000000001E-2</v>
      </c>
      <c r="AF69" s="78">
        <f t="shared" ca="1" si="107"/>
        <v>-7.2599999999999998E-2</v>
      </c>
      <c r="AG69" s="4">
        <f ca="1">-SUMIFS(INDIRECT("Tab_00.Trial["&amp;AG$4&amp;"]"),Tab_00.Trial[CONTA],$B69)</f>
        <v>-175882.43</v>
      </c>
      <c r="AH69" s="78">
        <f t="shared" ca="1" si="108"/>
        <v>-1.52E-2</v>
      </c>
      <c r="AI69" s="78">
        <f t="shared" ca="1" si="109"/>
        <v>-9.4899999999999998E-2</v>
      </c>
      <c r="AJ69" s="4">
        <f ca="1">-SUMIFS(INDIRECT("Tab_00.Trial["&amp;AJ$4&amp;"]"),Tab_00.Trial[CONTA],$B69)</f>
        <v>-192150.03</v>
      </c>
      <c r="AK69" s="78">
        <f t="shared" ca="1" si="110"/>
        <v>-1.47E-2</v>
      </c>
      <c r="AL69" s="78">
        <f t="shared" ca="1" si="111"/>
        <v>-9.2499999999999999E-2</v>
      </c>
    </row>
    <row r="70" spans="2:39" ht="15" customHeight="1" outlineLevel="1" x14ac:dyDescent="0.3">
      <c r="B70" s="14" t="s">
        <v>438</v>
      </c>
      <c r="C70" s="14" t="s">
        <v>196</v>
      </c>
      <c r="D70" s="4">
        <f ca="1">-SUMIFS(INDIRECT("Tab_00.Trial["&amp;D$4&amp;"]"),Tab_00.Trial[CONTA],$B70)</f>
        <v>-2354.0700000000002</v>
      </c>
      <c r="E70" s="78">
        <f t="shared" ca="1" si="89"/>
        <v>-2.5000000000000001E-3</v>
      </c>
      <c r="F70" s="4">
        <f ca="1">-SUMIFS(INDIRECT("Tab_00.Trial["&amp;F$4&amp;"]"),Tab_00.Trial[CONTA],$B70)</f>
        <v>-5921.7</v>
      </c>
      <c r="G70" s="78">
        <f t="shared" ca="1" si="91"/>
        <v>-3.0999999999999999E-3</v>
      </c>
      <c r="H70" s="78">
        <f t="shared" ca="1" si="90"/>
        <v>-1.5155000000000001</v>
      </c>
      <c r="I70" s="4">
        <f ca="1">-SUMIFS(INDIRECT("Tab_00.Trial["&amp;I$4&amp;"]"),Tab_00.Trial[CONTA],$B70)</f>
        <v>-10113.6</v>
      </c>
      <c r="J70" s="78">
        <f t="shared" ca="1" si="92"/>
        <v>-3.3999999999999998E-3</v>
      </c>
      <c r="K70" s="78">
        <f t="shared" ca="1" si="93"/>
        <v>-0.70789999999999997</v>
      </c>
      <c r="L70" s="4">
        <f ca="1">-SUMIFS(INDIRECT("Tab_00.Trial["&amp;L$4&amp;"]"),Tab_00.Trial[CONTA],$B70)</f>
        <v>-14412.32</v>
      </c>
      <c r="M70" s="78">
        <f t="shared" ca="1" si="94"/>
        <v>-3.5000000000000001E-3</v>
      </c>
      <c r="N70" s="78">
        <f t="shared" ca="1" si="95"/>
        <v>-0.42499999999999999</v>
      </c>
      <c r="O70" s="4">
        <f ca="1">-SUMIFS(INDIRECT("Tab_00.Trial["&amp;O$4&amp;"]"),Tab_00.Trial[CONTA],$B70)</f>
        <v>-18856.099999999999</v>
      </c>
      <c r="P70" s="78">
        <f t="shared" ca="1" si="96"/>
        <v>-3.5999999999999999E-3</v>
      </c>
      <c r="Q70" s="78">
        <f t="shared" ca="1" si="97"/>
        <v>-0.30830000000000002</v>
      </c>
      <c r="R70" s="4">
        <f ca="1">-SUMIFS(INDIRECT("Tab_00.Trial["&amp;R$4&amp;"]"),Tab_00.Trial[CONTA],$B70)</f>
        <v>-22010.29</v>
      </c>
      <c r="S70" s="78">
        <f t="shared" ca="1" si="98"/>
        <v>-3.5000000000000001E-3</v>
      </c>
      <c r="T70" s="78">
        <f t="shared" ca="1" si="99"/>
        <v>-0.1673</v>
      </c>
      <c r="U70" s="4">
        <f ca="1">-SUMIFS(INDIRECT("Tab_00.Trial["&amp;U$4&amp;"]"),Tab_00.Trial[CONTA],$B70)</f>
        <v>-24854.71</v>
      </c>
      <c r="V70" s="78">
        <f t="shared" ca="1" si="100"/>
        <v>-3.3999999999999998E-3</v>
      </c>
      <c r="W70" s="78">
        <f t="shared" ca="1" si="101"/>
        <v>-0.12920000000000001</v>
      </c>
      <c r="X70" s="4">
        <f ca="1">-SUMIFS(INDIRECT("Tab_00.Trial["&amp;X$4&amp;"]"),Tab_00.Trial[CONTA],$B70)</f>
        <v>-29100.04</v>
      </c>
      <c r="Y70" s="78">
        <f t="shared" ca="1" si="102"/>
        <v>-3.5000000000000001E-3</v>
      </c>
      <c r="Z70" s="78">
        <f t="shared" ca="1" si="103"/>
        <v>-0.17080000000000001</v>
      </c>
      <c r="AA70" s="4">
        <f ca="1">-SUMIFS(INDIRECT("Tab_00.Trial["&amp;AA$4&amp;"]"),Tab_00.Trial[CONTA],$B70)</f>
        <v>-35584.75</v>
      </c>
      <c r="AB70" s="78">
        <f t="shared" ca="1" si="104"/>
        <v>-3.8E-3</v>
      </c>
      <c r="AC70" s="78">
        <f t="shared" ca="1" si="105"/>
        <v>-0.2228</v>
      </c>
      <c r="AD70" s="4">
        <f ca="1">-SUMIFS(INDIRECT("Tab_00.Trial["&amp;AD$4&amp;"]"),Tab_00.Trial[CONTA],$B70)</f>
        <v>-39213.47</v>
      </c>
      <c r="AE70" s="78">
        <f t="shared" ca="1" si="106"/>
        <v>-3.7000000000000002E-3</v>
      </c>
      <c r="AF70" s="78">
        <f t="shared" ca="1" si="107"/>
        <v>-0.10199999999999999</v>
      </c>
      <c r="AG70" s="4">
        <f ca="1">-SUMIFS(INDIRECT("Tab_00.Trial["&amp;AG$4&amp;"]"),Tab_00.Trial[CONTA],$B70)</f>
        <v>-43762.63</v>
      </c>
      <c r="AH70" s="78">
        <f t="shared" ca="1" si="108"/>
        <v>-3.8E-3</v>
      </c>
      <c r="AI70" s="78">
        <f t="shared" ca="1" si="109"/>
        <v>-0.11600000000000001</v>
      </c>
      <c r="AJ70" s="4">
        <f ca="1">-SUMIFS(INDIRECT("Tab_00.Trial["&amp;AJ$4&amp;"]"),Tab_00.Trial[CONTA],$B70)</f>
        <v>-48618.61</v>
      </c>
      <c r="AK70" s="78">
        <f t="shared" ca="1" si="110"/>
        <v>-3.7000000000000002E-3</v>
      </c>
      <c r="AL70" s="78">
        <f t="shared" ca="1" si="111"/>
        <v>-0.111</v>
      </c>
    </row>
    <row r="71" spans="2:39" ht="15" customHeight="1" outlineLevel="1" x14ac:dyDescent="0.3">
      <c r="B71" s="14" t="s">
        <v>439</v>
      </c>
      <c r="C71" s="14" t="s">
        <v>440</v>
      </c>
      <c r="D71" s="4">
        <f ca="1">-SUMIFS(INDIRECT("Tab_00.Trial["&amp;D$4&amp;"]"),Tab_00.Trial[CONTA],$B71)</f>
        <v>-645.88</v>
      </c>
      <c r="E71" s="78">
        <f t="shared" ca="1" si="89"/>
        <v>-6.9999999999999999E-4</v>
      </c>
      <c r="F71" s="4">
        <f ca="1">-SUMIFS(INDIRECT("Tab_00.Trial["&amp;F$4&amp;"]"),Tab_00.Trial[CONTA],$B71)</f>
        <v>-904.04</v>
      </c>
      <c r="G71" s="78">
        <f t="shared" ca="1" si="91"/>
        <v>-5.0000000000000001E-4</v>
      </c>
      <c r="H71" s="78">
        <f t="shared" ca="1" si="90"/>
        <v>-0.3997</v>
      </c>
      <c r="I71" s="4">
        <f ca="1">-SUMIFS(INDIRECT("Tab_00.Trial["&amp;I$4&amp;"]"),Tab_00.Trial[CONTA],$B71)</f>
        <v>-1618.31</v>
      </c>
      <c r="J71" s="78">
        <f t="shared" ca="1" si="92"/>
        <v>-5.0000000000000001E-4</v>
      </c>
      <c r="K71" s="78">
        <f t="shared" ca="1" si="93"/>
        <v>-0.79010000000000002</v>
      </c>
      <c r="L71" s="4">
        <f ca="1">-SUMIFS(INDIRECT("Tab_00.Trial["&amp;L$4&amp;"]"),Tab_00.Trial[CONTA],$B71)</f>
        <v>-2304.48</v>
      </c>
      <c r="M71" s="78">
        <f t="shared" ca="1" si="94"/>
        <v>-5.9999999999999995E-4</v>
      </c>
      <c r="N71" s="78">
        <f t="shared" ca="1" si="95"/>
        <v>-0.42399999999999999</v>
      </c>
      <c r="O71" s="4">
        <f ca="1">-SUMIFS(INDIRECT("Tab_00.Trial["&amp;O$4&amp;"]"),Tab_00.Trial[CONTA],$B71)</f>
        <v>-3067.01</v>
      </c>
      <c r="P71" s="78">
        <f t="shared" ca="1" si="96"/>
        <v>-5.9999999999999995E-4</v>
      </c>
      <c r="Q71" s="78">
        <f t="shared" ca="1" si="97"/>
        <v>-0.33090000000000003</v>
      </c>
      <c r="R71" s="4">
        <f ca="1">-SUMIFS(INDIRECT("Tab_00.Trial["&amp;R$4&amp;"]"),Tab_00.Trial[CONTA],$B71)</f>
        <v>-3608.68</v>
      </c>
      <c r="S71" s="78">
        <f t="shared" ca="1" si="98"/>
        <v>-5.9999999999999995E-4</v>
      </c>
      <c r="T71" s="78">
        <f t="shared" ca="1" si="99"/>
        <v>-0.17660000000000001</v>
      </c>
      <c r="U71" s="4">
        <f ca="1">-SUMIFS(INDIRECT("Tab_00.Trial["&amp;U$4&amp;"]"),Tab_00.Trial[CONTA],$B71)</f>
        <v>-3979.45</v>
      </c>
      <c r="V71" s="78">
        <f t="shared" ca="1" si="100"/>
        <v>-5.0000000000000001E-4</v>
      </c>
      <c r="W71" s="78">
        <f t="shared" ca="1" si="101"/>
        <v>-0.1027</v>
      </c>
      <c r="X71" s="4">
        <f ca="1">-SUMIFS(INDIRECT("Tab_00.Trial["&amp;X$4&amp;"]"),Tab_00.Trial[CONTA],$B71)</f>
        <v>-4583.2299999999996</v>
      </c>
      <c r="Y71" s="78">
        <f t="shared" ca="1" si="102"/>
        <v>-5.0000000000000001E-4</v>
      </c>
      <c r="Z71" s="78">
        <f t="shared" ca="1" si="103"/>
        <v>-0.1517</v>
      </c>
      <c r="AA71" s="4">
        <f ca="1">-SUMIFS(INDIRECT("Tab_00.Trial["&amp;AA$4&amp;"]"),Tab_00.Trial[CONTA],$B71)</f>
        <v>-5235.96</v>
      </c>
      <c r="AB71" s="78">
        <f t="shared" ca="1" si="104"/>
        <v>-5.9999999999999995E-4</v>
      </c>
      <c r="AC71" s="78">
        <f t="shared" ca="1" si="105"/>
        <v>-0.1424</v>
      </c>
      <c r="AD71" s="4">
        <f ca="1">-SUMIFS(INDIRECT("Tab_00.Trial["&amp;AD$4&amp;"]"),Tab_00.Trial[CONTA],$B71)</f>
        <v>-5689.57</v>
      </c>
      <c r="AE71" s="78">
        <f t="shared" ca="1" si="106"/>
        <v>-5.0000000000000001E-4</v>
      </c>
      <c r="AF71" s="78">
        <f t="shared" ca="1" si="107"/>
        <v>-8.6599999999999996E-2</v>
      </c>
      <c r="AG71" s="4">
        <f ca="1">-SUMIFS(INDIRECT("Tab_00.Trial["&amp;AG$4&amp;"]"),Tab_00.Trial[CONTA],$B71)</f>
        <v>-6258.22</v>
      </c>
      <c r="AH71" s="78">
        <f t="shared" ca="1" si="108"/>
        <v>-5.0000000000000001E-4</v>
      </c>
      <c r="AI71" s="78">
        <f t="shared" ca="1" si="109"/>
        <v>-9.9900000000000003E-2</v>
      </c>
      <c r="AJ71" s="4">
        <f ca="1">-SUMIFS(INDIRECT("Tab_00.Trial["&amp;AJ$4&amp;"]"),Tab_00.Trial[CONTA],$B71)</f>
        <v>-6792.01</v>
      </c>
      <c r="AK71" s="78">
        <f t="shared" ca="1" si="110"/>
        <v>-5.0000000000000001E-4</v>
      </c>
      <c r="AL71" s="78">
        <f t="shared" ca="1" si="111"/>
        <v>-8.5300000000000001E-2</v>
      </c>
    </row>
    <row r="72" spans="2:39" ht="15" customHeight="1" outlineLevel="1" x14ac:dyDescent="0.3">
      <c r="B72" s="14" t="s">
        <v>441</v>
      </c>
      <c r="C72" s="14" t="s">
        <v>427</v>
      </c>
      <c r="D72" s="4">
        <f ca="1">-SUMIFS(INDIRECT("Tab_00.Trial["&amp;D$4&amp;"]"),Tab_00.Trial[CONTA],$B72)</f>
        <v>-54518.48</v>
      </c>
      <c r="E72" s="78">
        <f t="shared" ca="1" si="89"/>
        <v>-5.74E-2</v>
      </c>
      <c r="F72" s="4">
        <f ca="1">-SUMIFS(INDIRECT("Tab_00.Trial["&amp;F$4&amp;"]"),Tab_00.Trial[CONTA],$B72)</f>
        <v>-116782.9</v>
      </c>
      <c r="G72" s="78">
        <f t="shared" ca="1" si="91"/>
        <v>-6.0699999999999997E-2</v>
      </c>
      <c r="H72" s="78">
        <f t="shared" ca="1" si="90"/>
        <v>-1.1420999999999999</v>
      </c>
      <c r="I72" s="4">
        <f ca="1">-SUMIFS(INDIRECT("Tab_00.Trial["&amp;I$4&amp;"]"),Tab_00.Trial[CONTA],$B72)</f>
        <v>-162656.29999999999</v>
      </c>
      <c r="J72" s="78">
        <f t="shared" ca="1" si="92"/>
        <v>-5.4699999999999999E-2</v>
      </c>
      <c r="K72" s="78">
        <f t="shared" ca="1" si="93"/>
        <v>-0.39279999999999998</v>
      </c>
      <c r="L72" s="4">
        <f ca="1">-SUMIFS(INDIRECT("Tab_00.Trial["&amp;L$4&amp;"]"),Tab_00.Trial[CONTA],$B72)</f>
        <v>-193928.11</v>
      </c>
      <c r="M72" s="78">
        <f t="shared" ca="1" si="94"/>
        <v>-4.7500000000000001E-2</v>
      </c>
      <c r="N72" s="78">
        <f t="shared" ca="1" si="95"/>
        <v>-0.1923</v>
      </c>
      <c r="O72" s="4">
        <f ca="1">-SUMIFS(INDIRECT("Tab_00.Trial["&amp;O$4&amp;"]"),Tab_00.Trial[CONTA],$B72)</f>
        <v>-225199.92</v>
      </c>
      <c r="P72" s="78">
        <f t="shared" ca="1" si="96"/>
        <v>-4.2500000000000003E-2</v>
      </c>
      <c r="Q72" s="78">
        <f t="shared" ca="1" si="97"/>
        <v>-0.1613</v>
      </c>
      <c r="R72" s="4">
        <f ca="1">-SUMIFS(INDIRECT("Tab_00.Trial["&amp;R$4&amp;"]"),Tab_00.Trial[CONTA],$B72)</f>
        <v>-270376.56</v>
      </c>
      <c r="S72" s="78">
        <f t="shared" ca="1" si="98"/>
        <v>-4.2900000000000001E-2</v>
      </c>
      <c r="T72" s="78">
        <f t="shared" ca="1" si="99"/>
        <v>-0.2006</v>
      </c>
      <c r="U72" s="4">
        <f ca="1">-SUMIFS(INDIRECT("Tab_00.Trial["&amp;U$4&amp;"]"),Tab_00.Trial[CONTA],$B72)</f>
        <v>-313429.03000000003</v>
      </c>
      <c r="V72" s="78">
        <f t="shared" ca="1" si="100"/>
        <v>-4.2500000000000003E-2</v>
      </c>
      <c r="W72" s="78">
        <f t="shared" ca="1" si="101"/>
        <v>-0.15920000000000001</v>
      </c>
      <c r="X72" s="4">
        <f ca="1">-SUMIFS(INDIRECT("Tab_00.Trial["&amp;X$4&amp;"]"),Tab_00.Trial[CONTA],$B72)</f>
        <v>-359986.3</v>
      </c>
      <c r="Y72" s="78">
        <f t="shared" ca="1" si="102"/>
        <v>-4.2799999999999998E-2</v>
      </c>
      <c r="Z72" s="78">
        <f t="shared" ca="1" si="103"/>
        <v>-0.14849999999999999</v>
      </c>
      <c r="AA72" s="4">
        <f ca="1">-SUMIFS(INDIRECT("Tab_00.Trial["&amp;AA$4&amp;"]"),Tab_00.Trial[CONTA],$B72)</f>
        <v>-398237.66</v>
      </c>
      <c r="AB72" s="78">
        <f t="shared" ca="1" si="104"/>
        <v>-4.24E-2</v>
      </c>
      <c r="AC72" s="78">
        <f t="shared" ca="1" si="105"/>
        <v>-0.10630000000000001</v>
      </c>
      <c r="AD72" s="4">
        <f ca="1">-SUMIFS(INDIRECT("Tab_00.Trial["&amp;AD$4&amp;"]"),Tab_00.Trial[CONTA],$B72)</f>
        <v>-443857.25</v>
      </c>
      <c r="AE72" s="78">
        <f t="shared" ca="1" si="106"/>
        <v>-4.1700000000000001E-2</v>
      </c>
      <c r="AF72" s="78">
        <f t="shared" ca="1" si="107"/>
        <v>-0.11459999999999999</v>
      </c>
      <c r="AG72" s="4">
        <f ca="1">-SUMIFS(INDIRECT("Tab_00.Trial["&amp;AG$4&amp;"]"),Tab_00.Trial[CONTA],$B72)</f>
        <v>-488045.75</v>
      </c>
      <c r="AH72" s="78">
        <f t="shared" ca="1" si="108"/>
        <v>-4.2200000000000001E-2</v>
      </c>
      <c r="AI72" s="78">
        <f t="shared" ca="1" si="109"/>
        <v>-9.9599999999999994E-2</v>
      </c>
      <c r="AJ72" s="4">
        <f ca="1">-SUMIFS(INDIRECT("Tab_00.Trial["&amp;AJ$4&amp;"]"),Tab_00.Trial[CONTA],$B72)</f>
        <v>-532743.71</v>
      </c>
      <c r="AK72" s="78">
        <f t="shared" ca="1" si="110"/>
        <v>-4.0899999999999999E-2</v>
      </c>
      <c r="AL72" s="78">
        <f t="shared" ca="1" si="111"/>
        <v>-9.1600000000000001E-2</v>
      </c>
    </row>
    <row r="73" spans="2:39" ht="15" customHeight="1" outlineLevel="1" x14ac:dyDescent="0.3">
      <c r="B73" s="14" t="s">
        <v>442</v>
      </c>
      <c r="C73" s="14" t="s">
        <v>429</v>
      </c>
      <c r="D73" s="4">
        <f ca="1">-SUMIFS(INDIRECT("Tab_00.Trial["&amp;D$4&amp;"]"),Tab_00.Trial[CONTA],$B73)</f>
        <v>0</v>
      </c>
      <c r="E73" s="78">
        <f t="shared" ca="1" si="89"/>
        <v>0</v>
      </c>
      <c r="F73" s="4">
        <f ca="1">-SUMIFS(INDIRECT("Tab_00.Trial["&amp;F$4&amp;"]"),Tab_00.Trial[CONTA],$B73)</f>
        <v>0</v>
      </c>
      <c r="G73" s="78">
        <f t="shared" ca="1" si="91"/>
        <v>0</v>
      </c>
      <c r="H73" s="78">
        <f t="shared" ca="1" si="90"/>
        <v>0</v>
      </c>
      <c r="I73" s="4">
        <f ca="1">-SUMIFS(INDIRECT("Tab_00.Trial["&amp;I$4&amp;"]"),Tab_00.Trial[CONTA],$B73)</f>
        <v>0</v>
      </c>
      <c r="J73" s="78">
        <f t="shared" ca="1" si="92"/>
        <v>0</v>
      </c>
      <c r="K73" s="78">
        <f t="shared" ca="1" si="93"/>
        <v>0</v>
      </c>
      <c r="L73" s="4">
        <f ca="1">-SUMIFS(INDIRECT("Tab_00.Trial["&amp;L$4&amp;"]"),Tab_00.Trial[CONTA],$B73)</f>
        <v>0</v>
      </c>
      <c r="M73" s="78">
        <f t="shared" ca="1" si="94"/>
        <v>0</v>
      </c>
      <c r="N73" s="78">
        <f t="shared" ca="1" si="95"/>
        <v>0</v>
      </c>
      <c r="O73" s="4">
        <f ca="1">-SUMIFS(INDIRECT("Tab_00.Trial["&amp;O$4&amp;"]"),Tab_00.Trial[CONTA],$B73)</f>
        <v>0</v>
      </c>
      <c r="P73" s="78">
        <f t="shared" ca="1" si="96"/>
        <v>0</v>
      </c>
      <c r="Q73" s="78">
        <f t="shared" ca="1" si="97"/>
        <v>0</v>
      </c>
      <c r="R73" s="4">
        <f ca="1">-SUMIFS(INDIRECT("Tab_00.Trial["&amp;R$4&amp;"]"),Tab_00.Trial[CONTA],$B73)</f>
        <v>0</v>
      </c>
      <c r="S73" s="78">
        <f t="shared" ca="1" si="98"/>
        <v>0</v>
      </c>
      <c r="T73" s="78">
        <f t="shared" ca="1" si="99"/>
        <v>0</v>
      </c>
      <c r="U73" s="4">
        <f ca="1">-SUMIFS(INDIRECT("Tab_00.Trial["&amp;U$4&amp;"]"),Tab_00.Trial[CONTA],$B73)</f>
        <v>0</v>
      </c>
      <c r="V73" s="78">
        <f t="shared" ca="1" si="100"/>
        <v>0</v>
      </c>
      <c r="W73" s="78">
        <f t="shared" ca="1" si="101"/>
        <v>0</v>
      </c>
      <c r="X73" s="4">
        <f ca="1">-SUMIFS(INDIRECT("Tab_00.Trial["&amp;X$4&amp;"]"),Tab_00.Trial[CONTA],$B73)</f>
        <v>0</v>
      </c>
      <c r="Y73" s="78">
        <f t="shared" ca="1" si="102"/>
        <v>0</v>
      </c>
      <c r="Z73" s="78">
        <f t="shared" ca="1" si="103"/>
        <v>0</v>
      </c>
      <c r="AA73" s="4">
        <f ca="1">-SUMIFS(INDIRECT("Tab_00.Trial["&amp;AA$4&amp;"]"),Tab_00.Trial[CONTA],$B73)</f>
        <v>0</v>
      </c>
      <c r="AB73" s="78">
        <f t="shared" ca="1" si="104"/>
        <v>0</v>
      </c>
      <c r="AC73" s="78">
        <f t="shared" ca="1" si="105"/>
        <v>0</v>
      </c>
      <c r="AD73" s="4">
        <f ca="1">-SUMIFS(INDIRECT("Tab_00.Trial["&amp;AD$4&amp;"]"),Tab_00.Trial[CONTA],$B73)</f>
        <v>0</v>
      </c>
      <c r="AE73" s="78">
        <f t="shared" ca="1" si="106"/>
        <v>0</v>
      </c>
      <c r="AF73" s="78">
        <f t="shared" ca="1" si="107"/>
        <v>0</v>
      </c>
      <c r="AG73" s="4">
        <f ca="1">-SUMIFS(INDIRECT("Tab_00.Trial["&amp;AG$4&amp;"]"),Tab_00.Trial[CONTA],$B73)</f>
        <v>0</v>
      </c>
      <c r="AH73" s="78">
        <f t="shared" ca="1" si="108"/>
        <v>0</v>
      </c>
      <c r="AI73" s="78">
        <f t="shared" ca="1" si="109"/>
        <v>0</v>
      </c>
      <c r="AJ73" s="4">
        <f ca="1">-SUMIFS(INDIRECT("Tab_00.Trial["&amp;AJ$4&amp;"]"),Tab_00.Trial[CONTA],$B73)</f>
        <v>0</v>
      </c>
      <c r="AK73" s="78">
        <f t="shared" ca="1" si="110"/>
        <v>0</v>
      </c>
      <c r="AL73" s="78">
        <f t="shared" ca="1" si="111"/>
        <v>0</v>
      </c>
    </row>
    <row r="74" spans="2:39" ht="15" customHeight="1" outlineLevel="1" x14ac:dyDescent="0.3">
      <c r="B74" s="14" t="s">
        <v>443</v>
      </c>
      <c r="C74" s="14" t="s">
        <v>431</v>
      </c>
      <c r="D74" s="4">
        <f ca="1">-SUMIFS(INDIRECT("Tab_00.Trial["&amp;D$4&amp;"]"),Tab_00.Trial[CONTA],$B74)</f>
        <v>-10254.450000000001</v>
      </c>
      <c r="E74" s="78">
        <f t="shared" ca="1" si="89"/>
        <v>-1.0800000000000001E-2</v>
      </c>
      <c r="F74" s="4">
        <f ca="1">-SUMIFS(INDIRECT("Tab_00.Trial["&amp;F$4&amp;"]"),Tab_00.Trial[CONTA],$B74)</f>
        <v>-23957.59</v>
      </c>
      <c r="G74" s="78">
        <f t="shared" ca="1" si="91"/>
        <v>-1.24E-2</v>
      </c>
      <c r="H74" s="78">
        <f t="shared" ca="1" si="90"/>
        <v>-1.3363</v>
      </c>
      <c r="I74" s="4">
        <f ca="1">-SUMIFS(INDIRECT("Tab_00.Trial["&amp;I$4&amp;"]"),Tab_00.Trial[CONTA],$B74)</f>
        <v>-28400.5</v>
      </c>
      <c r="J74" s="78">
        <f t="shared" ca="1" si="92"/>
        <v>-9.4999999999999998E-3</v>
      </c>
      <c r="K74" s="78">
        <f t="shared" ca="1" si="93"/>
        <v>-0.18540000000000001</v>
      </c>
      <c r="L74" s="4">
        <f ca="1">-SUMIFS(INDIRECT("Tab_00.Trial["&amp;L$4&amp;"]"),Tab_00.Trial[CONTA],$B74)</f>
        <v>-31360.39</v>
      </c>
      <c r="M74" s="78">
        <f t="shared" ca="1" si="94"/>
        <v>-7.7000000000000002E-3</v>
      </c>
      <c r="N74" s="78">
        <f t="shared" ca="1" si="95"/>
        <v>-0.1042</v>
      </c>
      <c r="O74" s="4">
        <f ca="1">-SUMIFS(INDIRECT("Tab_00.Trial["&amp;O$4&amp;"]"),Tab_00.Trial[CONTA],$B74)</f>
        <v>-33586.93</v>
      </c>
      <c r="P74" s="78">
        <f t="shared" ca="1" si="96"/>
        <v>-6.3E-3</v>
      </c>
      <c r="Q74" s="78">
        <f t="shared" ca="1" si="97"/>
        <v>-7.0999999999999994E-2</v>
      </c>
      <c r="R74" s="4">
        <f ca="1">-SUMIFS(INDIRECT("Tab_00.Trial["&amp;R$4&amp;"]"),Tab_00.Trial[CONTA],$B74)</f>
        <v>-38492.01</v>
      </c>
      <c r="S74" s="78">
        <f t="shared" ca="1" si="98"/>
        <v>-6.1000000000000004E-3</v>
      </c>
      <c r="T74" s="78">
        <f t="shared" ca="1" si="99"/>
        <v>-0.14599999999999999</v>
      </c>
      <c r="U74" s="4">
        <f ca="1">-SUMIFS(INDIRECT("Tab_00.Trial["&amp;U$4&amp;"]"),Tab_00.Trial[CONTA],$B74)</f>
        <v>-43165.37</v>
      </c>
      <c r="V74" s="78">
        <f t="shared" ca="1" si="100"/>
        <v>-5.8999999999999999E-3</v>
      </c>
      <c r="W74" s="78">
        <f t="shared" ca="1" si="101"/>
        <v>-0.12139999999999999</v>
      </c>
      <c r="X74" s="4">
        <f ca="1">-SUMIFS(INDIRECT("Tab_00.Trial["&amp;X$4&amp;"]"),Tab_00.Trial[CONTA],$B74)</f>
        <v>-50255.83</v>
      </c>
      <c r="Y74" s="78">
        <f t="shared" ca="1" si="102"/>
        <v>-6.0000000000000001E-3</v>
      </c>
      <c r="Z74" s="78">
        <f t="shared" ca="1" si="103"/>
        <v>-0.1643</v>
      </c>
      <c r="AA74" s="4">
        <f ca="1">-SUMIFS(INDIRECT("Tab_00.Trial["&amp;AA$4&amp;"]"),Tab_00.Trial[CONTA],$B74)</f>
        <v>-55069.19</v>
      </c>
      <c r="AB74" s="78">
        <f t="shared" ca="1" si="104"/>
        <v>-5.8999999999999999E-3</v>
      </c>
      <c r="AC74" s="78">
        <f t="shared" ca="1" si="105"/>
        <v>-9.5799999999999996E-2</v>
      </c>
      <c r="AD74" s="4">
        <f ca="1">-SUMIFS(INDIRECT("Tab_00.Trial["&amp;AD$4&amp;"]"),Tab_00.Trial[CONTA],$B74)</f>
        <v>-55069.19</v>
      </c>
      <c r="AE74" s="78">
        <f t="shared" ca="1" si="106"/>
        <v>-5.1999999999999998E-3</v>
      </c>
      <c r="AF74" s="78">
        <f t="shared" ca="1" si="107"/>
        <v>0</v>
      </c>
      <c r="AG74" s="4">
        <f ca="1">-SUMIFS(INDIRECT("Tab_00.Trial["&amp;AG$4&amp;"]"),Tab_00.Trial[CONTA],$B74)</f>
        <v>-55069.19</v>
      </c>
      <c r="AH74" s="78">
        <f t="shared" ca="1" si="108"/>
        <v>-4.7999999999999996E-3</v>
      </c>
      <c r="AI74" s="78">
        <f t="shared" ca="1" si="109"/>
        <v>0</v>
      </c>
      <c r="AJ74" s="4">
        <f ca="1">-SUMIFS(INDIRECT("Tab_00.Trial["&amp;AJ$4&amp;"]"),Tab_00.Trial[CONTA],$B74)</f>
        <v>-55069.19</v>
      </c>
      <c r="AK74" s="78">
        <f t="shared" ca="1" si="110"/>
        <v>-4.1999999999999997E-3</v>
      </c>
      <c r="AL74" s="78">
        <f t="shared" ca="1" si="111"/>
        <v>0</v>
      </c>
    </row>
    <row r="75" spans="2:39" ht="15" customHeight="1" outlineLevel="1" x14ac:dyDescent="0.3">
      <c r="B75" s="14" t="s">
        <v>444</v>
      </c>
      <c r="C75" s="14" t="s">
        <v>433</v>
      </c>
      <c r="D75" s="4">
        <f ca="1">-SUMIFS(INDIRECT("Tab_00.Trial["&amp;D$4&amp;"]"),Tab_00.Trial[CONTA],$B75)</f>
        <v>-6223.05</v>
      </c>
      <c r="E75" s="78">
        <f t="shared" ca="1" si="89"/>
        <v>-6.6E-3</v>
      </c>
      <c r="F75" s="4">
        <f ca="1">-SUMIFS(INDIRECT("Tab_00.Trial["&amp;F$4&amp;"]"),Tab_00.Trial[CONTA],$B75)</f>
        <v>-18415.560000000001</v>
      </c>
      <c r="G75" s="78">
        <f t="shared" ca="1" si="91"/>
        <v>-9.5999999999999992E-3</v>
      </c>
      <c r="H75" s="78">
        <f t="shared" ca="1" si="90"/>
        <v>-1.9592000000000001</v>
      </c>
      <c r="I75" s="4">
        <f ca="1">-SUMIFS(INDIRECT("Tab_00.Trial["&amp;I$4&amp;"]"),Tab_00.Trial[CONTA],$B75)</f>
        <v>-21653.9</v>
      </c>
      <c r="J75" s="78">
        <f t="shared" ca="1" si="92"/>
        <v>-7.3000000000000001E-3</v>
      </c>
      <c r="K75" s="78">
        <f t="shared" ca="1" si="93"/>
        <v>-0.17580000000000001</v>
      </c>
      <c r="L75" s="4">
        <f ca="1">-SUMIFS(INDIRECT("Tab_00.Trial["&amp;L$4&amp;"]"),Tab_00.Trial[CONTA],$B75)</f>
        <v>-24892.240000000002</v>
      </c>
      <c r="M75" s="78">
        <f t="shared" ca="1" si="94"/>
        <v>-6.1000000000000004E-3</v>
      </c>
      <c r="N75" s="78">
        <f t="shared" ca="1" si="95"/>
        <v>-0.14949999999999999</v>
      </c>
      <c r="O75" s="4">
        <f ca="1">-SUMIFS(INDIRECT("Tab_00.Trial["&amp;O$4&amp;"]"),Tab_00.Trial[CONTA],$B75)</f>
        <v>-28397.25</v>
      </c>
      <c r="P75" s="78">
        <f t="shared" ca="1" si="96"/>
        <v>-5.4000000000000003E-3</v>
      </c>
      <c r="Q75" s="78">
        <f t="shared" ca="1" si="97"/>
        <v>-0.14080000000000001</v>
      </c>
      <c r="R75" s="4">
        <f ca="1">-SUMIFS(INDIRECT("Tab_00.Trial["&amp;R$4&amp;"]"),Tab_00.Trial[CONTA],$B75)</f>
        <v>-31902.27</v>
      </c>
      <c r="S75" s="78">
        <f t="shared" ca="1" si="98"/>
        <v>-5.1000000000000004E-3</v>
      </c>
      <c r="T75" s="78">
        <f t="shared" ca="1" si="99"/>
        <v>-0.1234</v>
      </c>
      <c r="U75" s="4">
        <f ca="1">-SUMIFS(INDIRECT("Tab_00.Trial["&amp;U$4&amp;"]"),Tab_00.Trial[CONTA],$B75)</f>
        <v>-34122.18</v>
      </c>
      <c r="V75" s="78">
        <f t="shared" ca="1" si="100"/>
        <v>-4.5999999999999999E-3</v>
      </c>
      <c r="W75" s="78">
        <f t="shared" ca="1" si="101"/>
        <v>-6.9599999999999995E-2</v>
      </c>
      <c r="X75" s="4">
        <f ca="1">-SUMIFS(INDIRECT("Tab_00.Trial["&amp;X$4&amp;"]"),Tab_00.Trial[CONTA],$B75)</f>
        <v>-38369.879999999997</v>
      </c>
      <c r="Y75" s="78">
        <f t="shared" ca="1" si="102"/>
        <v>-4.5999999999999999E-3</v>
      </c>
      <c r="Z75" s="78">
        <f t="shared" ca="1" si="103"/>
        <v>-0.1245</v>
      </c>
      <c r="AA75" s="4">
        <f ca="1">-SUMIFS(INDIRECT("Tab_00.Trial["&amp;AA$4&amp;"]"),Tab_00.Trial[CONTA],$B75)</f>
        <v>-41199.1</v>
      </c>
      <c r="AB75" s="78">
        <f t="shared" ca="1" si="104"/>
        <v>-4.4000000000000003E-3</v>
      </c>
      <c r="AC75" s="78">
        <f t="shared" ca="1" si="105"/>
        <v>-7.3700000000000002E-2</v>
      </c>
      <c r="AD75" s="4">
        <f ca="1">-SUMIFS(INDIRECT("Tab_00.Trial["&amp;AD$4&amp;"]"),Tab_00.Trial[CONTA],$B75)</f>
        <v>-49850.7</v>
      </c>
      <c r="AE75" s="78">
        <f t="shared" ca="1" si="106"/>
        <v>-4.7000000000000002E-3</v>
      </c>
      <c r="AF75" s="78">
        <f t="shared" ca="1" si="107"/>
        <v>-0.21</v>
      </c>
      <c r="AG75" s="4">
        <f ca="1">-SUMIFS(INDIRECT("Tab_00.Trial["&amp;AG$4&amp;"]"),Tab_00.Trial[CONTA],$B75)</f>
        <v>-58502.32</v>
      </c>
      <c r="AH75" s="78">
        <f t="shared" ca="1" si="108"/>
        <v>-5.1000000000000004E-3</v>
      </c>
      <c r="AI75" s="78">
        <f t="shared" ca="1" si="109"/>
        <v>-0.1736</v>
      </c>
      <c r="AJ75" s="4">
        <f ca="1">-SUMIFS(INDIRECT("Tab_00.Trial["&amp;AJ$4&amp;"]"),Tab_00.Trial[CONTA],$B75)</f>
        <v>-40071.760000000002</v>
      </c>
      <c r="AK75" s="78">
        <f t="shared" ca="1" si="110"/>
        <v>-3.0999999999999999E-3</v>
      </c>
      <c r="AL75" s="78">
        <f t="shared" ca="1" si="111"/>
        <v>0.315</v>
      </c>
    </row>
    <row r="76" spans="2:39" ht="15" customHeight="1" outlineLevel="1" x14ac:dyDescent="0.3">
      <c r="B76" s="14" t="s">
        <v>445</v>
      </c>
      <c r="C76" s="14" t="s">
        <v>446</v>
      </c>
      <c r="D76" s="4">
        <f ca="1">-SUMIFS(INDIRECT("Tab_00.Trial["&amp;D$4&amp;"]"),Tab_00.Trial[CONTA],$B76)</f>
        <v>0</v>
      </c>
      <c r="E76" s="78">
        <f t="shared" ca="1" si="89"/>
        <v>0</v>
      </c>
      <c r="F76" s="4">
        <f ca="1">-SUMIFS(INDIRECT("Tab_00.Trial["&amp;F$4&amp;"]"),Tab_00.Trial[CONTA],$B76)</f>
        <v>0</v>
      </c>
      <c r="G76" s="78">
        <f t="shared" ca="1" si="91"/>
        <v>0</v>
      </c>
      <c r="H76" s="78">
        <f t="shared" ca="1" si="90"/>
        <v>0</v>
      </c>
      <c r="I76" s="4">
        <f ca="1">-SUMIFS(INDIRECT("Tab_00.Trial["&amp;I$4&amp;"]"),Tab_00.Trial[CONTA],$B76)</f>
        <v>0</v>
      </c>
      <c r="J76" s="78">
        <f t="shared" ca="1" si="92"/>
        <v>0</v>
      </c>
      <c r="K76" s="78">
        <f t="shared" ca="1" si="93"/>
        <v>0</v>
      </c>
      <c r="L76" s="4">
        <f ca="1">-SUMIFS(INDIRECT("Tab_00.Trial["&amp;L$4&amp;"]"),Tab_00.Trial[CONTA],$B76)</f>
        <v>0</v>
      </c>
      <c r="M76" s="78">
        <f t="shared" ca="1" si="94"/>
        <v>0</v>
      </c>
      <c r="N76" s="78">
        <f t="shared" ca="1" si="95"/>
        <v>0</v>
      </c>
      <c r="O76" s="4">
        <f ca="1">-SUMIFS(INDIRECT("Tab_00.Trial["&amp;O$4&amp;"]"),Tab_00.Trial[CONTA],$B76)</f>
        <v>0</v>
      </c>
      <c r="P76" s="78">
        <f t="shared" ca="1" si="96"/>
        <v>0</v>
      </c>
      <c r="Q76" s="78">
        <f t="shared" ca="1" si="97"/>
        <v>0</v>
      </c>
      <c r="R76" s="4">
        <f ca="1">-SUMIFS(INDIRECT("Tab_00.Trial["&amp;R$4&amp;"]"),Tab_00.Trial[CONTA],$B76)</f>
        <v>0</v>
      </c>
      <c r="S76" s="78">
        <f t="shared" ca="1" si="98"/>
        <v>0</v>
      </c>
      <c r="T76" s="78">
        <f t="shared" ca="1" si="99"/>
        <v>0</v>
      </c>
      <c r="U76" s="4">
        <f ca="1">-SUMIFS(INDIRECT("Tab_00.Trial["&amp;U$4&amp;"]"),Tab_00.Trial[CONTA],$B76)</f>
        <v>0</v>
      </c>
      <c r="V76" s="78">
        <f t="shared" ca="1" si="100"/>
        <v>0</v>
      </c>
      <c r="W76" s="78">
        <f t="shared" ca="1" si="101"/>
        <v>0</v>
      </c>
      <c r="X76" s="4">
        <f ca="1">-SUMIFS(INDIRECT("Tab_00.Trial["&amp;X$4&amp;"]"),Tab_00.Trial[CONTA],$B76)</f>
        <v>0</v>
      </c>
      <c r="Y76" s="78">
        <f t="shared" ca="1" si="102"/>
        <v>0</v>
      </c>
      <c r="Z76" s="78">
        <f t="shared" ca="1" si="103"/>
        <v>0</v>
      </c>
      <c r="AA76" s="4">
        <f ca="1">-SUMIFS(INDIRECT("Tab_00.Trial["&amp;AA$4&amp;"]"),Tab_00.Trial[CONTA],$B76)</f>
        <v>0</v>
      </c>
      <c r="AB76" s="78">
        <f t="shared" ca="1" si="104"/>
        <v>0</v>
      </c>
      <c r="AC76" s="78">
        <f t="shared" ca="1" si="105"/>
        <v>0</v>
      </c>
      <c r="AD76" s="4">
        <f ca="1">-SUMIFS(INDIRECT("Tab_00.Trial["&amp;AD$4&amp;"]"),Tab_00.Trial[CONTA],$B76)</f>
        <v>0</v>
      </c>
      <c r="AE76" s="78">
        <f t="shared" ca="1" si="106"/>
        <v>0</v>
      </c>
      <c r="AF76" s="78">
        <f t="shared" ca="1" si="107"/>
        <v>0</v>
      </c>
      <c r="AG76" s="4">
        <f ca="1">-SUMIFS(INDIRECT("Tab_00.Trial["&amp;AG$4&amp;"]"),Tab_00.Trial[CONTA],$B76)</f>
        <v>0</v>
      </c>
      <c r="AH76" s="78">
        <f t="shared" ca="1" si="108"/>
        <v>0</v>
      </c>
      <c r="AI76" s="78">
        <f t="shared" ca="1" si="109"/>
        <v>0</v>
      </c>
      <c r="AJ76" s="4">
        <f ca="1">-SUMIFS(INDIRECT("Tab_00.Trial["&amp;AJ$4&amp;"]"),Tab_00.Trial[CONTA],$B76)</f>
        <v>0</v>
      </c>
      <c r="AK76" s="78">
        <f t="shared" ca="1" si="110"/>
        <v>0</v>
      </c>
      <c r="AL76" s="78">
        <f t="shared" ca="1" si="111"/>
        <v>0</v>
      </c>
    </row>
    <row r="77" spans="2:39" ht="15" customHeight="1" outlineLevel="1" x14ac:dyDescent="0.3">
      <c r="B77" s="14" t="s">
        <v>447</v>
      </c>
      <c r="C77" s="14" t="s">
        <v>448</v>
      </c>
      <c r="D77" s="4">
        <f ca="1">-SUMIFS(INDIRECT("Tab_00.Trial["&amp;D$4&amp;"]"),Tab_00.Trial[CONTA],$B77)</f>
        <v>0</v>
      </c>
      <c r="E77" s="78">
        <f t="shared" ca="1" si="89"/>
        <v>0</v>
      </c>
      <c r="F77" s="4">
        <f ca="1">-SUMIFS(INDIRECT("Tab_00.Trial["&amp;F$4&amp;"]"),Tab_00.Trial[CONTA],$B77)</f>
        <v>0</v>
      </c>
      <c r="G77" s="78">
        <f t="shared" ca="1" si="91"/>
        <v>0</v>
      </c>
      <c r="H77" s="78">
        <f t="shared" ca="1" si="90"/>
        <v>0</v>
      </c>
      <c r="I77" s="4">
        <f ca="1">-SUMIFS(INDIRECT("Tab_00.Trial["&amp;I$4&amp;"]"),Tab_00.Trial[CONTA],$B77)</f>
        <v>0</v>
      </c>
      <c r="J77" s="78">
        <f t="shared" ca="1" si="92"/>
        <v>0</v>
      </c>
      <c r="K77" s="78">
        <f t="shared" ca="1" si="93"/>
        <v>0</v>
      </c>
      <c r="L77" s="4">
        <f ca="1">-SUMIFS(INDIRECT("Tab_00.Trial["&amp;L$4&amp;"]"),Tab_00.Trial[CONTA],$B77)</f>
        <v>0</v>
      </c>
      <c r="M77" s="78">
        <f t="shared" ca="1" si="94"/>
        <v>0</v>
      </c>
      <c r="N77" s="78">
        <f t="shared" ca="1" si="95"/>
        <v>0</v>
      </c>
      <c r="O77" s="4">
        <f ca="1">-SUMIFS(INDIRECT("Tab_00.Trial["&amp;O$4&amp;"]"),Tab_00.Trial[CONTA],$B77)</f>
        <v>-476.67</v>
      </c>
      <c r="P77" s="78">
        <f t="shared" ca="1" si="96"/>
        <v>-1E-4</v>
      </c>
      <c r="Q77" s="78">
        <f t="shared" ca="1" si="97"/>
        <v>0</v>
      </c>
      <c r="R77" s="4">
        <f ca="1">-SUMIFS(INDIRECT("Tab_00.Trial["&amp;R$4&amp;"]"),Tab_00.Trial[CONTA],$B77)</f>
        <v>-476.67</v>
      </c>
      <c r="S77" s="78">
        <f t="shared" ca="1" si="98"/>
        <v>-1E-4</v>
      </c>
      <c r="T77" s="78">
        <f t="shared" ca="1" si="99"/>
        <v>0</v>
      </c>
      <c r="U77" s="4">
        <f ca="1">-SUMIFS(INDIRECT("Tab_00.Trial["&amp;U$4&amp;"]"),Tab_00.Trial[CONTA],$B77)</f>
        <v>-476.67</v>
      </c>
      <c r="V77" s="78">
        <f t="shared" ca="1" si="100"/>
        <v>-1E-4</v>
      </c>
      <c r="W77" s="78">
        <f t="shared" ca="1" si="101"/>
        <v>0</v>
      </c>
      <c r="X77" s="4">
        <f ca="1">-SUMIFS(INDIRECT("Tab_00.Trial["&amp;X$4&amp;"]"),Tab_00.Trial[CONTA],$B77)</f>
        <v>-476.67</v>
      </c>
      <c r="Y77" s="78">
        <f t="shared" ca="1" si="102"/>
        <v>-1E-4</v>
      </c>
      <c r="Z77" s="78">
        <f t="shared" ca="1" si="103"/>
        <v>0</v>
      </c>
      <c r="AA77" s="4">
        <f ca="1">-SUMIFS(INDIRECT("Tab_00.Trial["&amp;AA$4&amp;"]"),Tab_00.Trial[CONTA],$B77)</f>
        <v>-1576.67</v>
      </c>
      <c r="AB77" s="78">
        <f t="shared" ca="1" si="104"/>
        <v>-2.0000000000000001E-4</v>
      </c>
      <c r="AC77" s="78">
        <f t="shared" ca="1" si="105"/>
        <v>-2.3077000000000001</v>
      </c>
      <c r="AD77" s="4">
        <f ca="1">-SUMIFS(INDIRECT("Tab_00.Trial["&amp;AD$4&amp;"]"),Tab_00.Trial[CONTA],$B77)</f>
        <v>-1576.67</v>
      </c>
      <c r="AE77" s="78">
        <f t="shared" ca="1" si="106"/>
        <v>-1E-4</v>
      </c>
      <c r="AF77" s="78">
        <f t="shared" ca="1" si="107"/>
        <v>0</v>
      </c>
      <c r="AG77" s="4">
        <f ca="1">-SUMIFS(INDIRECT("Tab_00.Trial["&amp;AG$4&amp;"]"),Tab_00.Trial[CONTA],$B77)</f>
        <v>-1576.67</v>
      </c>
      <c r="AH77" s="78">
        <f t="shared" ca="1" si="108"/>
        <v>-1E-4</v>
      </c>
      <c r="AI77" s="78">
        <f t="shared" ca="1" si="109"/>
        <v>0</v>
      </c>
      <c r="AJ77" s="4">
        <f ca="1">-SUMIFS(INDIRECT("Tab_00.Trial["&amp;AJ$4&amp;"]"),Tab_00.Trial[CONTA],$B77)</f>
        <v>-1576.67</v>
      </c>
      <c r="AK77" s="78">
        <f t="shared" ca="1" si="110"/>
        <v>-1E-4</v>
      </c>
      <c r="AL77" s="78">
        <f t="shared" ca="1" si="111"/>
        <v>0</v>
      </c>
      <c r="AM77" s="1" t="s">
        <v>767</v>
      </c>
    </row>
    <row r="78" spans="2:39" ht="15" customHeight="1" outlineLevel="1" x14ac:dyDescent="0.3">
      <c r="B78" s="14" t="s">
        <v>449</v>
      </c>
      <c r="C78" s="14" t="s">
        <v>450</v>
      </c>
      <c r="D78" s="4">
        <f ca="1">-SUMIFS(INDIRECT("Tab_00.Trial["&amp;D$4&amp;"]"),Tab_00.Trial[CONTA],$B78)</f>
        <v>0</v>
      </c>
      <c r="E78" s="78">
        <f t="shared" ca="1" si="89"/>
        <v>0</v>
      </c>
      <c r="F78" s="4">
        <f ca="1">-SUMIFS(INDIRECT("Tab_00.Trial["&amp;F$4&amp;"]"),Tab_00.Trial[CONTA],$B78)</f>
        <v>0</v>
      </c>
      <c r="G78" s="78">
        <f t="shared" ca="1" si="91"/>
        <v>0</v>
      </c>
      <c r="H78" s="78">
        <f t="shared" ca="1" si="90"/>
        <v>0</v>
      </c>
      <c r="I78" s="4">
        <f ca="1">-SUMIFS(INDIRECT("Tab_00.Trial["&amp;I$4&amp;"]"),Tab_00.Trial[CONTA],$B78)</f>
        <v>0</v>
      </c>
      <c r="J78" s="78">
        <f t="shared" ca="1" si="92"/>
        <v>0</v>
      </c>
      <c r="K78" s="78">
        <f t="shared" ca="1" si="93"/>
        <v>0</v>
      </c>
      <c r="L78" s="4">
        <f ca="1">-SUMIFS(INDIRECT("Tab_00.Trial["&amp;L$4&amp;"]"),Tab_00.Trial[CONTA],$B78)</f>
        <v>0</v>
      </c>
      <c r="M78" s="78">
        <f t="shared" ca="1" si="94"/>
        <v>0</v>
      </c>
      <c r="N78" s="78">
        <f t="shared" ca="1" si="95"/>
        <v>0</v>
      </c>
      <c r="O78" s="4">
        <f ca="1">-SUMIFS(INDIRECT("Tab_00.Trial["&amp;O$4&amp;"]"),Tab_00.Trial[CONTA],$B78)</f>
        <v>0</v>
      </c>
      <c r="P78" s="78">
        <f t="shared" ca="1" si="96"/>
        <v>0</v>
      </c>
      <c r="Q78" s="78">
        <f t="shared" ca="1" si="97"/>
        <v>0</v>
      </c>
      <c r="R78" s="4">
        <f ca="1">-SUMIFS(INDIRECT("Tab_00.Trial["&amp;R$4&amp;"]"),Tab_00.Trial[CONTA],$B78)</f>
        <v>0</v>
      </c>
      <c r="S78" s="78">
        <f t="shared" ca="1" si="98"/>
        <v>0</v>
      </c>
      <c r="T78" s="78">
        <f t="shared" ca="1" si="99"/>
        <v>0</v>
      </c>
      <c r="U78" s="4">
        <f ca="1">-SUMIFS(INDIRECT("Tab_00.Trial["&amp;U$4&amp;"]"),Tab_00.Trial[CONTA],$B78)</f>
        <v>0</v>
      </c>
      <c r="V78" s="78">
        <f t="shared" ca="1" si="100"/>
        <v>0</v>
      </c>
      <c r="W78" s="78">
        <f t="shared" ca="1" si="101"/>
        <v>0</v>
      </c>
      <c r="X78" s="4">
        <f ca="1">-SUMIFS(INDIRECT("Tab_00.Trial["&amp;X$4&amp;"]"),Tab_00.Trial[CONTA],$B78)</f>
        <v>0</v>
      </c>
      <c r="Y78" s="78">
        <f t="shared" ca="1" si="102"/>
        <v>0</v>
      </c>
      <c r="Z78" s="78">
        <f t="shared" ca="1" si="103"/>
        <v>0</v>
      </c>
      <c r="AA78" s="4">
        <f ca="1">-SUMIFS(INDIRECT("Tab_00.Trial["&amp;AA$4&amp;"]"),Tab_00.Trial[CONTA],$B78)</f>
        <v>0</v>
      </c>
      <c r="AB78" s="78">
        <f t="shared" ca="1" si="104"/>
        <v>0</v>
      </c>
      <c r="AC78" s="78">
        <f t="shared" ca="1" si="105"/>
        <v>0</v>
      </c>
      <c r="AD78" s="4">
        <f ca="1">-SUMIFS(INDIRECT("Tab_00.Trial["&amp;AD$4&amp;"]"),Tab_00.Trial[CONTA],$B78)</f>
        <v>0</v>
      </c>
      <c r="AE78" s="78">
        <f t="shared" ca="1" si="106"/>
        <v>0</v>
      </c>
      <c r="AF78" s="78">
        <f t="shared" ca="1" si="107"/>
        <v>0</v>
      </c>
      <c r="AG78" s="4">
        <f ca="1">-SUMIFS(INDIRECT("Tab_00.Trial["&amp;AG$4&amp;"]"),Tab_00.Trial[CONTA],$B78)</f>
        <v>0</v>
      </c>
      <c r="AH78" s="78">
        <f t="shared" ca="1" si="108"/>
        <v>0</v>
      </c>
      <c r="AI78" s="78">
        <f t="shared" ca="1" si="109"/>
        <v>0</v>
      </c>
      <c r="AJ78" s="4">
        <f ca="1">-SUMIFS(INDIRECT("Tab_00.Trial["&amp;AJ$4&amp;"]"),Tab_00.Trial[CONTA],$B78)</f>
        <v>0</v>
      </c>
      <c r="AK78" s="78">
        <f t="shared" ca="1" si="110"/>
        <v>0</v>
      </c>
      <c r="AL78" s="78">
        <f t="shared" ca="1" si="111"/>
        <v>0</v>
      </c>
    </row>
    <row r="79" spans="2:39" ht="15" customHeight="1" outlineLevel="1" x14ac:dyDescent="0.3">
      <c r="B79" s="14" t="s">
        <v>451</v>
      </c>
      <c r="C79" s="14" t="s">
        <v>437</v>
      </c>
      <c r="D79" s="4">
        <f ca="1">-SUMIFS(INDIRECT("Tab_00.Trial["&amp;D$4&amp;"]"),Tab_00.Trial[CONTA],$B79)</f>
        <v>-18491.599999999999</v>
      </c>
      <c r="E79" s="78">
        <f t="shared" ca="1" si="89"/>
        <v>-1.95E-2</v>
      </c>
      <c r="F79" s="4">
        <f ca="1">-SUMIFS(INDIRECT("Tab_00.Trial["&amp;F$4&amp;"]"),Tab_00.Trial[CONTA],$B79)</f>
        <v>-34871.449999999997</v>
      </c>
      <c r="G79" s="78">
        <f t="shared" ca="1" si="91"/>
        <v>-1.8100000000000002E-2</v>
      </c>
      <c r="H79" s="78">
        <f t="shared" ca="1" si="90"/>
        <v>-0.88580000000000003</v>
      </c>
      <c r="I79" s="4">
        <f ca="1">-SUMIFS(INDIRECT("Tab_00.Trial["&amp;I$4&amp;"]"),Tab_00.Trial[CONTA],$B79)</f>
        <v>-43252.27</v>
      </c>
      <c r="J79" s="78">
        <f t="shared" ca="1" si="92"/>
        <v>-1.4500000000000001E-2</v>
      </c>
      <c r="K79" s="78">
        <f t="shared" ca="1" si="93"/>
        <v>-0.24030000000000001</v>
      </c>
      <c r="L79" s="4">
        <f ca="1">-SUMIFS(INDIRECT("Tab_00.Trial["&amp;L$4&amp;"]"),Tab_00.Trial[CONTA],$B79)</f>
        <v>-51633.09</v>
      </c>
      <c r="M79" s="78">
        <f t="shared" ca="1" si="94"/>
        <v>-1.26E-2</v>
      </c>
      <c r="N79" s="78">
        <f t="shared" ca="1" si="95"/>
        <v>-0.1938</v>
      </c>
      <c r="O79" s="4">
        <f ca="1">-SUMIFS(INDIRECT("Tab_00.Trial["&amp;O$4&amp;"]"),Tab_00.Trial[CONTA],$B79)</f>
        <v>-60013.91</v>
      </c>
      <c r="P79" s="78">
        <f t="shared" ca="1" si="96"/>
        <v>-1.1299999999999999E-2</v>
      </c>
      <c r="Q79" s="78">
        <f t="shared" ca="1" si="97"/>
        <v>-0.1623</v>
      </c>
      <c r="R79" s="4">
        <f ca="1">-SUMIFS(INDIRECT("Tab_00.Trial["&amp;R$4&amp;"]"),Tab_00.Trial[CONTA],$B79)</f>
        <v>-73086.490000000005</v>
      </c>
      <c r="S79" s="78">
        <f t="shared" ca="1" si="98"/>
        <v>-1.1599999999999999E-2</v>
      </c>
      <c r="T79" s="78">
        <f t="shared" ca="1" si="99"/>
        <v>-0.21779999999999999</v>
      </c>
      <c r="U79" s="4">
        <f ca="1">-SUMIFS(INDIRECT("Tab_00.Trial["&amp;U$4&amp;"]"),Tab_00.Trial[CONTA],$B79)</f>
        <v>-84624.5</v>
      </c>
      <c r="V79" s="78">
        <f t="shared" ca="1" si="100"/>
        <v>-1.15E-2</v>
      </c>
      <c r="W79" s="78">
        <f t="shared" ca="1" si="101"/>
        <v>-0.15790000000000001</v>
      </c>
      <c r="X79" s="4">
        <f ca="1">-SUMIFS(INDIRECT("Tab_00.Trial["&amp;X$4&amp;"]"),Tab_00.Trial[CONTA],$B79)</f>
        <v>-96585.86</v>
      </c>
      <c r="Y79" s="78">
        <f t="shared" ca="1" si="102"/>
        <v>-1.15E-2</v>
      </c>
      <c r="Z79" s="78">
        <f t="shared" ca="1" si="103"/>
        <v>-0.14130000000000001</v>
      </c>
      <c r="AA79" s="4">
        <f ca="1">-SUMIFS(INDIRECT("Tab_00.Trial["&amp;AA$4&amp;"]"),Tab_00.Trial[CONTA],$B79)</f>
        <v>-103942.8</v>
      </c>
      <c r="AB79" s="78">
        <f t="shared" ca="1" si="104"/>
        <v>-1.11E-2</v>
      </c>
      <c r="AC79" s="78">
        <f t="shared" ca="1" si="105"/>
        <v>-7.6200000000000004E-2</v>
      </c>
      <c r="AD79" s="4">
        <f ca="1">-SUMIFS(INDIRECT("Tab_00.Trial["&amp;AD$4&amp;"]"),Tab_00.Trial[CONTA],$B79)</f>
        <v>-115530.86</v>
      </c>
      <c r="AE79" s="78">
        <f t="shared" ca="1" si="106"/>
        <v>-1.09E-2</v>
      </c>
      <c r="AF79" s="78">
        <f t="shared" ca="1" si="107"/>
        <v>-0.1115</v>
      </c>
      <c r="AG79" s="4">
        <f ca="1">-SUMIFS(INDIRECT("Tab_00.Trial["&amp;AG$4&amp;"]"),Tab_00.Trial[CONTA],$B79)</f>
        <v>-126982.38</v>
      </c>
      <c r="AH79" s="78">
        <f t="shared" ca="1" si="108"/>
        <v>-1.0999999999999999E-2</v>
      </c>
      <c r="AI79" s="78">
        <f t="shared" ca="1" si="109"/>
        <v>-9.9099999999999994E-2</v>
      </c>
      <c r="AJ79" s="4">
        <f ca="1">-SUMIFS(INDIRECT("Tab_00.Trial["&amp;AJ$4&amp;"]"),Tab_00.Trial[CONTA],$B79)</f>
        <v>-143813.20000000001</v>
      </c>
      <c r="AK79" s="78">
        <f t="shared" ca="1" si="110"/>
        <v>-1.0999999999999999E-2</v>
      </c>
      <c r="AL79" s="78">
        <f t="shared" ca="1" si="111"/>
        <v>-0.13250000000000001</v>
      </c>
    </row>
    <row r="80" spans="2:39" ht="15" customHeight="1" outlineLevel="1" x14ac:dyDescent="0.3">
      <c r="B80" s="14" t="s">
        <v>452</v>
      </c>
      <c r="C80" s="14" t="s">
        <v>196</v>
      </c>
      <c r="D80" s="4">
        <f ca="1">-SUMIFS(INDIRECT("Tab_00.Trial["&amp;D$4&amp;"]"),Tab_00.Trial[CONTA],$B80)</f>
        <v>-5519.86</v>
      </c>
      <c r="E80" s="78">
        <f t="shared" ca="1" si="89"/>
        <v>-5.7999999999999996E-3</v>
      </c>
      <c r="F80" s="4">
        <f ca="1">-SUMIFS(INDIRECT("Tab_00.Trial["&amp;F$4&amp;"]"),Tab_00.Trial[CONTA],$B80)</f>
        <v>-196686.53</v>
      </c>
      <c r="G80" s="78">
        <f t="shared" ca="1" si="91"/>
        <v>-0.1022</v>
      </c>
      <c r="H80" s="78">
        <f t="shared" ca="1" si="90"/>
        <v>-34.6325</v>
      </c>
      <c r="I80" s="4">
        <f ca="1">-SUMIFS(INDIRECT("Tab_00.Trial["&amp;I$4&amp;"]"),Tab_00.Trial[CONTA],$B80)</f>
        <v>-199188.25</v>
      </c>
      <c r="J80" s="78">
        <f t="shared" ca="1" si="92"/>
        <v>-6.6900000000000001E-2</v>
      </c>
      <c r="K80" s="78">
        <f t="shared" ca="1" si="93"/>
        <v>-1.2699999999999999E-2</v>
      </c>
      <c r="L80" s="4">
        <f ca="1">-SUMIFS(INDIRECT("Tab_00.Trial["&amp;L$4&amp;"]"),Tab_00.Trial[CONTA],$B80)</f>
        <v>-201689.97</v>
      </c>
      <c r="M80" s="78">
        <f t="shared" ca="1" si="94"/>
        <v>-4.9399999999999999E-2</v>
      </c>
      <c r="N80" s="78">
        <f t="shared" ca="1" si="95"/>
        <v>-1.26E-2</v>
      </c>
      <c r="O80" s="4">
        <f ca="1">-SUMIFS(INDIRECT("Tab_00.Trial["&amp;O$4&amp;"]"),Tab_00.Trial[CONTA],$B80)</f>
        <v>-204191.69</v>
      </c>
      <c r="P80" s="78">
        <f t="shared" ca="1" si="96"/>
        <v>-3.8600000000000002E-2</v>
      </c>
      <c r="Q80" s="78">
        <f t="shared" ca="1" si="97"/>
        <v>-1.24E-2</v>
      </c>
      <c r="R80" s="4">
        <f ca="1">-SUMIFS(INDIRECT("Tab_00.Trial["&amp;R$4&amp;"]"),Tab_00.Trial[CONTA],$B80)</f>
        <v>-205962.84</v>
      </c>
      <c r="S80" s="78">
        <f t="shared" ca="1" si="98"/>
        <v>-3.27E-2</v>
      </c>
      <c r="T80" s="78">
        <f t="shared" ca="1" si="99"/>
        <v>-8.6999999999999994E-3</v>
      </c>
      <c r="U80" s="4">
        <f ca="1">-SUMIFS(INDIRECT("Tab_00.Trial["&amp;U$4&amp;"]"),Tab_00.Trial[CONTA],$B80)</f>
        <v>-209407.02</v>
      </c>
      <c r="V80" s="78">
        <f t="shared" ca="1" si="100"/>
        <v>-2.8400000000000002E-2</v>
      </c>
      <c r="W80" s="78">
        <f t="shared" ca="1" si="101"/>
        <v>-1.67E-2</v>
      </c>
      <c r="X80" s="4">
        <f ca="1">-SUMIFS(INDIRECT("Tab_00.Trial["&amp;X$4&amp;"]"),Tab_00.Trial[CONTA],$B80)</f>
        <v>-212982.21</v>
      </c>
      <c r="Y80" s="78">
        <f t="shared" ca="1" si="102"/>
        <v>-2.53E-2</v>
      </c>
      <c r="Z80" s="78">
        <f t="shared" ca="1" si="103"/>
        <v>-1.7100000000000001E-2</v>
      </c>
      <c r="AA80" s="4">
        <f ca="1">-SUMIFS(INDIRECT("Tab_00.Trial["&amp;AA$4&amp;"]"),Tab_00.Trial[CONTA],$B80)</f>
        <v>-215178.31</v>
      </c>
      <c r="AB80" s="78">
        <f t="shared" ca="1" si="104"/>
        <v>-2.29E-2</v>
      </c>
      <c r="AC80" s="78">
        <f t="shared" ca="1" si="105"/>
        <v>-1.03E-2</v>
      </c>
      <c r="AD80" s="4">
        <f ca="1">-SUMIFS(INDIRECT("Tab_00.Trial["&amp;AD$4&amp;"]"),Tab_00.Trial[CONTA],$B80)</f>
        <v>-218637.43</v>
      </c>
      <c r="AE80" s="78">
        <f t="shared" ca="1" si="106"/>
        <v>-2.06E-2</v>
      </c>
      <c r="AF80" s="78">
        <f t="shared" ca="1" si="107"/>
        <v>-1.61E-2</v>
      </c>
      <c r="AG80" s="4">
        <f ca="1">-SUMIFS(INDIRECT("Tab_00.Trial["&amp;AG$4&amp;"]"),Tab_00.Trial[CONTA],$B80)</f>
        <v>-222055.79</v>
      </c>
      <c r="AH80" s="78">
        <f t="shared" ca="1" si="108"/>
        <v>-1.9199999999999998E-2</v>
      </c>
      <c r="AI80" s="78">
        <f t="shared" ca="1" si="109"/>
        <v>-1.5599999999999999E-2</v>
      </c>
      <c r="AJ80" s="4">
        <f ca="1">-SUMIFS(INDIRECT("Tab_00.Trial["&amp;AJ$4&amp;"]"),Tab_00.Trial[CONTA],$B80)</f>
        <v>-225514.91</v>
      </c>
      <c r="AK80" s="78">
        <f t="shared" ca="1" si="110"/>
        <v>-1.7299999999999999E-2</v>
      </c>
      <c r="AL80" s="78">
        <f t="shared" ca="1" si="111"/>
        <v>-1.5599999999999999E-2</v>
      </c>
    </row>
    <row r="81" spans="2:38" ht="15" customHeight="1" outlineLevel="1" x14ac:dyDescent="0.3">
      <c r="B81" s="14" t="s">
        <v>453</v>
      </c>
      <c r="C81" s="14" t="s">
        <v>454</v>
      </c>
      <c r="D81" s="4">
        <f ca="1">-SUMIFS(INDIRECT("Tab_00.Trial["&amp;D$4&amp;"]"),Tab_00.Trial[CONTA],$B81)</f>
        <v>-689.98</v>
      </c>
      <c r="E81" s="78">
        <f t="shared" ca="1" si="89"/>
        <v>-6.9999999999999999E-4</v>
      </c>
      <c r="F81" s="4">
        <f ca="1">-SUMIFS(INDIRECT("Tab_00.Trial["&amp;F$4&amp;"]"),Tab_00.Trial[CONTA],$B81)</f>
        <v>-1301.17</v>
      </c>
      <c r="G81" s="78">
        <f t="shared" ca="1" si="91"/>
        <v>-6.9999999999999999E-4</v>
      </c>
      <c r="H81" s="78">
        <f t="shared" ca="1" si="90"/>
        <v>-0.88580000000000003</v>
      </c>
      <c r="I81" s="4">
        <f ca="1">-SUMIFS(INDIRECT("Tab_00.Trial["&amp;I$4&amp;"]"),Tab_00.Trial[CONTA],$B81)</f>
        <v>-1613.89</v>
      </c>
      <c r="J81" s="78">
        <f t="shared" ca="1" si="92"/>
        <v>-5.0000000000000001E-4</v>
      </c>
      <c r="K81" s="78">
        <f t="shared" ca="1" si="93"/>
        <v>-0.24030000000000001</v>
      </c>
      <c r="L81" s="4">
        <f ca="1">-SUMIFS(INDIRECT("Tab_00.Trial["&amp;L$4&amp;"]"),Tab_00.Trial[CONTA],$B81)</f>
        <v>-1926.61</v>
      </c>
      <c r="M81" s="78">
        <f t="shared" ca="1" si="94"/>
        <v>-5.0000000000000001E-4</v>
      </c>
      <c r="N81" s="78">
        <f t="shared" ca="1" si="95"/>
        <v>-0.1938</v>
      </c>
      <c r="O81" s="4">
        <f ca="1">-SUMIFS(INDIRECT("Tab_00.Trial["&amp;O$4&amp;"]"),Tab_00.Trial[CONTA],$B81)</f>
        <v>-2239.33</v>
      </c>
      <c r="P81" s="78">
        <f t="shared" ca="1" si="96"/>
        <v>-4.0000000000000002E-4</v>
      </c>
      <c r="Q81" s="78">
        <f t="shared" ca="1" si="97"/>
        <v>-0.1623</v>
      </c>
      <c r="R81" s="4">
        <f ca="1">-SUMIFS(INDIRECT("Tab_00.Trial["&amp;R$4&amp;"]"),Tab_00.Trial[CONTA],$B81)</f>
        <v>-2727.12</v>
      </c>
      <c r="S81" s="78">
        <f t="shared" ca="1" si="98"/>
        <v>-4.0000000000000002E-4</v>
      </c>
      <c r="T81" s="78">
        <f t="shared" ca="1" si="99"/>
        <v>-0.21779999999999999</v>
      </c>
      <c r="U81" s="4">
        <f ca="1">-SUMIFS(INDIRECT("Tab_00.Trial["&amp;U$4&amp;"]"),Tab_00.Trial[CONTA],$B81)</f>
        <v>-3157.64</v>
      </c>
      <c r="V81" s="78">
        <f t="shared" ca="1" si="100"/>
        <v>-4.0000000000000002E-4</v>
      </c>
      <c r="W81" s="78">
        <f t="shared" ca="1" si="101"/>
        <v>-0.15790000000000001</v>
      </c>
      <c r="X81" s="4">
        <f ca="1">-SUMIFS(INDIRECT("Tab_00.Trial["&amp;X$4&amp;"]"),Tab_00.Trial[CONTA],$B81)</f>
        <v>-3604.55</v>
      </c>
      <c r="Y81" s="78">
        <f t="shared" ca="1" si="102"/>
        <v>-4.0000000000000002E-4</v>
      </c>
      <c r="Z81" s="78">
        <f t="shared" ca="1" si="103"/>
        <v>-0.14149999999999999</v>
      </c>
      <c r="AA81" s="4">
        <f ca="1">-SUMIFS(INDIRECT("Tab_00.Trial["&amp;AA$4&amp;"]"),Tab_00.Trial[CONTA],$B81)</f>
        <v>-3879.06</v>
      </c>
      <c r="AB81" s="78">
        <f t="shared" ca="1" si="104"/>
        <v>-4.0000000000000002E-4</v>
      </c>
      <c r="AC81" s="78">
        <f t="shared" ca="1" si="105"/>
        <v>-7.6200000000000004E-2</v>
      </c>
      <c r="AD81" s="4">
        <f ca="1">-SUMIFS(INDIRECT("Tab_00.Trial["&amp;AD$4&amp;"]"),Tab_00.Trial[CONTA],$B81)</f>
        <v>-4311.45</v>
      </c>
      <c r="AE81" s="78">
        <f t="shared" ca="1" si="106"/>
        <v>-4.0000000000000002E-4</v>
      </c>
      <c r="AF81" s="78">
        <f t="shared" ca="1" si="107"/>
        <v>-0.1115</v>
      </c>
      <c r="AG81" s="4">
        <f ca="1">-SUMIFS(INDIRECT("Tab_00.Trial["&amp;AG$4&amp;"]"),Tab_00.Trial[CONTA],$B81)</f>
        <v>-4738.75</v>
      </c>
      <c r="AH81" s="78">
        <f t="shared" ca="1" si="108"/>
        <v>-4.0000000000000002E-4</v>
      </c>
      <c r="AI81" s="78">
        <f t="shared" ca="1" si="109"/>
        <v>-9.9099999999999994E-2</v>
      </c>
      <c r="AJ81" s="4">
        <f ca="1">-SUMIFS(INDIRECT("Tab_00.Trial["&amp;AJ$4&amp;"]"),Tab_00.Trial[CONTA],$B81)</f>
        <v>-5171.1400000000003</v>
      </c>
      <c r="AK81" s="78">
        <f t="shared" ca="1" si="110"/>
        <v>-4.0000000000000002E-4</v>
      </c>
      <c r="AL81" s="78">
        <f t="shared" ca="1" si="111"/>
        <v>-9.1200000000000003E-2</v>
      </c>
    </row>
    <row r="82" spans="2:38" ht="15" customHeight="1" outlineLevel="1" x14ac:dyDescent="0.3">
      <c r="B82" s="14" t="s">
        <v>748</v>
      </c>
      <c r="C82" s="14" t="s">
        <v>749</v>
      </c>
      <c r="D82" s="4">
        <f ca="1">-SUMIFS(INDIRECT("Tab_00.Trial["&amp;D$4&amp;"]"),Tab_00.Trial[CONTA],$B82)</f>
        <v>0</v>
      </c>
      <c r="E82" s="78">
        <f t="shared" ca="1" si="89"/>
        <v>0</v>
      </c>
      <c r="F82" s="4">
        <f ca="1">-SUMIFS(INDIRECT("Tab_00.Trial["&amp;F$4&amp;"]"),Tab_00.Trial[CONTA],$B82)</f>
        <v>0</v>
      </c>
      <c r="G82" s="78">
        <f t="shared" ca="1" si="91"/>
        <v>0</v>
      </c>
      <c r="H82" s="78">
        <f t="shared" ca="1" si="90"/>
        <v>0</v>
      </c>
      <c r="I82" s="4">
        <f ca="1">-SUMIFS(INDIRECT("Tab_00.Trial["&amp;I$4&amp;"]"),Tab_00.Trial[CONTA],$B82)</f>
        <v>0</v>
      </c>
      <c r="J82" s="78">
        <f t="shared" ca="1" si="92"/>
        <v>0</v>
      </c>
      <c r="K82" s="78">
        <f t="shared" ca="1" si="93"/>
        <v>0</v>
      </c>
      <c r="L82" s="4">
        <f ca="1">-SUMIFS(INDIRECT("Tab_00.Trial["&amp;L$4&amp;"]"),Tab_00.Trial[CONTA],$B82)</f>
        <v>0</v>
      </c>
      <c r="M82" s="78">
        <f t="shared" ca="1" si="94"/>
        <v>0</v>
      </c>
      <c r="N82" s="78">
        <f t="shared" ca="1" si="95"/>
        <v>0</v>
      </c>
      <c r="O82" s="4">
        <f ca="1">-SUMIFS(INDIRECT("Tab_00.Trial["&amp;O$4&amp;"]"),Tab_00.Trial[CONTA],$B82)</f>
        <v>0</v>
      </c>
      <c r="P82" s="78">
        <f t="shared" ca="1" si="96"/>
        <v>0</v>
      </c>
      <c r="Q82" s="78">
        <f t="shared" ca="1" si="97"/>
        <v>0</v>
      </c>
      <c r="R82" s="4">
        <f ca="1">-SUMIFS(INDIRECT("Tab_00.Trial["&amp;R$4&amp;"]"),Tab_00.Trial[CONTA],$B82)</f>
        <v>0</v>
      </c>
      <c r="S82" s="78">
        <f t="shared" ca="1" si="98"/>
        <v>0</v>
      </c>
      <c r="T82" s="78">
        <f t="shared" ca="1" si="99"/>
        <v>0</v>
      </c>
      <c r="U82" s="4">
        <f ca="1">-SUMIFS(INDIRECT("Tab_00.Trial["&amp;U$4&amp;"]"),Tab_00.Trial[CONTA],$B82)</f>
        <v>0</v>
      </c>
      <c r="V82" s="78">
        <f t="shared" ca="1" si="100"/>
        <v>0</v>
      </c>
      <c r="W82" s="78">
        <f t="shared" ca="1" si="101"/>
        <v>0</v>
      </c>
      <c r="X82" s="4">
        <f ca="1">-SUMIFS(INDIRECT("Tab_00.Trial["&amp;X$4&amp;"]"),Tab_00.Trial[CONTA],$B82)</f>
        <v>0</v>
      </c>
      <c r="Y82" s="78">
        <f t="shared" ca="1" si="102"/>
        <v>0</v>
      </c>
      <c r="Z82" s="78">
        <f t="shared" ca="1" si="103"/>
        <v>0</v>
      </c>
      <c r="AA82" s="4">
        <f ca="1">-SUMIFS(INDIRECT("Tab_00.Trial["&amp;AA$4&amp;"]"),Tab_00.Trial[CONTA],$B82)</f>
        <v>0</v>
      </c>
      <c r="AB82" s="78">
        <f t="shared" ca="1" si="104"/>
        <v>0</v>
      </c>
      <c r="AC82" s="78">
        <f t="shared" ca="1" si="105"/>
        <v>0</v>
      </c>
      <c r="AD82" s="4">
        <f ca="1">-SUMIFS(INDIRECT("Tab_00.Trial["&amp;AD$4&amp;"]"),Tab_00.Trial[CONTA],$B82)</f>
        <v>0</v>
      </c>
      <c r="AE82" s="78">
        <f t="shared" ca="1" si="106"/>
        <v>0</v>
      </c>
      <c r="AF82" s="78">
        <f t="shared" ca="1" si="107"/>
        <v>0</v>
      </c>
      <c r="AG82" s="4">
        <f ca="1">-SUMIFS(INDIRECT("Tab_00.Trial["&amp;AG$4&amp;"]"),Tab_00.Trial[CONTA],$B82)</f>
        <v>0</v>
      </c>
      <c r="AH82" s="78">
        <f t="shared" ca="1" si="108"/>
        <v>0</v>
      </c>
      <c r="AI82" s="78">
        <f t="shared" ca="1" si="109"/>
        <v>0</v>
      </c>
      <c r="AJ82" s="4">
        <f ca="1">-SUMIFS(INDIRECT("Tab_00.Trial["&amp;AJ$4&amp;"]"),Tab_00.Trial[CONTA],$B82)</f>
        <v>0</v>
      </c>
      <c r="AK82" s="78">
        <f t="shared" ca="1" si="110"/>
        <v>0</v>
      </c>
      <c r="AL82" s="78">
        <f t="shared" ca="1" si="111"/>
        <v>0</v>
      </c>
    </row>
    <row r="83" spans="2:38" ht="15" customHeight="1" outlineLevel="1" x14ac:dyDescent="0.3">
      <c r="B83" s="14" t="s">
        <v>750</v>
      </c>
      <c r="C83" s="14" t="s">
        <v>751</v>
      </c>
      <c r="D83" s="4">
        <f ca="1">-SUMIFS(INDIRECT("Tab_00.Trial["&amp;D$4&amp;"]"),Tab_00.Trial[CONTA],$B83)</f>
        <v>-1171.52</v>
      </c>
      <c r="E83" s="78">
        <f t="shared" ca="1" si="89"/>
        <v>-1.1999999999999999E-3</v>
      </c>
      <c r="F83" s="4">
        <f ca="1">-SUMIFS(INDIRECT("Tab_00.Trial["&amp;F$4&amp;"]"),Tab_00.Trial[CONTA],$B83)</f>
        <v>-2379.9699999999998</v>
      </c>
      <c r="G83" s="78">
        <f t="shared" ca="1" si="91"/>
        <v>-1.1999999999999999E-3</v>
      </c>
      <c r="H83" s="78">
        <f t="shared" ca="1" si="90"/>
        <v>-1.0315000000000001</v>
      </c>
      <c r="I83" s="4">
        <f ca="1">-SUMIFS(INDIRECT("Tab_00.Trial["&amp;I$4&amp;"]"),Tab_00.Trial[CONTA],$B83)</f>
        <v>-3831.84</v>
      </c>
      <c r="J83" s="78">
        <f t="shared" ca="1" si="92"/>
        <v>-1.2999999999999999E-3</v>
      </c>
      <c r="K83" s="78">
        <f t="shared" ca="1" si="93"/>
        <v>-0.61</v>
      </c>
      <c r="L83" s="4">
        <f ca="1">-SUMIFS(INDIRECT("Tab_00.Trial["&amp;L$4&amp;"]"),Tab_00.Trial[CONTA],$B83)</f>
        <v>-4181.33</v>
      </c>
      <c r="M83" s="78">
        <f t="shared" ca="1" si="94"/>
        <v>-1E-3</v>
      </c>
      <c r="N83" s="78">
        <f t="shared" ca="1" si="95"/>
        <v>-9.1200000000000003E-2</v>
      </c>
      <c r="O83" s="4">
        <f ca="1">-SUMIFS(INDIRECT("Tab_00.Trial["&amp;O$4&amp;"]"),Tab_00.Trial[CONTA],$B83)</f>
        <v>-4286.7299999999996</v>
      </c>
      <c r="P83" s="78">
        <f t="shared" ca="1" si="96"/>
        <v>-8.0000000000000004E-4</v>
      </c>
      <c r="Q83" s="78">
        <f t="shared" ca="1" si="97"/>
        <v>-2.52E-2</v>
      </c>
      <c r="R83" s="4">
        <f ca="1">-SUMIFS(INDIRECT("Tab_00.Trial["&amp;R$4&amp;"]"),Tab_00.Trial[CONTA],$B83)</f>
        <v>-4767.33</v>
      </c>
      <c r="S83" s="78">
        <f t="shared" ca="1" si="98"/>
        <v>-8.0000000000000004E-4</v>
      </c>
      <c r="T83" s="78">
        <f t="shared" ca="1" si="99"/>
        <v>-0.11210000000000001</v>
      </c>
      <c r="U83" s="4">
        <f ca="1">-SUMIFS(INDIRECT("Tab_00.Trial["&amp;U$4&amp;"]"),Tab_00.Trial[CONTA],$B83)</f>
        <v>-4482.05</v>
      </c>
      <c r="V83" s="78">
        <f t="shared" ca="1" si="100"/>
        <v>-5.9999999999999995E-4</v>
      </c>
      <c r="W83" s="78">
        <f t="shared" ca="1" si="101"/>
        <v>5.9799999999999999E-2</v>
      </c>
      <c r="X83" s="4">
        <f ca="1">-SUMIFS(INDIRECT("Tab_00.Trial["&amp;X$4&amp;"]"),Tab_00.Trial[CONTA],$B83)</f>
        <v>-5739.29</v>
      </c>
      <c r="Y83" s="78">
        <f t="shared" ca="1" si="102"/>
        <v>-6.9999999999999999E-4</v>
      </c>
      <c r="Z83" s="78">
        <f t="shared" ca="1" si="103"/>
        <v>-0.28050000000000003</v>
      </c>
      <c r="AA83" s="4">
        <f ca="1">-SUMIFS(INDIRECT("Tab_00.Trial["&amp;AA$4&amp;"]"),Tab_00.Trial[CONTA],$B83)</f>
        <v>-7954.19</v>
      </c>
      <c r="AB83" s="78">
        <f t="shared" ca="1" si="104"/>
        <v>-8.0000000000000004E-4</v>
      </c>
      <c r="AC83" s="78">
        <f t="shared" ca="1" si="105"/>
        <v>-0.38590000000000002</v>
      </c>
      <c r="AD83" s="4">
        <f ca="1">-SUMIFS(INDIRECT("Tab_00.Trial["&amp;AD$4&amp;"]"),Tab_00.Trial[CONTA],$B83)</f>
        <v>-6765.41</v>
      </c>
      <c r="AE83" s="78">
        <f t="shared" ca="1" si="106"/>
        <v>-5.9999999999999995E-4</v>
      </c>
      <c r="AF83" s="78">
        <f t="shared" ca="1" si="107"/>
        <v>0.14949999999999999</v>
      </c>
      <c r="AG83" s="4">
        <f ca="1">-SUMIFS(INDIRECT("Tab_00.Trial["&amp;AG$4&amp;"]"),Tab_00.Trial[CONTA],$B83)</f>
        <v>-5580.85</v>
      </c>
      <c r="AH83" s="78">
        <f t="shared" ca="1" si="108"/>
        <v>-5.0000000000000001E-4</v>
      </c>
      <c r="AI83" s="78">
        <f t="shared" ca="1" si="109"/>
        <v>0.17510000000000001</v>
      </c>
      <c r="AJ83" s="4">
        <f ca="1">-SUMIFS(INDIRECT("Tab_00.Trial["&amp;AJ$4&amp;"]"),Tab_00.Trial[CONTA],$B83)</f>
        <v>-4265.72</v>
      </c>
      <c r="AK83" s="78">
        <f t="shared" ca="1" si="110"/>
        <v>-2.9999999999999997E-4</v>
      </c>
      <c r="AL83" s="78">
        <f t="shared" ca="1" si="111"/>
        <v>0.23569999999999999</v>
      </c>
    </row>
    <row r="84" spans="2:38" ht="15" customHeight="1" outlineLevel="1" x14ac:dyDescent="0.3">
      <c r="B84" s="14" t="s">
        <v>775</v>
      </c>
      <c r="C84" s="14" t="s">
        <v>749</v>
      </c>
      <c r="D84" s="4">
        <f ca="1">-SUMIFS(INDIRECT("Tab_00.Trial["&amp;D$4&amp;"]"),Tab_00.Trial[CONTA],$B84)</f>
        <v>0</v>
      </c>
      <c r="E84" s="78">
        <f t="shared" ca="1" si="89"/>
        <v>0</v>
      </c>
      <c r="F84" s="4">
        <f ca="1">-SUMIFS(INDIRECT("Tab_00.Trial["&amp;F$4&amp;"]"),Tab_00.Trial[CONTA],$B84)</f>
        <v>-85959.77</v>
      </c>
      <c r="G84" s="78">
        <f t="shared" ca="1" si="91"/>
        <v>-4.4600000000000001E-2</v>
      </c>
      <c r="H84" s="78">
        <f t="shared" ca="1" si="90"/>
        <v>0</v>
      </c>
      <c r="I84" s="4">
        <f ca="1">-SUMIFS(INDIRECT("Tab_00.Trial["&amp;I$4&amp;"]"),Tab_00.Trial[CONTA],$B84)</f>
        <v>-85959.77</v>
      </c>
      <c r="J84" s="78">
        <f t="shared" ca="1" si="92"/>
        <v>-2.8899999999999999E-2</v>
      </c>
      <c r="K84" s="78">
        <f t="shared" ca="1" si="93"/>
        <v>0</v>
      </c>
      <c r="L84" s="4">
        <f ca="1">-SUMIFS(INDIRECT("Tab_00.Trial["&amp;L$4&amp;"]"),Tab_00.Trial[CONTA],$B84)</f>
        <v>-85959.77</v>
      </c>
      <c r="M84" s="78">
        <f t="shared" ca="1" si="94"/>
        <v>-2.1100000000000001E-2</v>
      </c>
      <c r="N84" s="78">
        <f t="shared" ca="1" si="95"/>
        <v>0</v>
      </c>
      <c r="O84" s="4">
        <f ca="1">-SUMIFS(INDIRECT("Tab_00.Trial["&amp;O$4&amp;"]"),Tab_00.Trial[CONTA],$B84)</f>
        <v>-85959.77</v>
      </c>
      <c r="P84" s="78">
        <f t="shared" ca="1" si="96"/>
        <v>-1.6199999999999999E-2</v>
      </c>
      <c r="Q84" s="78">
        <f t="shared" ca="1" si="97"/>
        <v>0</v>
      </c>
      <c r="R84" s="4">
        <f ca="1">-SUMIFS(INDIRECT("Tab_00.Trial["&amp;R$4&amp;"]"),Tab_00.Trial[CONTA],$B84)</f>
        <v>-85959.77</v>
      </c>
      <c r="S84" s="78">
        <f t="shared" ca="1" si="98"/>
        <v>-1.3599999999999999E-2</v>
      </c>
      <c r="T84" s="78">
        <f t="shared" ca="1" si="99"/>
        <v>0</v>
      </c>
      <c r="U84" s="4">
        <f ca="1">-SUMIFS(INDIRECT("Tab_00.Trial["&amp;U$4&amp;"]"),Tab_00.Trial[CONTA],$B84)</f>
        <v>-85959.77</v>
      </c>
      <c r="V84" s="78">
        <f t="shared" ca="1" si="100"/>
        <v>-1.17E-2</v>
      </c>
      <c r="W84" s="78">
        <f t="shared" ca="1" si="101"/>
        <v>0</v>
      </c>
      <c r="X84" s="4">
        <f ca="1">-SUMIFS(INDIRECT("Tab_00.Trial["&amp;X$4&amp;"]"),Tab_00.Trial[CONTA],$B84)</f>
        <v>-85959.77</v>
      </c>
      <c r="Y84" s="78">
        <f t="shared" ca="1" si="102"/>
        <v>-1.0200000000000001E-2</v>
      </c>
      <c r="Z84" s="78">
        <f t="shared" ca="1" si="103"/>
        <v>0</v>
      </c>
      <c r="AA84" s="4">
        <f ca="1">-SUMIFS(INDIRECT("Tab_00.Trial["&amp;AA$4&amp;"]"),Tab_00.Trial[CONTA],$B84)</f>
        <v>-85959.77</v>
      </c>
      <c r="AB84" s="78">
        <f t="shared" ca="1" si="104"/>
        <v>-9.1999999999999998E-3</v>
      </c>
      <c r="AC84" s="78">
        <f t="shared" ca="1" si="105"/>
        <v>0</v>
      </c>
      <c r="AD84" s="4">
        <f ca="1">-SUMIFS(INDIRECT("Tab_00.Trial["&amp;AD$4&amp;"]"),Tab_00.Trial[CONTA],$B84)</f>
        <v>-85959.77</v>
      </c>
      <c r="AE84" s="78">
        <f t="shared" ca="1" si="106"/>
        <v>-8.0999999999999996E-3</v>
      </c>
      <c r="AF84" s="78">
        <f t="shared" ca="1" si="107"/>
        <v>0</v>
      </c>
      <c r="AG84" s="4">
        <f ca="1">-SUMIFS(INDIRECT("Tab_00.Trial["&amp;AG$4&amp;"]"),Tab_00.Trial[CONTA],$B84)</f>
        <v>-85959.77</v>
      </c>
      <c r="AH84" s="78">
        <f t="shared" ca="1" si="108"/>
        <v>-7.4000000000000003E-3</v>
      </c>
      <c r="AI84" s="78">
        <f t="shared" ca="1" si="109"/>
        <v>0</v>
      </c>
      <c r="AJ84" s="4">
        <f ca="1">-SUMIFS(INDIRECT("Tab_00.Trial["&amp;AJ$4&amp;"]"),Tab_00.Trial[CONTA],$B84)</f>
        <v>-85959.77</v>
      </c>
      <c r="AK84" s="78">
        <f t="shared" ca="1" si="110"/>
        <v>-6.6E-3</v>
      </c>
      <c r="AL84" s="78">
        <f t="shared" ca="1" si="111"/>
        <v>0</v>
      </c>
    </row>
    <row r="85" spans="2:38" ht="15" customHeight="1" outlineLevel="1" x14ac:dyDescent="0.3">
      <c r="B85" s="14" t="s">
        <v>790</v>
      </c>
      <c r="C85" s="14" t="s">
        <v>791</v>
      </c>
      <c r="D85" s="4">
        <f ca="1">-SUMIFS(INDIRECT("Tab_00.Trial["&amp;D$4&amp;"]"),Tab_00.Trial[CONTA],$B85)</f>
        <v>-49658.59</v>
      </c>
      <c r="E85" s="78">
        <f t="shared" ca="1" si="89"/>
        <v>-5.2299999999999999E-2</v>
      </c>
      <c r="F85" s="4">
        <f ca="1">-SUMIFS(INDIRECT("Tab_00.Trial["&amp;F$4&amp;"]"),Tab_00.Trial[CONTA],$B85)</f>
        <v>-33779.15</v>
      </c>
      <c r="G85" s="78">
        <f t="shared" ca="1" si="91"/>
        <v>-1.7500000000000002E-2</v>
      </c>
      <c r="H85" s="78">
        <f t="shared" ca="1" si="90"/>
        <v>0.31979999999999997</v>
      </c>
      <c r="I85" s="4">
        <f ca="1">-SUMIFS(INDIRECT("Tab_00.Trial["&amp;I$4&amp;"]"),Tab_00.Trial[CONTA],$B85)</f>
        <v>-36497.67</v>
      </c>
      <c r="J85" s="78">
        <f t="shared" ca="1" si="92"/>
        <v>-1.23E-2</v>
      </c>
      <c r="K85" s="78">
        <f t="shared" ca="1" si="93"/>
        <v>-8.0500000000000002E-2</v>
      </c>
      <c r="L85" s="4">
        <f ca="1">-SUMIFS(INDIRECT("Tab_00.Trial["&amp;L$4&amp;"]"),Tab_00.Trial[CONTA],$B85)</f>
        <v>-38252.639999999999</v>
      </c>
      <c r="M85" s="78">
        <f t="shared" ca="1" si="94"/>
        <v>-9.4000000000000004E-3</v>
      </c>
      <c r="N85" s="78">
        <f t="shared" ca="1" si="95"/>
        <v>-4.8099999999999997E-2</v>
      </c>
      <c r="O85" s="4">
        <f ca="1">-SUMIFS(INDIRECT("Tab_00.Trial["&amp;O$4&amp;"]"),Tab_00.Trial[CONTA],$B85)</f>
        <v>-40055.42</v>
      </c>
      <c r="P85" s="78">
        <f t="shared" ca="1" si="96"/>
        <v>-7.6E-3</v>
      </c>
      <c r="Q85" s="78">
        <f t="shared" ca="1" si="97"/>
        <v>-4.7100000000000003E-2</v>
      </c>
      <c r="R85" s="4">
        <f ca="1">-SUMIFS(INDIRECT("Tab_00.Trial["&amp;R$4&amp;"]"),Tab_00.Trial[CONTA],$B85)</f>
        <v>-41858.21</v>
      </c>
      <c r="S85" s="78">
        <f t="shared" ca="1" si="98"/>
        <v>-6.6E-3</v>
      </c>
      <c r="T85" s="78">
        <f t="shared" ca="1" si="99"/>
        <v>-4.4999999999999998E-2</v>
      </c>
      <c r="U85" s="4">
        <f ca="1">-SUMIFS(INDIRECT("Tab_00.Trial["&amp;U$4&amp;"]"),Tab_00.Trial[CONTA],$B85)</f>
        <v>-43660.94</v>
      </c>
      <c r="V85" s="78">
        <f t="shared" ca="1" si="100"/>
        <v>-5.8999999999999999E-3</v>
      </c>
      <c r="W85" s="78">
        <f t="shared" ca="1" si="101"/>
        <v>-4.3099999999999999E-2</v>
      </c>
      <c r="X85" s="4">
        <f ca="1">-SUMIFS(INDIRECT("Tab_00.Trial["&amp;X$4&amp;"]"),Tab_00.Trial[CONTA],$B85)</f>
        <v>-45463.69</v>
      </c>
      <c r="Y85" s="78">
        <f t="shared" ca="1" si="102"/>
        <v>-5.4000000000000003E-3</v>
      </c>
      <c r="Z85" s="78">
        <f t="shared" ca="1" si="103"/>
        <v>-4.1300000000000003E-2</v>
      </c>
      <c r="AA85" s="4">
        <f ca="1">-SUMIFS(INDIRECT("Tab_00.Trial["&amp;AA$4&amp;"]"),Tab_00.Trial[CONTA],$B85)</f>
        <v>-39794.730000000003</v>
      </c>
      <c r="AB85" s="78">
        <f t="shared" ca="1" si="104"/>
        <v>-4.1999999999999997E-3</v>
      </c>
      <c r="AC85" s="78">
        <f t="shared" ca="1" si="105"/>
        <v>0.12470000000000001</v>
      </c>
      <c r="AD85" s="4">
        <f ca="1">-SUMIFS(INDIRECT("Tab_00.Trial["&amp;AD$4&amp;"]"),Tab_00.Trial[CONTA],$B85)</f>
        <v>-43155.22</v>
      </c>
      <c r="AE85" s="78">
        <f t="shared" ca="1" si="106"/>
        <v>-4.1000000000000003E-3</v>
      </c>
      <c r="AF85" s="78">
        <f t="shared" ca="1" si="107"/>
        <v>-8.4400000000000003E-2</v>
      </c>
      <c r="AG85" s="4">
        <f ca="1">-SUMIFS(INDIRECT("Tab_00.Trial["&amp;AG$4&amp;"]"),Tab_00.Trial[CONTA],$B85)</f>
        <v>-46469.52</v>
      </c>
      <c r="AH85" s="78">
        <f t="shared" ca="1" si="108"/>
        <v>-4.0000000000000001E-3</v>
      </c>
      <c r="AI85" s="78">
        <f t="shared" ca="1" si="109"/>
        <v>-7.6799999999999993E-2</v>
      </c>
      <c r="AJ85" s="4">
        <f ca="1">-SUMIFS(INDIRECT("Tab_00.Trial["&amp;AJ$4&amp;"]"),Tab_00.Trial[CONTA],$B85)</f>
        <v>-49829.94</v>
      </c>
      <c r="AK85" s="78">
        <f t="shared" ca="1" si="110"/>
        <v>-3.8E-3</v>
      </c>
      <c r="AL85" s="78">
        <f t="shared" ca="1" si="111"/>
        <v>-7.2300000000000003E-2</v>
      </c>
    </row>
    <row r="86" spans="2:38" ht="15" customHeight="1" outlineLevel="1" x14ac:dyDescent="0.3">
      <c r="B86" s="14" t="s">
        <v>792</v>
      </c>
      <c r="C86" s="14" t="s">
        <v>793</v>
      </c>
      <c r="D86" s="4">
        <f ca="1">-SUMIFS(INDIRECT("Tab_00.Trial["&amp;D$4&amp;"]"),Tab_00.Trial[CONTA],$B86)</f>
        <v>-179.93</v>
      </c>
      <c r="E86" s="78">
        <f t="shared" ca="1" si="89"/>
        <v>-2.0000000000000001E-4</v>
      </c>
      <c r="F86" s="4">
        <f ca="1">-SUMIFS(INDIRECT("Tab_00.Trial["&amp;F$4&amp;"]"),Tab_00.Trial[CONTA],$B86)</f>
        <v>-672.71</v>
      </c>
      <c r="G86" s="78">
        <f t="shared" ca="1" si="91"/>
        <v>-2.9999999999999997E-4</v>
      </c>
      <c r="H86" s="78">
        <f t="shared" ca="1" si="90"/>
        <v>-2.7387000000000001</v>
      </c>
      <c r="I86" s="4">
        <f ca="1">-SUMIFS(INDIRECT("Tab_00.Trial["&amp;I$4&amp;"]"),Tab_00.Trial[CONTA],$B86)</f>
        <v>-1138.78</v>
      </c>
      <c r="J86" s="78">
        <f t="shared" ca="1" si="92"/>
        <v>-4.0000000000000002E-4</v>
      </c>
      <c r="K86" s="78">
        <f t="shared" ca="1" si="93"/>
        <v>-0.69279999999999997</v>
      </c>
      <c r="L86" s="4">
        <f ca="1">-SUMIFS(INDIRECT("Tab_00.Trial["&amp;L$4&amp;"]"),Tab_00.Trial[CONTA],$B86)</f>
        <v>-1441.01</v>
      </c>
      <c r="M86" s="78">
        <f t="shared" ca="1" si="94"/>
        <v>-4.0000000000000002E-4</v>
      </c>
      <c r="N86" s="78">
        <f t="shared" ca="1" si="95"/>
        <v>-0.26540000000000002</v>
      </c>
      <c r="O86" s="4">
        <f ca="1">-SUMIFS(INDIRECT("Tab_00.Trial["&amp;O$4&amp;"]"),Tab_00.Trial[CONTA],$B86)</f>
        <v>-1979.14</v>
      </c>
      <c r="P86" s="78">
        <f t="shared" ca="1" si="96"/>
        <v>-4.0000000000000002E-4</v>
      </c>
      <c r="Q86" s="78">
        <f t="shared" ca="1" si="97"/>
        <v>-0.37340000000000001</v>
      </c>
      <c r="R86" s="4">
        <f ca="1">-SUMIFS(INDIRECT("Tab_00.Trial["&amp;R$4&amp;"]"),Tab_00.Trial[CONTA],$B86)</f>
        <v>-2517.27</v>
      </c>
      <c r="S86" s="78">
        <f t="shared" ca="1" si="98"/>
        <v>-4.0000000000000002E-4</v>
      </c>
      <c r="T86" s="78">
        <f t="shared" ca="1" si="99"/>
        <v>-0.27189999999999998</v>
      </c>
      <c r="U86" s="4">
        <f ca="1">-SUMIFS(INDIRECT("Tab_00.Trial["&amp;U$4&amp;"]"),Tab_00.Trial[CONTA],$B86)</f>
        <v>-3055.4</v>
      </c>
      <c r="V86" s="78">
        <f t="shared" ca="1" si="100"/>
        <v>-4.0000000000000002E-4</v>
      </c>
      <c r="W86" s="78">
        <f t="shared" ca="1" si="101"/>
        <v>-0.21379999999999999</v>
      </c>
      <c r="X86" s="4">
        <f ca="1">-SUMIFS(INDIRECT("Tab_00.Trial["&amp;X$4&amp;"]"),Tab_00.Trial[CONTA],$B86)</f>
        <v>-3593.54</v>
      </c>
      <c r="Y86" s="78">
        <f t="shared" ca="1" si="102"/>
        <v>-4.0000000000000002E-4</v>
      </c>
      <c r="Z86" s="78">
        <f t="shared" ca="1" si="103"/>
        <v>-0.17610000000000001</v>
      </c>
      <c r="AA86" s="4">
        <f ca="1">-SUMIFS(INDIRECT("Tab_00.Trial["&amp;AA$4&amp;"]"),Tab_00.Trial[CONTA],$B86)</f>
        <v>-1901.31</v>
      </c>
      <c r="AB86" s="78">
        <f t="shared" ca="1" si="104"/>
        <v>-2.0000000000000001E-4</v>
      </c>
      <c r="AC86" s="78">
        <f t="shared" ca="1" si="105"/>
        <v>0.47089999999999999</v>
      </c>
      <c r="AD86" s="4">
        <f ca="1">-SUMIFS(INDIRECT("Tab_00.Trial["&amp;AD$4&amp;"]"),Tab_00.Trial[CONTA],$B86)</f>
        <v>-2904.43</v>
      </c>
      <c r="AE86" s="78">
        <f t="shared" ca="1" si="106"/>
        <v>-2.9999999999999997E-4</v>
      </c>
      <c r="AF86" s="78">
        <f t="shared" ca="1" si="107"/>
        <v>-0.52759999999999996</v>
      </c>
      <c r="AG86" s="4">
        <f ca="1">-SUMIFS(INDIRECT("Tab_00.Trial["&amp;AG$4&amp;"]"),Tab_00.Trial[CONTA],$B86)</f>
        <v>-3853.21</v>
      </c>
      <c r="AH86" s="78">
        <f t="shared" ca="1" si="108"/>
        <v>-2.9999999999999997E-4</v>
      </c>
      <c r="AI86" s="78">
        <f t="shared" ca="1" si="109"/>
        <v>-0.32669999999999999</v>
      </c>
      <c r="AJ86" s="4">
        <f ca="1">-SUMIFS(INDIRECT("Tab_00.Trial["&amp;AJ$4&amp;"]"),Tab_00.Trial[CONTA],$B86)</f>
        <v>-4856.3100000000004</v>
      </c>
      <c r="AK86" s="78">
        <f t="shared" ca="1" si="110"/>
        <v>-4.0000000000000002E-4</v>
      </c>
      <c r="AL86" s="78">
        <f t="shared" ca="1" si="111"/>
        <v>-0.26029999999999998</v>
      </c>
    </row>
    <row r="87" spans="2:38" ht="15" customHeight="1" outlineLevel="1" x14ac:dyDescent="0.3">
      <c r="B87" s="14" t="s">
        <v>794</v>
      </c>
      <c r="C87" s="14" t="s">
        <v>795</v>
      </c>
      <c r="D87" s="4">
        <f ca="1">-SUMIFS(INDIRECT("Tab_00.Trial["&amp;D$4&amp;"]"),Tab_00.Trial[CONTA],$B87)</f>
        <v>-67.97</v>
      </c>
      <c r="E87" s="78">
        <f t="shared" ca="1" si="89"/>
        <v>-1E-4</v>
      </c>
      <c r="F87" s="4">
        <f ca="1">-SUMIFS(INDIRECT("Tab_00.Trial["&amp;F$4&amp;"]"),Tab_00.Trial[CONTA],$B87)</f>
        <v>-45.28</v>
      </c>
      <c r="G87" s="78">
        <f t="shared" ca="1" si="91"/>
        <v>0</v>
      </c>
      <c r="H87" s="78">
        <f t="shared" ca="1" si="90"/>
        <v>0.33379999999999999</v>
      </c>
      <c r="I87" s="4">
        <f ca="1">-SUMIFS(INDIRECT("Tab_00.Trial["&amp;I$4&amp;"]"),Tab_00.Trial[CONTA],$B87)</f>
        <v>-114.43</v>
      </c>
      <c r="J87" s="78">
        <f t="shared" ca="1" si="92"/>
        <v>0</v>
      </c>
      <c r="K87" s="78">
        <f t="shared" ca="1" si="93"/>
        <v>-1.5271999999999999</v>
      </c>
      <c r="L87" s="4">
        <f ca="1">-SUMIFS(INDIRECT("Tab_00.Trial["&amp;L$4&amp;"]"),Tab_00.Trial[CONTA],$B87)</f>
        <v>-187.72</v>
      </c>
      <c r="M87" s="78">
        <f t="shared" ca="1" si="94"/>
        <v>0</v>
      </c>
      <c r="N87" s="78">
        <f t="shared" ca="1" si="95"/>
        <v>-0.64049999999999996</v>
      </c>
      <c r="O87" s="4">
        <f ca="1">-SUMIFS(INDIRECT("Tab_00.Trial["&amp;O$4&amp;"]"),Tab_00.Trial[CONTA],$B87)</f>
        <v>-263.23</v>
      </c>
      <c r="P87" s="78">
        <f t="shared" ca="1" si="96"/>
        <v>0</v>
      </c>
      <c r="Q87" s="78">
        <f t="shared" ca="1" si="97"/>
        <v>-0.4022</v>
      </c>
      <c r="R87" s="4">
        <f ca="1">-SUMIFS(INDIRECT("Tab_00.Trial["&amp;R$4&amp;"]"),Tab_00.Trial[CONTA],$B87)</f>
        <v>-330.49</v>
      </c>
      <c r="S87" s="78">
        <f t="shared" ca="1" si="98"/>
        <v>-1E-4</v>
      </c>
      <c r="T87" s="78">
        <f t="shared" ca="1" si="99"/>
        <v>-0.2555</v>
      </c>
      <c r="U87" s="4">
        <f ca="1">-SUMIFS(INDIRECT("Tab_00.Trial["&amp;U$4&amp;"]"),Tab_00.Trial[CONTA],$B87)</f>
        <v>-397.77</v>
      </c>
      <c r="V87" s="78">
        <f t="shared" ca="1" si="100"/>
        <v>-1E-4</v>
      </c>
      <c r="W87" s="78">
        <f t="shared" ca="1" si="101"/>
        <v>-0.2036</v>
      </c>
      <c r="X87" s="4">
        <f ca="1">-SUMIFS(INDIRECT("Tab_00.Trial["&amp;X$4&amp;"]"),Tab_00.Trial[CONTA],$B87)</f>
        <v>-465.03</v>
      </c>
      <c r="Y87" s="78">
        <f t="shared" ca="1" si="102"/>
        <v>-1E-4</v>
      </c>
      <c r="Z87" s="78">
        <f t="shared" ca="1" si="103"/>
        <v>-0.1691</v>
      </c>
      <c r="AA87" s="4">
        <f ca="1">-SUMIFS(INDIRECT("Tab_00.Trial["&amp;AA$4&amp;"]"),Tab_00.Trial[CONTA],$B87)</f>
        <v>-365.56</v>
      </c>
      <c r="AB87" s="78">
        <f t="shared" ca="1" si="104"/>
        <v>0</v>
      </c>
      <c r="AC87" s="78">
        <f t="shared" ca="1" si="105"/>
        <v>0.21390000000000001</v>
      </c>
      <c r="AD87" s="4">
        <f ca="1">-SUMIFS(INDIRECT("Tab_00.Trial["&amp;AD$4&amp;"]"),Tab_00.Trial[CONTA],$B87)</f>
        <v>-365.56</v>
      </c>
      <c r="AE87" s="78">
        <f t="shared" ca="1" si="106"/>
        <v>0</v>
      </c>
      <c r="AF87" s="78">
        <f t="shared" ca="1" si="107"/>
        <v>0</v>
      </c>
      <c r="AG87" s="4">
        <f ca="1">-SUMIFS(INDIRECT("Tab_00.Trial["&amp;AG$4&amp;"]"),Tab_00.Trial[CONTA],$B87)</f>
        <v>-365.56</v>
      </c>
      <c r="AH87" s="78">
        <f t="shared" ca="1" si="108"/>
        <v>0</v>
      </c>
      <c r="AI87" s="78">
        <f t="shared" ca="1" si="109"/>
        <v>0</v>
      </c>
      <c r="AJ87" s="4">
        <f ca="1">-SUMIFS(INDIRECT("Tab_00.Trial["&amp;AJ$4&amp;"]"),Tab_00.Trial[CONTA],$B87)</f>
        <v>-365.56</v>
      </c>
      <c r="AK87" s="78">
        <f t="shared" ca="1" si="110"/>
        <v>0</v>
      </c>
      <c r="AL87" s="78">
        <f t="shared" ca="1" si="111"/>
        <v>0</v>
      </c>
    </row>
    <row r="88" spans="2:38" ht="15" customHeight="1" outlineLevel="1" x14ac:dyDescent="0.3">
      <c r="B88" s="14" t="s">
        <v>796</v>
      </c>
      <c r="C88" s="14" t="s">
        <v>797</v>
      </c>
      <c r="D88" s="4">
        <f ca="1">-SUMIFS(INDIRECT("Tab_00.Trial["&amp;D$4&amp;"]"),Tab_00.Trial[CONTA],$B88)</f>
        <v>-1352.06</v>
      </c>
      <c r="E88" s="78">
        <f t="shared" ca="1" si="89"/>
        <v>-1.4E-3</v>
      </c>
      <c r="F88" s="4">
        <f ca="1">-SUMIFS(INDIRECT("Tab_00.Trial["&amp;F$4&amp;"]"),Tab_00.Trial[CONTA],$B88)</f>
        <v>-2704.08</v>
      </c>
      <c r="G88" s="78">
        <f t="shared" ca="1" si="91"/>
        <v>-1.4E-3</v>
      </c>
      <c r="H88" s="78">
        <f t="shared" ca="1" si="90"/>
        <v>-1</v>
      </c>
      <c r="I88" s="4">
        <f ca="1">-SUMIFS(INDIRECT("Tab_00.Trial["&amp;I$4&amp;"]"),Tab_00.Trial[CONTA],$B88)</f>
        <v>-4056.14</v>
      </c>
      <c r="J88" s="78">
        <f t="shared" ca="1" si="92"/>
        <v>-1.4E-3</v>
      </c>
      <c r="K88" s="78">
        <f t="shared" ca="1" si="93"/>
        <v>-0.5</v>
      </c>
      <c r="L88" s="4">
        <f ca="1">-SUMIFS(INDIRECT("Tab_00.Trial["&amp;L$4&amp;"]"),Tab_00.Trial[CONTA],$B88)</f>
        <v>-5408.21</v>
      </c>
      <c r="M88" s="78">
        <f t="shared" ca="1" si="94"/>
        <v>-1.2999999999999999E-3</v>
      </c>
      <c r="N88" s="78">
        <f t="shared" ca="1" si="95"/>
        <v>-0.33329999999999999</v>
      </c>
      <c r="O88" s="4">
        <f ca="1">-SUMIFS(INDIRECT("Tab_00.Trial["&amp;O$4&amp;"]"),Tab_00.Trial[CONTA],$B88)</f>
        <v>-6760.31</v>
      </c>
      <c r="P88" s="78">
        <f t="shared" ca="1" si="96"/>
        <v>-1.2999999999999999E-3</v>
      </c>
      <c r="Q88" s="78">
        <f t="shared" ca="1" si="97"/>
        <v>-0.25</v>
      </c>
      <c r="R88" s="4">
        <f ca="1">-SUMIFS(INDIRECT("Tab_00.Trial["&amp;R$4&amp;"]"),Tab_00.Trial[CONTA],$B88)</f>
        <v>-8112.36</v>
      </c>
      <c r="S88" s="78">
        <f t="shared" ca="1" si="98"/>
        <v>-1.2999999999999999E-3</v>
      </c>
      <c r="T88" s="78">
        <f t="shared" ca="1" si="99"/>
        <v>-0.2</v>
      </c>
      <c r="U88" s="4">
        <f ca="1">-SUMIFS(INDIRECT("Tab_00.Trial["&amp;U$4&amp;"]"),Tab_00.Trial[CONTA],$B88)</f>
        <v>-9807.86</v>
      </c>
      <c r="V88" s="78">
        <f t="shared" ca="1" si="100"/>
        <v>-1.2999999999999999E-3</v>
      </c>
      <c r="W88" s="78">
        <f t="shared" ca="1" si="101"/>
        <v>-0.20899999999999999</v>
      </c>
      <c r="X88" s="4">
        <f ca="1">-SUMIFS(INDIRECT("Tab_00.Trial["&amp;X$4&amp;"]"),Tab_00.Trial[CONTA],$B88)</f>
        <v>-11159.93</v>
      </c>
      <c r="Y88" s="78">
        <f t="shared" ca="1" si="102"/>
        <v>-1.2999999999999999E-3</v>
      </c>
      <c r="Z88" s="78">
        <f t="shared" ca="1" si="103"/>
        <v>-0.13789999999999999</v>
      </c>
      <c r="AA88" s="4">
        <f ca="1">-SUMIFS(INDIRECT("Tab_00.Trial["&amp;AA$4&amp;"]"),Tab_00.Trial[CONTA],$B88)</f>
        <v>-12943.65</v>
      </c>
      <c r="AB88" s="78">
        <f t="shared" ca="1" si="104"/>
        <v>-1.4E-3</v>
      </c>
      <c r="AC88" s="78">
        <f t="shared" ca="1" si="105"/>
        <v>-0.1598</v>
      </c>
      <c r="AD88" s="4">
        <f ca="1">-SUMIFS(INDIRECT("Tab_00.Trial["&amp;AD$4&amp;"]"),Tab_00.Trial[CONTA],$B88)</f>
        <v>-12943.65</v>
      </c>
      <c r="AE88" s="78">
        <f t="shared" ca="1" si="106"/>
        <v>-1.1999999999999999E-3</v>
      </c>
      <c r="AF88" s="78">
        <f t="shared" ca="1" si="107"/>
        <v>0</v>
      </c>
      <c r="AG88" s="4">
        <f ca="1">-SUMIFS(INDIRECT("Tab_00.Trial["&amp;AG$4&amp;"]"),Tab_00.Trial[CONTA],$B88)</f>
        <v>-12943.65</v>
      </c>
      <c r="AH88" s="78">
        <f t="shared" ca="1" si="108"/>
        <v>-1.1000000000000001E-3</v>
      </c>
      <c r="AI88" s="78">
        <f t="shared" ca="1" si="109"/>
        <v>0</v>
      </c>
      <c r="AJ88" s="4">
        <f ca="1">-SUMIFS(INDIRECT("Tab_00.Trial["&amp;AJ$4&amp;"]"),Tab_00.Trial[CONTA],$B88)</f>
        <v>-13933.39</v>
      </c>
      <c r="AK88" s="78">
        <f t="shared" ca="1" si="110"/>
        <v>-1.1000000000000001E-3</v>
      </c>
      <c r="AL88" s="78">
        <f t="shared" ca="1" si="111"/>
        <v>-7.6499999999999999E-2</v>
      </c>
    </row>
    <row r="89" spans="2:38" ht="15" customHeight="1" outlineLevel="1" x14ac:dyDescent="0.3">
      <c r="B89" s="14" t="s">
        <v>798</v>
      </c>
      <c r="C89" s="14" t="s">
        <v>799</v>
      </c>
      <c r="D89" s="4">
        <f ca="1">-SUMIFS(INDIRECT("Tab_00.Trial["&amp;D$4&amp;"]"),Tab_00.Trial[CONTA],$B89)</f>
        <v>-403.57</v>
      </c>
      <c r="E89" s="78">
        <f t="shared" ca="1" si="89"/>
        <v>-4.0000000000000002E-4</v>
      </c>
      <c r="F89" s="4">
        <f ca="1">-SUMIFS(INDIRECT("Tab_00.Trial["&amp;F$4&amp;"]"),Tab_00.Trial[CONTA],$B89)</f>
        <v>-807.18</v>
      </c>
      <c r="G89" s="78">
        <f t="shared" ca="1" si="91"/>
        <v>-4.0000000000000002E-4</v>
      </c>
      <c r="H89" s="78">
        <f t="shared" ca="1" si="90"/>
        <v>-1.0001</v>
      </c>
      <c r="I89" s="4">
        <f ca="1">-SUMIFS(INDIRECT("Tab_00.Trial["&amp;I$4&amp;"]"),Tab_00.Trial[CONTA],$B89)</f>
        <v>-1210.78</v>
      </c>
      <c r="J89" s="78">
        <f t="shared" ca="1" si="92"/>
        <v>-4.0000000000000002E-4</v>
      </c>
      <c r="K89" s="78">
        <f t="shared" ca="1" si="93"/>
        <v>-0.5</v>
      </c>
      <c r="L89" s="4">
        <f ca="1">-SUMIFS(INDIRECT("Tab_00.Trial["&amp;L$4&amp;"]"),Tab_00.Trial[CONTA],$B89)</f>
        <v>-1614.37</v>
      </c>
      <c r="M89" s="78">
        <f t="shared" ca="1" si="94"/>
        <v>-4.0000000000000002E-4</v>
      </c>
      <c r="N89" s="78">
        <f t="shared" ca="1" si="95"/>
        <v>-0.33329999999999999</v>
      </c>
      <c r="O89" s="4">
        <f ca="1">-SUMIFS(INDIRECT("Tab_00.Trial["&amp;O$4&amp;"]"),Tab_00.Trial[CONTA],$B89)</f>
        <v>-2017.98</v>
      </c>
      <c r="P89" s="78">
        <f t="shared" ca="1" si="96"/>
        <v>-4.0000000000000002E-4</v>
      </c>
      <c r="Q89" s="78">
        <f t="shared" ca="1" si="97"/>
        <v>-0.25</v>
      </c>
      <c r="R89" s="4">
        <f ca="1">-SUMIFS(INDIRECT("Tab_00.Trial["&amp;R$4&amp;"]"),Tab_00.Trial[CONTA],$B89)</f>
        <v>-2421.59</v>
      </c>
      <c r="S89" s="78">
        <f t="shared" ca="1" si="98"/>
        <v>-4.0000000000000002E-4</v>
      </c>
      <c r="T89" s="78">
        <f t="shared" ca="1" si="99"/>
        <v>-0.2</v>
      </c>
      <c r="U89" s="4">
        <f ca="1">-SUMIFS(INDIRECT("Tab_00.Trial["&amp;U$4&amp;"]"),Tab_00.Trial[CONTA],$B89)</f>
        <v>-2928</v>
      </c>
      <c r="V89" s="78">
        <f t="shared" ca="1" si="100"/>
        <v>-4.0000000000000002E-4</v>
      </c>
      <c r="W89" s="78">
        <f t="shared" ca="1" si="101"/>
        <v>-0.20910000000000001</v>
      </c>
      <c r="X89" s="4">
        <f ca="1">-SUMIFS(INDIRECT("Tab_00.Trial["&amp;X$4&amp;"]"),Tab_00.Trial[CONTA],$B89)</f>
        <v>-3331.59</v>
      </c>
      <c r="Y89" s="78">
        <f t="shared" ca="1" si="102"/>
        <v>-4.0000000000000002E-4</v>
      </c>
      <c r="Z89" s="78">
        <f t="shared" ca="1" si="103"/>
        <v>-0.13780000000000001</v>
      </c>
      <c r="AA89" s="4">
        <f ca="1">-SUMIFS(INDIRECT("Tab_00.Trial["&amp;AA$4&amp;"]"),Tab_00.Trial[CONTA],$B89)</f>
        <v>-3913</v>
      </c>
      <c r="AB89" s="78">
        <f t="shared" ca="1" si="104"/>
        <v>-4.0000000000000002E-4</v>
      </c>
      <c r="AC89" s="78">
        <f t="shared" ca="1" si="105"/>
        <v>-0.17449999999999999</v>
      </c>
      <c r="AD89" s="4">
        <f ca="1">-SUMIFS(INDIRECT("Tab_00.Trial["&amp;AD$4&amp;"]"),Tab_00.Trial[CONTA],$B89)</f>
        <v>-3913</v>
      </c>
      <c r="AE89" s="78">
        <f t="shared" ca="1" si="106"/>
        <v>-4.0000000000000002E-4</v>
      </c>
      <c r="AF89" s="78">
        <f t="shared" ca="1" si="107"/>
        <v>0</v>
      </c>
      <c r="AG89" s="4">
        <f ca="1">-SUMIFS(INDIRECT("Tab_00.Trial["&amp;AG$4&amp;"]"),Tab_00.Trial[CONTA],$B89)</f>
        <v>-3913</v>
      </c>
      <c r="AH89" s="78">
        <f t="shared" ca="1" si="108"/>
        <v>-2.9999999999999997E-4</v>
      </c>
      <c r="AI89" s="78">
        <f t="shared" ca="1" si="109"/>
        <v>0</v>
      </c>
      <c r="AJ89" s="4">
        <f ca="1">-SUMIFS(INDIRECT("Tab_00.Trial["&amp;AJ$4&amp;"]"),Tab_00.Trial[CONTA],$B89)</f>
        <v>-4216.47</v>
      </c>
      <c r="AK89" s="78">
        <f t="shared" ca="1" si="110"/>
        <v>-2.9999999999999997E-4</v>
      </c>
      <c r="AL89" s="78">
        <f t="shared" ca="1" si="111"/>
        <v>-7.7600000000000002E-2</v>
      </c>
    </row>
    <row r="90" spans="2:38" ht="15" customHeight="1" outlineLevel="1" x14ac:dyDescent="0.3">
      <c r="B90" s="14" t="s">
        <v>800</v>
      </c>
      <c r="C90" s="14" t="s">
        <v>801</v>
      </c>
      <c r="D90" s="4">
        <f ca="1">-SUMIFS(INDIRECT("Tab_00.Trial["&amp;D$4&amp;"]"),Tab_00.Trial[CONTA],$B90)</f>
        <v>-50.45</v>
      </c>
      <c r="E90" s="78">
        <f t="shared" ca="1" si="89"/>
        <v>-1E-4</v>
      </c>
      <c r="F90" s="4">
        <f ca="1">-SUMIFS(INDIRECT("Tab_00.Trial["&amp;F$4&amp;"]"),Tab_00.Trial[CONTA],$B90)</f>
        <v>-100.91</v>
      </c>
      <c r="G90" s="78">
        <f t="shared" ca="1" si="91"/>
        <v>-1E-4</v>
      </c>
      <c r="H90" s="78">
        <f t="shared" ca="1" si="90"/>
        <v>-1.0002</v>
      </c>
      <c r="I90" s="4">
        <f ca="1">-SUMIFS(INDIRECT("Tab_00.Trial["&amp;I$4&amp;"]"),Tab_00.Trial[CONTA],$B90)</f>
        <v>-151.35</v>
      </c>
      <c r="J90" s="78">
        <f t="shared" ca="1" si="92"/>
        <v>-1E-4</v>
      </c>
      <c r="K90" s="78">
        <f t="shared" ca="1" si="93"/>
        <v>-0.49990000000000001</v>
      </c>
      <c r="L90" s="4">
        <f ca="1">-SUMIFS(INDIRECT("Tab_00.Trial["&amp;L$4&amp;"]"),Tab_00.Trial[CONTA],$B90)</f>
        <v>-201.81</v>
      </c>
      <c r="M90" s="78">
        <f t="shared" ca="1" si="94"/>
        <v>0</v>
      </c>
      <c r="N90" s="78">
        <f t="shared" ca="1" si="95"/>
        <v>-0.33339999999999997</v>
      </c>
      <c r="O90" s="4">
        <f ca="1">-SUMIFS(INDIRECT("Tab_00.Trial["&amp;O$4&amp;"]"),Tab_00.Trial[CONTA],$B90)</f>
        <v>-252.24</v>
      </c>
      <c r="P90" s="78">
        <f t="shared" ca="1" si="96"/>
        <v>0</v>
      </c>
      <c r="Q90" s="78">
        <f t="shared" ca="1" si="97"/>
        <v>-0.24990000000000001</v>
      </c>
      <c r="R90" s="4">
        <f ca="1">-SUMIFS(INDIRECT("Tab_00.Trial["&amp;R$4&amp;"]"),Tab_00.Trial[CONTA],$B90)</f>
        <v>-302.69</v>
      </c>
      <c r="S90" s="78">
        <f t="shared" ca="1" si="98"/>
        <v>0</v>
      </c>
      <c r="T90" s="78">
        <f t="shared" ca="1" si="99"/>
        <v>-0.2</v>
      </c>
      <c r="U90" s="4">
        <f ca="1">-SUMIFS(INDIRECT("Tab_00.Trial["&amp;U$4&amp;"]"),Tab_00.Trial[CONTA],$B90)</f>
        <v>-353.14</v>
      </c>
      <c r="V90" s="78">
        <f t="shared" ca="1" si="100"/>
        <v>0</v>
      </c>
      <c r="W90" s="78">
        <f t="shared" ca="1" si="101"/>
        <v>-0.16669999999999999</v>
      </c>
      <c r="X90" s="4">
        <f ca="1">-SUMIFS(INDIRECT("Tab_00.Trial["&amp;X$4&amp;"]"),Tab_00.Trial[CONTA],$B90)</f>
        <v>-403.62</v>
      </c>
      <c r="Y90" s="78">
        <f t="shared" ca="1" si="102"/>
        <v>0</v>
      </c>
      <c r="Z90" s="78">
        <f t="shared" ca="1" si="103"/>
        <v>-0.1429</v>
      </c>
      <c r="AA90" s="4">
        <f ca="1">-SUMIFS(INDIRECT("Tab_00.Trial["&amp;AA$4&amp;"]"),Tab_00.Trial[CONTA],$B90)</f>
        <v>-264.66000000000003</v>
      </c>
      <c r="AB90" s="78">
        <f t="shared" ca="1" si="104"/>
        <v>0</v>
      </c>
      <c r="AC90" s="78">
        <f t="shared" ca="1" si="105"/>
        <v>0.34429999999999999</v>
      </c>
      <c r="AD90" s="4">
        <f ca="1">-SUMIFS(INDIRECT("Tab_00.Trial["&amp;AD$4&amp;"]"),Tab_00.Trial[CONTA],$B90)</f>
        <v>-390.05</v>
      </c>
      <c r="AE90" s="78">
        <f t="shared" ca="1" si="106"/>
        <v>0</v>
      </c>
      <c r="AF90" s="78">
        <f t="shared" ca="1" si="107"/>
        <v>-0.4738</v>
      </c>
      <c r="AG90" s="4">
        <f ca="1">-SUMIFS(INDIRECT("Tab_00.Trial["&amp;AG$4&amp;"]"),Tab_00.Trial[CONTA],$B90)</f>
        <v>-515.46</v>
      </c>
      <c r="AH90" s="78">
        <f t="shared" ca="1" si="108"/>
        <v>0</v>
      </c>
      <c r="AI90" s="78">
        <f t="shared" ca="1" si="109"/>
        <v>-0.32150000000000001</v>
      </c>
      <c r="AJ90" s="4">
        <f ca="1">-SUMIFS(INDIRECT("Tab_00.Trial["&amp;AJ$4&amp;"]"),Tab_00.Trial[CONTA],$B90)</f>
        <v>-667.77</v>
      </c>
      <c r="AK90" s="78">
        <f t="shared" ca="1" si="110"/>
        <v>-1E-4</v>
      </c>
      <c r="AL90" s="78">
        <f t="shared" ca="1" si="111"/>
        <v>-0.29549999999999998</v>
      </c>
    </row>
    <row r="91" spans="2:38" ht="15" customHeight="1" outlineLevel="1" x14ac:dyDescent="0.3">
      <c r="B91" s="14" t="s">
        <v>802</v>
      </c>
      <c r="C91" s="14" t="s">
        <v>791</v>
      </c>
      <c r="D91" s="4">
        <f ca="1">-SUMIFS(INDIRECT("Tab_00.Trial["&amp;D$4&amp;"]"),Tab_00.Trial[CONTA],$B91)</f>
        <v>-862.74</v>
      </c>
      <c r="E91" s="78">
        <f t="shared" ca="1" si="89"/>
        <v>-8.9999999999999998E-4</v>
      </c>
      <c r="F91" s="4">
        <f ca="1">-SUMIFS(INDIRECT("Tab_00.Trial["&amp;F$4&amp;"]"),Tab_00.Trial[CONTA],$B91)</f>
        <v>-862.74</v>
      </c>
      <c r="G91" s="78">
        <f t="shared" ca="1" si="91"/>
        <v>-4.0000000000000002E-4</v>
      </c>
      <c r="H91" s="78">
        <f t="shared" ca="1" si="90"/>
        <v>0</v>
      </c>
      <c r="I91" s="4">
        <f ca="1">-SUMIFS(INDIRECT("Tab_00.Trial["&amp;I$4&amp;"]"),Tab_00.Trial[CONTA],$B91)</f>
        <v>-862.74</v>
      </c>
      <c r="J91" s="78">
        <f t="shared" ca="1" si="92"/>
        <v>-2.9999999999999997E-4</v>
      </c>
      <c r="K91" s="78">
        <f t="shared" ca="1" si="93"/>
        <v>0</v>
      </c>
      <c r="L91" s="4">
        <f ca="1">-SUMIFS(INDIRECT("Tab_00.Trial["&amp;L$4&amp;"]"),Tab_00.Trial[CONTA],$B91)</f>
        <v>-2019.89</v>
      </c>
      <c r="M91" s="78">
        <f t="shared" ca="1" si="94"/>
        <v>-5.0000000000000001E-4</v>
      </c>
      <c r="N91" s="78">
        <f t="shared" ca="1" si="95"/>
        <v>-1.3411999999999999</v>
      </c>
      <c r="O91" s="4">
        <f ca="1">-SUMIFS(INDIRECT("Tab_00.Trial["&amp;O$4&amp;"]"),Tab_00.Trial[CONTA],$B91)</f>
        <v>-3272.33</v>
      </c>
      <c r="P91" s="78">
        <f t="shared" ca="1" si="96"/>
        <v>-5.9999999999999995E-4</v>
      </c>
      <c r="Q91" s="78">
        <f t="shared" ca="1" si="97"/>
        <v>-0.62009999999999998</v>
      </c>
      <c r="R91" s="4">
        <f ca="1">-SUMIFS(INDIRECT("Tab_00.Trial["&amp;R$4&amp;"]"),Tab_00.Trial[CONTA],$B91)</f>
        <v>-4524.8100000000004</v>
      </c>
      <c r="S91" s="78">
        <f t="shared" ca="1" si="98"/>
        <v>-6.9999999999999999E-4</v>
      </c>
      <c r="T91" s="78">
        <f t="shared" ca="1" si="99"/>
        <v>-0.38269999999999998</v>
      </c>
      <c r="U91" s="4">
        <f ca="1">-SUMIFS(INDIRECT("Tab_00.Trial["&amp;U$4&amp;"]"),Tab_00.Trial[CONTA],$B91)</f>
        <v>-5777.27</v>
      </c>
      <c r="V91" s="78">
        <f t="shared" ca="1" si="100"/>
        <v>-8.0000000000000004E-4</v>
      </c>
      <c r="W91" s="78">
        <f t="shared" ca="1" si="101"/>
        <v>-0.27679999999999999</v>
      </c>
      <c r="X91" s="4">
        <f ca="1">-SUMIFS(INDIRECT("Tab_00.Trial["&amp;X$4&amp;"]"),Tab_00.Trial[CONTA],$B91)</f>
        <v>-7295.1</v>
      </c>
      <c r="Y91" s="78">
        <f t="shared" ca="1" si="102"/>
        <v>-8.9999999999999998E-4</v>
      </c>
      <c r="Z91" s="78">
        <f t="shared" ca="1" si="103"/>
        <v>-0.26269999999999999</v>
      </c>
      <c r="AA91" s="4">
        <f ca="1">-SUMIFS(INDIRECT("Tab_00.Trial["&amp;AA$4&amp;"]"),Tab_00.Trial[CONTA],$B91)</f>
        <v>-8227.25</v>
      </c>
      <c r="AB91" s="78">
        <f t="shared" ca="1" si="104"/>
        <v>-8.9999999999999998E-4</v>
      </c>
      <c r="AC91" s="78">
        <f t="shared" ca="1" si="105"/>
        <v>-0.1278</v>
      </c>
      <c r="AD91" s="4">
        <f ca="1">-SUMIFS(INDIRECT("Tab_00.Trial["&amp;AD$4&amp;"]"),Tab_00.Trial[CONTA],$B91)</f>
        <v>-8227.25</v>
      </c>
      <c r="AE91" s="78">
        <f t="shared" ca="1" si="106"/>
        <v>-8.0000000000000004E-4</v>
      </c>
      <c r="AF91" s="78">
        <f t="shared" ca="1" si="107"/>
        <v>0</v>
      </c>
      <c r="AG91" s="4">
        <f ca="1">-SUMIFS(INDIRECT("Tab_00.Trial["&amp;AG$4&amp;"]"),Tab_00.Trial[CONTA],$B91)</f>
        <v>-8227.25</v>
      </c>
      <c r="AH91" s="78">
        <f t="shared" ca="1" si="108"/>
        <v>-6.9999999999999999E-4</v>
      </c>
      <c r="AI91" s="78">
        <f t="shared" ca="1" si="109"/>
        <v>0</v>
      </c>
      <c r="AJ91" s="4">
        <f ca="1">-SUMIFS(INDIRECT("Tab_00.Trial["&amp;AJ$4&amp;"]"),Tab_00.Trial[CONTA],$B91)</f>
        <v>-8227.25</v>
      </c>
      <c r="AK91" s="78">
        <f t="shared" ca="1" si="110"/>
        <v>-5.9999999999999995E-4</v>
      </c>
      <c r="AL91" s="78">
        <f t="shared" ca="1" si="111"/>
        <v>0</v>
      </c>
    </row>
    <row r="92" spans="2:38" ht="15" customHeight="1" outlineLevel="1" x14ac:dyDescent="0.3">
      <c r="B92" s="14" t="s">
        <v>803</v>
      </c>
      <c r="C92" s="14" t="s">
        <v>793</v>
      </c>
      <c r="D92" s="4">
        <f ca="1">-SUMIFS(INDIRECT("Tab_00.Trial["&amp;D$4&amp;"]"),Tab_00.Trial[CONTA],$B92)</f>
        <v>-14346.41</v>
      </c>
      <c r="E92" s="78">
        <f t="shared" ca="1" si="89"/>
        <v>-1.5100000000000001E-2</v>
      </c>
      <c r="F92" s="4">
        <f ca="1">-SUMIFS(INDIRECT("Tab_00.Trial["&amp;F$4&amp;"]"),Tab_00.Trial[CONTA],$B92)</f>
        <v>-9113.42</v>
      </c>
      <c r="G92" s="78">
        <f t="shared" ca="1" si="91"/>
        <v>-4.7000000000000002E-3</v>
      </c>
      <c r="H92" s="78">
        <f t="shared" ca="1" si="90"/>
        <v>0.36480000000000001</v>
      </c>
      <c r="I92" s="4">
        <f ca="1">-SUMIFS(INDIRECT("Tab_00.Trial["&amp;I$4&amp;"]"),Tab_00.Trial[CONTA],$B92)</f>
        <v>-9458.86</v>
      </c>
      <c r="J92" s="78">
        <f t="shared" ca="1" si="92"/>
        <v>-3.2000000000000002E-3</v>
      </c>
      <c r="K92" s="78">
        <f t="shared" ca="1" si="93"/>
        <v>-3.7900000000000003E-2</v>
      </c>
      <c r="L92" s="4">
        <f ca="1">-SUMIFS(INDIRECT("Tab_00.Trial["&amp;L$4&amp;"]"),Tab_00.Trial[CONTA],$B92)</f>
        <v>-10025.94</v>
      </c>
      <c r="M92" s="78">
        <f t="shared" ca="1" si="94"/>
        <v>-2.5000000000000001E-3</v>
      </c>
      <c r="N92" s="78">
        <f t="shared" ca="1" si="95"/>
        <v>-0.06</v>
      </c>
      <c r="O92" s="4">
        <f ca="1">-SUMIFS(INDIRECT("Tab_00.Trial["&amp;O$4&amp;"]"),Tab_00.Trial[CONTA],$B92)</f>
        <v>-10399.799999999999</v>
      </c>
      <c r="P92" s="78">
        <f t="shared" ca="1" si="96"/>
        <v>-2E-3</v>
      </c>
      <c r="Q92" s="78">
        <f t="shared" ca="1" si="97"/>
        <v>-3.73E-2</v>
      </c>
      <c r="R92" s="4">
        <f ca="1">-SUMIFS(INDIRECT("Tab_00.Trial["&amp;R$4&amp;"]"),Tab_00.Trial[CONTA],$B92)</f>
        <v>-10773.66</v>
      </c>
      <c r="S92" s="78">
        <f t="shared" ca="1" si="98"/>
        <v>-1.6999999999999999E-3</v>
      </c>
      <c r="T92" s="78">
        <f t="shared" ca="1" si="99"/>
        <v>-3.5900000000000001E-2</v>
      </c>
      <c r="U92" s="4">
        <f ca="1">-SUMIFS(INDIRECT("Tab_00.Trial["&amp;U$4&amp;"]"),Tab_00.Trial[CONTA],$B92)</f>
        <v>-11147.53</v>
      </c>
      <c r="V92" s="78">
        <f t="shared" ca="1" si="100"/>
        <v>-1.5E-3</v>
      </c>
      <c r="W92" s="78">
        <f t="shared" ca="1" si="101"/>
        <v>-3.4700000000000002E-2</v>
      </c>
      <c r="X92" s="4">
        <f ca="1">-SUMIFS(INDIRECT("Tab_00.Trial["&amp;X$4&amp;"]"),Tab_00.Trial[CONTA],$B92)</f>
        <v>-11600.62</v>
      </c>
      <c r="Y92" s="78">
        <f t="shared" ca="1" si="102"/>
        <v>-1.4E-3</v>
      </c>
      <c r="Z92" s="78">
        <f t="shared" ca="1" si="103"/>
        <v>-4.0599999999999997E-2</v>
      </c>
      <c r="AA92" s="4">
        <f ca="1">-SUMIFS(INDIRECT("Tab_00.Trial["&amp;AA$4&amp;"]"),Tab_00.Trial[CONTA],$B92)</f>
        <v>-11878.87</v>
      </c>
      <c r="AB92" s="78">
        <f t="shared" ca="1" si="104"/>
        <v>-1.2999999999999999E-3</v>
      </c>
      <c r="AC92" s="78">
        <f t="shared" ca="1" si="105"/>
        <v>-2.4E-2</v>
      </c>
      <c r="AD92" s="4">
        <f ca="1">-SUMIFS(INDIRECT("Tab_00.Trial["&amp;AD$4&amp;"]"),Tab_00.Trial[CONTA],$B92)</f>
        <v>-11878.87</v>
      </c>
      <c r="AE92" s="78">
        <f t="shared" ca="1" si="106"/>
        <v>-1.1000000000000001E-3</v>
      </c>
      <c r="AF92" s="78">
        <f t="shared" ca="1" si="107"/>
        <v>0</v>
      </c>
      <c r="AG92" s="4">
        <f ca="1">-SUMIFS(INDIRECT("Tab_00.Trial["&amp;AG$4&amp;"]"),Tab_00.Trial[CONTA],$B92)</f>
        <v>-11878.87</v>
      </c>
      <c r="AH92" s="78">
        <f t="shared" ca="1" si="108"/>
        <v>-1E-3</v>
      </c>
      <c r="AI92" s="78">
        <f t="shared" ca="1" si="109"/>
        <v>0</v>
      </c>
      <c r="AJ92" s="4">
        <f ca="1">-SUMIFS(INDIRECT("Tab_00.Trial["&amp;AJ$4&amp;"]"),Tab_00.Trial[CONTA],$B92)</f>
        <v>-11878.87</v>
      </c>
      <c r="AK92" s="78">
        <f t="shared" ca="1" si="110"/>
        <v>-8.9999999999999998E-4</v>
      </c>
      <c r="AL92" s="78">
        <f t="shared" ca="1" si="111"/>
        <v>0</v>
      </c>
    </row>
    <row r="93" spans="2:38" ht="15" customHeight="1" outlineLevel="1" x14ac:dyDescent="0.3">
      <c r="B93" s="14" t="s">
        <v>804</v>
      </c>
      <c r="C93" s="14" t="s">
        <v>795</v>
      </c>
      <c r="D93" s="4">
        <f ca="1">-SUMIFS(INDIRECT("Tab_00.Trial["&amp;D$4&amp;"]"),Tab_00.Trial[CONTA],$B93)</f>
        <v>-82.97</v>
      </c>
      <c r="E93" s="78">
        <f t="shared" ca="1" si="89"/>
        <v>-1E-4</v>
      </c>
      <c r="F93" s="4">
        <f ca="1">-SUMIFS(INDIRECT("Tab_00.Trial["&amp;F$4&amp;"]"),Tab_00.Trial[CONTA],$B93)</f>
        <v>-82.97</v>
      </c>
      <c r="G93" s="78">
        <f t="shared" ca="1" si="91"/>
        <v>0</v>
      </c>
      <c r="H93" s="78">
        <f t="shared" ca="1" si="90"/>
        <v>0</v>
      </c>
      <c r="I93" s="4">
        <f ca="1">-SUMIFS(INDIRECT("Tab_00.Trial["&amp;I$4&amp;"]"),Tab_00.Trial[CONTA],$B93)</f>
        <v>-71.84</v>
      </c>
      <c r="J93" s="78">
        <f t="shared" ca="1" si="92"/>
        <v>0</v>
      </c>
      <c r="K93" s="78">
        <f t="shared" ca="1" si="93"/>
        <v>0.1341</v>
      </c>
      <c r="L93" s="4">
        <f ca="1">-SUMIFS(INDIRECT("Tab_00.Trial["&amp;L$4&amp;"]"),Tab_00.Trial[CONTA],$B93)</f>
        <v>-101.44</v>
      </c>
      <c r="M93" s="78">
        <f t="shared" ca="1" si="94"/>
        <v>0</v>
      </c>
      <c r="N93" s="78">
        <f t="shared" ca="1" si="95"/>
        <v>-0.41199999999999998</v>
      </c>
      <c r="O93" s="4">
        <f ca="1">-SUMIFS(INDIRECT("Tab_00.Trial["&amp;O$4&amp;"]"),Tab_00.Trial[CONTA],$B93)</f>
        <v>-131.03</v>
      </c>
      <c r="P93" s="78">
        <f t="shared" ca="1" si="96"/>
        <v>0</v>
      </c>
      <c r="Q93" s="78">
        <f t="shared" ca="1" si="97"/>
        <v>-0.29170000000000001</v>
      </c>
      <c r="R93" s="4">
        <f ca="1">-SUMIFS(INDIRECT("Tab_00.Trial["&amp;R$4&amp;"]"),Tab_00.Trial[CONTA],$B93)</f>
        <v>-177.77</v>
      </c>
      <c r="S93" s="78">
        <f t="shared" ca="1" si="98"/>
        <v>0</v>
      </c>
      <c r="T93" s="78">
        <f t="shared" ca="1" si="99"/>
        <v>-0.35670000000000002</v>
      </c>
      <c r="U93" s="4">
        <f ca="1">-SUMIFS(INDIRECT("Tab_00.Trial["&amp;U$4&amp;"]"),Tab_00.Trial[CONTA],$B93)</f>
        <v>-224.51</v>
      </c>
      <c r="V93" s="78">
        <f t="shared" ca="1" si="100"/>
        <v>0</v>
      </c>
      <c r="W93" s="78">
        <f t="shared" ca="1" si="101"/>
        <v>-0.26290000000000002</v>
      </c>
      <c r="X93" s="4">
        <f ca="1">-SUMIFS(INDIRECT("Tab_00.Trial["&amp;X$4&amp;"]"),Tab_00.Trial[CONTA],$B93)</f>
        <v>-224.11</v>
      </c>
      <c r="Y93" s="78">
        <f t="shared" ca="1" si="102"/>
        <v>0</v>
      </c>
      <c r="Z93" s="78">
        <f t="shared" ca="1" si="103"/>
        <v>1.8E-3</v>
      </c>
      <c r="AA93" s="4">
        <f ca="1">-SUMIFS(INDIRECT("Tab_00.Trial["&amp;AA$4&amp;"]"),Tab_00.Trial[CONTA],$B93)</f>
        <v>-272.25</v>
      </c>
      <c r="AB93" s="78">
        <f t="shared" ca="1" si="104"/>
        <v>0</v>
      </c>
      <c r="AC93" s="78">
        <f t="shared" ca="1" si="105"/>
        <v>-0.21479999999999999</v>
      </c>
      <c r="AD93" s="4">
        <f ca="1">-SUMIFS(INDIRECT("Tab_00.Trial["&amp;AD$4&amp;"]"),Tab_00.Trial[CONTA],$B93)</f>
        <v>-272.25</v>
      </c>
      <c r="AE93" s="78">
        <f t="shared" ca="1" si="106"/>
        <v>0</v>
      </c>
      <c r="AF93" s="78">
        <f t="shared" ca="1" si="107"/>
        <v>0</v>
      </c>
      <c r="AG93" s="4">
        <f ca="1">-SUMIFS(INDIRECT("Tab_00.Trial["&amp;AG$4&amp;"]"),Tab_00.Trial[CONTA],$B93)</f>
        <v>-272.25</v>
      </c>
      <c r="AH93" s="78">
        <f t="shared" ca="1" si="108"/>
        <v>0</v>
      </c>
      <c r="AI93" s="78">
        <f t="shared" ca="1" si="109"/>
        <v>0</v>
      </c>
      <c r="AJ93" s="4">
        <f ca="1">-SUMIFS(INDIRECT("Tab_00.Trial["&amp;AJ$4&amp;"]"),Tab_00.Trial[CONTA],$B93)</f>
        <v>-272.25</v>
      </c>
      <c r="AK93" s="78">
        <f t="shared" ca="1" si="110"/>
        <v>0</v>
      </c>
      <c r="AL93" s="78">
        <f t="shared" ca="1" si="111"/>
        <v>0</v>
      </c>
    </row>
    <row r="94" spans="2:38" ht="15" customHeight="1" outlineLevel="1" x14ac:dyDescent="0.3">
      <c r="B94" s="14" t="s">
        <v>805</v>
      </c>
      <c r="C94" s="14" t="s">
        <v>797</v>
      </c>
      <c r="D94" s="4">
        <f ca="1">-SUMIFS(INDIRECT("Tab_00.Trial["&amp;D$4&amp;"]"),Tab_00.Trial[CONTA],$B94)</f>
        <v>-1667.78</v>
      </c>
      <c r="E94" s="78">
        <f t="shared" ca="1" si="89"/>
        <v>-1.8E-3</v>
      </c>
      <c r="F94" s="4">
        <f ca="1">-SUMIFS(INDIRECT("Tab_00.Trial["&amp;F$4&amp;"]"),Tab_00.Trial[CONTA],$B94)</f>
        <v>-3335.61</v>
      </c>
      <c r="G94" s="78">
        <f t="shared" ca="1" si="91"/>
        <v>-1.6999999999999999E-3</v>
      </c>
      <c r="H94" s="78">
        <f t="shared" ca="1" si="90"/>
        <v>-1</v>
      </c>
      <c r="I94" s="4">
        <f ca="1">-SUMIFS(INDIRECT("Tab_00.Trial["&amp;I$4&amp;"]"),Tab_00.Trial[CONTA],$B94)</f>
        <v>-4203.51</v>
      </c>
      <c r="J94" s="78">
        <f t="shared" ca="1" si="92"/>
        <v>-1.4E-3</v>
      </c>
      <c r="K94" s="78">
        <f t="shared" ca="1" si="93"/>
        <v>-0.26019999999999999</v>
      </c>
      <c r="L94" s="4">
        <f ca="1">-SUMIFS(INDIRECT("Tab_00.Trial["&amp;L$4&amp;"]"),Tab_00.Trial[CONTA],$B94)</f>
        <v>-5071.3599999999997</v>
      </c>
      <c r="M94" s="78">
        <f t="shared" ca="1" si="94"/>
        <v>-1.1999999999999999E-3</v>
      </c>
      <c r="N94" s="78">
        <f t="shared" ca="1" si="95"/>
        <v>-0.20649999999999999</v>
      </c>
      <c r="O94" s="4">
        <f ca="1">-SUMIFS(INDIRECT("Tab_00.Trial["&amp;O$4&amp;"]"),Tab_00.Trial[CONTA],$B94)</f>
        <v>-6010.67</v>
      </c>
      <c r="P94" s="78">
        <f t="shared" ca="1" si="96"/>
        <v>-1.1000000000000001E-3</v>
      </c>
      <c r="Q94" s="78">
        <f t="shared" ca="1" si="97"/>
        <v>-0.1852</v>
      </c>
      <c r="R94" s="4">
        <f ca="1">-SUMIFS(INDIRECT("Tab_00.Trial["&amp;R$4&amp;"]"),Tab_00.Trial[CONTA],$B94)</f>
        <v>-6950.01</v>
      </c>
      <c r="S94" s="78">
        <f t="shared" ca="1" si="98"/>
        <v>-1.1000000000000001E-3</v>
      </c>
      <c r="T94" s="78">
        <f t="shared" ca="1" si="99"/>
        <v>-0.15629999999999999</v>
      </c>
      <c r="U94" s="4">
        <f ca="1">-SUMIFS(INDIRECT("Tab_00.Trial["&amp;U$4&amp;"]"),Tab_00.Trial[CONTA],$B94)</f>
        <v>-7544.94</v>
      </c>
      <c r="V94" s="78">
        <f t="shared" ca="1" si="100"/>
        <v>-1E-3</v>
      </c>
      <c r="W94" s="78">
        <f t="shared" ca="1" si="101"/>
        <v>-8.5599999999999996E-2</v>
      </c>
      <c r="X94" s="4">
        <f ca="1">-SUMIFS(INDIRECT("Tab_00.Trial["&amp;X$4&amp;"]"),Tab_00.Trial[CONTA],$B94)</f>
        <v>-8683.3799999999992</v>
      </c>
      <c r="Y94" s="78">
        <f t="shared" ca="1" si="102"/>
        <v>-1E-3</v>
      </c>
      <c r="Z94" s="78">
        <f t="shared" ca="1" si="103"/>
        <v>-0.15090000000000001</v>
      </c>
      <c r="AA94" s="4">
        <f ca="1">-SUMIFS(INDIRECT("Tab_00.Trial["&amp;AA$4&amp;"]"),Tab_00.Trial[CONTA],$B94)</f>
        <v>-9441.61</v>
      </c>
      <c r="AB94" s="78">
        <f t="shared" ca="1" si="104"/>
        <v>-1E-3</v>
      </c>
      <c r="AC94" s="78">
        <f t="shared" ca="1" si="105"/>
        <v>-8.7300000000000003E-2</v>
      </c>
      <c r="AD94" s="4">
        <f ca="1">-SUMIFS(INDIRECT("Tab_00.Trial["&amp;AD$4&amp;"]"),Tab_00.Trial[CONTA],$B94)</f>
        <v>-11758.15</v>
      </c>
      <c r="AE94" s="78">
        <f t="shared" ca="1" si="106"/>
        <v>-1.1000000000000001E-3</v>
      </c>
      <c r="AF94" s="78">
        <f t="shared" ca="1" si="107"/>
        <v>-0.24540000000000001</v>
      </c>
      <c r="AG94" s="4">
        <f ca="1">-SUMIFS(INDIRECT("Tab_00.Trial["&amp;AG$4&amp;"]"),Tab_00.Trial[CONTA],$B94)</f>
        <v>-14074.93</v>
      </c>
      <c r="AH94" s="78">
        <f t="shared" ca="1" si="108"/>
        <v>-1.1999999999999999E-3</v>
      </c>
      <c r="AI94" s="78">
        <f t="shared" ca="1" si="109"/>
        <v>-0.19700000000000001</v>
      </c>
      <c r="AJ94" s="4">
        <f ca="1">-SUMIFS(INDIRECT("Tab_00.Trial["&amp;AJ$4&amp;"]"),Tab_00.Trial[CONTA],$B94)</f>
        <v>-15040.6</v>
      </c>
      <c r="AK94" s="78">
        <f t="shared" ca="1" si="110"/>
        <v>-1.1999999999999999E-3</v>
      </c>
      <c r="AL94" s="78">
        <f t="shared" ca="1" si="111"/>
        <v>-6.8599999999999994E-2</v>
      </c>
    </row>
    <row r="95" spans="2:38" ht="15" customHeight="1" outlineLevel="1" x14ac:dyDescent="0.3">
      <c r="B95" s="14" t="s">
        <v>806</v>
      </c>
      <c r="C95" s="14" t="s">
        <v>799</v>
      </c>
      <c r="D95" s="4">
        <f ca="1">-SUMIFS(INDIRECT("Tab_00.Trial["&amp;D$4&amp;"]"),Tab_00.Trial[CONTA],$B95)</f>
        <v>-497.81</v>
      </c>
      <c r="E95" s="78">
        <f t="shared" ca="1" si="89"/>
        <v>-5.0000000000000001E-4</v>
      </c>
      <c r="F95" s="4">
        <f ca="1">-SUMIFS(INDIRECT("Tab_00.Trial["&amp;F$4&amp;"]"),Tab_00.Trial[CONTA],$B95)</f>
        <v>-995.66</v>
      </c>
      <c r="G95" s="78">
        <f t="shared" ca="1" si="91"/>
        <v>-5.0000000000000001E-4</v>
      </c>
      <c r="H95" s="78">
        <f t="shared" ca="1" si="90"/>
        <v>-1.0001</v>
      </c>
      <c r="I95" s="4">
        <f ca="1">-SUMIFS(INDIRECT("Tab_00.Trial["&amp;I$4&amp;"]"),Tab_00.Trial[CONTA],$B95)</f>
        <v>-1254.74</v>
      </c>
      <c r="J95" s="78">
        <f t="shared" ca="1" si="92"/>
        <v>-4.0000000000000002E-4</v>
      </c>
      <c r="K95" s="78">
        <f t="shared" ca="1" si="93"/>
        <v>-0.26019999999999999</v>
      </c>
      <c r="L95" s="4">
        <f ca="1">-SUMIFS(INDIRECT("Tab_00.Trial["&amp;L$4&amp;"]"),Tab_00.Trial[CONTA],$B95)</f>
        <v>-1513.8</v>
      </c>
      <c r="M95" s="78">
        <f t="shared" ca="1" si="94"/>
        <v>-4.0000000000000002E-4</v>
      </c>
      <c r="N95" s="78">
        <f t="shared" ca="1" si="95"/>
        <v>-0.20649999999999999</v>
      </c>
      <c r="O95" s="4">
        <f ca="1">-SUMIFS(INDIRECT("Tab_00.Trial["&amp;O$4&amp;"]"),Tab_00.Trial[CONTA],$B95)</f>
        <v>-1794.21</v>
      </c>
      <c r="P95" s="78">
        <f t="shared" ca="1" si="96"/>
        <v>-2.9999999999999997E-4</v>
      </c>
      <c r="Q95" s="78">
        <f t="shared" ca="1" si="97"/>
        <v>-0.1852</v>
      </c>
      <c r="R95" s="4">
        <f ca="1">-SUMIFS(INDIRECT("Tab_00.Trial["&amp;R$4&amp;"]"),Tab_00.Trial[CONTA],$B95)</f>
        <v>-2074.59</v>
      </c>
      <c r="S95" s="78">
        <f t="shared" ca="1" si="98"/>
        <v>-2.9999999999999997E-4</v>
      </c>
      <c r="T95" s="78">
        <f t="shared" ca="1" si="99"/>
        <v>-0.15629999999999999</v>
      </c>
      <c r="U95" s="4">
        <f ca="1">-SUMIFS(INDIRECT("Tab_00.Trial["&amp;U$4&amp;"]"),Tab_00.Trial[CONTA],$B95)</f>
        <v>-2252.1799999999998</v>
      </c>
      <c r="V95" s="78">
        <f t="shared" ca="1" si="100"/>
        <v>-2.9999999999999997E-4</v>
      </c>
      <c r="W95" s="78">
        <f t="shared" ca="1" si="101"/>
        <v>-8.5599999999999996E-2</v>
      </c>
      <c r="X95" s="4">
        <f ca="1">-SUMIFS(INDIRECT("Tab_00.Trial["&amp;X$4&amp;"]"),Tab_00.Trial[CONTA],$B95)</f>
        <v>-2591.9899999999998</v>
      </c>
      <c r="Y95" s="78">
        <f t="shared" ca="1" si="102"/>
        <v>-2.9999999999999997E-4</v>
      </c>
      <c r="Z95" s="78">
        <f t="shared" ca="1" si="103"/>
        <v>-0.15090000000000001</v>
      </c>
      <c r="AA95" s="4">
        <f ca="1">-SUMIFS(INDIRECT("Tab_00.Trial["&amp;AA$4&amp;"]"),Tab_00.Trial[CONTA],$B95)</f>
        <v>-2818.32</v>
      </c>
      <c r="AB95" s="78">
        <f t="shared" ca="1" si="104"/>
        <v>-2.9999999999999997E-4</v>
      </c>
      <c r="AC95" s="78">
        <f t="shared" ca="1" si="105"/>
        <v>-8.7300000000000003E-2</v>
      </c>
      <c r="AD95" s="4">
        <f ca="1">-SUMIFS(INDIRECT("Tab_00.Trial["&amp;AD$4&amp;"]"),Tab_00.Trial[CONTA],$B95)</f>
        <v>-3510.46</v>
      </c>
      <c r="AE95" s="78">
        <f t="shared" ca="1" si="106"/>
        <v>-2.9999999999999997E-4</v>
      </c>
      <c r="AF95" s="78">
        <f t="shared" ca="1" si="107"/>
        <v>-0.24560000000000001</v>
      </c>
      <c r="AG95" s="4">
        <f ca="1">-SUMIFS(INDIRECT("Tab_00.Trial["&amp;AG$4&amp;"]"),Tab_00.Trial[CONTA],$B95)</f>
        <v>-4202.57</v>
      </c>
      <c r="AH95" s="78">
        <f t="shared" ca="1" si="108"/>
        <v>-4.0000000000000002E-4</v>
      </c>
      <c r="AI95" s="78">
        <f t="shared" ca="1" si="109"/>
        <v>-0.19719999999999999</v>
      </c>
      <c r="AJ95" s="4">
        <f ca="1">-SUMIFS(INDIRECT("Tab_00.Trial["&amp;AJ$4&amp;"]"),Tab_00.Trial[CONTA],$B95)</f>
        <v>-4490.83</v>
      </c>
      <c r="AK95" s="78">
        <f t="shared" ca="1" si="110"/>
        <v>-2.9999999999999997E-4</v>
      </c>
      <c r="AL95" s="78">
        <f t="shared" ca="1" si="111"/>
        <v>-6.8599999999999994E-2</v>
      </c>
    </row>
    <row r="96" spans="2:38" ht="15" customHeight="1" outlineLevel="1" x14ac:dyDescent="0.3">
      <c r="B96" s="14" t="s">
        <v>807</v>
      </c>
      <c r="C96" s="14" t="s">
        <v>801</v>
      </c>
      <c r="D96" s="4">
        <f ca="1">-SUMIFS(INDIRECT("Tab_00.Trial["&amp;D$4&amp;"]"),Tab_00.Trial[CONTA],$B96)</f>
        <v>-62.22</v>
      </c>
      <c r="E96" s="78">
        <f t="shared" ca="1" si="89"/>
        <v>-1E-4</v>
      </c>
      <c r="F96" s="4">
        <f ca="1">-SUMIFS(INDIRECT("Tab_00.Trial["&amp;F$4&amp;"]"),Tab_00.Trial[CONTA],$B96)</f>
        <v>-124.46</v>
      </c>
      <c r="G96" s="78">
        <f t="shared" ca="1" si="91"/>
        <v>-1E-4</v>
      </c>
      <c r="H96" s="78">
        <f t="shared" ca="1" si="90"/>
        <v>-1.0003</v>
      </c>
      <c r="I96" s="4">
        <f ca="1">-SUMIFS(INDIRECT("Tab_00.Trial["&amp;I$4&amp;"]"),Tab_00.Trial[CONTA],$B96)</f>
        <v>-156.84</v>
      </c>
      <c r="J96" s="78">
        <f t="shared" ca="1" si="92"/>
        <v>-1E-4</v>
      </c>
      <c r="K96" s="78">
        <f t="shared" ca="1" si="93"/>
        <v>-0.26019999999999999</v>
      </c>
      <c r="L96" s="4">
        <f ca="1">-SUMIFS(INDIRECT("Tab_00.Trial["&amp;L$4&amp;"]"),Tab_00.Trial[CONTA],$B96)</f>
        <v>-189.22</v>
      </c>
      <c r="M96" s="78">
        <f t="shared" ca="1" si="94"/>
        <v>0</v>
      </c>
      <c r="N96" s="78">
        <f t="shared" ca="1" si="95"/>
        <v>-0.20649999999999999</v>
      </c>
      <c r="O96" s="4">
        <f ca="1">-SUMIFS(INDIRECT("Tab_00.Trial["&amp;O$4&amp;"]"),Tab_00.Trial[CONTA],$B96)</f>
        <v>-224.28</v>
      </c>
      <c r="P96" s="78">
        <f t="shared" ca="1" si="96"/>
        <v>0</v>
      </c>
      <c r="Q96" s="78">
        <f t="shared" ca="1" si="97"/>
        <v>-0.18529999999999999</v>
      </c>
      <c r="R96" s="4">
        <f ca="1">-SUMIFS(INDIRECT("Tab_00.Trial["&amp;R$4&amp;"]"),Tab_00.Trial[CONTA],$B96)</f>
        <v>-259.32</v>
      </c>
      <c r="S96" s="78">
        <f t="shared" ca="1" si="98"/>
        <v>0</v>
      </c>
      <c r="T96" s="78">
        <f t="shared" ca="1" si="99"/>
        <v>-0.15620000000000001</v>
      </c>
      <c r="U96" s="4">
        <f ca="1">-SUMIFS(INDIRECT("Tab_00.Trial["&amp;U$4&amp;"]"),Tab_00.Trial[CONTA],$B96)</f>
        <v>-294.36</v>
      </c>
      <c r="V96" s="78">
        <f t="shared" ca="1" si="100"/>
        <v>0</v>
      </c>
      <c r="W96" s="78">
        <f t="shared" ca="1" si="101"/>
        <v>-0.1351</v>
      </c>
      <c r="X96" s="4">
        <f ca="1">-SUMIFS(INDIRECT("Tab_00.Trial["&amp;X$4&amp;"]"),Tab_00.Trial[CONTA],$B96)</f>
        <v>-336.86</v>
      </c>
      <c r="Y96" s="78">
        <f t="shared" ca="1" si="102"/>
        <v>0</v>
      </c>
      <c r="Z96" s="78">
        <f t="shared" ca="1" si="103"/>
        <v>-0.1444</v>
      </c>
      <c r="AA96" s="4">
        <f ca="1">-SUMIFS(INDIRECT("Tab_00.Trial["&amp;AA$4&amp;"]"),Tab_00.Trial[CONTA],$B96)</f>
        <v>-365.15</v>
      </c>
      <c r="AB96" s="78">
        <f t="shared" ca="1" si="104"/>
        <v>0</v>
      </c>
      <c r="AC96" s="78">
        <f t="shared" ca="1" si="105"/>
        <v>-8.4000000000000005E-2</v>
      </c>
      <c r="AD96" s="4">
        <f ca="1">-SUMIFS(INDIRECT("Tab_00.Trial["&amp;AD$4&amp;"]"),Tab_00.Trial[CONTA],$B96)</f>
        <v>-451.6</v>
      </c>
      <c r="AE96" s="78">
        <f t="shared" ca="1" si="106"/>
        <v>0</v>
      </c>
      <c r="AF96" s="78">
        <f t="shared" ca="1" si="107"/>
        <v>-0.23680000000000001</v>
      </c>
      <c r="AG96" s="4">
        <f ca="1">-SUMIFS(INDIRECT("Tab_00.Trial["&amp;AG$4&amp;"]"),Tab_00.Trial[CONTA],$B96)</f>
        <v>-538.04999999999995</v>
      </c>
      <c r="AH96" s="78">
        <f t="shared" ca="1" si="108"/>
        <v>0</v>
      </c>
      <c r="AI96" s="78">
        <f t="shared" ca="1" si="109"/>
        <v>-0.19139999999999999</v>
      </c>
      <c r="AJ96" s="4">
        <f ca="1">-SUMIFS(INDIRECT("Tab_00.Trial["&amp;AJ$4&amp;"]"),Tab_00.Trial[CONTA],$B96)</f>
        <v>-574.07000000000005</v>
      </c>
      <c r="AK96" s="78">
        <f t="shared" ca="1" si="110"/>
        <v>0</v>
      </c>
      <c r="AL96" s="78">
        <f t="shared" ca="1" si="111"/>
        <v>-6.6900000000000001E-2</v>
      </c>
    </row>
    <row r="97" spans="2:39" ht="15" customHeight="1" outlineLevel="1" x14ac:dyDescent="0.3">
      <c r="B97" s="14"/>
      <c r="C97" s="14"/>
      <c r="D97" s="4">
        <f ca="1">-SUMIFS(INDIRECT("Tab_00.Trial["&amp;D$4&amp;"]"),Tab_00.Trial[CONTA],$B97)</f>
        <v>0</v>
      </c>
      <c r="E97" s="78">
        <f t="shared" ca="1" si="89"/>
        <v>0</v>
      </c>
      <c r="F97" s="4">
        <f ca="1">-SUMIFS(INDIRECT("Tab_00.Trial["&amp;F$4&amp;"]"),Tab_00.Trial[CONTA],$B97)</f>
        <v>0</v>
      </c>
      <c r="G97" s="78">
        <f t="shared" ca="1" si="91"/>
        <v>0</v>
      </c>
      <c r="H97" s="78">
        <f t="shared" ca="1" si="90"/>
        <v>0</v>
      </c>
      <c r="I97" s="4">
        <f ca="1">-SUMIFS(INDIRECT("Tab_00.Trial["&amp;I$4&amp;"]"),Tab_00.Trial[CONTA],$B97)</f>
        <v>0</v>
      </c>
      <c r="J97" s="78">
        <f t="shared" ca="1" si="92"/>
        <v>0</v>
      </c>
      <c r="K97" s="78">
        <f t="shared" ca="1" si="93"/>
        <v>0</v>
      </c>
      <c r="L97" s="4">
        <f ca="1">-SUMIFS(INDIRECT("Tab_00.Trial["&amp;L$4&amp;"]"),Tab_00.Trial[CONTA],$B97)</f>
        <v>0</v>
      </c>
      <c r="M97" s="78">
        <f t="shared" ca="1" si="94"/>
        <v>0</v>
      </c>
      <c r="N97" s="78">
        <f t="shared" ca="1" si="95"/>
        <v>0</v>
      </c>
      <c r="O97" s="4">
        <f ca="1">-SUMIFS(INDIRECT("Tab_00.Trial["&amp;O$4&amp;"]"),Tab_00.Trial[CONTA],$B97)</f>
        <v>0</v>
      </c>
      <c r="P97" s="78">
        <f t="shared" ca="1" si="96"/>
        <v>0</v>
      </c>
      <c r="Q97" s="78">
        <f t="shared" ca="1" si="97"/>
        <v>0</v>
      </c>
      <c r="R97" s="4">
        <f ca="1">-SUMIFS(INDIRECT("Tab_00.Trial["&amp;R$4&amp;"]"),Tab_00.Trial[CONTA],$B97)</f>
        <v>0</v>
      </c>
      <c r="S97" s="78">
        <f t="shared" ca="1" si="98"/>
        <v>0</v>
      </c>
      <c r="T97" s="78">
        <f t="shared" ca="1" si="99"/>
        <v>0</v>
      </c>
      <c r="U97" s="4">
        <f ca="1">-SUMIFS(INDIRECT("Tab_00.Trial["&amp;U$4&amp;"]"),Tab_00.Trial[CONTA],$B97)</f>
        <v>0</v>
      </c>
      <c r="V97" s="78">
        <f t="shared" ca="1" si="100"/>
        <v>0</v>
      </c>
      <c r="W97" s="78">
        <f t="shared" ca="1" si="101"/>
        <v>0</v>
      </c>
      <c r="X97" s="4">
        <f ca="1">-SUMIFS(INDIRECT("Tab_00.Trial["&amp;X$4&amp;"]"),Tab_00.Trial[CONTA],$B97)</f>
        <v>0</v>
      </c>
      <c r="Y97" s="78">
        <f t="shared" ca="1" si="102"/>
        <v>0</v>
      </c>
      <c r="Z97" s="78">
        <f t="shared" ca="1" si="103"/>
        <v>0</v>
      </c>
      <c r="AA97" s="4">
        <f ca="1">-SUMIFS(INDIRECT("Tab_00.Trial["&amp;AA$4&amp;"]"),Tab_00.Trial[CONTA],$B97)</f>
        <v>0</v>
      </c>
      <c r="AB97" s="78">
        <f t="shared" ca="1" si="104"/>
        <v>0</v>
      </c>
      <c r="AC97" s="78">
        <f t="shared" ca="1" si="105"/>
        <v>0</v>
      </c>
      <c r="AD97" s="4">
        <f ca="1">-SUMIFS(INDIRECT("Tab_00.Trial["&amp;AD$4&amp;"]"),Tab_00.Trial[CONTA],$B97)</f>
        <v>0</v>
      </c>
      <c r="AE97" s="78">
        <f t="shared" ca="1" si="106"/>
        <v>0</v>
      </c>
      <c r="AF97" s="78">
        <f t="shared" ca="1" si="107"/>
        <v>0</v>
      </c>
      <c r="AG97" s="4">
        <f ca="1">-SUMIFS(INDIRECT("Tab_00.Trial["&amp;AG$4&amp;"]"),Tab_00.Trial[CONTA],$B97)</f>
        <v>0</v>
      </c>
      <c r="AH97" s="78">
        <f t="shared" ca="1" si="108"/>
        <v>0</v>
      </c>
      <c r="AI97" s="78">
        <f t="shared" ca="1" si="109"/>
        <v>0</v>
      </c>
      <c r="AJ97" s="4">
        <f ca="1">-SUMIFS(INDIRECT("Tab_00.Trial["&amp;AJ$4&amp;"]"),Tab_00.Trial[CONTA],$B97)</f>
        <v>0</v>
      </c>
      <c r="AK97" s="78">
        <f t="shared" ca="1" si="110"/>
        <v>0</v>
      </c>
      <c r="AL97" s="78">
        <f t="shared" ca="1" si="111"/>
        <v>0</v>
      </c>
    </row>
    <row r="98" spans="2:39" ht="15" customHeight="1" outlineLevel="1" x14ac:dyDescent="0.3">
      <c r="B98" s="14"/>
      <c r="C98" s="14"/>
      <c r="D98" s="4">
        <f ca="1">-SUMIFS(INDIRECT("Tab_00.Trial["&amp;D$4&amp;"]"),Tab_00.Trial[CONTA],$B98)</f>
        <v>0</v>
      </c>
      <c r="E98" s="78">
        <f t="shared" ca="1" si="89"/>
        <v>0</v>
      </c>
      <c r="F98" s="4">
        <f ca="1">-SUMIFS(INDIRECT("Tab_00.Trial["&amp;F$4&amp;"]"),Tab_00.Trial[CONTA],$B98)</f>
        <v>0</v>
      </c>
      <c r="G98" s="78">
        <f t="shared" ca="1" si="91"/>
        <v>0</v>
      </c>
      <c r="H98" s="78">
        <f t="shared" ca="1" si="90"/>
        <v>0</v>
      </c>
      <c r="I98" s="4">
        <f ca="1">-SUMIFS(INDIRECT("Tab_00.Trial["&amp;I$4&amp;"]"),Tab_00.Trial[CONTA],$B98)</f>
        <v>0</v>
      </c>
      <c r="J98" s="78">
        <f t="shared" ca="1" si="92"/>
        <v>0</v>
      </c>
      <c r="K98" s="78">
        <f t="shared" ca="1" si="93"/>
        <v>0</v>
      </c>
      <c r="L98" s="4">
        <f ca="1">-SUMIFS(INDIRECT("Tab_00.Trial["&amp;L$4&amp;"]"),Tab_00.Trial[CONTA],$B98)</f>
        <v>0</v>
      </c>
      <c r="M98" s="78">
        <f t="shared" ca="1" si="94"/>
        <v>0</v>
      </c>
      <c r="N98" s="78">
        <f t="shared" ca="1" si="95"/>
        <v>0</v>
      </c>
      <c r="O98" s="4">
        <f ca="1">-SUMIFS(INDIRECT("Tab_00.Trial["&amp;O$4&amp;"]"),Tab_00.Trial[CONTA],$B98)</f>
        <v>0</v>
      </c>
      <c r="P98" s="78">
        <f t="shared" ca="1" si="96"/>
        <v>0</v>
      </c>
      <c r="Q98" s="78">
        <f t="shared" ca="1" si="97"/>
        <v>0</v>
      </c>
      <c r="R98" s="4">
        <f ca="1">-SUMIFS(INDIRECT("Tab_00.Trial["&amp;R$4&amp;"]"),Tab_00.Trial[CONTA],$B98)</f>
        <v>0</v>
      </c>
      <c r="S98" s="78">
        <f t="shared" ca="1" si="98"/>
        <v>0</v>
      </c>
      <c r="T98" s="78">
        <f t="shared" ca="1" si="99"/>
        <v>0</v>
      </c>
      <c r="U98" s="4">
        <f ca="1">-SUMIFS(INDIRECT("Tab_00.Trial["&amp;U$4&amp;"]"),Tab_00.Trial[CONTA],$B98)</f>
        <v>0</v>
      </c>
      <c r="V98" s="78">
        <f t="shared" ca="1" si="100"/>
        <v>0</v>
      </c>
      <c r="W98" s="78">
        <f t="shared" ca="1" si="101"/>
        <v>0</v>
      </c>
      <c r="X98" s="4">
        <f ca="1">-SUMIFS(INDIRECT("Tab_00.Trial["&amp;X$4&amp;"]"),Tab_00.Trial[CONTA],$B98)</f>
        <v>0</v>
      </c>
      <c r="Y98" s="78">
        <f t="shared" ca="1" si="102"/>
        <v>0</v>
      </c>
      <c r="Z98" s="78">
        <f t="shared" ca="1" si="103"/>
        <v>0</v>
      </c>
      <c r="AA98" s="4">
        <f ca="1">-SUMIFS(INDIRECT("Tab_00.Trial["&amp;AA$4&amp;"]"),Tab_00.Trial[CONTA],$B98)</f>
        <v>0</v>
      </c>
      <c r="AB98" s="78">
        <f t="shared" ca="1" si="104"/>
        <v>0</v>
      </c>
      <c r="AC98" s="78">
        <f t="shared" ca="1" si="105"/>
        <v>0</v>
      </c>
      <c r="AD98" s="4">
        <f ca="1">-SUMIFS(INDIRECT("Tab_00.Trial["&amp;AD$4&amp;"]"),Tab_00.Trial[CONTA],$B98)</f>
        <v>0</v>
      </c>
      <c r="AE98" s="78">
        <f t="shared" ca="1" si="106"/>
        <v>0</v>
      </c>
      <c r="AF98" s="78">
        <f t="shared" ca="1" si="107"/>
        <v>0</v>
      </c>
      <c r="AG98" s="4">
        <f ca="1">-SUMIFS(INDIRECT("Tab_00.Trial["&amp;AG$4&amp;"]"),Tab_00.Trial[CONTA],$B98)</f>
        <v>0</v>
      </c>
      <c r="AH98" s="78">
        <f t="shared" ca="1" si="108"/>
        <v>0</v>
      </c>
      <c r="AI98" s="78">
        <f t="shared" ca="1" si="109"/>
        <v>0</v>
      </c>
      <c r="AJ98" s="4">
        <f ca="1">-SUMIFS(INDIRECT("Tab_00.Trial["&amp;AJ$4&amp;"]"),Tab_00.Trial[CONTA],$B98)</f>
        <v>0</v>
      </c>
      <c r="AK98" s="78">
        <f t="shared" ca="1" si="110"/>
        <v>0</v>
      </c>
      <c r="AL98" s="78">
        <f t="shared" ca="1" si="111"/>
        <v>0</v>
      </c>
    </row>
    <row r="99" spans="2:39" ht="15" customHeight="1" outlineLevel="1" x14ac:dyDescent="0.3">
      <c r="B99" s="14"/>
      <c r="C99" s="14"/>
      <c r="D99" s="4">
        <f ca="1">-SUMIFS(INDIRECT("Tab_00.Trial["&amp;D$4&amp;"]"),Tab_00.Trial[CONTA],$B99)</f>
        <v>0</v>
      </c>
      <c r="E99" s="78">
        <f t="shared" ca="1" si="89"/>
        <v>0</v>
      </c>
      <c r="F99" s="4">
        <f ca="1">-SUMIFS(INDIRECT("Tab_00.Trial["&amp;F$4&amp;"]"),Tab_00.Trial[CONTA],$B99)</f>
        <v>0</v>
      </c>
      <c r="G99" s="78">
        <f t="shared" ca="1" si="91"/>
        <v>0</v>
      </c>
      <c r="H99" s="78">
        <f t="shared" ca="1" si="90"/>
        <v>0</v>
      </c>
      <c r="I99" s="4">
        <f ca="1">-SUMIFS(INDIRECT("Tab_00.Trial["&amp;I$4&amp;"]"),Tab_00.Trial[CONTA],$B99)</f>
        <v>0</v>
      </c>
      <c r="J99" s="78">
        <f t="shared" ca="1" si="92"/>
        <v>0</v>
      </c>
      <c r="K99" s="78">
        <f t="shared" ca="1" si="93"/>
        <v>0</v>
      </c>
      <c r="L99" s="4">
        <f ca="1">-SUMIFS(INDIRECT("Tab_00.Trial["&amp;L$4&amp;"]"),Tab_00.Trial[CONTA],$B99)</f>
        <v>0</v>
      </c>
      <c r="M99" s="78">
        <f t="shared" ca="1" si="94"/>
        <v>0</v>
      </c>
      <c r="N99" s="78">
        <f t="shared" ca="1" si="95"/>
        <v>0</v>
      </c>
      <c r="O99" s="4">
        <f ca="1">-SUMIFS(INDIRECT("Tab_00.Trial["&amp;O$4&amp;"]"),Tab_00.Trial[CONTA],$B99)</f>
        <v>0</v>
      </c>
      <c r="P99" s="78">
        <f t="shared" ca="1" si="96"/>
        <v>0</v>
      </c>
      <c r="Q99" s="78">
        <f t="shared" ca="1" si="97"/>
        <v>0</v>
      </c>
      <c r="R99" s="4">
        <f ca="1">-SUMIFS(INDIRECT("Tab_00.Trial["&amp;R$4&amp;"]"),Tab_00.Trial[CONTA],$B99)</f>
        <v>0</v>
      </c>
      <c r="S99" s="78">
        <f t="shared" ca="1" si="98"/>
        <v>0</v>
      </c>
      <c r="T99" s="78">
        <f t="shared" ca="1" si="99"/>
        <v>0</v>
      </c>
      <c r="U99" s="4">
        <f ca="1">-SUMIFS(INDIRECT("Tab_00.Trial["&amp;U$4&amp;"]"),Tab_00.Trial[CONTA],$B99)</f>
        <v>0</v>
      </c>
      <c r="V99" s="78">
        <f t="shared" ca="1" si="100"/>
        <v>0</v>
      </c>
      <c r="W99" s="78">
        <f t="shared" ca="1" si="101"/>
        <v>0</v>
      </c>
      <c r="X99" s="4">
        <f ca="1">-SUMIFS(INDIRECT("Tab_00.Trial["&amp;X$4&amp;"]"),Tab_00.Trial[CONTA],$B99)</f>
        <v>0</v>
      </c>
      <c r="Y99" s="78">
        <f t="shared" ca="1" si="102"/>
        <v>0</v>
      </c>
      <c r="Z99" s="78">
        <f t="shared" ca="1" si="103"/>
        <v>0</v>
      </c>
      <c r="AA99" s="4">
        <f ca="1">-SUMIFS(INDIRECT("Tab_00.Trial["&amp;AA$4&amp;"]"),Tab_00.Trial[CONTA],$B99)</f>
        <v>0</v>
      </c>
      <c r="AB99" s="78">
        <f t="shared" ca="1" si="104"/>
        <v>0</v>
      </c>
      <c r="AC99" s="78">
        <f t="shared" ca="1" si="105"/>
        <v>0</v>
      </c>
      <c r="AD99" s="4">
        <f ca="1">-SUMIFS(INDIRECT("Tab_00.Trial["&amp;AD$4&amp;"]"),Tab_00.Trial[CONTA],$B99)</f>
        <v>0</v>
      </c>
      <c r="AE99" s="78">
        <f t="shared" ca="1" si="106"/>
        <v>0</v>
      </c>
      <c r="AF99" s="78">
        <f t="shared" ca="1" si="107"/>
        <v>0</v>
      </c>
      <c r="AG99" s="4">
        <f ca="1">-SUMIFS(INDIRECT("Tab_00.Trial["&amp;AG$4&amp;"]"),Tab_00.Trial[CONTA],$B99)</f>
        <v>0</v>
      </c>
      <c r="AH99" s="78">
        <f t="shared" ca="1" si="108"/>
        <v>0</v>
      </c>
      <c r="AI99" s="78">
        <f t="shared" ca="1" si="109"/>
        <v>0</v>
      </c>
      <c r="AJ99" s="4">
        <f ca="1">-SUMIFS(INDIRECT("Tab_00.Trial["&amp;AJ$4&amp;"]"),Tab_00.Trial[CONTA],$B99)</f>
        <v>0</v>
      </c>
      <c r="AK99" s="78">
        <f t="shared" ca="1" si="110"/>
        <v>0</v>
      </c>
      <c r="AL99" s="78">
        <f t="shared" ca="1" si="111"/>
        <v>0</v>
      </c>
    </row>
    <row r="100" spans="2:39" ht="5.0999999999999996" customHeight="1" outlineLevel="1" x14ac:dyDescent="0.3">
      <c r="B100" s="74"/>
      <c r="C100" s="75"/>
      <c r="D100" s="76"/>
      <c r="E100" s="77"/>
      <c r="F100" s="76"/>
      <c r="G100" s="77"/>
      <c r="H100" s="77"/>
      <c r="I100" s="76"/>
      <c r="J100" s="77"/>
      <c r="K100" s="77"/>
      <c r="L100" s="76"/>
      <c r="M100" s="77"/>
      <c r="N100" s="77"/>
      <c r="O100" s="76"/>
      <c r="P100" s="77"/>
      <c r="Q100" s="77"/>
      <c r="R100" s="76"/>
      <c r="S100" s="77"/>
      <c r="T100" s="77"/>
      <c r="U100" s="76"/>
      <c r="V100" s="77"/>
      <c r="W100" s="77"/>
      <c r="X100" s="76"/>
      <c r="Y100" s="77"/>
      <c r="Z100" s="77"/>
      <c r="AA100" s="76"/>
      <c r="AB100" s="77"/>
      <c r="AC100" s="77"/>
      <c r="AD100" s="76"/>
      <c r="AE100" s="77"/>
      <c r="AF100" s="77"/>
      <c r="AG100" s="76"/>
      <c r="AH100" s="77"/>
      <c r="AI100" s="77"/>
      <c r="AJ100" s="76"/>
      <c r="AK100" s="77"/>
      <c r="AL100" s="77"/>
    </row>
    <row r="101" spans="2:39" ht="15" customHeight="1" x14ac:dyDescent="0.3">
      <c r="B101" s="3" t="s">
        <v>105</v>
      </c>
      <c r="C101" s="3" t="s">
        <v>82</v>
      </c>
      <c r="D101" s="4">
        <f ca="1">SUBTOTAL(9,D$102:D$142)</f>
        <v>-108248.42</v>
      </c>
      <c r="E101" s="78">
        <f t="shared" ref="E101:E141" ca="1" si="112">IFERROR($D101/$D$6,0)</f>
        <v>-0.114</v>
      </c>
      <c r="F101" s="4">
        <f ca="1">SUBTOTAL(9,F$102:F$142)</f>
        <v>-211979.69</v>
      </c>
      <c r="G101" s="78">
        <f ca="1">IFERROR($F101/$F$6,0)</f>
        <v>-0.1101</v>
      </c>
      <c r="H101" s="78">
        <f t="shared" ref="H101:H141" ca="1" si="113">IFERROR(($F101-$D101)/ABS($D101),0)</f>
        <v>-0.95830000000000004</v>
      </c>
      <c r="I101" s="4">
        <f ca="1">SUBTOTAL(9,I$102:I$142)</f>
        <v>-321149.39</v>
      </c>
      <c r="J101" s="78">
        <f ca="1">IFERROR($I101/$I$6,0)</f>
        <v>-0.1079</v>
      </c>
      <c r="K101" s="78">
        <f ca="1">IFERROR(($I101-$F101)/ABS($F101),0)</f>
        <v>-0.51500000000000001</v>
      </c>
      <c r="L101" s="4">
        <f ca="1">SUBTOTAL(9,L$102:L$142)</f>
        <v>-448934.07</v>
      </c>
      <c r="M101" s="78">
        <f ca="1">IFERROR($L101/$L$6,0)</f>
        <v>-0.11</v>
      </c>
      <c r="N101" s="78">
        <f ca="1">IFERROR(($L101-$I101)/ABS($I101),0)</f>
        <v>-0.39789999999999998</v>
      </c>
      <c r="O101" s="4">
        <f ca="1">SUBTOTAL(9,O$102:O$142)</f>
        <v>-555057.91</v>
      </c>
      <c r="P101" s="78">
        <f ca="1">IFERROR($O101/$O$6,0)</f>
        <v>-0.1048</v>
      </c>
      <c r="Q101" s="78">
        <f ca="1">IFERROR(($O101-$L101)/ABS($L101),0)</f>
        <v>-0.2364</v>
      </c>
      <c r="R101" s="4">
        <f ca="1">SUBTOTAL(9,R$102:R$142)</f>
        <v>-662734.37</v>
      </c>
      <c r="S101" s="78">
        <f ca="1">IFERROR($R101/$R$6,0)</f>
        <v>-0.1051</v>
      </c>
      <c r="T101" s="78">
        <f ca="1">IFERROR(($R101-$O101)/ABS($O101),0)</f>
        <v>-0.19400000000000001</v>
      </c>
      <c r="U101" s="4">
        <f ca="1">SUBTOTAL(9,U$102:U$142)</f>
        <v>-768203.15</v>
      </c>
      <c r="V101" s="78">
        <f ca="1">IFERROR($U101/$U$6,0)</f>
        <v>-0.1041</v>
      </c>
      <c r="W101" s="78">
        <f ca="1">IFERROR(($U101-$R101)/ABS($R101),0)</f>
        <v>-0.15909999999999999</v>
      </c>
      <c r="X101" s="4">
        <f ca="1">SUBTOTAL(9,X$102:X$142)</f>
        <v>-873493.25</v>
      </c>
      <c r="Y101" s="78">
        <f ca="1">IFERROR($X101/$X$6,0)</f>
        <v>-0.1037</v>
      </c>
      <c r="Z101" s="78">
        <f ca="1">IFERROR(($X101-$U101)/ABS($U101),0)</f>
        <v>-0.1371</v>
      </c>
      <c r="AA101" s="4">
        <f ca="1">SUBTOTAL(9,AA$102:AA$142)</f>
        <v>-989684.51</v>
      </c>
      <c r="AB101" s="78">
        <f ca="1">IFERROR($AA101/$AA$6,0)</f>
        <v>-0.1053</v>
      </c>
      <c r="AC101" s="78">
        <f ca="1">IFERROR(($AA101-$X101)/ABS($X101),0)</f>
        <v>-0.13300000000000001</v>
      </c>
      <c r="AD101" s="4">
        <f ca="1">SUBTOTAL(9,AD$102:AD$142)</f>
        <v>-1106739.26</v>
      </c>
      <c r="AE101" s="78">
        <f ca="1">IFERROR($AD101/$AD$6,0)</f>
        <v>-0.104</v>
      </c>
      <c r="AF101" s="78">
        <f ca="1">IFERROR(($AD101-$AA101)/ABS($AA101),0)</f>
        <v>-0.1183</v>
      </c>
      <c r="AG101" s="4">
        <f ca="1">SUBTOTAL(9,AG$102:AG$142)</f>
        <v>-1216471.01</v>
      </c>
      <c r="AH101" s="78">
        <f ca="1">IFERROR($AG101/$AG$6,0)</f>
        <v>-0.1053</v>
      </c>
      <c r="AI101" s="78">
        <f ca="1">IFERROR(($AG101-$AD101)/ABS($AD101),0)</f>
        <v>-9.9099999999999994E-2</v>
      </c>
      <c r="AJ101" s="4">
        <f ca="1">SUBTOTAL(9,AJ$102:AJ$142)</f>
        <v>-1347301.21</v>
      </c>
      <c r="AK101" s="78">
        <f ca="1">IFERROR($AJ101/$AJ$6,0)</f>
        <v>-0.1033</v>
      </c>
      <c r="AL101" s="78">
        <f ca="1">IFERROR(($AJ101-$AG101)/ABS($AG101),0)</f>
        <v>-0.1075</v>
      </c>
    </row>
    <row r="102" spans="2:39" ht="15" customHeight="1" outlineLevel="1" x14ac:dyDescent="0.3">
      <c r="B102" s="14" t="s">
        <v>455</v>
      </c>
      <c r="C102" s="14" t="s">
        <v>456</v>
      </c>
      <c r="D102" s="4">
        <f ca="1">-SUMIFS(INDIRECT("Tab_00.Trial["&amp;D$4&amp;"]"),Tab_00.Trial[CONTA],$B102)</f>
        <v>-1014</v>
      </c>
      <c r="E102" s="78">
        <f t="shared" ca="1" si="112"/>
        <v>-1.1000000000000001E-3</v>
      </c>
      <c r="F102" s="4">
        <f ca="1">-SUMIFS(INDIRECT("Tab_00.Trial["&amp;F$4&amp;"]"),Tab_00.Trial[CONTA],$B102)</f>
        <v>-1014</v>
      </c>
      <c r="G102" s="78">
        <f t="shared" ca="1" si="91"/>
        <v>-5.0000000000000001E-4</v>
      </c>
      <c r="H102" s="78">
        <f t="shared" ca="1" si="113"/>
        <v>0</v>
      </c>
      <c r="I102" s="4">
        <f ca="1">-SUMIFS(INDIRECT("Tab_00.Trial["&amp;I$4&amp;"]"),Tab_00.Trial[CONTA],$B102)</f>
        <v>-1014</v>
      </c>
      <c r="J102" s="78">
        <f t="shared" ca="1" si="92"/>
        <v>-2.9999999999999997E-4</v>
      </c>
      <c r="K102" s="78">
        <f t="shared" ca="1" si="93"/>
        <v>0</v>
      </c>
      <c r="L102" s="4">
        <f ca="1">-SUMIFS(INDIRECT("Tab_00.Trial["&amp;L$4&amp;"]"),Tab_00.Trial[CONTA],$B102)</f>
        <v>-1014</v>
      </c>
      <c r="M102" s="78">
        <f t="shared" ca="1" si="94"/>
        <v>-2.0000000000000001E-4</v>
      </c>
      <c r="N102" s="78">
        <f t="shared" ca="1" si="95"/>
        <v>0</v>
      </c>
      <c r="O102" s="4">
        <f ca="1">-SUMIFS(INDIRECT("Tab_00.Trial["&amp;O$4&amp;"]"),Tab_00.Trial[CONTA],$B102)</f>
        <v>-1014</v>
      </c>
      <c r="P102" s="78">
        <f t="shared" ref="P102:P141" ca="1" si="114">IFERROR($O102/$O$6,0)</f>
        <v>-2.0000000000000001E-4</v>
      </c>
      <c r="Q102" s="78">
        <f t="shared" ref="Q102:Q141" ca="1" si="115">IFERROR(($O102-$L102)/ABS($L102),0)</f>
        <v>0</v>
      </c>
      <c r="R102" s="4">
        <f ca="1">-SUMIFS(INDIRECT("Tab_00.Trial["&amp;R$4&amp;"]"),Tab_00.Trial[CONTA],$B102)</f>
        <v>-1014</v>
      </c>
      <c r="S102" s="78">
        <f t="shared" ca="1" si="98"/>
        <v>-2.0000000000000001E-4</v>
      </c>
      <c r="T102" s="78">
        <f t="shared" ca="1" si="99"/>
        <v>0</v>
      </c>
      <c r="U102" s="4">
        <f ca="1">-SUMIFS(INDIRECT("Tab_00.Trial["&amp;U$4&amp;"]"),Tab_00.Trial[CONTA],$B102)</f>
        <v>-1014</v>
      </c>
      <c r="V102" s="78">
        <f t="shared" ca="1" si="100"/>
        <v>-1E-4</v>
      </c>
      <c r="W102" s="78">
        <f t="shared" ca="1" si="101"/>
        <v>0</v>
      </c>
      <c r="X102" s="4">
        <f ca="1">-SUMIFS(INDIRECT("Tab_00.Trial["&amp;X$4&amp;"]"),Tab_00.Trial[CONTA],$B102)</f>
        <v>-1014</v>
      </c>
      <c r="Y102" s="78">
        <f t="shared" ref="Y102:Y141" ca="1" si="116">IFERROR($X102/$X$6,0)</f>
        <v>-1E-4</v>
      </c>
      <c r="Z102" s="78">
        <f t="shared" ref="Z102:Z141" ca="1" si="117">IFERROR(($X102-$U102)/ABS($U102),0)</f>
        <v>0</v>
      </c>
      <c r="AA102" s="4">
        <f ca="1">-SUMIFS(INDIRECT("Tab_00.Trial["&amp;AA$4&amp;"]"),Tab_00.Trial[CONTA],$B102)</f>
        <v>-1014</v>
      </c>
      <c r="AB102" s="78">
        <f t="shared" ca="1" si="104"/>
        <v>-1E-4</v>
      </c>
      <c r="AC102" s="78">
        <f t="shared" ca="1" si="105"/>
        <v>0</v>
      </c>
      <c r="AD102" s="4">
        <f ca="1">-SUMIFS(INDIRECT("Tab_00.Trial["&amp;AD$4&amp;"]"),Tab_00.Trial[CONTA],$B102)</f>
        <v>-1014</v>
      </c>
      <c r="AE102" s="78">
        <f t="shared" ca="1" si="106"/>
        <v>-1E-4</v>
      </c>
      <c r="AF102" s="78">
        <f t="shared" ca="1" si="107"/>
        <v>0</v>
      </c>
      <c r="AG102" s="4">
        <f ca="1">-SUMIFS(INDIRECT("Tab_00.Trial["&amp;AG$4&amp;"]"),Tab_00.Trial[CONTA],$B102)</f>
        <v>-1014</v>
      </c>
      <c r="AH102" s="78">
        <f t="shared" ca="1" si="108"/>
        <v>-1E-4</v>
      </c>
      <c r="AI102" s="78">
        <f t="shared" ca="1" si="109"/>
        <v>0</v>
      </c>
      <c r="AJ102" s="4">
        <f ca="1">-SUMIFS(INDIRECT("Tab_00.Trial["&amp;AJ$4&amp;"]"),Tab_00.Trial[CONTA],$B102)</f>
        <v>-1133.6099999999999</v>
      </c>
      <c r="AK102" s="78">
        <f t="shared" ca="1" si="110"/>
        <v>-1E-4</v>
      </c>
      <c r="AL102" s="78">
        <f t="shared" ca="1" si="111"/>
        <v>-0.11799999999999999</v>
      </c>
    </row>
    <row r="103" spans="2:39" ht="15" customHeight="1" outlineLevel="1" x14ac:dyDescent="0.3">
      <c r="B103" s="14" t="s">
        <v>457</v>
      </c>
      <c r="C103" s="14" t="s">
        <v>458</v>
      </c>
      <c r="D103" s="4">
        <f ca="1">-SUMIFS(INDIRECT("Tab_00.Trial["&amp;D$4&amp;"]"),Tab_00.Trial[CONTA],$B103)</f>
        <v>-190</v>
      </c>
      <c r="E103" s="78">
        <f t="shared" ca="1" si="112"/>
        <v>-2.0000000000000001E-4</v>
      </c>
      <c r="F103" s="4">
        <f ca="1">-SUMIFS(INDIRECT("Tab_00.Trial["&amp;F$4&amp;"]"),Tab_00.Trial[CONTA],$B103)</f>
        <v>-425</v>
      </c>
      <c r="G103" s="78">
        <f t="shared" ca="1" si="91"/>
        <v>-2.0000000000000001E-4</v>
      </c>
      <c r="H103" s="78">
        <f t="shared" ca="1" si="113"/>
        <v>-1.2367999999999999</v>
      </c>
      <c r="I103" s="4">
        <f ca="1">-SUMIFS(INDIRECT("Tab_00.Trial["&amp;I$4&amp;"]"),Tab_00.Trial[CONTA],$B103)</f>
        <v>-660</v>
      </c>
      <c r="J103" s="78">
        <f t="shared" ca="1" si="92"/>
        <v>-2.0000000000000001E-4</v>
      </c>
      <c r="K103" s="78">
        <f t="shared" ca="1" si="93"/>
        <v>-0.55289999999999995</v>
      </c>
      <c r="L103" s="4">
        <f ca="1">-SUMIFS(INDIRECT("Tab_00.Trial["&amp;L$4&amp;"]"),Tab_00.Trial[CONTA],$B103)</f>
        <v>-890</v>
      </c>
      <c r="M103" s="78">
        <f t="shared" ca="1" si="94"/>
        <v>-2.0000000000000001E-4</v>
      </c>
      <c r="N103" s="78">
        <f t="shared" ca="1" si="95"/>
        <v>-0.34849999999999998</v>
      </c>
      <c r="O103" s="4">
        <f ca="1">-SUMIFS(INDIRECT("Tab_00.Trial["&amp;O$4&amp;"]"),Tab_00.Trial[CONTA],$B103)</f>
        <v>-1080</v>
      </c>
      <c r="P103" s="78">
        <f t="shared" ca="1" si="114"/>
        <v>-2.0000000000000001E-4</v>
      </c>
      <c r="Q103" s="78">
        <f t="shared" ca="1" si="115"/>
        <v>-0.2135</v>
      </c>
      <c r="R103" s="4">
        <f ca="1">-SUMIFS(INDIRECT("Tab_00.Trial["&amp;R$4&amp;"]"),Tab_00.Trial[CONTA],$B103)</f>
        <v>-1355</v>
      </c>
      <c r="S103" s="78">
        <f t="shared" ca="1" si="98"/>
        <v>-2.0000000000000001E-4</v>
      </c>
      <c r="T103" s="78">
        <f t="shared" ca="1" si="99"/>
        <v>-0.25459999999999999</v>
      </c>
      <c r="U103" s="4">
        <f ca="1">-SUMIFS(INDIRECT("Tab_00.Trial["&amp;U$4&amp;"]"),Tab_00.Trial[CONTA],$B103)</f>
        <v>-1545</v>
      </c>
      <c r="V103" s="78">
        <f t="shared" ca="1" si="100"/>
        <v>-2.0000000000000001E-4</v>
      </c>
      <c r="W103" s="78">
        <f t="shared" ca="1" si="101"/>
        <v>-0.14019999999999999</v>
      </c>
      <c r="X103" s="4">
        <f ca="1">-SUMIFS(INDIRECT("Tab_00.Trial["&amp;X$4&amp;"]"),Tab_00.Trial[CONTA],$B103)</f>
        <v>-1735</v>
      </c>
      <c r="Y103" s="78">
        <f t="shared" ca="1" si="116"/>
        <v>-2.0000000000000001E-4</v>
      </c>
      <c r="Z103" s="78">
        <f t="shared" ca="1" si="117"/>
        <v>-0.123</v>
      </c>
      <c r="AA103" s="4">
        <f ca="1">-SUMIFS(INDIRECT("Tab_00.Trial["&amp;AA$4&amp;"]"),Tab_00.Trial[CONTA],$B103)</f>
        <v>-2925</v>
      </c>
      <c r="AB103" s="78">
        <f t="shared" ca="1" si="104"/>
        <v>-2.9999999999999997E-4</v>
      </c>
      <c r="AC103" s="78">
        <f t="shared" ca="1" si="105"/>
        <v>-0.68589999999999995</v>
      </c>
      <c r="AD103" s="4">
        <f ca="1">-SUMIFS(INDIRECT("Tab_00.Trial["&amp;AD$4&amp;"]"),Tab_00.Trial[CONTA],$B103)</f>
        <v>-3205</v>
      </c>
      <c r="AE103" s="78">
        <f t="shared" ca="1" si="106"/>
        <v>-2.9999999999999997E-4</v>
      </c>
      <c r="AF103" s="78">
        <f t="shared" ca="1" si="107"/>
        <v>-9.5699999999999993E-2</v>
      </c>
      <c r="AG103" s="4">
        <f ca="1">-SUMIFS(INDIRECT("Tab_00.Trial["&amp;AG$4&amp;"]"),Tab_00.Trial[CONTA],$B103)</f>
        <v>-3395</v>
      </c>
      <c r="AH103" s="78">
        <f t="shared" ca="1" si="108"/>
        <v>-2.9999999999999997E-4</v>
      </c>
      <c r="AI103" s="78">
        <f t="shared" ca="1" si="109"/>
        <v>-5.9299999999999999E-2</v>
      </c>
      <c r="AJ103" s="4">
        <f ca="1">-SUMIFS(INDIRECT("Tab_00.Trial["&amp;AJ$4&amp;"]"),Tab_00.Trial[CONTA],$B103)</f>
        <v>-3625</v>
      </c>
      <c r="AK103" s="78">
        <f t="shared" ca="1" si="110"/>
        <v>-2.9999999999999997E-4</v>
      </c>
      <c r="AL103" s="78">
        <f t="shared" ca="1" si="111"/>
        <v>-6.7699999999999996E-2</v>
      </c>
    </row>
    <row r="104" spans="2:39" ht="15" customHeight="1" outlineLevel="1" x14ac:dyDescent="0.3">
      <c r="B104" s="14" t="s">
        <v>473</v>
      </c>
      <c r="C104" s="14" t="s">
        <v>474</v>
      </c>
      <c r="D104" s="4">
        <f ca="1">-SUMIFS(INDIRECT("Tab_00.Trial["&amp;D$4&amp;"]"),Tab_00.Trial[CONTA],$B104)</f>
        <v>-4500</v>
      </c>
      <c r="E104" s="78">
        <f t="shared" ca="1" si="112"/>
        <v>-4.7000000000000002E-3</v>
      </c>
      <c r="F104" s="4">
        <f ca="1">-SUMIFS(INDIRECT("Tab_00.Trial["&amp;F$4&amp;"]"),Tab_00.Trial[CONTA],$B104)</f>
        <v>-9000</v>
      </c>
      <c r="G104" s="78">
        <f t="shared" ca="1" si="91"/>
        <v>-4.7000000000000002E-3</v>
      </c>
      <c r="H104" s="78">
        <f t="shared" ca="1" si="113"/>
        <v>-1</v>
      </c>
      <c r="I104" s="4">
        <f ca="1">-SUMIFS(INDIRECT("Tab_00.Trial["&amp;I$4&amp;"]"),Tab_00.Trial[CONTA],$B104)</f>
        <v>-13500</v>
      </c>
      <c r="J104" s="78">
        <f t="shared" ca="1" si="92"/>
        <v>-4.4999999999999997E-3</v>
      </c>
      <c r="K104" s="78">
        <f t="shared" ca="1" si="93"/>
        <v>-0.5</v>
      </c>
      <c r="L104" s="4">
        <f ca="1">-SUMIFS(INDIRECT("Tab_00.Trial["&amp;L$4&amp;"]"),Tab_00.Trial[CONTA],$B104)</f>
        <v>-18000</v>
      </c>
      <c r="M104" s="78">
        <f t="shared" ca="1" si="94"/>
        <v>-4.4000000000000003E-3</v>
      </c>
      <c r="N104" s="78">
        <f t="shared" ca="1" si="95"/>
        <v>-0.33329999999999999</v>
      </c>
      <c r="O104" s="4">
        <f ca="1">-SUMIFS(INDIRECT("Tab_00.Trial["&amp;O$4&amp;"]"),Tab_00.Trial[CONTA],$B104)</f>
        <v>-22500</v>
      </c>
      <c r="P104" s="78">
        <f t="shared" ca="1" si="114"/>
        <v>-4.1999999999999997E-3</v>
      </c>
      <c r="Q104" s="78">
        <f t="shared" ca="1" si="115"/>
        <v>-0.25</v>
      </c>
      <c r="R104" s="4">
        <f ca="1">-SUMIFS(INDIRECT("Tab_00.Trial["&amp;R$4&amp;"]"),Tab_00.Trial[CONTA],$B104)</f>
        <v>-27000</v>
      </c>
      <c r="S104" s="78">
        <f t="shared" ca="1" si="98"/>
        <v>-4.3E-3</v>
      </c>
      <c r="T104" s="78">
        <f t="shared" ca="1" si="99"/>
        <v>-0.2</v>
      </c>
      <c r="U104" s="4">
        <f ca="1">-SUMIFS(INDIRECT("Tab_00.Trial["&amp;U$4&amp;"]"),Tab_00.Trial[CONTA],$B104)</f>
        <v>-31500</v>
      </c>
      <c r="V104" s="78">
        <f t="shared" ca="1" si="100"/>
        <v>-4.3E-3</v>
      </c>
      <c r="W104" s="78">
        <f t="shared" ca="1" si="101"/>
        <v>-0.16669999999999999</v>
      </c>
      <c r="X104" s="4">
        <f ca="1">-SUMIFS(INDIRECT("Tab_00.Trial["&amp;X$4&amp;"]"),Tab_00.Trial[CONTA],$B104)</f>
        <v>-36000</v>
      </c>
      <c r="Y104" s="78">
        <f t="shared" ca="1" si="116"/>
        <v>-4.3E-3</v>
      </c>
      <c r="Z104" s="78">
        <f t="shared" ca="1" si="117"/>
        <v>-0.1429</v>
      </c>
      <c r="AA104" s="4">
        <f ca="1">-SUMIFS(INDIRECT("Tab_00.Trial["&amp;AA$4&amp;"]"),Tab_00.Trial[CONTA],$B104)</f>
        <v>-40500</v>
      </c>
      <c r="AB104" s="78">
        <f t="shared" ca="1" si="104"/>
        <v>-4.3E-3</v>
      </c>
      <c r="AC104" s="78">
        <f t="shared" ca="1" si="105"/>
        <v>-0.125</v>
      </c>
      <c r="AD104" s="4">
        <f ca="1">-SUMIFS(INDIRECT("Tab_00.Trial["&amp;AD$4&amp;"]"),Tab_00.Trial[CONTA],$B104)</f>
        <v>-45000</v>
      </c>
      <c r="AE104" s="78">
        <f t="shared" ca="1" si="106"/>
        <v>-4.1999999999999997E-3</v>
      </c>
      <c r="AF104" s="78">
        <f t="shared" ca="1" si="107"/>
        <v>-0.1111</v>
      </c>
      <c r="AG104" s="4">
        <f ca="1">-SUMIFS(INDIRECT("Tab_00.Trial["&amp;AG$4&amp;"]"),Tab_00.Trial[CONTA],$B104)</f>
        <v>-49500</v>
      </c>
      <c r="AH104" s="78">
        <f t="shared" ca="1" si="108"/>
        <v>-4.3E-3</v>
      </c>
      <c r="AI104" s="78">
        <f t="shared" ca="1" si="109"/>
        <v>-0.1</v>
      </c>
      <c r="AJ104" s="4">
        <f ca="1">-SUMIFS(INDIRECT("Tab_00.Trial["&amp;AJ$4&amp;"]"),Tab_00.Trial[CONTA],$B104)</f>
        <v>-54000</v>
      </c>
      <c r="AK104" s="78">
        <f t="shared" ca="1" si="110"/>
        <v>-4.1000000000000003E-3</v>
      </c>
      <c r="AL104" s="78">
        <f t="shared" ca="1" si="111"/>
        <v>-9.0899999999999995E-2</v>
      </c>
      <c r="AM104" s="1" t="s">
        <v>771</v>
      </c>
    </row>
    <row r="105" spans="2:39" ht="15" customHeight="1" outlineLevel="1" x14ac:dyDescent="0.3">
      <c r="B105" s="14" t="s">
        <v>475</v>
      </c>
      <c r="C105" s="14" t="s">
        <v>476</v>
      </c>
      <c r="D105" s="4">
        <f ca="1">-SUMIFS(INDIRECT("Tab_00.Trial["&amp;D$4&amp;"]"),Tab_00.Trial[CONTA],$B105)</f>
        <v>0</v>
      </c>
      <c r="E105" s="78">
        <f t="shared" ca="1" si="112"/>
        <v>0</v>
      </c>
      <c r="F105" s="4">
        <f ca="1">-SUMIFS(INDIRECT("Tab_00.Trial["&amp;F$4&amp;"]"),Tab_00.Trial[CONTA],$B105)</f>
        <v>0</v>
      </c>
      <c r="G105" s="78">
        <f t="shared" ca="1" si="91"/>
        <v>0</v>
      </c>
      <c r="H105" s="78">
        <f t="shared" ca="1" si="113"/>
        <v>0</v>
      </c>
      <c r="I105" s="4">
        <f ca="1">-SUMIFS(INDIRECT("Tab_00.Trial["&amp;I$4&amp;"]"),Tab_00.Trial[CONTA],$B105)</f>
        <v>0</v>
      </c>
      <c r="J105" s="78">
        <f t="shared" ca="1" si="92"/>
        <v>0</v>
      </c>
      <c r="K105" s="78">
        <f t="shared" ca="1" si="93"/>
        <v>0</v>
      </c>
      <c r="L105" s="4">
        <f ca="1">-SUMIFS(INDIRECT("Tab_00.Trial["&amp;L$4&amp;"]"),Tab_00.Trial[CONTA],$B105)</f>
        <v>0</v>
      </c>
      <c r="M105" s="78">
        <f t="shared" ca="1" si="94"/>
        <v>0</v>
      </c>
      <c r="N105" s="78">
        <f t="shared" ca="1" si="95"/>
        <v>0</v>
      </c>
      <c r="O105" s="4">
        <f ca="1">-SUMIFS(INDIRECT("Tab_00.Trial["&amp;O$4&amp;"]"),Tab_00.Trial[CONTA],$B105)</f>
        <v>0</v>
      </c>
      <c r="P105" s="78">
        <f t="shared" ca="1" si="114"/>
        <v>0</v>
      </c>
      <c r="Q105" s="78">
        <f t="shared" ca="1" si="115"/>
        <v>0</v>
      </c>
      <c r="R105" s="4">
        <f ca="1">-SUMIFS(INDIRECT("Tab_00.Trial["&amp;R$4&amp;"]"),Tab_00.Trial[CONTA],$B105)</f>
        <v>0</v>
      </c>
      <c r="S105" s="78">
        <f t="shared" ca="1" si="98"/>
        <v>0</v>
      </c>
      <c r="T105" s="78">
        <f t="shared" ca="1" si="99"/>
        <v>0</v>
      </c>
      <c r="U105" s="4">
        <f ca="1">-SUMIFS(INDIRECT("Tab_00.Trial["&amp;U$4&amp;"]"),Tab_00.Trial[CONTA],$B105)</f>
        <v>0</v>
      </c>
      <c r="V105" s="78">
        <f t="shared" ca="1" si="100"/>
        <v>0</v>
      </c>
      <c r="W105" s="78">
        <f t="shared" ca="1" si="101"/>
        <v>0</v>
      </c>
      <c r="X105" s="4">
        <f ca="1">-SUMIFS(INDIRECT("Tab_00.Trial["&amp;X$4&amp;"]"),Tab_00.Trial[CONTA],$B105)</f>
        <v>0</v>
      </c>
      <c r="Y105" s="78">
        <f t="shared" ca="1" si="116"/>
        <v>0</v>
      </c>
      <c r="Z105" s="78">
        <f t="shared" ca="1" si="117"/>
        <v>0</v>
      </c>
      <c r="AA105" s="4">
        <f ca="1">-SUMIFS(INDIRECT("Tab_00.Trial["&amp;AA$4&amp;"]"),Tab_00.Trial[CONTA],$B105)</f>
        <v>0</v>
      </c>
      <c r="AB105" s="78">
        <f t="shared" ca="1" si="104"/>
        <v>0</v>
      </c>
      <c r="AC105" s="78">
        <f t="shared" ca="1" si="105"/>
        <v>0</v>
      </c>
      <c r="AD105" s="4">
        <f ca="1">-SUMIFS(INDIRECT("Tab_00.Trial["&amp;AD$4&amp;"]"),Tab_00.Trial[CONTA],$B105)</f>
        <v>0</v>
      </c>
      <c r="AE105" s="78">
        <f t="shared" ca="1" si="106"/>
        <v>0</v>
      </c>
      <c r="AF105" s="78">
        <f t="shared" ca="1" si="107"/>
        <v>0</v>
      </c>
      <c r="AG105" s="4">
        <f ca="1">-SUMIFS(INDIRECT("Tab_00.Trial["&amp;AG$4&amp;"]"),Tab_00.Trial[CONTA],$B105)</f>
        <v>0</v>
      </c>
      <c r="AH105" s="78">
        <f t="shared" ca="1" si="108"/>
        <v>0</v>
      </c>
      <c r="AI105" s="78">
        <f t="shared" ca="1" si="109"/>
        <v>0</v>
      </c>
      <c r="AJ105" s="4">
        <f ca="1">-SUMIFS(INDIRECT("Tab_00.Trial["&amp;AJ$4&amp;"]"),Tab_00.Trial[CONTA],$B105)</f>
        <v>0</v>
      </c>
      <c r="AK105" s="78">
        <f t="shared" ca="1" si="110"/>
        <v>0</v>
      </c>
      <c r="AL105" s="78">
        <f t="shared" ca="1" si="111"/>
        <v>0</v>
      </c>
    </row>
    <row r="106" spans="2:39" ht="15" customHeight="1" outlineLevel="1" x14ac:dyDescent="0.3">
      <c r="B106" s="14" t="s">
        <v>477</v>
      </c>
      <c r="C106" s="14" t="s">
        <v>478</v>
      </c>
      <c r="D106" s="4">
        <f ca="1">-SUMIFS(INDIRECT("Tab_00.Trial["&amp;D$4&amp;"]"),Tab_00.Trial[CONTA],$B106)</f>
        <v>0</v>
      </c>
      <c r="E106" s="78">
        <f t="shared" ca="1" si="112"/>
        <v>0</v>
      </c>
      <c r="F106" s="4">
        <f ca="1">-SUMIFS(INDIRECT("Tab_00.Trial["&amp;F$4&amp;"]"),Tab_00.Trial[CONTA],$B106)</f>
        <v>0</v>
      </c>
      <c r="G106" s="78">
        <f t="shared" ca="1" si="91"/>
        <v>0</v>
      </c>
      <c r="H106" s="78">
        <f t="shared" ca="1" si="113"/>
        <v>0</v>
      </c>
      <c r="I106" s="4">
        <f ca="1">-SUMIFS(INDIRECT("Tab_00.Trial["&amp;I$4&amp;"]"),Tab_00.Trial[CONTA],$B106)</f>
        <v>0</v>
      </c>
      <c r="J106" s="78">
        <f t="shared" ca="1" si="92"/>
        <v>0</v>
      </c>
      <c r="K106" s="78">
        <f t="shared" ca="1" si="93"/>
        <v>0</v>
      </c>
      <c r="L106" s="4">
        <f ca="1">-SUMIFS(INDIRECT("Tab_00.Trial["&amp;L$4&amp;"]"),Tab_00.Trial[CONTA],$B106)</f>
        <v>0</v>
      </c>
      <c r="M106" s="78">
        <f t="shared" ca="1" si="94"/>
        <v>0</v>
      </c>
      <c r="N106" s="78">
        <f t="shared" ca="1" si="95"/>
        <v>0</v>
      </c>
      <c r="O106" s="4">
        <f ca="1">-SUMIFS(INDIRECT("Tab_00.Trial["&amp;O$4&amp;"]"),Tab_00.Trial[CONTA],$B106)</f>
        <v>0</v>
      </c>
      <c r="P106" s="78">
        <f t="shared" ca="1" si="114"/>
        <v>0</v>
      </c>
      <c r="Q106" s="78">
        <f t="shared" ca="1" si="115"/>
        <v>0</v>
      </c>
      <c r="R106" s="4">
        <f ca="1">-SUMIFS(INDIRECT("Tab_00.Trial["&amp;R$4&amp;"]"),Tab_00.Trial[CONTA],$B106)</f>
        <v>0</v>
      </c>
      <c r="S106" s="78">
        <f t="shared" ca="1" si="98"/>
        <v>0</v>
      </c>
      <c r="T106" s="78">
        <f t="shared" ca="1" si="99"/>
        <v>0</v>
      </c>
      <c r="U106" s="4">
        <f ca="1">-SUMIFS(INDIRECT("Tab_00.Trial["&amp;U$4&amp;"]"),Tab_00.Trial[CONTA],$B106)</f>
        <v>0</v>
      </c>
      <c r="V106" s="78">
        <f t="shared" ca="1" si="100"/>
        <v>0</v>
      </c>
      <c r="W106" s="78">
        <f t="shared" ca="1" si="101"/>
        <v>0</v>
      </c>
      <c r="X106" s="4">
        <f ca="1">-SUMIFS(INDIRECT("Tab_00.Trial["&amp;X$4&amp;"]"),Tab_00.Trial[CONTA],$B106)</f>
        <v>0</v>
      </c>
      <c r="Y106" s="78">
        <f t="shared" ca="1" si="116"/>
        <v>0</v>
      </c>
      <c r="Z106" s="78">
        <f t="shared" ca="1" si="117"/>
        <v>0</v>
      </c>
      <c r="AA106" s="4">
        <f ca="1">-SUMIFS(INDIRECT("Tab_00.Trial["&amp;AA$4&amp;"]"),Tab_00.Trial[CONTA],$B106)</f>
        <v>0</v>
      </c>
      <c r="AB106" s="78">
        <f t="shared" ca="1" si="104"/>
        <v>0</v>
      </c>
      <c r="AC106" s="78">
        <f t="shared" ca="1" si="105"/>
        <v>0</v>
      </c>
      <c r="AD106" s="4">
        <f ca="1">-SUMIFS(INDIRECT("Tab_00.Trial["&amp;AD$4&amp;"]"),Tab_00.Trial[CONTA],$B106)</f>
        <v>0</v>
      </c>
      <c r="AE106" s="78">
        <f t="shared" ca="1" si="106"/>
        <v>0</v>
      </c>
      <c r="AF106" s="78">
        <f t="shared" ca="1" si="107"/>
        <v>0</v>
      </c>
      <c r="AG106" s="4">
        <f ca="1">-SUMIFS(INDIRECT("Tab_00.Trial["&amp;AG$4&amp;"]"),Tab_00.Trial[CONTA],$B106)</f>
        <v>0</v>
      </c>
      <c r="AH106" s="78">
        <f t="shared" ca="1" si="108"/>
        <v>0</v>
      </c>
      <c r="AI106" s="78">
        <f t="shared" ca="1" si="109"/>
        <v>0</v>
      </c>
      <c r="AJ106" s="4">
        <f ca="1">-SUMIFS(INDIRECT("Tab_00.Trial["&amp;AJ$4&amp;"]"),Tab_00.Trial[CONTA],$B106)</f>
        <v>0</v>
      </c>
      <c r="AK106" s="78">
        <f t="shared" ca="1" si="110"/>
        <v>0</v>
      </c>
      <c r="AL106" s="78">
        <f t="shared" ca="1" si="111"/>
        <v>0</v>
      </c>
    </row>
    <row r="107" spans="2:39" ht="15" customHeight="1" outlineLevel="1" x14ac:dyDescent="0.3">
      <c r="B107" s="14" t="s">
        <v>480</v>
      </c>
      <c r="C107" s="14" t="s">
        <v>481</v>
      </c>
      <c r="D107" s="4">
        <f ca="1">-SUMIFS(INDIRECT("Tab_00.Trial["&amp;D$4&amp;"]"),Tab_00.Trial[CONTA],$B107)</f>
        <v>-57486</v>
      </c>
      <c r="E107" s="78">
        <f t="shared" ca="1" si="112"/>
        <v>-6.0499999999999998E-2</v>
      </c>
      <c r="F107" s="4">
        <f ca="1">-SUMIFS(INDIRECT("Tab_00.Trial["&amp;F$4&amp;"]"),Tab_00.Trial[CONTA],$B107)</f>
        <v>-114972</v>
      </c>
      <c r="G107" s="78">
        <f t="shared" ca="1" si="91"/>
        <v>-5.9700000000000003E-2</v>
      </c>
      <c r="H107" s="78">
        <f t="shared" ca="1" si="113"/>
        <v>-1</v>
      </c>
      <c r="I107" s="4">
        <f ca="1">-SUMIFS(INDIRECT("Tab_00.Trial["&amp;I$4&amp;"]"),Tab_00.Trial[CONTA],$B107)</f>
        <v>-172458</v>
      </c>
      <c r="J107" s="78">
        <f t="shared" ca="1" si="92"/>
        <v>-5.79E-2</v>
      </c>
      <c r="K107" s="78">
        <f t="shared" ca="1" si="93"/>
        <v>-0.5</v>
      </c>
      <c r="L107" s="4">
        <f ca="1">-SUMIFS(INDIRECT("Tab_00.Trial["&amp;L$4&amp;"]"),Tab_00.Trial[CONTA],$B107)</f>
        <v>-229944</v>
      </c>
      <c r="M107" s="78">
        <f t="shared" ca="1" si="94"/>
        <v>-5.6300000000000003E-2</v>
      </c>
      <c r="N107" s="78">
        <f t="shared" ca="1" si="95"/>
        <v>-0.33329999999999999</v>
      </c>
      <c r="O107" s="4">
        <f ca="1">-SUMIFS(INDIRECT("Tab_00.Trial["&amp;O$4&amp;"]"),Tab_00.Trial[CONTA],$B107)</f>
        <v>-287430</v>
      </c>
      <c r="P107" s="78">
        <f t="shared" ca="1" si="114"/>
        <v>-5.4300000000000001E-2</v>
      </c>
      <c r="Q107" s="78">
        <f t="shared" ca="1" si="115"/>
        <v>-0.25</v>
      </c>
      <c r="R107" s="4">
        <f ca="1">-SUMIFS(INDIRECT("Tab_00.Trial["&amp;R$4&amp;"]"),Tab_00.Trial[CONTA],$B107)</f>
        <v>-344916</v>
      </c>
      <c r="S107" s="78">
        <f t="shared" ca="1" si="98"/>
        <v>-5.4699999999999999E-2</v>
      </c>
      <c r="T107" s="78">
        <f t="shared" ca="1" si="99"/>
        <v>-0.2</v>
      </c>
      <c r="U107" s="4">
        <f ca="1">-SUMIFS(INDIRECT("Tab_00.Trial["&amp;U$4&amp;"]"),Tab_00.Trial[CONTA],$B107)</f>
        <v>-402402</v>
      </c>
      <c r="V107" s="78">
        <f t="shared" ca="1" si="100"/>
        <v>-5.45E-2</v>
      </c>
      <c r="W107" s="78">
        <f t="shared" ca="1" si="101"/>
        <v>-0.16669999999999999</v>
      </c>
      <c r="X107" s="4">
        <f ca="1">-SUMIFS(INDIRECT("Tab_00.Trial["&amp;X$4&amp;"]"),Tab_00.Trial[CONTA],$B107)</f>
        <v>-459888</v>
      </c>
      <c r="Y107" s="78">
        <f t="shared" ca="1" si="116"/>
        <v>-5.4600000000000003E-2</v>
      </c>
      <c r="Z107" s="78">
        <f t="shared" ca="1" si="117"/>
        <v>-0.1429</v>
      </c>
      <c r="AA107" s="4">
        <f ca="1">-SUMIFS(INDIRECT("Tab_00.Trial["&amp;AA$4&amp;"]"),Tab_00.Trial[CONTA],$B107)</f>
        <v>-517374</v>
      </c>
      <c r="AB107" s="78">
        <f t="shared" ca="1" si="104"/>
        <v>-5.5100000000000003E-2</v>
      </c>
      <c r="AC107" s="78">
        <f t="shared" ca="1" si="105"/>
        <v>-0.125</v>
      </c>
      <c r="AD107" s="4">
        <f ca="1">-SUMIFS(INDIRECT("Tab_00.Trial["&amp;AD$4&amp;"]"),Tab_00.Trial[CONTA],$B107)</f>
        <v>-574860</v>
      </c>
      <c r="AE107" s="78">
        <f t="shared" ca="1" si="106"/>
        <v>-5.3999999999999999E-2</v>
      </c>
      <c r="AF107" s="78">
        <f t="shared" ca="1" si="107"/>
        <v>-0.1111</v>
      </c>
      <c r="AG107" s="4">
        <f ca="1">-SUMIFS(INDIRECT("Tab_00.Trial["&amp;AG$4&amp;"]"),Tab_00.Trial[CONTA],$B107)</f>
        <v>-632346</v>
      </c>
      <c r="AH107" s="78">
        <f t="shared" ca="1" si="108"/>
        <v>-5.4699999999999999E-2</v>
      </c>
      <c r="AI107" s="78">
        <f t="shared" ca="1" si="109"/>
        <v>-0.1</v>
      </c>
      <c r="AJ107" s="4">
        <f ca="1">-SUMIFS(INDIRECT("Tab_00.Trial["&amp;AJ$4&amp;"]"),Tab_00.Trial[CONTA],$B107)</f>
        <v>-689832</v>
      </c>
      <c r="AK107" s="78">
        <f t="shared" ca="1" si="110"/>
        <v>-5.2900000000000003E-2</v>
      </c>
      <c r="AL107" s="78">
        <f t="shared" ca="1" si="111"/>
        <v>-9.0899999999999995E-2</v>
      </c>
    </row>
    <row r="108" spans="2:39" ht="15" customHeight="1" outlineLevel="1" x14ac:dyDescent="0.3">
      <c r="B108" s="14" t="s">
        <v>482</v>
      </c>
      <c r="C108" s="14" t="s">
        <v>483</v>
      </c>
      <c r="D108" s="4">
        <f ca="1">-SUMIFS(INDIRECT("Tab_00.Trial["&amp;D$4&amp;"]"),Tab_00.Trial[CONTA],$B108)</f>
        <v>-236.9</v>
      </c>
      <c r="E108" s="78">
        <f t="shared" ca="1" si="112"/>
        <v>-2.0000000000000001E-4</v>
      </c>
      <c r="F108" s="4">
        <f ca="1">-SUMIFS(INDIRECT("Tab_00.Trial["&amp;F$4&amp;"]"),Tab_00.Trial[CONTA],$B108)</f>
        <v>-1298.47</v>
      </c>
      <c r="G108" s="78">
        <f t="shared" ca="1" si="91"/>
        <v>-6.9999999999999999E-4</v>
      </c>
      <c r="H108" s="78">
        <f t="shared" ca="1" si="113"/>
        <v>-4.4810999999999996</v>
      </c>
      <c r="I108" s="4">
        <f ca="1">-SUMIFS(INDIRECT("Tab_00.Trial["&amp;I$4&amp;"]"),Tab_00.Trial[CONTA],$B108)</f>
        <v>-2236.27</v>
      </c>
      <c r="J108" s="78">
        <f t="shared" ca="1" si="92"/>
        <v>-8.0000000000000004E-4</v>
      </c>
      <c r="K108" s="78">
        <f t="shared" ca="1" si="93"/>
        <v>-0.72219999999999995</v>
      </c>
      <c r="L108" s="4">
        <f ca="1">-SUMIFS(INDIRECT("Tab_00.Trial["&amp;L$4&amp;"]"),Tab_00.Trial[CONTA],$B108)</f>
        <v>-2974.3</v>
      </c>
      <c r="M108" s="78">
        <f t="shared" ca="1" si="94"/>
        <v>-6.9999999999999999E-4</v>
      </c>
      <c r="N108" s="78">
        <f t="shared" ca="1" si="95"/>
        <v>-0.33</v>
      </c>
      <c r="O108" s="4">
        <f ca="1">-SUMIFS(INDIRECT("Tab_00.Trial["&amp;O$4&amp;"]"),Tab_00.Trial[CONTA],$B108)</f>
        <v>-3438.24</v>
      </c>
      <c r="P108" s="78">
        <f t="shared" ca="1" si="114"/>
        <v>-5.9999999999999995E-4</v>
      </c>
      <c r="Q108" s="78">
        <f t="shared" ca="1" si="115"/>
        <v>-0.156</v>
      </c>
      <c r="R108" s="4">
        <f ca="1">-SUMIFS(INDIRECT("Tab_00.Trial["&amp;R$4&amp;"]"),Tab_00.Trial[CONTA],$B108)</f>
        <v>-4138.99</v>
      </c>
      <c r="S108" s="78">
        <f t="shared" ca="1" si="98"/>
        <v>-6.9999999999999999E-4</v>
      </c>
      <c r="T108" s="78">
        <f t="shared" ca="1" si="99"/>
        <v>-0.20380000000000001</v>
      </c>
      <c r="U108" s="4">
        <f ca="1">-SUMIFS(INDIRECT("Tab_00.Trial["&amp;U$4&amp;"]"),Tab_00.Trial[CONTA],$B108)</f>
        <v>-5005.3100000000004</v>
      </c>
      <c r="V108" s="78">
        <f t="shared" ca="1" si="100"/>
        <v>-6.9999999999999999E-4</v>
      </c>
      <c r="W108" s="78">
        <f t="shared" ca="1" si="101"/>
        <v>-0.20930000000000001</v>
      </c>
      <c r="X108" s="4">
        <f ca="1">-SUMIFS(INDIRECT("Tab_00.Trial["&amp;X$4&amp;"]"),Tab_00.Trial[CONTA],$B108)</f>
        <v>-5120.51</v>
      </c>
      <c r="Y108" s="78">
        <f t="shared" ca="1" si="116"/>
        <v>-5.9999999999999995E-4</v>
      </c>
      <c r="Z108" s="78">
        <f t="shared" ca="1" si="117"/>
        <v>-2.3E-2</v>
      </c>
      <c r="AA108" s="4">
        <f ca="1">-SUMIFS(INDIRECT("Tab_00.Trial["&amp;AA$4&amp;"]"),Tab_00.Trial[CONTA],$B108)</f>
        <v>-5436.61</v>
      </c>
      <c r="AB108" s="78">
        <f t="shared" ca="1" si="104"/>
        <v>-5.9999999999999995E-4</v>
      </c>
      <c r="AC108" s="78">
        <f t="shared" ca="1" si="105"/>
        <v>-6.1699999999999998E-2</v>
      </c>
      <c r="AD108" s="4">
        <f ca="1">-SUMIFS(INDIRECT("Tab_00.Trial["&amp;AD$4&amp;"]"),Tab_00.Trial[CONTA],$B108)</f>
        <v>-5892.61</v>
      </c>
      <c r="AE108" s="78">
        <f t="shared" ca="1" si="106"/>
        <v>-5.9999999999999995E-4</v>
      </c>
      <c r="AF108" s="78">
        <f t="shared" ca="1" si="107"/>
        <v>-8.3900000000000002E-2</v>
      </c>
      <c r="AG108" s="4">
        <f ca="1">-SUMIFS(INDIRECT("Tab_00.Trial["&amp;AG$4&amp;"]"),Tab_00.Trial[CONTA],$B108)</f>
        <v>-7636.23</v>
      </c>
      <c r="AH108" s="78">
        <f t="shared" ca="1" si="108"/>
        <v>-6.9999999999999999E-4</v>
      </c>
      <c r="AI108" s="78">
        <f t="shared" ca="1" si="109"/>
        <v>-0.2959</v>
      </c>
      <c r="AJ108" s="4">
        <f ca="1">-SUMIFS(INDIRECT("Tab_00.Trial["&amp;AJ$4&amp;"]"),Tab_00.Trial[CONTA],$B108)</f>
        <v>-7804.23</v>
      </c>
      <c r="AK108" s="78">
        <f t="shared" ca="1" si="110"/>
        <v>-5.9999999999999995E-4</v>
      </c>
      <c r="AL108" s="78">
        <f t="shared" ca="1" si="111"/>
        <v>-2.1999999999999999E-2</v>
      </c>
    </row>
    <row r="109" spans="2:39" ht="15" customHeight="1" outlineLevel="1" x14ac:dyDescent="0.3">
      <c r="B109" s="14" t="s">
        <v>484</v>
      </c>
      <c r="C109" s="14" t="s">
        <v>485</v>
      </c>
      <c r="D109" s="4">
        <f ca="1">-SUMIFS(INDIRECT("Tab_00.Trial["&amp;D$4&amp;"]"),Tab_00.Trial[CONTA],$B109)</f>
        <v>-1202.05</v>
      </c>
      <c r="E109" s="78">
        <f t="shared" ca="1" si="112"/>
        <v>-1.2999999999999999E-3</v>
      </c>
      <c r="F109" s="4">
        <f ca="1">-SUMIFS(INDIRECT("Tab_00.Trial["&amp;F$4&amp;"]"),Tab_00.Trial[CONTA],$B109)</f>
        <v>-1202.05</v>
      </c>
      <c r="G109" s="78">
        <f t="shared" ca="1" si="91"/>
        <v>-5.9999999999999995E-4</v>
      </c>
      <c r="H109" s="78">
        <f t="shared" ca="1" si="113"/>
        <v>0</v>
      </c>
      <c r="I109" s="4">
        <f ca="1">-SUMIFS(INDIRECT("Tab_00.Trial["&amp;I$4&amp;"]"),Tab_00.Trial[CONTA],$B109)</f>
        <v>-2655.48</v>
      </c>
      <c r="J109" s="78">
        <f t="shared" ca="1" si="92"/>
        <v>-8.9999999999999998E-4</v>
      </c>
      <c r="K109" s="78">
        <f t="shared" ca="1" si="93"/>
        <v>-1.2091000000000001</v>
      </c>
      <c r="L109" s="4">
        <f ca="1">-SUMIFS(INDIRECT("Tab_00.Trial["&amp;L$4&amp;"]"),Tab_00.Trial[CONTA],$B109)</f>
        <v>-3435.48</v>
      </c>
      <c r="M109" s="78">
        <f t="shared" ca="1" si="94"/>
        <v>-8.0000000000000004E-4</v>
      </c>
      <c r="N109" s="78">
        <f t="shared" ca="1" si="95"/>
        <v>-0.29370000000000002</v>
      </c>
      <c r="O109" s="4">
        <f ca="1">-SUMIFS(INDIRECT("Tab_00.Trial["&amp;O$4&amp;"]"),Tab_00.Trial[CONTA],$B109)</f>
        <v>-3489.04</v>
      </c>
      <c r="P109" s="78">
        <f t="shared" ca="1" si="114"/>
        <v>-6.9999999999999999E-4</v>
      </c>
      <c r="Q109" s="78">
        <f t="shared" ca="1" si="115"/>
        <v>-1.5599999999999999E-2</v>
      </c>
      <c r="R109" s="4">
        <f ca="1">-SUMIFS(INDIRECT("Tab_00.Trial["&amp;R$4&amp;"]"),Tab_00.Trial[CONTA],$B109)</f>
        <v>-4353.3999999999996</v>
      </c>
      <c r="S109" s="78">
        <f t="shared" ca="1" si="98"/>
        <v>-6.9999999999999999E-4</v>
      </c>
      <c r="T109" s="78">
        <f t="shared" ca="1" si="99"/>
        <v>-0.2477</v>
      </c>
      <c r="U109" s="4">
        <f ca="1">-SUMIFS(INDIRECT("Tab_00.Trial["&amp;U$4&amp;"]"),Tab_00.Trial[CONTA],$B109)</f>
        <v>-5300.34</v>
      </c>
      <c r="V109" s="78">
        <f t="shared" ca="1" si="100"/>
        <v>-6.9999999999999999E-4</v>
      </c>
      <c r="W109" s="78">
        <f t="shared" ca="1" si="101"/>
        <v>-0.2175</v>
      </c>
      <c r="X109" s="4">
        <f ca="1">-SUMIFS(INDIRECT("Tab_00.Trial["&amp;X$4&amp;"]"),Tab_00.Trial[CONTA],$B109)</f>
        <v>-6588.57</v>
      </c>
      <c r="Y109" s="78">
        <f t="shared" ca="1" si="116"/>
        <v>-8.0000000000000004E-4</v>
      </c>
      <c r="Z109" s="78">
        <f t="shared" ca="1" si="117"/>
        <v>-0.24299999999999999</v>
      </c>
      <c r="AA109" s="4">
        <f ca="1">-SUMIFS(INDIRECT("Tab_00.Trial["&amp;AA$4&amp;"]"),Tab_00.Trial[CONTA],$B109)</f>
        <v>-7132.28</v>
      </c>
      <c r="AB109" s="78">
        <f t="shared" ca="1" si="104"/>
        <v>-8.0000000000000004E-4</v>
      </c>
      <c r="AC109" s="78">
        <f t="shared" ca="1" si="105"/>
        <v>-8.2500000000000004E-2</v>
      </c>
      <c r="AD109" s="4">
        <f ca="1">-SUMIFS(INDIRECT("Tab_00.Trial["&amp;AD$4&amp;"]"),Tab_00.Trial[CONTA],$B109)</f>
        <v>-7976.61</v>
      </c>
      <c r="AE109" s="78">
        <f t="shared" ca="1" si="106"/>
        <v>-6.9999999999999999E-4</v>
      </c>
      <c r="AF109" s="78">
        <f t="shared" ca="1" si="107"/>
        <v>-0.11840000000000001</v>
      </c>
      <c r="AG109" s="4">
        <f ca="1">-SUMIFS(INDIRECT("Tab_00.Trial["&amp;AG$4&amp;"]"),Tab_00.Trial[CONTA],$B109)</f>
        <v>-9159.35</v>
      </c>
      <c r="AH109" s="78">
        <f t="shared" ca="1" si="108"/>
        <v>-8.0000000000000004E-4</v>
      </c>
      <c r="AI109" s="78">
        <f t="shared" ca="1" si="109"/>
        <v>-0.14829999999999999</v>
      </c>
      <c r="AJ109" s="4">
        <f ca="1">-SUMIFS(INDIRECT("Tab_00.Trial["&amp;AJ$4&amp;"]"),Tab_00.Trial[CONTA],$B109)</f>
        <v>-9159.35</v>
      </c>
      <c r="AK109" s="78">
        <f t="shared" ca="1" si="110"/>
        <v>-6.9999999999999999E-4</v>
      </c>
      <c r="AL109" s="78">
        <f t="shared" ca="1" si="111"/>
        <v>0</v>
      </c>
    </row>
    <row r="110" spans="2:39" ht="15" customHeight="1" outlineLevel="1" x14ac:dyDescent="0.3">
      <c r="B110" s="14" t="s">
        <v>486</v>
      </c>
      <c r="C110" s="14" t="s">
        <v>487</v>
      </c>
      <c r="D110" s="4">
        <f ca="1">-SUMIFS(INDIRECT("Tab_00.Trial["&amp;D$4&amp;"]"),Tab_00.Trial[CONTA],$B110)</f>
        <v>0</v>
      </c>
      <c r="E110" s="78">
        <f t="shared" ca="1" si="112"/>
        <v>0</v>
      </c>
      <c r="F110" s="4">
        <f ca="1">-SUMIFS(INDIRECT("Tab_00.Trial["&amp;F$4&amp;"]"),Tab_00.Trial[CONTA],$B110)</f>
        <v>0</v>
      </c>
      <c r="G110" s="78">
        <f t="shared" ca="1" si="91"/>
        <v>0</v>
      </c>
      <c r="H110" s="78">
        <f t="shared" ca="1" si="113"/>
        <v>0</v>
      </c>
      <c r="I110" s="4">
        <f ca="1">-SUMIFS(INDIRECT("Tab_00.Trial["&amp;I$4&amp;"]"),Tab_00.Trial[CONTA],$B110)</f>
        <v>0</v>
      </c>
      <c r="J110" s="78">
        <f t="shared" ca="1" si="92"/>
        <v>0</v>
      </c>
      <c r="K110" s="78">
        <f t="shared" ca="1" si="93"/>
        <v>0</v>
      </c>
      <c r="L110" s="4">
        <f ca="1">-SUMIFS(INDIRECT("Tab_00.Trial["&amp;L$4&amp;"]"),Tab_00.Trial[CONTA],$B110)</f>
        <v>0</v>
      </c>
      <c r="M110" s="78">
        <f t="shared" ca="1" si="94"/>
        <v>0</v>
      </c>
      <c r="N110" s="78">
        <f t="shared" ca="1" si="95"/>
        <v>0</v>
      </c>
      <c r="O110" s="4">
        <f ca="1">-SUMIFS(INDIRECT("Tab_00.Trial["&amp;O$4&amp;"]"),Tab_00.Trial[CONTA],$B110)</f>
        <v>0</v>
      </c>
      <c r="P110" s="78">
        <f t="shared" ca="1" si="114"/>
        <v>0</v>
      </c>
      <c r="Q110" s="78">
        <f t="shared" ca="1" si="115"/>
        <v>0</v>
      </c>
      <c r="R110" s="4">
        <f ca="1">-SUMIFS(INDIRECT("Tab_00.Trial["&amp;R$4&amp;"]"),Tab_00.Trial[CONTA],$B110)</f>
        <v>0</v>
      </c>
      <c r="S110" s="78">
        <f t="shared" ca="1" si="98"/>
        <v>0</v>
      </c>
      <c r="T110" s="78">
        <f t="shared" ca="1" si="99"/>
        <v>0</v>
      </c>
      <c r="U110" s="4">
        <f ca="1">-SUMIFS(INDIRECT("Tab_00.Trial["&amp;U$4&amp;"]"),Tab_00.Trial[CONTA],$B110)</f>
        <v>0</v>
      </c>
      <c r="V110" s="78">
        <f t="shared" ca="1" si="100"/>
        <v>0</v>
      </c>
      <c r="W110" s="78">
        <f t="shared" ca="1" si="101"/>
        <v>0</v>
      </c>
      <c r="X110" s="4">
        <f ca="1">-SUMIFS(INDIRECT("Tab_00.Trial["&amp;X$4&amp;"]"),Tab_00.Trial[CONTA],$B110)</f>
        <v>0</v>
      </c>
      <c r="Y110" s="78">
        <f t="shared" ca="1" si="116"/>
        <v>0</v>
      </c>
      <c r="Z110" s="78">
        <f t="shared" ca="1" si="117"/>
        <v>0</v>
      </c>
      <c r="AA110" s="4">
        <f ca="1">-SUMIFS(INDIRECT("Tab_00.Trial["&amp;AA$4&amp;"]"),Tab_00.Trial[CONTA],$B110)</f>
        <v>0</v>
      </c>
      <c r="AB110" s="78">
        <f t="shared" ca="1" si="104"/>
        <v>0</v>
      </c>
      <c r="AC110" s="78">
        <f t="shared" ca="1" si="105"/>
        <v>0</v>
      </c>
      <c r="AD110" s="4">
        <f ca="1">-SUMIFS(INDIRECT("Tab_00.Trial["&amp;AD$4&amp;"]"),Tab_00.Trial[CONTA],$B110)</f>
        <v>0</v>
      </c>
      <c r="AE110" s="78">
        <f t="shared" ca="1" si="106"/>
        <v>0</v>
      </c>
      <c r="AF110" s="78">
        <f t="shared" ca="1" si="107"/>
        <v>0</v>
      </c>
      <c r="AG110" s="4">
        <f ca="1">-SUMIFS(INDIRECT("Tab_00.Trial["&amp;AG$4&amp;"]"),Tab_00.Trial[CONTA],$B110)</f>
        <v>0</v>
      </c>
      <c r="AH110" s="78">
        <f t="shared" ca="1" si="108"/>
        <v>0</v>
      </c>
      <c r="AI110" s="78">
        <f t="shared" ca="1" si="109"/>
        <v>0</v>
      </c>
      <c r="AJ110" s="4">
        <f ca="1">-SUMIFS(INDIRECT("Tab_00.Trial["&amp;AJ$4&amp;"]"),Tab_00.Trial[CONTA],$B110)</f>
        <v>0</v>
      </c>
      <c r="AK110" s="78">
        <f t="shared" ca="1" si="110"/>
        <v>0</v>
      </c>
      <c r="AL110" s="78">
        <f t="shared" ca="1" si="111"/>
        <v>0</v>
      </c>
    </row>
    <row r="111" spans="2:39" ht="15" customHeight="1" outlineLevel="1" x14ac:dyDescent="0.3">
      <c r="B111" s="14" t="s">
        <v>488</v>
      </c>
      <c r="C111" s="14" t="s">
        <v>414</v>
      </c>
      <c r="D111" s="4">
        <f ca="1">-SUMIFS(INDIRECT("Tab_00.Trial["&amp;D$4&amp;"]"),Tab_00.Trial[CONTA],$B111)</f>
        <v>0</v>
      </c>
      <c r="E111" s="78">
        <f t="shared" ca="1" si="112"/>
        <v>0</v>
      </c>
      <c r="F111" s="4">
        <f ca="1">-SUMIFS(INDIRECT("Tab_00.Trial["&amp;F$4&amp;"]"),Tab_00.Trial[CONTA],$B111)</f>
        <v>0</v>
      </c>
      <c r="G111" s="78">
        <f t="shared" ca="1" si="91"/>
        <v>0</v>
      </c>
      <c r="H111" s="78">
        <f t="shared" ca="1" si="113"/>
        <v>0</v>
      </c>
      <c r="I111" s="4">
        <f ca="1">-SUMIFS(INDIRECT("Tab_00.Trial["&amp;I$4&amp;"]"),Tab_00.Trial[CONTA],$B111)</f>
        <v>0</v>
      </c>
      <c r="J111" s="78">
        <f t="shared" ca="1" si="92"/>
        <v>0</v>
      </c>
      <c r="K111" s="78">
        <f t="shared" ca="1" si="93"/>
        <v>0</v>
      </c>
      <c r="L111" s="4">
        <f ca="1">-SUMIFS(INDIRECT("Tab_00.Trial["&amp;L$4&amp;"]"),Tab_00.Trial[CONTA],$B111)</f>
        <v>0</v>
      </c>
      <c r="M111" s="78">
        <f t="shared" ca="1" si="94"/>
        <v>0</v>
      </c>
      <c r="N111" s="78">
        <f t="shared" ca="1" si="95"/>
        <v>0</v>
      </c>
      <c r="O111" s="4">
        <f ca="1">-SUMIFS(INDIRECT("Tab_00.Trial["&amp;O$4&amp;"]"),Tab_00.Trial[CONTA],$B111)</f>
        <v>0</v>
      </c>
      <c r="P111" s="78">
        <f t="shared" ca="1" si="114"/>
        <v>0</v>
      </c>
      <c r="Q111" s="78">
        <f t="shared" ca="1" si="115"/>
        <v>0</v>
      </c>
      <c r="R111" s="4">
        <f ca="1">-SUMIFS(INDIRECT("Tab_00.Trial["&amp;R$4&amp;"]"),Tab_00.Trial[CONTA],$B111)</f>
        <v>0</v>
      </c>
      <c r="S111" s="78">
        <f t="shared" ca="1" si="98"/>
        <v>0</v>
      </c>
      <c r="T111" s="78">
        <f t="shared" ca="1" si="99"/>
        <v>0</v>
      </c>
      <c r="U111" s="4">
        <f ca="1">-SUMIFS(INDIRECT("Tab_00.Trial["&amp;U$4&amp;"]"),Tab_00.Trial[CONTA],$B111)</f>
        <v>0</v>
      </c>
      <c r="V111" s="78">
        <f t="shared" ca="1" si="100"/>
        <v>0</v>
      </c>
      <c r="W111" s="78">
        <f t="shared" ca="1" si="101"/>
        <v>0</v>
      </c>
      <c r="X111" s="4">
        <f ca="1">-SUMIFS(INDIRECT("Tab_00.Trial["&amp;X$4&amp;"]"),Tab_00.Trial[CONTA],$B111)</f>
        <v>0</v>
      </c>
      <c r="Y111" s="78">
        <f t="shared" ca="1" si="116"/>
        <v>0</v>
      </c>
      <c r="Z111" s="78">
        <f t="shared" ca="1" si="117"/>
        <v>0</v>
      </c>
      <c r="AA111" s="4">
        <f ca="1">-SUMIFS(INDIRECT("Tab_00.Trial["&amp;AA$4&amp;"]"),Tab_00.Trial[CONTA],$B111)</f>
        <v>0</v>
      </c>
      <c r="AB111" s="78">
        <f t="shared" ca="1" si="104"/>
        <v>0</v>
      </c>
      <c r="AC111" s="78">
        <f t="shared" ca="1" si="105"/>
        <v>0</v>
      </c>
      <c r="AD111" s="4">
        <f ca="1">-SUMIFS(INDIRECT("Tab_00.Trial["&amp;AD$4&amp;"]"),Tab_00.Trial[CONTA],$B111)</f>
        <v>0</v>
      </c>
      <c r="AE111" s="78">
        <f t="shared" ca="1" si="106"/>
        <v>0</v>
      </c>
      <c r="AF111" s="78">
        <f t="shared" ca="1" si="107"/>
        <v>0</v>
      </c>
      <c r="AG111" s="4">
        <f ca="1">-SUMIFS(INDIRECT("Tab_00.Trial["&amp;AG$4&amp;"]"),Tab_00.Trial[CONTA],$B111)</f>
        <v>0</v>
      </c>
      <c r="AH111" s="78">
        <f t="shared" ca="1" si="108"/>
        <v>0</v>
      </c>
      <c r="AI111" s="78">
        <f t="shared" ca="1" si="109"/>
        <v>0</v>
      </c>
      <c r="AJ111" s="4">
        <f ca="1">-SUMIFS(INDIRECT("Tab_00.Trial["&amp;AJ$4&amp;"]"),Tab_00.Trial[CONTA],$B111)</f>
        <v>0</v>
      </c>
      <c r="AK111" s="78">
        <f t="shared" ca="1" si="110"/>
        <v>0</v>
      </c>
      <c r="AL111" s="78">
        <f t="shared" ca="1" si="111"/>
        <v>0</v>
      </c>
    </row>
    <row r="112" spans="2:39" ht="15" customHeight="1" outlineLevel="1" x14ac:dyDescent="0.3">
      <c r="B112" s="14" t="s">
        <v>489</v>
      </c>
      <c r="C112" s="14" t="s">
        <v>490</v>
      </c>
      <c r="D112" s="4">
        <f ca="1">-SUMIFS(INDIRECT("Tab_00.Trial["&amp;D$4&amp;"]"),Tab_00.Trial[CONTA],$B112)</f>
        <v>0</v>
      </c>
      <c r="E112" s="78">
        <f t="shared" ca="1" si="112"/>
        <v>0</v>
      </c>
      <c r="F112" s="4">
        <f ca="1">-SUMIFS(INDIRECT("Tab_00.Trial["&amp;F$4&amp;"]"),Tab_00.Trial[CONTA],$B112)</f>
        <v>0</v>
      </c>
      <c r="G112" s="78">
        <f t="shared" ca="1" si="91"/>
        <v>0</v>
      </c>
      <c r="H112" s="78">
        <f t="shared" ca="1" si="113"/>
        <v>0</v>
      </c>
      <c r="I112" s="4">
        <f ca="1">-SUMIFS(INDIRECT("Tab_00.Trial["&amp;I$4&amp;"]"),Tab_00.Trial[CONTA],$B112)</f>
        <v>0</v>
      </c>
      <c r="J112" s="78">
        <f t="shared" ca="1" si="92"/>
        <v>0</v>
      </c>
      <c r="K112" s="78">
        <f t="shared" ca="1" si="93"/>
        <v>0</v>
      </c>
      <c r="L112" s="4">
        <f ca="1">-SUMIFS(INDIRECT("Tab_00.Trial["&amp;L$4&amp;"]"),Tab_00.Trial[CONTA],$B112)</f>
        <v>0</v>
      </c>
      <c r="M112" s="78">
        <f t="shared" ca="1" si="94"/>
        <v>0</v>
      </c>
      <c r="N112" s="78">
        <f t="shared" ca="1" si="95"/>
        <v>0</v>
      </c>
      <c r="O112" s="4">
        <f ca="1">-SUMIFS(INDIRECT("Tab_00.Trial["&amp;O$4&amp;"]"),Tab_00.Trial[CONTA],$B112)</f>
        <v>0</v>
      </c>
      <c r="P112" s="78">
        <f t="shared" ca="1" si="114"/>
        <v>0</v>
      </c>
      <c r="Q112" s="78">
        <f t="shared" ca="1" si="115"/>
        <v>0</v>
      </c>
      <c r="R112" s="4">
        <f ca="1">-SUMIFS(INDIRECT("Tab_00.Trial["&amp;R$4&amp;"]"),Tab_00.Trial[CONTA],$B112)</f>
        <v>0</v>
      </c>
      <c r="S112" s="78">
        <f t="shared" ca="1" si="98"/>
        <v>0</v>
      </c>
      <c r="T112" s="78">
        <f t="shared" ca="1" si="99"/>
        <v>0</v>
      </c>
      <c r="U112" s="4">
        <f ca="1">-SUMIFS(INDIRECT("Tab_00.Trial["&amp;U$4&amp;"]"),Tab_00.Trial[CONTA],$B112)</f>
        <v>0</v>
      </c>
      <c r="V112" s="78">
        <f t="shared" ca="1" si="100"/>
        <v>0</v>
      </c>
      <c r="W112" s="78">
        <f t="shared" ca="1" si="101"/>
        <v>0</v>
      </c>
      <c r="X112" s="4">
        <f ca="1">-SUMIFS(INDIRECT("Tab_00.Trial["&amp;X$4&amp;"]"),Tab_00.Trial[CONTA],$B112)</f>
        <v>0</v>
      </c>
      <c r="Y112" s="78">
        <f t="shared" ca="1" si="116"/>
        <v>0</v>
      </c>
      <c r="Z112" s="78">
        <f t="shared" ca="1" si="117"/>
        <v>0</v>
      </c>
      <c r="AA112" s="4">
        <f ca="1">-SUMIFS(INDIRECT("Tab_00.Trial["&amp;AA$4&amp;"]"),Tab_00.Trial[CONTA],$B112)</f>
        <v>-228</v>
      </c>
      <c r="AB112" s="78">
        <f t="shared" ca="1" si="104"/>
        <v>0</v>
      </c>
      <c r="AC112" s="78">
        <f t="shared" ca="1" si="105"/>
        <v>0</v>
      </c>
      <c r="AD112" s="4">
        <f ca="1">-SUMIFS(INDIRECT("Tab_00.Trial["&amp;AD$4&amp;"]"),Tab_00.Trial[CONTA],$B112)</f>
        <v>-228</v>
      </c>
      <c r="AE112" s="78">
        <f t="shared" ca="1" si="106"/>
        <v>0</v>
      </c>
      <c r="AF112" s="78">
        <f t="shared" ca="1" si="107"/>
        <v>0</v>
      </c>
      <c r="AG112" s="4">
        <f ca="1">-SUMIFS(INDIRECT("Tab_00.Trial["&amp;AG$4&amp;"]"),Tab_00.Trial[CONTA],$B112)</f>
        <v>-228</v>
      </c>
      <c r="AH112" s="78">
        <f t="shared" ca="1" si="108"/>
        <v>0</v>
      </c>
      <c r="AI112" s="78">
        <f t="shared" ca="1" si="109"/>
        <v>0</v>
      </c>
      <c r="AJ112" s="4">
        <f ca="1">-SUMIFS(INDIRECT("Tab_00.Trial["&amp;AJ$4&amp;"]"),Tab_00.Trial[CONTA],$B112)</f>
        <v>-228</v>
      </c>
      <c r="AK112" s="78">
        <f t="shared" ca="1" si="110"/>
        <v>0</v>
      </c>
      <c r="AL112" s="78">
        <f t="shared" ca="1" si="111"/>
        <v>0</v>
      </c>
    </row>
    <row r="113" spans="2:38" ht="15" customHeight="1" outlineLevel="1" x14ac:dyDescent="0.3">
      <c r="B113" s="14" t="s">
        <v>491</v>
      </c>
      <c r="C113" s="14" t="s">
        <v>492</v>
      </c>
      <c r="D113" s="4">
        <f ca="1">-SUMIFS(INDIRECT("Tab_00.Trial["&amp;D$4&amp;"]"),Tab_00.Trial[CONTA],$B113)</f>
        <v>-3476.84</v>
      </c>
      <c r="E113" s="78">
        <f t="shared" ca="1" si="112"/>
        <v>-3.7000000000000002E-3</v>
      </c>
      <c r="F113" s="4">
        <f ca="1">-SUMIFS(INDIRECT("Tab_00.Trial["&amp;F$4&amp;"]"),Tab_00.Trial[CONTA],$B113)</f>
        <v>-6791.87</v>
      </c>
      <c r="G113" s="78">
        <f t="shared" ca="1" si="91"/>
        <v>-3.5000000000000001E-3</v>
      </c>
      <c r="H113" s="78">
        <f t="shared" ca="1" si="113"/>
        <v>-0.95350000000000001</v>
      </c>
      <c r="I113" s="4">
        <f ca="1">-SUMIFS(INDIRECT("Tab_00.Trial["&amp;I$4&amp;"]"),Tab_00.Trial[CONTA],$B113)</f>
        <v>-10495.8</v>
      </c>
      <c r="J113" s="78">
        <f t="shared" ca="1" si="92"/>
        <v>-3.5000000000000001E-3</v>
      </c>
      <c r="K113" s="78">
        <f t="shared" ca="1" si="93"/>
        <v>-0.54530000000000001</v>
      </c>
      <c r="L113" s="4">
        <f ca="1">-SUMIFS(INDIRECT("Tab_00.Trial["&amp;L$4&amp;"]"),Tab_00.Trial[CONTA],$B113)</f>
        <v>-13160.23</v>
      </c>
      <c r="M113" s="78">
        <f t="shared" ca="1" si="94"/>
        <v>-3.2000000000000002E-3</v>
      </c>
      <c r="N113" s="78">
        <f t="shared" ca="1" si="95"/>
        <v>-0.25390000000000001</v>
      </c>
      <c r="O113" s="4">
        <f ca="1">-SUMIFS(INDIRECT("Tab_00.Trial["&amp;O$4&amp;"]"),Tab_00.Trial[CONTA],$B113)</f>
        <v>-16473.64</v>
      </c>
      <c r="P113" s="78">
        <f t="shared" ca="1" si="114"/>
        <v>-3.0999999999999999E-3</v>
      </c>
      <c r="Q113" s="78">
        <f t="shared" ca="1" si="115"/>
        <v>-0.25180000000000002</v>
      </c>
      <c r="R113" s="4">
        <f ca="1">-SUMIFS(INDIRECT("Tab_00.Trial["&amp;R$4&amp;"]"),Tab_00.Trial[CONTA],$B113)</f>
        <v>-18640.080000000002</v>
      </c>
      <c r="S113" s="78">
        <f t="shared" ca="1" si="98"/>
        <v>-3.0000000000000001E-3</v>
      </c>
      <c r="T113" s="78">
        <f t="shared" ca="1" si="99"/>
        <v>-0.13150000000000001</v>
      </c>
      <c r="U113" s="4">
        <f ca="1">-SUMIFS(INDIRECT("Tab_00.Trial["&amp;U$4&amp;"]"),Tab_00.Trial[CONTA],$B113)</f>
        <v>-20558.62</v>
      </c>
      <c r="V113" s="78">
        <f t="shared" ca="1" si="100"/>
        <v>-2.8E-3</v>
      </c>
      <c r="W113" s="78">
        <f t="shared" ca="1" si="101"/>
        <v>-0.10290000000000001</v>
      </c>
      <c r="X113" s="4">
        <f ca="1">-SUMIFS(INDIRECT("Tab_00.Trial["&amp;X$4&amp;"]"),Tab_00.Trial[CONTA],$B113)</f>
        <v>-22375.78</v>
      </c>
      <c r="Y113" s="78">
        <f t="shared" ca="1" si="116"/>
        <v>-2.7000000000000001E-3</v>
      </c>
      <c r="Z113" s="78">
        <f t="shared" ca="1" si="117"/>
        <v>-8.8400000000000006E-2</v>
      </c>
      <c r="AA113" s="4">
        <f ca="1">-SUMIFS(INDIRECT("Tab_00.Trial["&amp;AA$4&amp;"]"),Tab_00.Trial[CONTA],$B113)</f>
        <v>-22375.78</v>
      </c>
      <c r="AB113" s="78">
        <f t="shared" ca="1" si="104"/>
        <v>-2.3999999999999998E-3</v>
      </c>
      <c r="AC113" s="78">
        <f t="shared" ca="1" si="105"/>
        <v>0</v>
      </c>
      <c r="AD113" s="4">
        <f ca="1">-SUMIFS(INDIRECT("Tab_00.Trial["&amp;AD$4&amp;"]"),Tab_00.Trial[CONTA],$B113)</f>
        <v>-24346.33</v>
      </c>
      <c r="AE113" s="78">
        <f t="shared" ca="1" si="106"/>
        <v>-2.3E-3</v>
      </c>
      <c r="AF113" s="78">
        <f t="shared" ca="1" si="107"/>
        <v>-8.8099999999999998E-2</v>
      </c>
      <c r="AG113" s="4">
        <f ca="1">-SUMIFS(INDIRECT("Tab_00.Trial["&amp;AG$4&amp;"]"),Tab_00.Trial[CONTA],$B113)</f>
        <v>-29400.48</v>
      </c>
      <c r="AH113" s="78">
        <f t="shared" ca="1" si="108"/>
        <v>-2.5000000000000001E-3</v>
      </c>
      <c r="AI113" s="78">
        <f t="shared" ca="1" si="109"/>
        <v>-0.20760000000000001</v>
      </c>
      <c r="AJ113" s="4">
        <f ca="1">-SUMIFS(INDIRECT("Tab_00.Trial["&amp;AJ$4&amp;"]"),Tab_00.Trial[CONTA],$B113)</f>
        <v>-29400.48</v>
      </c>
      <c r="AK113" s="78">
        <f t="shared" ca="1" si="110"/>
        <v>-2.3E-3</v>
      </c>
      <c r="AL113" s="78">
        <f t="shared" ca="1" si="111"/>
        <v>0</v>
      </c>
    </row>
    <row r="114" spans="2:38" ht="15" customHeight="1" outlineLevel="1" x14ac:dyDescent="0.3">
      <c r="B114" s="14" t="s">
        <v>493</v>
      </c>
      <c r="C114" s="14" t="s">
        <v>494</v>
      </c>
      <c r="D114" s="4">
        <f ca="1">-SUMIFS(INDIRECT("Tab_00.Trial["&amp;D$4&amp;"]"),Tab_00.Trial[CONTA],$B114)</f>
        <v>-3157.37</v>
      </c>
      <c r="E114" s="78">
        <f t="shared" ca="1" si="112"/>
        <v>-3.3E-3</v>
      </c>
      <c r="F114" s="4">
        <f ca="1">-SUMIFS(INDIRECT("Tab_00.Trial["&amp;F$4&amp;"]"),Tab_00.Trial[CONTA],$B114)</f>
        <v>-4004.32</v>
      </c>
      <c r="G114" s="78">
        <f t="shared" ca="1" si="91"/>
        <v>-2.0999999999999999E-3</v>
      </c>
      <c r="H114" s="78">
        <f t="shared" ca="1" si="113"/>
        <v>-0.26819999999999999</v>
      </c>
      <c r="I114" s="4">
        <f ca="1">-SUMIFS(INDIRECT("Tab_00.Trial["&amp;I$4&amp;"]"),Tab_00.Trial[CONTA],$B114)</f>
        <v>-5149.7</v>
      </c>
      <c r="J114" s="78">
        <f t="shared" ca="1" si="92"/>
        <v>-1.6999999999999999E-3</v>
      </c>
      <c r="K114" s="78">
        <f t="shared" ca="1" si="93"/>
        <v>-0.28599999999999998</v>
      </c>
      <c r="L114" s="4">
        <f ca="1">-SUMIFS(INDIRECT("Tab_00.Trial["&amp;L$4&amp;"]"),Tab_00.Trial[CONTA],$B114)</f>
        <v>-7539.83</v>
      </c>
      <c r="M114" s="78">
        <f t="shared" ca="1" si="94"/>
        <v>-1.8E-3</v>
      </c>
      <c r="N114" s="78">
        <f t="shared" ca="1" si="95"/>
        <v>-0.46410000000000001</v>
      </c>
      <c r="O114" s="4">
        <f ca="1">-SUMIFS(INDIRECT("Tab_00.Trial["&amp;O$4&amp;"]"),Tab_00.Trial[CONTA],$B114)</f>
        <v>-8988.7900000000009</v>
      </c>
      <c r="P114" s="78">
        <f t="shared" ca="1" si="114"/>
        <v>-1.6999999999999999E-3</v>
      </c>
      <c r="Q114" s="78">
        <f t="shared" ca="1" si="115"/>
        <v>-0.19220000000000001</v>
      </c>
      <c r="R114" s="4">
        <f ca="1">-SUMIFS(INDIRECT("Tab_00.Trial["&amp;R$4&amp;"]"),Tab_00.Trial[CONTA],$B114)</f>
        <v>-10362.86</v>
      </c>
      <c r="S114" s="78">
        <f t="shared" ca="1" si="98"/>
        <v>-1.6000000000000001E-3</v>
      </c>
      <c r="T114" s="78">
        <f t="shared" ca="1" si="99"/>
        <v>-0.15290000000000001</v>
      </c>
      <c r="U114" s="4">
        <f ca="1">-SUMIFS(INDIRECT("Tab_00.Trial["&amp;U$4&amp;"]"),Tab_00.Trial[CONTA],$B114)</f>
        <v>-11886.68</v>
      </c>
      <c r="V114" s="78">
        <f t="shared" ca="1" si="100"/>
        <v>-1.6000000000000001E-3</v>
      </c>
      <c r="W114" s="78">
        <f t="shared" ca="1" si="101"/>
        <v>-0.14699999999999999</v>
      </c>
      <c r="X114" s="4">
        <f ca="1">-SUMIFS(INDIRECT("Tab_00.Trial["&amp;X$4&amp;"]"),Tab_00.Trial[CONTA],$B114)</f>
        <v>-13260.75</v>
      </c>
      <c r="Y114" s="78">
        <f t="shared" ca="1" si="116"/>
        <v>-1.6000000000000001E-3</v>
      </c>
      <c r="Z114" s="78">
        <f t="shared" ca="1" si="117"/>
        <v>-0.11559999999999999</v>
      </c>
      <c r="AA114" s="4">
        <f ca="1">-SUMIFS(INDIRECT("Tab_00.Trial["&amp;AA$4&amp;"]"),Tab_00.Trial[CONTA],$B114)</f>
        <v>-14859.44</v>
      </c>
      <c r="AB114" s="78">
        <f t="shared" ca="1" si="104"/>
        <v>-1.6000000000000001E-3</v>
      </c>
      <c r="AC114" s="78">
        <f t="shared" ca="1" si="105"/>
        <v>-0.1206</v>
      </c>
      <c r="AD114" s="4">
        <f ca="1">-SUMIFS(INDIRECT("Tab_00.Trial["&amp;AD$4&amp;"]"),Tab_00.Trial[CONTA],$B114)</f>
        <v>-14859.44</v>
      </c>
      <c r="AE114" s="78">
        <f t="shared" ca="1" si="106"/>
        <v>-1.4E-3</v>
      </c>
      <c r="AF114" s="78">
        <f t="shared" ca="1" si="107"/>
        <v>0</v>
      </c>
      <c r="AG114" s="4">
        <f ca="1">-SUMIFS(INDIRECT("Tab_00.Trial["&amp;AG$4&amp;"]"),Tab_00.Trial[CONTA],$B114)</f>
        <v>-16538.13</v>
      </c>
      <c r="AH114" s="78">
        <f t="shared" ca="1" si="108"/>
        <v>-1.4E-3</v>
      </c>
      <c r="AI114" s="78">
        <f t="shared" ca="1" si="109"/>
        <v>-0.113</v>
      </c>
      <c r="AJ114" s="4">
        <f ca="1">-SUMIFS(INDIRECT("Tab_00.Trial["&amp;AJ$4&amp;"]"),Tab_00.Trial[CONTA],$B114)</f>
        <v>-17912.2</v>
      </c>
      <c r="AK114" s="78">
        <f t="shared" ca="1" si="110"/>
        <v>-1.4E-3</v>
      </c>
      <c r="AL114" s="78">
        <f t="shared" ca="1" si="111"/>
        <v>-8.3099999999999993E-2</v>
      </c>
    </row>
    <row r="115" spans="2:38" ht="15" customHeight="1" outlineLevel="1" x14ac:dyDescent="0.3">
      <c r="B115" s="14" t="s">
        <v>495</v>
      </c>
      <c r="C115" s="14" t="s">
        <v>496</v>
      </c>
      <c r="D115" s="4">
        <f ca="1">-SUMIFS(INDIRECT("Tab_00.Trial["&amp;D$4&amp;"]"),Tab_00.Trial[CONTA],$B115)</f>
        <v>-1397.52</v>
      </c>
      <c r="E115" s="78">
        <f t="shared" ca="1" si="112"/>
        <v>-1.5E-3</v>
      </c>
      <c r="F115" s="4">
        <f ca="1">-SUMIFS(INDIRECT("Tab_00.Trial["&amp;F$4&amp;"]"),Tab_00.Trial[CONTA],$B115)</f>
        <v>-2806.17</v>
      </c>
      <c r="G115" s="78">
        <f t="shared" ca="1" si="91"/>
        <v>-1.5E-3</v>
      </c>
      <c r="H115" s="78">
        <f t="shared" ca="1" si="113"/>
        <v>-1.008</v>
      </c>
      <c r="I115" s="4">
        <f ca="1">-SUMIFS(INDIRECT("Tab_00.Trial["&amp;I$4&amp;"]"),Tab_00.Trial[CONTA],$B115)</f>
        <v>-4216.6899999999996</v>
      </c>
      <c r="J115" s="78">
        <f t="shared" ca="1" si="92"/>
        <v>-1.4E-3</v>
      </c>
      <c r="K115" s="78">
        <f t="shared" ca="1" si="93"/>
        <v>-0.50260000000000005</v>
      </c>
      <c r="L115" s="4">
        <f ca="1">-SUMIFS(INDIRECT("Tab_00.Trial["&amp;L$4&amp;"]"),Tab_00.Trial[CONTA],$B115)</f>
        <v>-5656.58</v>
      </c>
      <c r="M115" s="78">
        <f t="shared" ca="1" si="94"/>
        <v>-1.4E-3</v>
      </c>
      <c r="N115" s="78">
        <f t="shared" ca="1" si="95"/>
        <v>-0.34150000000000003</v>
      </c>
      <c r="O115" s="4">
        <f ca="1">-SUMIFS(INDIRECT("Tab_00.Trial["&amp;O$4&amp;"]"),Tab_00.Trial[CONTA],$B115)</f>
        <v>-7096.47</v>
      </c>
      <c r="P115" s="78">
        <f t="shared" ca="1" si="114"/>
        <v>-1.2999999999999999E-3</v>
      </c>
      <c r="Q115" s="78">
        <f t="shared" ca="1" si="115"/>
        <v>-0.25459999999999999</v>
      </c>
      <c r="R115" s="4">
        <f ca="1">-SUMIFS(INDIRECT("Tab_00.Trial["&amp;R$4&amp;"]"),Tab_00.Trial[CONTA],$B115)</f>
        <v>-8399.7000000000007</v>
      </c>
      <c r="S115" s="78">
        <f t="shared" ca="1" si="98"/>
        <v>-1.2999999999999999E-3</v>
      </c>
      <c r="T115" s="78">
        <f t="shared" ca="1" si="99"/>
        <v>-0.18360000000000001</v>
      </c>
      <c r="U115" s="4">
        <f ca="1">-SUMIFS(INDIRECT("Tab_00.Trial["&amp;U$4&amp;"]"),Tab_00.Trial[CONTA],$B115)</f>
        <v>-9976.25</v>
      </c>
      <c r="V115" s="78">
        <f t="shared" ca="1" si="100"/>
        <v>-1.4E-3</v>
      </c>
      <c r="W115" s="78">
        <f t="shared" ca="1" si="101"/>
        <v>-0.18770000000000001</v>
      </c>
      <c r="X115" s="4">
        <f ca="1">-SUMIFS(INDIRECT("Tab_00.Trial["&amp;X$4&amp;"]"),Tab_00.Trial[CONTA],$B115)</f>
        <v>-11416.14</v>
      </c>
      <c r="Y115" s="78">
        <f t="shared" ca="1" si="116"/>
        <v>-1.4E-3</v>
      </c>
      <c r="Z115" s="78">
        <f t="shared" ca="1" si="117"/>
        <v>-0.14430000000000001</v>
      </c>
      <c r="AA115" s="4">
        <f ca="1">-SUMIFS(INDIRECT("Tab_00.Trial["&amp;AA$4&amp;"]"),Tab_00.Trial[CONTA],$B115)</f>
        <v>-12719.37</v>
      </c>
      <c r="AB115" s="78">
        <f t="shared" ca="1" si="104"/>
        <v>-1.4E-3</v>
      </c>
      <c r="AC115" s="78">
        <f t="shared" ca="1" si="105"/>
        <v>-0.1142</v>
      </c>
      <c r="AD115" s="4">
        <f ca="1">-SUMIFS(INDIRECT("Tab_00.Trial["&amp;AD$4&amp;"]"),Tab_00.Trial[CONTA],$B115)</f>
        <v>-14316.43</v>
      </c>
      <c r="AE115" s="78">
        <f t="shared" ca="1" si="106"/>
        <v>-1.2999999999999999E-3</v>
      </c>
      <c r="AF115" s="78">
        <f t="shared" ca="1" si="107"/>
        <v>-0.12559999999999999</v>
      </c>
      <c r="AG115" s="4">
        <f ca="1">-SUMIFS(INDIRECT("Tab_00.Trial["&amp;AG$4&amp;"]"),Tab_00.Trial[CONTA],$B115)</f>
        <v>-15776.29</v>
      </c>
      <c r="AH115" s="78">
        <f t="shared" ca="1" si="108"/>
        <v>-1.4E-3</v>
      </c>
      <c r="AI115" s="78">
        <f t="shared" ca="1" si="109"/>
        <v>-0.10199999999999999</v>
      </c>
      <c r="AJ115" s="4">
        <f ca="1">-SUMIFS(INDIRECT("Tab_00.Trial["&amp;AJ$4&amp;"]"),Tab_00.Trial[CONTA],$B115)</f>
        <v>-17236.150000000001</v>
      </c>
      <c r="AK115" s="78">
        <f t="shared" ca="1" si="110"/>
        <v>-1.2999999999999999E-3</v>
      </c>
      <c r="AL115" s="78">
        <f t="shared" ca="1" si="111"/>
        <v>-9.2499999999999999E-2</v>
      </c>
    </row>
    <row r="116" spans="2:38" ht="15" customHeight="1" outlineLevel="1" x14ac:dyDescent="0.3">
      <c r="B116" s="14" t="s">
        <v>497</v>
      </c>
      <c r="C116" s="14" t="s">
        <v>498</v>
      </c>
      <c r="D116" s="4">
        <f ca="1">-SUMIFS(INDIRECT("Tab_00.Trial["&amp;D$4&amp;"]"),Tab_00.Trial[CONTA],$B116)</f>
        <v>0</v>
      </c>
      <c r="E116" s="78">
        <f t="shared" ca="1" si="112"/>
        <v>0</v>
      </c>
      <c r="F116" s="4">
        <f ca="1">-SUMIFS(INDIRECT("Tab_00.Trial["&amp;F$4&amp;"]"),Tab_00.Trial[CONTA],$B116)</f>
        <v>0</v>
      </c>
      <c r="G116" s="78">
        <f t="shared" ca="1" si="91"/>
        <v>0</v>
      </c>
      <c r="H116" s="78">
        <f t="shared" ca="1" si="113"/>
        <v>0</v>
      </c>
      <c r="I116" s="4">
        <f ca="1">-SUMIFS(INDIRECT("Tab_00.Trial["&amp;I$4&amp;"]"),Tab_00.Trial[CONTA],$B116)</f>
        <v>0</v>
      </c>
      <c r="J116" s="78">
        <f t="shared" ca="1" si="92"/>
        <v>0</v>
      </c>
      <c r="K116" s="78">
        <f t="shared" ca="1" si="93"/>
        <v>0</v>
      </c>
      <c r="L116" s="4">
        <f ca="1">-SUMIFS(INDIRECT("Tab_00.Trial["&amp;L$4&amp;"]"),Tab_00.Trial[CONTA],$B116)</f>
        <v>-95</v>
      </c>
      <c r="M116" s="78">
        <f t="shared" ca="1" si="94"/>
        <v>0</v>
      </c>
      <c r="N116" s="78">
        <f t="shared" ca="1" si="95"/>
        <v>0</v>
      </c>
      <c r="O116" s="4">
        <f ca="1">-SUMIFS(INDIRECT("Tab_00.Trial["&amp;O$4&amp;"]"),Tab_00.Trial[CONTA],$B116)</f>
        <v>-95</v>
      </c>
      <c r="P116" s="78">
        <f t="shared" ca="1" si="114"/>
        <v>0</v>
      </c>
      <c r="Q116" s="78">
        <f t="shared" ca="1" si="115"/>
        <v>0</v>
      </c>
      <c r="R116" s="4">
        <f ca="1">-SUMIFS(INDIRECT("Tab_00.Trial["&amp;R$4&amp;"]"),Tab_00.Trial[CONTA],$B116)</f>
        <v>-95</v>
      </c>
      <c r="S116" s="78">
        <f t="shared" ca="1" si="98"/>
        <v>0</v>
      </c>
      <c r="T116" s="78">
        <f t="shared" ca="1" si="99"/>
        <v>0</v>
      </c>
      <c r="U116" s="4">
        <f ca="1">-SUMIFS(INDIRECT("Tab_00.Trial["&amp;U$4&amp;"]"),Tab_00.Trial[CONTA],$B116)</f>
        <v>-95</v>
      </c>
      <c r="V116" s="78">
        <f t="shared" ca="1" si="100"/>
        <v>0</v>
      </c>
      <c r="W116" s="78">
        <f t="shared" ca="1" si="101"/>
        <v>0</v>
      </c>
      <c r="X116" s="4">
        <f ca="1">-SUMIFS(INDIRECT("Tab_00.Trial["&amp;X$4&amp;"]"),Tab_00.Trial[CONTA],$B116)</f>
        <v>-95</v>
      </c>
      <c r="Y116" s="78">
        <f t="shared" ca="1" si="116"/>
        <v>0</v>
      </c>
      <c r="Z116" s="78">
        <f t="shared" ca="1" si="117"/>
        <v>0</v>
      </c>
      <c r="AA116" s="4">
        <f ca="1">-SUMIFS(INDIRECT("Tab_00.Trial["&amp;AA$4&amp;"]"),Tab_00.Trial[CONTA],$B116)</f>
        <v>-95</v>
      </c>
      <c r="AB116" s="78">
        <f t="shared" ca="1" si="104"/>
        <v>0</v>
      </c>
      <c r="AC116" s="78">
        <f t="shared" ca="1" si="105"/>
        <v>0</v>
      </c>
      <c r="AD116" s="4">
        <f ca="1">-SUMIFS(INDIRECT("Tab_00.Trial["&amp;AD$4&amp;"]"),Tab_00.Trial[CONTA],$B116)</f>
        <v>-95</v>
      </c>
      <c r="AE116" s="78">
        <f t="shared" ca="1" si="106"/>
        <v>0</v>
      </c>
      <c r="AF116" s="78">
        <f t="shared" ca="1" si="107"/>
        <v>0</v>
      </c>
      <c r="AG116" s="4">
        <f ca="1">-SUMIFS(INDIRECT("Tab_00.Trial["&amp;AG$4&amp;"]"),Tab_00.Trial[CONTA],$B116)</f>
        <v>-95</v>
      </c>
      <c r="AH116" s="78">
        <f t="shared" ca="1" si="108"/>
        <v>0</v>
      </c>
      <c r="AI116" s="78">
        <f t="shared" ca="1" si="109"/>
        <v>0</v>
      </c>
      <c r="AJ116" s="4">
        <f ca="1">-SUMIFS(INDIRECT("Tab_00.Trial["&amp;AJ$4&amp;"]"),Tab_00.Trial[CONTA],$B116)</f>
        <v>-95</v>
      </c>
      <c r="AK116" s="78">
        <f t="shared" ca="1" si="110"/>
        <v>0</v>
      </c>
      <c r="AL116" s="78">
        <f t="shared" ca="1" si="111"/>
        <v>0</v>
      </c>
    </row>
    <row r="117" spans="2:38" ht="15" customHeight="1" outlineLevel="1" x14ac:dyDescent="0.3">
      <c r="B117" s="14" t="s">
        <v>499</v>
      </c>
      <c r="C117" s="14" t="s">
        <v>500</v>
      </c>
      <c r="D117" s="4">
        <f ca="1">-SUMIFS(INDIRECT("Tab_00.Trial["&amp;D$4&amp;"]"),Tab_00.Trial[CONTA],$B117)</f>
        <v>-146.94</v>
      </c>
      <c r="E117" s="78">
        <f t="shared" ca="1" si="112"/>
        <v>-2.0000000000000001E-4</v>
      </c>
      <c r="F117" s="4">
        <f ca="1">-SUMIFS(INDIRECT("Tab_00.Trial["&amp;F$4&amp;"]"),Tab_00.Trial[CONTA],$B117)</f>
        <v>-146.94</v>
      </c>
      <c r="G117" s="78">
        <f t="shared" ca="1" si="91"/>
        <v>-1E-4</v>
      </c>
      <c r="H117" s="78">
        <f t="shared" ca="1" si="113"/>
        <v>0</v>
      </c>
      <c r="I117" s="4">
        <f ca="1">-SUMIFS(INDIRECT("Tab_00.Trial["&amp;I$4&amp;"]"),Tab_00.Trial[CONTA],$B117)</f>
        <v>-1361.94</v>
      </c>
      <c r="J117" s="78">
        <f t="shared" ca="1" si="92"/>
        <v>-5.0000000000000001E-4</v>
      </c>
      <c r="K117" s="78">
        <f t="shared" ca="1" si="93"/>
        <v>-8.2687000000000008</v>
      </c>
      <c r="L117" s="4">
        <f ca="1">-SUMIFS(INDIRECT("Tab_00.Trial["&amp;L$4&amp;"]"),Tab_00.Trial[CONTA],$B117)</f>
        <v>-3609.34</v>
      </c>
      <c r="M117" s="78">
        <f t="shared" ca="1" si="94"/>
        <v>-8.9999999999999998E-4</v>
      </c>
      <c r="N117" s="78">
        <f t="shared" ca="1" si="95"/>
        <v>-1.6500999999999999</v>
      </c>
      <c r="O117" s="4">
        <f ca="1">-SUMIFS(INDIRECT("Tab_00.Trial["&amp;O$4&amp;"]"),Tab_00.Trial[CONTA],$B117)</f>
        <v>-5689.34</v>
      </c>
      <c r="P117" s="78">
        <f t="shared" ca="1" si="114"/>
        <v>-1.1000000000000001E-3</v>
      </c>
      <c r="Q117" s="78">
        <f t="shared" ca="1" si="115"/>
        <v>-0.57630000000000003</v>
      </c>
      <c r="R117" s="4">
        <f ca="1">-SUMIFS(INDIRECT("Tab_00.Trial["&amp;R$4&amp;"]"),Tab_00.Trial[CONTA],$B117)</f>
        <v>-9626.74</v>
      </c>
      <c r="S117" s="78">
        <f t="shared" ca="1" si="98"/>
        <v>-1.5E-3</v>
      </c>
      <c r="T117" s="78">
        <f t="shared" ca="1" si="99"/>
        <v>-0.69210000000000005</v>
      </c>
      <c r="U117" s="4">
        <f ca="1">-SUMIFS(INDIRECT("Tab_00.Trial["&amp;U$4&amp;"]"),Tab_00.Trial[CONTA],$B117)</f>
        <v>-9794.14</v>
      </c>
      <c r="V117" s="78">
        <f t="shared" ca="1" si="100"/>
        <v>-1.2999999999999999E-3</v>
      </c>
      <c r="W117" s="78">
        <f t="shared" ca="1" si="101"/>
        <v>-1.7399999999999999E-2</v>
      </c>
      <c r="X117" s="4">
        <f ca="1">-SUMIFS(INDIRECT("Tab_00.Trial["&amp;X$4&amp;"]"),Tab_00.Trial[CONTA],$B117)</f>
        <v>-10921.54</v>
      </c>
      <c r="Y117" s="78">
        <f t="shared" ca="1" si="116"/>
        <v>-1.2999999999999999E-3</v>
      </c>
      <c r="Z117" s="78">
        <f t="shared" ca="1" si="117"/>
        <v>-0.11509999999999999</v>
      </c>
      <c r="AA117" s="4">
        <f ca="1">-SUMIFS(INDIRECT("Tab_00.Trial["&amp;AA$4&amp;"]"),Tab_00.Trial[CONTA],$B117)</f>
        <v>-21409.439999999999</v>
      </c>
      <c r="AB117" s="78">
        <f t="shared" ca="1" si="104"/>
        <v>-2.3E-3</v>
      </c>
      <c r="AC117" s="78">
        <f t="shared" ca="1" si="105"/>
        <v>-0.96030000000000004</v>
      </c>
      <c r="AD117" s="4">
        <f ca="1">-SUMIFS(INDIRECT("Tab_00.Trial["&amp;AD$4&amp;"]"),Tab_00.Trial[CONTA],$B117)</f>
        <v>-21744.240000000002</v>
      </c>
      <c r="AE117" s="78">
        <f t="shared" ca="1" si="106"/>
        <v>-2E-3</v>
      </c>
      <c r="AF117" s="78">
        <f t="shared" ca="1" si="107"/>
        <v>-1.5599999999999999E-2</v>
      </c>
      <c r="AG117" s="4">
        <f ca="1">-SUMIFS(INDIRECT("Tab_00.Trial["&amp;AG$4&amp;"]"),Tab_00.Trial[CONTA],$B117)</f>
        <v>-22772.240000000002</v>
      </c>
      <c r="AH117" s="78">
        <f t="shared" ca="1" si="108"/>
        <v>-2E-3</v>
      </c>
      <c r="AI117" s="78">
        <f t="shared" ca="1" si="109"/>
        <v>-4.7300000000000002E-2</v>
      </c>
      <c r="AJ117" s="4">
        <f ca="1">-SUMIFS(INDIRECT("Tab_00.Trial["&amp;AJ$4&amp;"]"),Tab_00.Trial[CONTA],$B117)</f>
        <v>-22822.240000000002</v>
      </c>
      <c r="AK117" s="78">
        <f t="shared" ca="1" si="110"/>
        <v>-1.8E-3</v>
      </c>
      <c r="AL117" s="78">
        <f t="shared" ca="1" si="111"/>
        <v>-2.2000000000000001E-3</v>
      </c>
    </row>
    <row r="118" spans="2:38" ht="15" customHeight="1" outlineLevel="1" x14ac:dyDescent="0.3">
      <c r="B118" s="14" t="s">
        <v>501</v>
      </c>
      <c r="C118" s="14" t="s">
        <v>502</v>
      </c>
      <c r="D118" s="4">
        <f ca="1">-SUMIFS(INDIRECT("Tab_00.Trial["&amp;D$4&amp;"]"),Tab_00.Trial[CONTA],$B118)</f>
        <v>-2241.66</v>
      </c>
      <c r="E118" s="78">
        <f t="shared" ca="1" si="112"/>
        <v>-2.3999999999999998E-3</v>
      </c>
      <c r="F118" s="4">
        <f ca="1">-SUMIFS(INDIRECT("Tab_00.Trial["&amp;F$4&amp;"]"),Tab_00.Trial[CONTA],$B118)</f>
        <v>-2454.88</v>
      </c>
      <c r="G118" s="78">
        <f t="shared" ca="1" si="91"/>
        <v>-1.2999999999999999E-3</v>
      </c>
      <c r="H118" s="78">
        <f t="shared" ca="1" si="113"/>
        <v>-9.5100000000000004E-2</v>
      </c>
      <c r="I118" s="4">
        <f ca="1">-SUMIFS(INDIRECT("Tab_00.Trial["&amp;I$4&amp;"]"),Tab_00.Trial[CONTA],$B118)</f>
        <v>-2551.17</v>
      </c>
      <c r="J118" s="78">
        <f t="shared" ca="1" si="92"/>
        <v>-8.9999999999999998E-4</v>
      </c>
      <c r="K118" s="78">
        <f t="shared" ca="1" si="93"/>
        <v>-3.9199999999999999E-2</v>
      </c>
      <c r="L118" s="4">
        <f ca="1">-SUMIFS(INDIRECT("Tab_00.Trial["&amp;L$4&amp;"]"),Tab_00.Trial[CONTA],$B118)</f>
        <v>-7361.95</v>
      </c>
      <c r="M118" s="78">
        <f t="shared" ca="1" si="94"/>
        <v>-1.8E-3</v>
      </c>
      <c r="N118" s="78">
        <f t="shared" ca="1" si="95"/>
        <v>-1.8856999999999999</v>
      </c>
      <c r="O118" s="4">
        <f ca="1">-SUMIFS(INDIRECT("Tab_00.Trial["&amp;O$4&amp;"]"),Tab_00.Trial[CONTA],$B118)</f>
        <v>-7477.45</v>
      </c>
      <c r="P118" s="78">
        <f t="shared" ca="1" si="114"/>
        <v>-1.4E-3</v>
      </c>
      <c r="Q118" s="78">
        <f t="shared" ca="1" si="115"/>
        <v>-1.5699999999999999E-2</v>
      </c>
      <c r="R118" s="4">
        <f ca="1">-SUMIFS(INDIRECT("Tab_00.Trial["&amp;R$4&amp;"]"),Tab_00.Trial[CONTA],$B118)</f>
        <v>-7640.44</v>
      </c>
      <c r="S118" s="78">
        <f t="shared" ca="1" si="98"/>
        <v>-1.1999999999999999E-3</v>
      </c>
      <c r="T118" s="78">
        <f t="shared" ca="1" si="99"/>
        <v>-2.18E-2</v>
      </c>
      <c r="U118" s="4">
        <f ca="1">-SUMIFS(INDIRECT("Tab_00.Trial["&amp;U$4&amp;"]"),Tab_00.Trial[CONTA],$B118)</f>
        <v>-9664.69</v>
      </c>
      <c r="V118" s="78">
        <f t="shared" ca="1" si="100"/>
        <v>-1.2999999999999999E-3</v>
      </c>
      <c r="W118" s="78">
        <f t="shared" ca="1" si="101"/>
        <v>-0.26490000000000002</v>
      </c>
      <c r="X118" s="4">
        <f ca="1">-SUMIFS(INDIRECT("Tab_00.Trial["&amp;X$4&amp;"]"),Tab_00.Trial[CONTA],$B118)</f>
        <v>-10420.02</v>
      </c>
      <c r="Y118" s="78">
        <f t="shared" ca="1" si="116"/>
        <v>-1.1999999999999999E-3</v>
      </c>
      <c r="Z118" s="78">
        <f t="shared" ca="1" si="117"/>
        <v>-7.8200000000000006E-2</v>
      </c>
      <c r="AA118" s="4">
        <f ca="1">-SUMIFS(INDIRECT("Tab_00.Trial["&amp;AA$4&amp;"]"),Tab_00.Trial[CONTA],$B118)</f>
        <v>-14396.02</v>
      </c>
      <c r="AB118" s="78">
        <f t="shared" ca="1" si="104"/>
        <v>-1.5E-3</v>
      </c>
      <c r="AC118" s="78">
        <f t="shared" ca="1" si="105"/>
        <v>-0.38159999999999999</v>
      </c>
      <c r="AD118" s="4">
        <f ca="1">-SUMIFS(INDIRECT("Tab_00.Trial["&amp;AD$4&amp;"]"),Tab_00.Trial[CONTA],$B118)</f>
        <v>-14562.02</v>
      </c>
      <c r="AE118" s="78">
        <f t="shared" ca="1" si="106"/>
        <v>-1.4E-3</v>
      </c>
      <c r="AF118" s="78">
        <f t="shared" ca="1" si="107"/>
        <v>-1.15E-2</v>
      </c>
      <c r="AG118" s="4">
        <f ca="1">-SUMIFS(INDIRECT("Tab_00.Trial["&amp;AG$4&amp;"]"),Tab_00.Trial[CONTA],$B118)</f>
        <v>-15011.2</v>
      </c>
      <c r="AH118" s="78">
        <f t="shared" ca="1" si="108"/>
        <v>-1.2999999999999999E-3</v>
      </c>
      <c r="AI118" s="78">
        <f t="shared" ca="1" si="109"/>
        <v>-3.0800000000000001E-2</v>
      </c>
      <c r="AJ118" s="4">
        <f ca="1">-SUMIFS(INDIRECT("Tab_00.Trial["&amp;AJ$4&amp;"]"),Tab_00.Trial[CONTA],$B118)</f>
        <v>-39309.199999999997</v>
      </c>
      <c r="AK118" s="78">
        <f t="shared" ca="1" si="110"/>
        <v>-3.0000000000000001E-3</v>
      </c>
      <c r="AL118" s="78">
        <f t="shared" ca="1" si="111"/>
        <v>-1.6187</v>
      </c>
    </row>
    <row r="119" spans="2:38" ht="15" customHeight="1" outlineLevel="1" x14ac:dyDescent="0.3">
      <c r="B119" s="14" t="s">
        <v>507</v>
      </c>
      <c r="C119" s="14" t="s">
        <v>508</v>
      </c>
      <c r="D119" s="4">
        <f ca="1">-SUMIFS(INDIRECT("Tab_00.Trial["&amp;D$4&amp;"]"),Tab_00.Trial[CONTA],$B119)</f>
        <v>0</v>
      </c>
      <c r="E119" s="78">
        <f t="shared" ca="1" si="112"/>
        <v>0</v>
      </c>
      <c r="F119" s="4">
        <f ca="1">-SUMIFS(INDIRECT("Tab_00.Trial["&amp;F$4&amp;"]"),Tab_00.Trial[CONTA],$B119)</f>
        <v>0</v>
      </c>
      <c r="G119" s="78">
        <f t="shared" ca="1" si="91"/>
        <v>0</v>
      </c>
      <c r="H119" s="78">
        <f t="shared" ca="1" si="113"/>
        <v>0</v>
      </c>
      <c r="I119" s="4">
        <f ca="1">-SUMIFS(INDIRECT("Tab_00.Trial["&amp;I$4&amp;"]"),Tab_00.Trial[CONTA],$B119)</f>
        <v>0</v>
      </c>
      <c r="J119" s="78">
        <f t="shared" ca="1" si="92"/>
        <v>0</v>
      </c>
      <c r="K119" s="78">
        <f t="shared" ca="1" si="93"/>
        <v>0</v>
      </c>
      <c r="L119" s="4">
        <f ca="1">-SUMIFS(INDIRECT("Tab_00.Trial["&amp;L$4&amp;"]"),Tab_00.Trial[CONTA],$B119)</f>
        <v>0</v>
      </c>
      <c r="M119" s="78">
        <f t="shared" ca="1" si="94"/>
        <v>0</v>
      </c>
      <c r="N119" s="78">
        <f t="shared" ca="1" si="95"/>
        <v>0</v>
      </c>
      <c r="O119" s="4">
        <f ca="1">-SUMIFS(INDIRECT("Tab_00.Trial["&amp;O$4&amp;"]"),Tab_00.Trial[CONTA],$B119)</f>
        <v>0</v>
      </c>
      <c r="P119" s="78">
        <f t="shared" ca="1" si="114"/>
        <v>0</v>
      </c>
      <c r="Q119" s="78">
        <f t="shared" ca="1" si="115"/>
        <v>0</v>
      </c>
      <c r="R119" s="4">
        <f ca="1">-SUMIFS(INDIRECT("Tab_00.Trial["&amp;R$4&amp;"]"),Tab_00.Trial[CONTA],$B119)</f>
        <v>0</v>
      </c>
      <c r="S119" s="78">
        <f t="shared" ca="1" si="98"/>
        <v>0</v>
      </c>
      <c r="T119" s="78">
        <f t="shared" ca="1" si="99"/>
        <v>0</v>
      </c>
      <c r="U119" s="4">
        <f ca="1">-SUMIFS(INDIRECT("Tab_00.Trial["&amp;U$4&amp;"]"),Tab_00.Trial[CONTA],$B119)</f>
        <v>0</v>
      </c>
      <c r="V119" s="78">
        <f t="shared" ca="1" si="100"/>
        <v>0</v>
      </c>
      <c r="W119" s="78">
        <f t="shared" ca="1" si="101"/>
        <v>0</v>
      </c>
      <c r="X119" s="4">
        <f ca="1">-SUMIFS(INDIRECT("Tab_00.Trial["&amp;X$4&amp;"]"),Tab_00.Trial[CONTA],$B119)</f>
        <v>0</v>
      </c>
      <c r="Y119" s="78">
        <f t="shared" ca="1" si="116"/>
        <v>0</v>
      </c>
      <c r="Z119" s="78">
        <f t="shared" ca="1" si="117"/>
        <v>0</v>
      </c>
      <c r="AA119" s="4">
        <f ca="1">-SUMIFS(INDIRECT("Tab_00.Trial["&amp;AA$4&amp;"]"),Tab_00.Trial[CONTA],$B119)</f>
        <v>0</v>
      </c>
      <c r="AB119" s="78">
        <f t="shared" ca="1" si="104"/>
        <v>0</v>
      </c>
      <c r="AC119" s="78">
        <f t="shared" ca="1" si="105"/>
        <v>0</v>
      </c>
      <c r="AD119" s="4">
        <f ca="1">-SUMIFS(INDIRECT("Tab_00.Trial["&amp;AD$4&amp;"]"),Tab_00.Trial[CONTA],$B119)</f>
        <v>0</v>
      </c>
      <c r="AE119" s="78">
        <f t="shared" ca="1" si="106"/>
        <v>0</v>
      </c>
      <c r="AF119" s="78">
        <f t="shared" ca="1" si="107"/>
        <v>0</v>
      </c>
      <c r="AG119" s="4">
        <f ca="1">-SUMIFS(INDIRECT("Tab_00.Trial["&amp;AG$4&amp;"]"),Tab_00.Trial[CONTA],$B119)</f>
        <v>0</v>
      </c>
      <c r="AH119" s="78">
        <f t="shared" ca="1" si="108"/>
        <v>0</v>
      </c>
      <c r="AI119" s="78">
        <f t="shared" ca="1" si="109"/>
        <v>0</v>
      </c>
      <c r="AJ119" s="4">
        <f ca="1">-SUMIFS(INDIRECT("Tab_00.Trial["&amp;AJ$4&amp;"]"),Tab_00.Trial[CONTA],$B119)</f>
        <v>0</v>
      </c>
      <c r="AK119" s="78">
        <f t="shared" ca="1" si="110"/>
        <v>0</v>
      </c>
      <c r="AL119" s="78">
        <f t="shared" ca="1" si="111"/>
        <v>0</v>
      </c>
    </row>
    <row r="120" spans="2:38" ht="15" customHeight="1" outlineLevel="1" x14ac:dyDescent="0.3">
      <c r="B120" s="14" t="s">
        <v>509</v>
      </c>
      <c r="C120" s="14" t="s">
        <v>510</v>
      </c>
      <c r="D120" s="4">
        <f ca="1">-SUMIFS(INDIRECT("Tab_00.Trial["&amp;D$4&amp;"]"),Tab_00.Trial[CONTA],$B120)</f>
        <v>0</v>
      </c>
      <c r="E120" s="78">
        <f t="shared" ca="1" si="112"/>
        <v>0</v>
      </c>
      <c r="F120" s="4">
        <f ca="1">-SUMIFS(INDIRECT("Tab_00.Trial["&amp;F$4&amp;"]"),Tab_00.Trial[CONTA],$B120)</f>
        <v>0</v>
      </c>
      <c r="G120" s="78">
        <f t="shared" ca="1" si="91"/>
        <v>0</v>
      </c>
      <c r="H120" s="78">
        <f t="shared" ca="1" si="113"/>
        <v>0</v>
      </c>
      <c r="I120" s="4">
        <f ca="1">-SUMIFS(INDIRECT("Tab_00.Trial["&amp;I$4&amp;"]"),Tab_00.Trial[CONTA],$B120)</f>
        <v>0</v>
      </c>
      <c r="J120" s="78">
        <f t="shared" ca="1" si="92"/>
        <v>0</v>
      </c>
      <c r="K120" s="78">
        <f t="shared" ca="1" si="93"/>
        <v>0</v>
      </c>
      <c r="L120" s="4">
        <f ca="1">-SUMIFS(INDIRECT("Tab_00.Trial["&amp;L$4&amp;"]"),Tab_00.Trial[CONTA],$B120)</f>
        <v>0</v>
      </c>
      <c r="M120" s="78">
        <f t="shared" ca="1" si="94"/>
        <v>0</v>
      </c>
      <c r="N120" s="78">
        <f t="shared" ca="1" si="95"/>
        <v>0</v>
      </c>
      <c r="O120" s="4">
        <f ca="1">-SUMIFS(INDIRECT("Tab_00.Trial["&amp;O$4&amp;"]"),Tab_00.Trial[CONTA],$B120)</f>
        <v>0</v>
      </c>
      <c r="P120" s="78">
        <f t="shared" ca="1" si="114"/>
        <v>0</v>
      </c>
      <c r="Q120" s="78">
        <f t="shared" ca="1" si="115"/>
        <v>0</v>
      </c>
      <c r="R120" s="4">
        <f ca="1">-SUMIFS(INDIRECT("Tab_00.Trial["&amp;R$4&amp;"]"),Tab_00.Trial[CONTA],$B120)</f>
        <v>0</v>
      </c>
      <c r="S120" s="78">
        <f t="shared" ca="1" si="98"/>
        <v>0</v>
      </c>
      <c r="T120" s="78">
        <f t="shared" ca="1" si="99"/>
        <v>0</v>
      </c>
      <c r="U120" s="4">
        <f ca="1">-SUMIFS(INDIRECT("Tab_00.Trial["&amp;U$4&amp;"]"),Tab_00.Trial[CONTA],$B120)</f>
        <v>0</v>
      </c>
      <c r="V120" s="78">
        <f t="shared" ca="1" si="100"/>
        <v>0</v>
      </c>
      <c r="W120" s="78">
        <f t="shared" ca="1" si="101"/>
        <v>0</v>
      </c>
      <c r="X120" s="4">
        <f ca="1">-SUMIFS(INDIRECT("Tab_00.Trial["&amp;X$4&amp;"]"),Tab_00.Trial[CONTA],$B120)</f>
        <v>0</v>
      </c>
      <c r="Y120" s="78">
        <f t="shared" ca="1" si="116"/>
        <v>0</v>
      </c>
      <c r="Z120" s="78">
        <f t="shared" ca="1" si="117"/>
        <v>0</v>
      </c>
      <c r="AA120" s="4">
        <f ca="1">-SUMIFS(INDIRECT("Tab_00.Trial["&amp;AA$4&amp;"]"),Tab_00.Trial[CONTA],$B120)</f>
        <v>0</v>
      </c>
      <c r="AB120" s="78">
        <f t="shared" ca="1" si="104"/>
        <v>0</v>
      </c>
      <c r="AC120" s="78">
        <f t="shared" ca="1" si="105"/>
        <v>0</v>
      </c>
      <c r="AD120" s="4">
        <f ca="1">-SUMIFS(INDIRECT("Tab_00.Trial["&amp;AD$4&amp;"]"),Tab_00.Trial[CONTA],$B120)</f>
        <v>0</v>
      </c>
      <c r="AE120" s="78">
        <f t="shared" ca="1" si="106"/>
        <v>0</v>
      </c>
      <c r="AF120" s="78">
        <f t="shared" ca="1" si="107"/>
        <v>0</v>
      </c>
      <c r="AG120" s="4">
        <f ca="1">-SUMIFS(INDIRECT("Tab_00.Trial["&amp;AG$4&amp;"]"),Tab_00.Trial[CONTA],$B120)</f>
        <v>0</v>
      </c>
      <c r="AH120" s="78">
        <f t="shared" ca="1" si="108"/>
        <v>0</v>
      </c>
      <c r="AI120" s="78">
        <f t="shared" ca="1" si="109"/>
        <v>0</v>
      </c>
      <c r="AJ120" s="4">
        <f ca="1">-SUMIFS(INDIRECT("Tab_00.Trial["&amp;AJ$4&amp;"]"),Tab_00.Trial[CONTA],$B120)</f>
        <v>0</v>
      </c>
      <c r="AK120" s="78">
        <f t="shared" ca="1" si="110"/>
        <v>0</v>
      </c>
      <c r="AL120" s="78">
        <f t="shared" ca="1" si="111"/>
        <v>0</v>
      </c>
    </row>
    <row r="121" spans="2:38" ht="15" customHeight="1" outlineLevel="1" x14ac:dyDescent="0.3">
      <c r="B121" s="14" t="s">
        <v>511</v>
      </c>
      <c r="C121" s="14" t="s">
        <v>512</v>
      </c>
      <c r="D121" s="4">
        <f ca="1">-SUMIFS(INDIRECT("Tab_00.Trial["&amp;D$4&amp;"]"),Tab_00.Trial[CONTA],$B121)</f>
        <v>-2260.8200000000002</v>
      </c>
      <c r="E121" s="78">
        <f t="shared" ca="1" si="112"/>
        <v>-2.3999999999999998E-3</v>
      </c>
      <c r="F121" s="4">
        <f ca="1">-SUMIFS(INDIRECT("Tab_00.Trial["&amp;F$4&amp;"]"),Tab_00.Trial[CONTA],$B121)</f>
        <v>-5016.62</v>
      </c>
      <c r="G121" s="78">
        <f t="shared" ca="1" si="91"/>
        <v>-2.5999999999999999E-3</v>
      </c>
      <c r="H121" s="78">
        <f t="shared" ca="1" si="113"/>
        <v>-1.2189000000000001</v>
      </c>
      <c r="I121" s="4">
        <f ca="1">-SUMIFS(INDIRECT("Tab_00.Trial["&amp;I$4&amp;"]"),Tab_00.Trial[CONTA],$B121)</f>
        <v>-7514.12</v>
      </c>
      <c r="J121" s="78">
        <f t="shared" ca="1" si="92"/>
        <v>-2.5000000000000001E-3</v>
      </c>
      <c r="K121" s="78">
        <f t="shared" ca="1" si="93"/>
        <v>-0.49780000000000002</v>
      </c>
      <c r="L121" s="4">
        <f ca="1">-SUMIFS(INDIRECT("Tab_00.Trial["&amp;L$4&amp;"]"),Tab_00.Trial[CONTA],$B121)</f>
        <v>-10230.26</v>
      </c>
      <c r="M121" s="78">
        <f t="shared" ca="1" si="94"/>
        <v>-2.5000000000000001E-3</v>
      </c>
      <c r="N121" s="78">
        <f t="shared" ca="1" si="95"/>
        <v>-0.36149999999999999</v>
      </c>
      <c r="O121" s="4">
        <f ca="1">-SUMIFS(INDIRECT("Tab_00.Trial["&amp;O$4&amp;"]"),Tab_00.Trial[CONTA],$B121)</f>
        <v>-12812.29</v>
      </c>
      <c r="P121" s="78">
        <f t="shared" ca="1" si="114"/>
        <v>-2.3999999999999998E-3</v>
      </c>
      <c r="Q121" s="78">
        <f t="shared" ca="1" si="115"/>
        <v>-0.25240000000000001</v>
      </c>
      <c r="R121" s="4">
        <f ca="1">-SUMIFS(INDIRECT("Tab_00.Trial["&amp;R$4&amp;"]"),Tab_00.Trial[CONTA],$B121)</f>
        <v>-15463.56</v>
      </c>
      <c r="S121" s="78">
        <f t="shared" ca="1" si="98"/>
        <v>-2.5000000000000001E-3</v>
      </c>
      <c r="T121" s="78">
        <f t="shared" ca="1" si="99"/>
        <v>-0.2069</v>
      </c>
      <c r="U121" s="4">
        <f ca="1">-SUMIFS(INDIRECT("Tab_00.Trial["&amp;U$4&amp;"]"),Tab_00.Trial[CONTA],$B121)</f>
        <v>-18055.939999999999</v>
      </c>
      <c r="V121" s="78">
        <f t="shared" ca="1" si="100"/>
        <v>-2.3999999999999998E-3</v>
      </c>
      <c r="W121" s="78">
        <f t="shared" ca="1" si="101"/>
        <v>-0.1676</v>
      </c>
      <c r="X121" s="4">
        <f ca="1">-SUMIFS(INDIRECT("Tab_00.Trial["&amp;X$4&amp;"]"),Tab_00.Trial[CONTA],$B121)</f>
        <v>-20962.23</v>
      </c>
      <c r="Y121" s="78">
        <f t="shared" ca="1" si="116"/>
        <v>-2.5000000000000001E-3</v>
      </c>
      <c r="Z121" s="78">
        <f t="shared" ca="1" si="117"/>
        <v>-0.161</v>
      </c>
      <c r="AA121" s="4">
        <f ca="1">-SUMIFS(INDIRECT("Tab_00.Trial["&amp;AA$4&amp;"]"),Tab_00.Trial[CONTA],$B121)</f>
        <v>-23714.41</v>
      </c>
      <c r="AB121" s="78">
        <f t="shared" ca="1" si="104"/>
        <v>-2.5000000000000001E-3</v>
      </c>
      <c r="AC121" s="78">
        <f t="shared" ca="1" si="105"/>
        <v>-0.1313</v>
      </c>
      <c r="AD121" s="4">
        <f ca="1">-SUMIFS(INDIRECT("Tab_00.Trial["&amp;AD$4&amp;"]"),Tab_00.Trial[CONTA],$B121)</f>
        <v>-26950.21</v>
      </c>
      <c r="AE121" s="78">
        <f t="shared" ca="1" si="106"/>
        <v>-2.5000000000000001E-3</v>
      </c>
      <c r="AF121" s="78">
        <f t="shared" ca="1" si="107"/>
        <v>-0.13639999999999999</v>
      </c>
      <c r="AG121" s="4">
        <f ca="1">-SUMIFS(INDIRECT("Tab_00.Trial["&amp;AG$4&amp;"]"),Tab_00.Trial[CONTA],$B121)</f>
        <v>-29211.68</v>
      </c>
      <c r="AH121" s="78">
        <f t="shared" ca="1" si="108"/>
        <v>-2.5000000000000001E-3</v>
      </c>
      <c r="AI121" s="78">
        <f t="shared" ca="1" si="109"/>
        <v>-8.3900000000000002E-2</v>
      </c>
      <c r="AJ121" s="4">
        <f ca="1">-SUMIFS(INDIRECT("Tab_00.Trial["&amp;AJ$4&amp;"]"),Tab_00.Trial[CONTA],$B121)</f>
        <v>-31920.35</v>
      </c>
      <c r="AK121" s="78">
        <f t="shared" ca="1" si="110"/>
        <v>-2.3999999999999998E-3</v>
      </c>
      <c r="AL121" s="78">
        <f t="shared" ca="1" si="111"/>
        <v>-9.2700000000000005E-2</v>
      </c>
    </row>
    <row r="122" spans="2:38" ht="15" customHeight="1" outlineLevel="1" x14ac:dyDescent="0.3">
      <c r="B122" s="14" t="s">
        <v>513</v>
      </c>
      <c r="C122" s="14" t="s">
        <v>514</v>
      </c>
      <c r="D122" s="4">
        <f ca="1">-SUMIFS(INDIRECT("Tab_00.Trial["&amp;D$4&amp;"]"),Tab_00.Trial[CONTA],$B122)</f>
        <v>0</v>
      </c>
      <c r="E122" s="78">
        <f t="shared" ca="1" si="112"/>
        <v>0</v>
      </c>
      <c r="F122" s="4">
        <f ca="1">-SUMIFS(INDIRECT("Tab_00.Trial["&amp;F$4&amp;"]"),Tab_00.Trial[CONTA],$B122)</f>
        <v>0</v>
      </c>
      <c r="G122" s="78">
        <f t="shared" ca="1" si="91"/>
        <v>0</v>
      </c>
      <c r="H122" s="78">
        <f t="shared" ca="1" si="113"/>
        <v>0</v>
      </c>
      <c r="I122" s="4">
        <f ca="1">-SUMIFS(INDIRECT("Tab_00.Trial["&amp;I$4&amp;"]"),Tab_00.Trial[CONTA],$B122)</f>
        <v>0</v>
      </c>
      <c r="J122" s="78">
        <f t="shared" ca="1" si="92"/>
        <v>0</v>
      </c>
      <c r="K122" s="78">
        <f t="shared" ca="1" si="93"/>
        <v>0</v>
      </c>
      <c r="L122" s="4">
        <f ca="1">-SUMIFS(INDIRECT("Tab_00.Trial["&amp;L$4&amp;"]"),Tab_00.Trial[CONTA],$B122)</f>
        <v>0</v>
      </c>
      <c r="M122" s="78">
        <f t="shared" ca="1" si="94"/>
        <v>0</v>
      </c>
      <c r="N122" s="78">
        <f t="shared" ca="1" si="95"/>
        <v>0</v>
      </c>
      <c r="O122" s="4">
        <f ca="1">-SUMIFS(INDIRECT("Tab_00.Trial["&amp;O$4&amp;"]"),Tab_00.Trial[CONTA],$B122)</f>
        <v>0</v>
      </c>
      <c r="P122" s="78">
        <f t="shared" ca="1" si="114"/>
        <v>0</v>
      </c>
      <c r="Q122" s="78">
        <f t="shared" ca="1" si="115"/>
        <v>0</v>
      </c>
      <c r="R122" s="4">
        <f ca="1">-SUMIFS(INDIRECT("Tab_00.Trial["&amp;R$4&amp;"]"),Tab_00.Trial[CONTA],$B122)</f>
        <v>0</v>
      </c>
      <c r="S122" s="78">
        <f t="shared" ca="1" si="98"/>
        <v>0</v>
      </c>
      <c r="T122" s="78">
        <f t="shared" ca="1" si="99"/>
        <v>0</v>
      </c>
      <c r="U122" s="4">
        <f ca="1">-SUMIFS(INDIRECT("Tab_00.Trial["&amp;U$4&amp;"]"),Tab_00.Trial[CONTA],$B122)</f>
        <v>0</v>
      </c>
      <c r="V122" s="78">
        <f t="shared" ca="1" si="100"/>
        <v>0</v>
      </c>
      <c r="W122" s="78">
        <f t="shared" ca="1" si="101"/>
        <v>0</v>
      </c>
      <c r="X122" s="4">
        <f ca="1">-SUMIFS(INDIRECT("Tab_00.Trial["&amp;X$4&amp;"]"),Tab_00.Trial[CONTA],$B122)</f>
        <v>0</v>
      </c>
      <c r="Y122" s="78">
        <f t="shared" ca="1" si="116"/>
        <v>0</v>
      </c>
      <c r="Z122" s="78">
        <f t="shared" ca="1" si="117"/>
        <v>0</v>
      </c>
      <c r="AA122" s="4">
        <f ca="1">-SUMIFS(INDIRECT("Tab_00.Trial["&amp;AA$4&amp;"]"),Tab_00.Trial[CONTA],$B122)</f>
        <v>0</v>
      </c>
      <c r="AB122" s="78">
        <f t="shared" ca="1" si="104"/>
        <v>0</v>
      </c>
      <c r="AC122" s="78">
        <f t="shared" ca="1" si="105"/>
        <v>0</v>
      </c>
      <c r="AD122" s="4">
        <f ca="1">-SUMIFS(INDIRECT("Tab_00.Trial["&amp;AD$4&amp;"]"),Tab_00.Trial[CONTA],$B122)</f>
        <v>0</v>
      </c>
      <c r="AE122" s="78">
        <f t="shared" ca="1" si="106"/>
        <v>0</v>
      </c>
      <c r="AF122" s="78">
        <f t="shared" ca="1" si="107"/>
        <v>0</v>
      </c>
      <c r="AG122" s="4">
        <f ca="1">-SUMIFS(INDIRECT("Tab_00.Trial["&amp;AG$4&amp;"]"),Tab_00.Trial[CONTA],$B122)</f>
        <v>0</v>
      </c>
      <c r="AH122" s="78">
        <f t="shared" ca="1" si="108"/>
        <v>0</v>
      </c>
      <c r="AI122" s="78">
        <f t="shared" ca="1" si="109"/>
        <v>0</v>
      </c>
      <c r="AJ122" s="4">
        <f ca="1">-SUMIFS(INDIRECT("Tab_00.Trial["&amp;AJ$4&amp;"]"),Tab_00.Trial[CONTA],$B122)</f>
        <v>0</v>
      </c>
      <c r="AK122" s="78">
        <f t="shared" ca="1" si="110"/>
        <v>0</v>
      </c>
      <c r="AL122" s="78">
        <f t="shared" ca="1" si="111"/>
        <v>0</v>
      </c>
    </row>
    <row r="123" spans="2:38" ht="15" customHeight="1" outlineLevel="1" x14ac:dyDescent="0.3">
      <c r="B123" s="14" t="s">
        <v>515</v>
      </c>
      <c r="C123" s="14" t="s">
        <v>420</v>
      </c>
      <c r="D123" s="4">
        <f ca="1">-SUMIFS(INDIRECT("Tab_00.Trial["&amp;D$4&amp;"]"),Tab_00.Trial[CONTA],$B123)</f>
        <v>-1716.83</v>
      </c>
      <c r="E123" s="78">
        <f t="shared" ca="1" si="112"/>
        <v>-1.8E-3</v>
      </c>
      <c r="F123" s="4">
        <f ca="1">-SUMIFS(INDIRECT("Tab_00.Trial["&amp;F$4&amp;"]"),Tab_00.Trial[CONTA],$B123)</f>
        <v>-3359.44</v>
      </c>
      <c r="G123" s="78">
        <f t="shared" ca="1" si="91"/>
        <v>-1.6999999999999999E-3</v>
      </c>
      <c r="H123" s="78">
        <f t="shared" ca="1" si="113"/>
        <v>-0.95679999999999998</v>
      </c>
      <c r="I123" s="4">
        <f ca="1">-SUMIFS(INDIRECT("Tab_00.Trial["&amp;I$4&amp;"]"),Tab_00.Trial[CONTA],$B123)</f>
        <v>-4983.47</v>
      </c>
      <c r="J123" s="78">
        <f t="shared" ca="1" si="92"/>
        <v>-1.6999999999999999E-3</v>
      </c>
      <c r="K123" s="78">
        <f t="shared" ca="1" si="93"/>
        <v>-0.4834</v>
      </c>
      <c r="L123" s="4">
        <f ca="1">-SUMIFS(INDIRECT("Tab_00.Trial["&amp;L$4&amp;"]"),Tab_00.Trial[CONTA],$B123)</f>
        <v>-17868.78</v>
      </c>
      <c r="M123" s="78">
        <f t="shared" ca="1" si="94"/>
        <v>-4.4000000000000003E-3</v>
      </c>
      <c r="N123" s="78">
        <f t="shared" ca="1" si="95"/>
        <v>-2.5855999999999999</v>
      </c>
      <c r="O123" s="4">
        <f ca="1">-SUMIFS(INDIRECT("Tab_00.Trial["&amp;O$4&amp;"]"),Tab_00.Trial[CONTA],$B123)</f>
        <v>-19503.13</v>
      </c>
      <c r="P123" s="78">
        <f t="shared" ca="1" si="114"/>
        <v>-3.7000000000000002E-3</v>
      </c>
      <c r="Q123" s="78">
        <f t="shared" ca="1" si="115"/>
        <v>-9.1499999999999998E-2</v>
      </c>
      <c r="R123" s="4">
        <f ca="1">-SUMIFS(INDIRECT("Tab_00.Trial["&amp;R$4&amp;"]"),Tab_00.Trial[CONTA],$B123)</f>
        <v>-21206.34</v>
      </c>
      <c r="S123" s="78">
        <f t="shared" ca="1" si="98"/>
        <v>-3.3999999999999998E-3</v>
      </c>
      <c r="T123" s="78">
        <f t="shared" ca="1" si="99"/>
        <v>-8.7300000000000003E-2</v>
      </c>
      <c r="U123" s="4">
        <f ca="1">-SUMIFS(INDIRECT("Tab_00.Trial["&amp;U$4&amp;"]"),Tab_00.Trial[CONTA],$B123)</f>
        <v>-22689.200000000001</v>
      </c>
      <c r="V123" s="78">
        <f t="shared" ca="1" si="100"/>
        <v>-3.0999999999999999E-3</v>
      </c>
      <c r="W123" s="78">
        <f t="shared" ca="1" si="101"/>
        <v>-6.9900000000000004E-2</v>
      </c>
      <c r="X123" s="4">
        <f ca="1">-SUMIFS(INDIRECT("Tab_00.Trial["&amp;X$4&amp;"]"),Tab_00.Trial[CONTA],$B123)</f>
        <v>-24322.57</v>
      </c>
      <c r="Y123" s="78">
        <f t="shared" ca="1" si="116"/>
        <v>-2.8999999999999998E-3</v>
      </c>
      <c r="Z123" s="78">
        <f t="shared" ca="1" si="117"/>
        <v>-7.1999999999999995E-2</v>
      </c>
      <c r="AA123" s="4">
        <f ca="1">-SUMIFS(INDIRECT("Tab_00.Trial["&amp;AA$4&amp;"]"),Tab_00.Trial[CONTA],$B123)</f>
        <v>-25996.38</v>
      </c>
      <c r="AB123" s="78">
        <f t="shared" ca="1" si="104"/>
        <v>-2.8E-3</v>
      </c>
      <c r="AC123" s="78">
        <f t="shared" ca="1" si="105"/>
        <v>-6.88E-2</v>
      </c>
      <c r="AD123" s="4">
        <f ca="1">-SUMIFS(INDIRECT("Tab_00.Trial["&amp;AD$4&amp;"]"),Tab_00.Trial[CONTA],$B123)</f>
        <v>-29110.11</v>
      </c>
      <c r="AE123" s="78">
        <f t="shared" ca="1" si="106"/>
        <v>-2.7000000000000001E-3</v>
      </c>
      <c r="AF123" s="78">
        <f t="shared" ca="1" si="107"/>
        <v>-0.1198</v>
      </c>
      <c r="AG123" s="4">
        <f ca="1">-SUMIFS(INDIRECT("Tab_00.Trial["&amp;AG$4&amp;"]"),Tab_00.Trial[CONTA],$B123)</f>
        <v>-31008.639999999999</v>
      </c>
      <c r="AH123" s="78">
        <f t="shared" ca="1" si="108"/>
        <v>-2.7000000000000001E-3</v>
      </c>
      <c r="AI123" s="78">
        <f t="shared" ca="1" si="109"/>
        <v>-6.5199999999999994E-2</v>
      </c>
      <c r="AJ123" s="4">
        <f ca="1">-SUMIFS(INDIRECT("Tab_00.Trial["&amp;AJ$4&amp;"]"),Tab_00.Trial[CONTA],$B123)</f>
        <v>-33383.35</v>
      </c>
      <c r="AK123" s="78">
        <f t="shared" ca="1" si="110"/>
        <v>-2.5999999999999999E-3</v>
      </c>
      <c r="AL123" s="78">
        <f t="shared" ca="1" si="111"/>
        <v>-7.6600000000000001E-2</v>
      </c>
    </row>
    <row r="124" spans="2:38" ht="15" customHeight="1" outlineLevel="1" x14ac:dyDescent="0.3">
      <c r="B124" s="14" t="s">
        <v>516</v>
      </c>
      <c r="C124" s="14" t="s">
        <v>517</v>
      </c>
      <c r="D124" s="4">
        <f ca="1">-SUMIFS(INDIRECT("Tab_00.Trial["&amp;D$4&amp;"]"),Tab_00.Trial[CONTA],$B124)</f>
        <v>0</v>
      </c>
      <c r="E124" s="78">
        <f t="shared" ca="1" si="112"/>
        <v>0</v>
      </c>
      <c r="F124" s="4">
        <f ca="1">-SUMIFS(INDIRECT("Tab_00.Trial["&amp;F$4&amp;"]"),Tab_00.Trial[CONTA],$B124)</f>
        <v>0</v>
      </c>
      <c r="G124" s="78">
        <f t="shared" ca="1" si="91"/>
        <v>0</v>
      </c>
      <c r="H124" s="78">
        <f t="shared" ca="1" si="113"/>
        <v>0</v>
      </c>
      <c r="I124" s="4">
        <f ca="1">-SUMIFS(INDIRECT("Tab_00.Trial["&amp;I$4&amp;"]"),Tab_00.Trial[CONTA],$B124)</f>
        <v>0</v>
      </c>
      <c r="J124" s="78">
        <f t="shared" ca="1" si="92"/>
        <v>0</v>
      </c>
      <c r="K124" s="78">
        <f t="shared" ca="1" si="93"/>
        <v>0</v>
      </c>
      <c r="L124" s="4">
        <f ca="1">-SUMIFS(INDIRECT("Tab_00.Trial["&amp;L$4&amp;"]"),Tab_00.Trial[CONTA],$B124)</f>
        <v>0</v>
      </c>
      <c r="M124" s="78">
        <f t="shared" ca="1" si="94"/>
        <v>0</v>
      </c>
      <c r="N124" s="78">
        <f t="shared" ca="1" si="95"/>
        <v>0</v>
      </c>
      <c r="O124" s="4">
        <f ca="1">-SUMIFS(INDIRECT("Tab_00.Trial["&amp;O$4&amp;"]"),Tab_00.Trial[CONTA],$B124)</f>
        <v>0</v>
      </c>
      <c r="P124" s="78">
        <f t="shared" ca="1" si="114"/>
        <v>0</v>
      </c>
      <c r="Q124" s="78">
        <f t="shared" ca="1" si="115"/>
        <v>0</v>
      </c>
      <c r="R124" s="4">
        <f ca="1">-SUMIFS(INDIRECT("Tab_00.Trial["&amp;R$4&amp;"]"),Tab_00.Trial[CONTA],$B124)</f>
        <v>0</v>
      </c>
      <c r="S124" s="78">
        <f t="shared" ca="1" si="98"/>
        <v>0</v>
      </c>
      <c r="T124" s="78">
        <f t="shared" ca="1" si="99"/>
        <v>0</v>
      </c>
      <c r="U124" s="4">
        <f ca="1">-SUMIFS(INDIRECT("Tab_00.Trial["&amp;U$4&amp;"]"),Tab_00.Trial[CONTA],$B124)</f>
        <v>0</v>
      </c>
      <c r="V124" s="78">
        <f t="shared" ca="1" si="100"/>
        <v>0</v>
      </c>
      <c r="W124" s="78">
        <f t="shared" ca="1" si="101"/>
        <v>0</v>
      </c>
      <c r="X124" s="4">
        <f ca="1">-SUMIFS(INDIRECT("Tab_00.Trial["&amp;X$4&amp;"]"),Tab_00.Trial[CONTA],$B124)</f>
        <v>0</v>
      </c>
      <c r="Y124" s="78">
        <f t="shared" ca="1" si="116"/>
        <v>0</v>
      </c>
      <c r="Z124" s="78">
        <f t="shared" ca="1" si="117"/>
        <v>0</v>
      </c>
      <c r="AA124" s="4">
        <f ca="1">-SUMIFS(INDIRECT("Tab_00.Trial["&amp;AA$4&amp;"]"),Tab_00.Trial[CONTA],$B124)</f>
        <v>0</v>
      </c>
      <c r="AB124" s="78">
        <f t="shared" ca="1" si="104"/>
        <v>0</v>
      </c>
      <c r="AC124" s="78">
        <f t="shared" ca="1" si="105"/>
        <v>0</v>
      </c>
      <c r="AD124" s="4">
        <f ca="1">-SUMIFS(INDIRECT("Tab_00.Trial["&amp;AD$4&amp;"]"),Tab_00.Trial[CONTA],$B124)</f>
        <v>0</v>
      </c>
      <c r="AE124" s="78">
        <f t="shared" ca="1" si="106"/>
        <v>0</v>
      </c>
      <c r="AF124" s="78">
        <f t="shared" ca="1" si="107"/>
        <v>0</v>
      </c>
      <c r="AG124" s="4">
        <f ca="1">-SUMIFS(INDIRECT("Tab_00.Trial["&amp;AG$4&amp;"]"),Tab_00.Trial[CONTA],$B124)</f>
        <v>0</v>
      </c>
      <c r="AH124" s="78">
        <f t="shared" ca="1" si="108"/>
        <v>0</v>
      </c>
      <c r="AI124" s="78">
        <f t="shared" ca="1" si="109"/>
        <v>0</v>
      </c>
      <c r="AJ124" s="4">
        <f ca="1">-SUMIFS(INDIRECT("Tab_00.Trial["&amp;AJ$4&amp;"]"),Tab_00.Trial[CONTA],$B124)</f>
        <v>0</v>
      </c>
      <c r="AK124" s="78">
        <f t="shared" ca="1" si="110"/>
        <v>0</v>
      </c>
      <c r="AL124" s="78">
        <f t="shared" ca="1" si="111"/>
        <v>0</v>
      </c>
    </row>
    <row r="125" spans="2:38" ht="15" customHeight="1" outlineLevel="1" x14ac:dyDescent="0.3">
      <c r="B125" s="14" t="s">
        <v>518</v>
      </c>
      <c r="C125" s="14" t="s">
        <v>519</v>
      </c>
      <c r="D125" s="4">
        <f ca="1">-SUMIFS(INDIRECT("Tab_00.Trial["&amp;D$4&amp;"]"),Tab_00.Trial[CONTA],$B125)</f>
        <v>-1467.2</v>
      </c>
      <c r="E125" s="78">
        <f t="shared" ca="1" si="112"/>
        <v>-1.5E-3</v>
      </c>
      <c r="F125" s="4">
        <f ca="1">-SUMIFS(INDIRECT("Tab_00.Trial["&amp;F$4&amp;"]"),Tab_00.Trial[CONTA],$B125)</f>
        <v>-3368.58</v>
      </c>
      <c r="G125" s="78">
        <f t="shared" ca="1" si="91"/>
        <v>-1.6999999999999999E-3</v>
      </c>
      <c r="H125" s="78">
        <f t="shared" ca="1" si="113"/>
        <v>-1.2959000000000001</v>
      </c>
      <c r="I125" s="4">
        <f ca="1">-SUMIFS(INDIRECT("Tab_00.Trial["&amp;I$4&amp;"]"),Tab_00.Trial[CONTA],$B125)</f>
        <v>-4660.51</v>
      </c>
      <c r="J125" s="78">
        <f t="shared" ca="1" si="92"/>
        <v>-1.6000000000000001E-3</v>
      </c>
      <c r="K125" s="78">
        <f t="shared" ca="1" si="93"/>
        <v>-0.38350000000000001</v>
      </c>
      <c r="L125" s="4">
        <f ca="1">-SUMIFS(INDIRECT("Tab_00.Trial["&amp;L$4&amp;"]"),Tab_00.Trial[CONTA],$B125)</f>
        <v>-7137.43</v>
      </c>
      <c r="M125" s="78">
        <f t="shared" ca="1" si="94"/>
        <v>-1.6999999999999999E-3</v>
      </c>
      <c r="N125" s="78">
        <f t="shared" ca="1" si="95"/>
        <v>-0.53149999999999997</v>
      </c>
      <c r="O125" s="4">
        <f ca="1">-SUMIFS(INDIRECT("Tab_00.Trial["&amp;O$4&amp;"]"),Tab_00.Trial[CONTA],$B125)</f>
        <v>-8588.81</v>
      </c>
      <c r="P125" s="78">
        <f t="shared" ca="1" si="114"/>
        <v>-1.6000000000000001E-3</v>
      </c>
      <c r="Q125" s="78">
        <f t="shared" ca="1" si="115"/>
        <v>-0.20330000000000001</v>
      </c>
      <c r="R125" s="4">
        <f ca="1">-SUMIFS(INDIRECT("Tab_00.Trial["&amp;R$4&amp;"]"),Tab_00.Trial[CONTA],$B125)</f>
        <v>-9880.73</v>
      </c>
      <c r="S125" s="78">
        <f t="shared" ca="1" si="98"/>
        <v>-1.6000000000000001E-3</v>
      </c>
      <c r="T125" s="78">
        <f t="shared" ca="1" si="99"/>
        <v>-0.15040000000000001</v>
      </c>
      <c r="U125" s="4">
        <f ca="1">-SUMIFS(INDIRECT("Tab_00.Trial["&amp;U$4&amp;"]"),Tab_00.Trial[CONTA],$B125)</f>
        <v>-11741.31</v>
      </c>
      <c r="V125" s="78">
        <f t="shared" ca="1" si="100"/>
        <v>-1.6000000000000001E-3</v>
      </c>
      <c r="W125" s="78">
        <f t="shared" ca="1" si="101"/>
        <v>-0.1883</v>
      </c>
      <c r="X125" s="4">
        <f ca="1">-SUMIFS(INDIRECT("Tab_00.Trial["&amp;X$4&amp;"]"),Tab_00.Trial[CONTA],$B125)</f>
        <v>-13050.37</v>
      </c>
      <c r="Y125" s="78">
        <f t="shared" ca="1" si="116"/>
        <v>-1.5E-3</v>
      </c>
      <c r="Z125" s="78">
        <f t="shared" ca="1" si="117"/>
        <v>-0.1115</v>
      </c>
      <c r="AA125" s="4">
        <f ca="1">-SUMIFS(INDIRECT("Tab_00.Trial["&amp;AA$4&amp;"]"),Tab_00.Trial[CONTA],$B125)</f>
        <v>-14314</v>
      </c>
      <c r="AB125" s="78">
        <f t="shared" ca="1" si="104"/>
        <v>-1.5E-3</v>
      </c>
      <c r="AC125" s="78">
        <f t="shared" ca="1" si="105"/>
        <v>-9.6799999999999997E-2</v>
      </c>
      <c r="AD125" s="4">
        <f ca="1">-SUMIFS(INDIRECT("Tab_00.Trial["&amp;AD$4&amp;"]"),Tab_00.Trial[CONTA],$B125)</f>
        <v>-26456.14</v>
      </c>
      <c r="AE125" s="78">
        <f t="shared" ca="1" si="106"/>
        <v>-2.5000000000000001E-3</v>
      </c>
      <c r="AF125" s="78">
        <f t="shared" ca="1" si="107"/>
        <v>-0.84830000000000005</v>
      </c>
      <c r="AG125" s="4">
        <f ca="1">-SUMIFS(INDIRECT("Tab_00.Trial["&amp;AG$4&amp;"]"),Tab_00.Trial[CONTA],$B125)</f>
        <v>-27620.18</v>
      </c>
      <c r="AH125" s="78">
        <f t="shared" ca="1" si="108"/>
        <v>-2.3999999999999998E-3</v>
      </c>
      <c r="AI125" s="78">
        <f t="shared" ca="1" si="109"/>
        <v>-4.3999999999999997E-2</v>
      </c>
      <c r="AJ125" s="4">
        <f ca="1">-SUMIFS(INDIRECT("Tab_00.Trial["&amp;AJ$4&amp;"]"),Tab_00.Trial[CONTA],$B125)</f>
        <v>-28499.52</v>
      </c>
      <c r="AK125" s="78">
        <f t="shared" ca="1" si="110"/>
        <v>-2.2000000000000001E-3</v>
      </c>
      <c r="AL125" s="78">
        <f t="shared" ca="1" si="111"/>
        <v>-3.1800000000000002E-2</v>
      </c>
    </row>
    <row r="126" spans="2:38" ht="15" customHeight="1" outlineLevel="1" x14ac:dyDescent="0.3">
      <c r="B126" s="14" t="s">
        <v>528</v>
      </c>
      <c r="C126" s="14" t="s">
        <v>416</v>
      </c>
      <c r="D126" s="4">
        <f ca="1">-SUMIFS(INDIRECT("Tab_00.Trial["&amp;D$4&amp;"]"),Tab_00.Trial[CONTA],$B126)</f>
        <v>-100.59</v>
      </c>
      <c r="E126" s="78">
        <f t="shared" ca="1" si="112"/>
        <v>-1E-4</v>
      </c>
      <c r="F126" s="4">
        <f ca="1">-SUMIFS(INDIRECT("Tab_00.Trial["&amp;F$4&amp;"]"),Tab_00.Trial[CONTA],$B126)</f>
        <v>-150.46</v>
      </c>
      <c r="G126" s="78">
        <f t="shared" ca="1" si="91"/>
        <v>-1E-4</v>
      </c>
      <c r="H126" s="78">
        <f t="shared" ca="1" si="113"/>
        <v>-0.49580000000000002</v>
      </c>
      <c r="I126" s="4">
        <f ca="1">-SUMIFS(INDIRECT("Tab_00.Trial["&amp;I$4&amp;"]"),Tab_00.Trial[CONTA],$B126)</f>
        <v>-349.64</v>
      </c>
      <c r="J126" s="78">
        <f t="shared" ca="1" si="92"/>
        <v>-1E-4</v>
      </c>
      <c r="K126" s="78">
        <f t="shared" ca="1" si="93"/>
        <v>-1.3238000000000001</v>
      </c>
      <c r="L126" s="4">
        <f ca="1">-SUMIFS(INDIRECT("Tab_00.Trial["&amp;L$4&amp;"]"),Tab_00.Trial[CONTA],$B126)</f>
        <v>-399.64</v>
      </c>
      <c r="M126" s="78">
        <f t="shared" ca="1" si="94"/>
        <v>-1E-4</v>
      </c>
      <c r="N126" s="78">
        <f t="shared" ca="1" si="95"/>
        <v>-0.14299999999999999</v>
      </c>
      <c r="O126" s="4">
        <f ca="1">-SUMIFS(INDIRECT("Tab_00.Trial["&amp;O$4&amp;"]"),Tab_00.Trial[CONTA],$B126)</f>
        <v>-494.45</v>
      </c>
      <c r="P126" s="78">
        <f t="shared" ca="1" si="114"/>
        <v>-1E-4</v>
      </c>
      <c r="Q126" s="78">
        <f t="shared" ca="1" si="115"/>
        <v>-0.23719999999999999</v>
      </c>
      <c r="R126" s="4">
        <f ca="1">-SUMIFS(INDIRECT("Tab_00.Trial["&amp;R$4&amp;"]"),Tab_00.Trial[CONTA],$B126)</f>
        <v>-628.12</v>
      </c>
      <c r="S126" s="78">
        <f t="shared" ca="1" si="98"/>
        <v>-1E-4</v>
      </c>
      <c r="T126" s="78">
        <f t="shared" ca="1" si="99"/>
        <v>-0.27029999999999998</v>
      </c>
      <c r="U126" s="4">
        <f ca="1">-SUMIFS(INDIRECT("Tab_00.Trial["&amp;U$4&amp;"]"),Tab_00.Trial[CONTA],$B126)</f>
        <v>-750.01</v>
      </c>
      <c r="V126" s="78">
        <f t="shared" ca="1" si="100"/>
        <v>-1E-4</v>
      </c>
      <c r="W126" s="78">
        <f t="shared" ca="1" si="101"/>
        <v>-0.19409999999999999</v>
      </c>
      <c r="X126" s="4">
        <f ca="1">-SUMIFS(INDIRECT("Tab_00.Trial["&amp;X$4&amp;"]"),Tab_00.Trial[CONTA],$B126)</f>
        <v>-1395.42</v>
      </c>
      <c r="Y126" s="78">
        <f t="shared" ca="1" si="116"/>
        <v>-2.0000000000000001E-4</v>
      </c>
      <c r="Z126" s="78">
        <f t="shared" ca="1" si="117"/>
        <v>-0.86050000000000004</v>
      </c>
      <c r="AA126" s="4">
        <f ca="1">-SUMIFS(INDIRECT("Tab_00.Trial["&amp;AA$4&amp;"]"),Tab_00.Trial[CONTA],$B126)</f>
        <v>-1677.42</v>
      </c>
      <c r="AB126" s="78">
        <f t="shared" ca="1" si="104"/>
        <v>-2.0000000000000001E-4</v>
      </c>
      <c r="AC126" s="78">
        <f t="shared" ca="1" si="105"/>
        <v>-0.2021</v>
      </c>
      <c r="AD126" s="4">
        <f ca="1">-SUMIFS(INDIRECT("Tab_00.Trial["&amp;AD$4&amp;"]"),Tab_00.Trial[CONTA],$B126)</f>
        <v>-2464.7399999999998</v>
      </c>
      <c r="AE126" s="78">
        <f t="shared" ca="1" si="106"/>
        <v>-2.0000000000000001E-4</v>
      </c>
      <c r="AF126" s="78">
        <f t="shared" ca="1" si="107"/>
        <v>-0.46939999999999998</v>
      </c>
      <c r="AG126" s="4">
        <f ca="1">-SUMIFS(INDIRECT("Tab_00.Trial["&amp;AG$4&amp;"]"),Tab_00.Trial[CONTA],$B126)</f>
        <v>-2464.7399999999998</v>
      </c>
      <c r="AH126" s="78">
        <f t="shared" ca="1" si="108"/>
        <v>-2.0000000000000001E-4</v>
      </c>
      <c r="AI126" s="78">
        <f t="shared" ca="1" si="109"/>
        <v>0</v>
      </c>
      <c r="AJ126" s="4">
        <f ca="1">-SUMIFS(INDIRECT("Tab_00.Trial["&amp;AJ$4&amp;"]"),Tab_00.Trial[CONTA],$B126)</f>
        <v>-2464.7399999999998</v>
      </c>
      <c r="AK126" s="78">
        <f t="shared" ca="1" si="110"/>
        <v>-2.0000000000000001E-4</v>
      </c>
      <c r="AL126" s="78">
        <f t="shared" ca="1" si="111"/>
        <v>0</v>
      </c>
    </row>
    <row r="127" spans="2:38" ht="15" customHeight="1" outlineLevel="1" x14ac:dyDescent="0.3">
      <c r="B127" s="14" t="s">
        <v>529</v>
      </c>
      <c r="C127" s="14" t="s">
        <v>530</v>
      </c>
      <c r="D127" s="4">
        <f ca="1">-SUMIFS(INDIRECT("Tab_00.Trial["&amp;D$4&amp;"]"),Tab_00.Trial[CONTA],$B127)</f>
        <v>0</v>
      </c>
      <c r="E127" s="78">
        <f t="shared" ca="1" si="112"/>
        <v>0</v>
      </c>
      <c r="F127" s="4">
        <f ca="1">-SUMIFS(INDIRECT("Tab_00.Trial["&amp;F$4&amp;"]"),Tab_00.Trial[CONTA],$B127)</f>
        <v>0</v>
      </c>
      <c r="G127" s="78">
        <f t="shared" ca="1" si="91"/>
        <v>0</v>
      </c>
      <c r="H127" s="78">
        <f t="shared" ca="1" si="113"/>
        <v>0</v>
      </c>
      <c r="I127" s="4">
        <f ca="1">-SUMIFS(INDIRECT("Tab_00.Trial["&amp;I$4&amp;"]"),Tab_00.Trial[CONTA],$B127)</f>
        <v>0</v>
      </c>
      <c r="J127" s="78">
        <f t="shared" ca="1" si="92"/>
        <v>0</v>
      </c>
      <c r="K127" s="78">
        <f t="shared" ca="1" si="93"/>
        <v>0</v>
      </c>
      <c r="L127" s="4">
        <f ca="1">-SUMIFS(INDIRECT("Tab_00.Trial["&amp;L$4&amp;"]"),Tab_00.Trial[CONTA],$B127)</f>
        <v>0</v>
      </c>
      <c r="M127" s="78">
        <f t="shared" ca="1" si="94"/>
        <v>0</v>
      </c>
      <c r="N127" s="78">
        <f t="shared" ca="1" si="95"/>
        <v>0</v>
      </c>
      <c r="O127" s="4">
        <f ca="1">-SUMIFS(INDIRECT("Tab_00.Trial["&amp;O$4&amp;"]"),Tab_00.Trial[CONTA],$B127)</f>
        <v>0</v>
      </c>
      <c r="P127" s="78">
        <f t="shared" ca="1" si="114"/>
        <v>0</v>
      </c>
      <c r="Q127" s="78">
        <f t="shared" ca="1" si="115"/>
        <v>0</v>
      </c>
      <c r="R127" s="4">
        <f ca="1">-SUMIFS(INDIRECT("Tab_00.Trial["&amp;R$4&amp;"]"),Tab_00.Trial[CONTA],$B127)</f>
        <v>-258</v>
      </c>
      <c r="S127" s="78">
        <f t="shared" ca="1" si="98"/>
        <v>0</v>
      </c>
      <c r="T127" s="78">
        <f t="shared" ca="1" si="99"/>
        <v>0</v>
      </c>
      <c r="U127" s="4">
        <f ca="1">-SUMIFS(INDIRECT("Tab_00.Trial["&amp;U$4&amp;"]"),Tab_00.Trial[CONTA],$B127)</f>
        <v>-258</v>
      </c>
      <c r="V127" s="78">
        <f t="shared" ca="1" si="100"/>
        <v>0</v>
      </c>
      <c r="W127" s="78">
        <f t="shared" ca="1" si="101"/>
        <v>0</v>
      </c>
      <c r="X127" s="4">
        <f ca="1">-SUMIFS(INDIRECT("Tab_00.Trial["&amp;X$4&amp;"]"),Tab_00.Trial[CONTA],$B127)</f>
        <v>-258</v>
      </c>
      <c r="Y127" s="78">
        <f t="shared" ca="1" si="116"/>
        <v>0</v>
      </c>
      <c r="Z127" s="78">
        <f t="shared" ca="1" si="117"/>
        <v>0</v>
      </c>
      <c r="AA127" s="4">
        <f ca="1">-SUMIFS(INDIRECT("Tab_00.Trial["&amp;AA$4&amp;"]"),Tab_00.Trial[CONTA],$B127)</f>
        <v>-349.32</v>
      </c>
      <c r="AB127" s="78">
        <f t="shared" ca="1" si="104"/>
        <v>0</v>
      </c>
      <c r="AC127" s="78">
        <f t="shared" ca="1" si="105"/>
        <v>-0.35399999999999998</v>
      </c>
      <c r="AD127" s="4">
        <f ca="1">-SUMIFS(INDIRECT("Tab_00.Trial["&amp;AD$4&amp;"]"),Tab_00.Trial[CONTA],$B127)</f>
        <v>-849.32</v>
      </c>
      <c r="AE127" s="78">
        <f t="shared" ca="1" si="106"/>
        <v>-1E-4</v>
      </c>
      <c r="AF127" s="78">
        <f t="shared" ca="1" si="107"/>
        <v>-1.4314</v>
      </c>
      <c r="AG127" s="4">
        <f ca="1">-SUMIFS(INDIRECT("Tab_00.Trial["&amp;AG$4&amp;"]"),Tab_00.Trial[CONTA],$B127)</f>
        <v>-849.32</v>
      </c>
      <c r="AH127" s="78">
        <f t="shared" ca="1" si="108"/>
        <v>-1E-4</v>
      </c>
      <c r="AI127" s="78">
        <f t="shared" ca="1" si="109"/>
        <v>0</v>
      </c>
      <c r="AJ127" s="4">
        <f ca="1">-SUMIFS(INDIRECT("Tab_00.Trial["&amp;AJ$4&amp;"]"),Tab_00.Trial[CONTA],$B127)</f>
        <v>-849.32</v>
      </c>
      <c r="AK127" s="78">
        <f t="shared" ca="1" si="110"/>
        <v>-1E-4</v>
      </c>
      <c r="AL127" s="78">
        <f t="shared" ca="1" si="111"/>
        <v>0</v>
      </c>
    </row>
    <row r="128" spans="2:38" ht="15" customHeight="1" outlineLevel="1" x14ac:dyDescent="0.3">
      <c r="B128" s="14" t="s">
        <v>531</v>
      </c>
      <c r="C128" s="14" t="s">
        <v>532</v>
      </c>
      <c r="D128" s="4">
        <f ca="1">-SUMIFS(INDIRECT("Tab_00.Trial["&amp;D$4&amp;"]"),Tab_00.Trial[CONTA],$B128)</f>
        <v>-114</v>
      </c>
      <c r="E128" s="78">
        <f t="shared" ca="1" si="112"/>
        <v>-1E-4</v>
      </c>
      <c r="F128" s="4">
        <f ca="1">-SUMIFS(INDIRECT("Tab_00.Trial["&amp;F$4&amp;"]"),Tab_00.Trial[CONTA],$B128)</f>
        <v>-176.97</v>
      </c>
      <c r="G128" s="78">
        <f t="shared" ca="1" si="91"/>
        <v>-1E-4</v>
      </c>
      <c r="H128" s="78">
        <f t="shared" ca="1" si="113"/>
        <v>-0.5524</v>
      </c>
      <c r="I128" s="4">
        <f ca="1">-SUMIFS(INDIRECT("Tab_00.Trial["&amp;I$4&amp;"]"),Tab_00.Trial[CONTA],$B128)</f>
        <v>-176.97</v>
      </c>
      <c r="J128" s="78">
        <f t="shared" ca="1" si="92"/>
        <v>-1E-4</v>
      </c>
      <c r="K128" s="78">
        <f t="shared" ca="1" si="93"/>
        <v>0</v>
      </c>
      <c r="L128" s="4">
        <f ca="1">-SUMIFS(INDIRECT("Tab_00.Trial["&amp;L$4&amp;"]"),Tab_00.Trial[CONTA],$B128)</f>
        <v>-270.23</v>
      </c>
      <c r="M128" s="78">
        <f t="shared" ca="1" si="94"/>
        <v>-1E-4</v>
      </c>
      <c r="N128" s="78">
        <f t="shared" ca="1" si="95"/>
        <v>-0.52700000000000002</v>
      </c>
      <c r="O128" s="4">
        <f ca="1">-SUMIFS(INDIRECT("Tab_00.Trial["&amp;O$4&amp;"]"),Tab_00.Trial[CONTA],$B128)</f>
        <v>-424.04</v>
      </c>
      <c r="P128" s="78">
        <f t="shared" ca="1" si="114"/>
        <v>-1E-4</v>
      </c>
      <c r="Q128" s="78">
        <f t="shared" ca="1" si="115"/>
        <v>-0.56920000000000004</v>
      </c>
      <c r="R128" s="4">
        <f ca="1">-SUMIFS(INDIRECT("Tab_00.Trial["&amp;R$4&amp;"]"),Tab_00.Trial[CONTA],$B128)</f>
        <v>-474.58</v>
      </c>
      <c r="S128" s="78">
        <f t="shared" ca="1" si="98"/>
        <v>-1E-4</v>
      </c>
      <c r="T128" s="78">
        <f t="shared" ca="1" si="99"/>
        <v>-0.1192</v>
      </c>
      <c r="U128" s="4">
        <f ca="1">-SUMIFS(INDIRECT("Tab_00.Trial["&amp;U$4&amp;"]"),Tab_00.Trial[CONTA],$B128)</f>
        <v>-1090.6300000000001</v>
      </c>
      <c r="V128" s="78">
        <f t="shared" ca="1" si="100"/>
        <v>-1E-4</v>
      </c>
      <c r="W128" s="78">
        <f t="shared" ca="1" si="101"/>
        <v>-1.2981</v>
      </c>
      <c r="X128" s="4">
        <f ca="1">-SUMIFS(INDIRECT("Tab_00.Trial["&amp;X$4&amp;"]"),Tab_00.Trial[CONTA],$B128)</f>
        <v>-1261</v>
      </c>
      <c r="Y128" s="78">
        <f t="shared" ca="1" si="116"/>
        <v>-1E-4</v>
      </c>
      <c r="Z128" s="78">
        <f t="shared" ca="1" si="117"/>
        <v>-0.15620000000000001</v>
      </c>
      <c r="AA128" s="4">
        <f ca="1">-SUMIFS(INDIRECT("Tab_00.Trial["&amp;AA$4&amp;"]"),Tab_00.Trial[CONTA],$B128)</f>
        <v>-1437.92</v>
      </c>
      <c r="AB128" s="78">
        <f t="shared" ca="1" si="104"/>
        <v>-2.0000000000000001E-4</v>
      </c>
      <c r="AC128" s="78">
        <f t="shared" ca="1" si="105"/>
        <v>-0.14030000000000001</v>
      </c>
      <c r="AD128" s="4">
        <f ca="1">-SUMIFS(INDIRECT("Tab_00.Trial["&amp;AD$4&amp;"]"),Tab_00.Trial[CONTA],$B128)</f>
        <v>-1607.42</v>
      </c>
      <c r="AE128" s="78">
        <f t="shared" ca="1" si="106"/>
        <v>-2.0000000000000001E-4</v>
      </c>
      <c r="AF128" s="78">
        <f t="shared" ca="1" si="107"/>
        <v>-0.1179</v>
      </c>
      <c r="AG128" s="4">
        <f ca="1">-SUMIFS(INDIRECT("Tab_00.Trial["&amp;AG$4&amp;"]"),Tab_00.Trial[CONTA],$B128)</f>
        <v>-1664.1</v>
      </c>
      <c r="AH128" s="78">
        <f t="shared" ca="1" si="108"/>
        <v>-1E-4</v>
      </c>
      <c r="AI128" s="78">
        <f t="shared" ca="1" si="109"/>
        <v>-3.5299999999999998E-2</v>
      </c>
      <c r="AJ128" s="4">
        <f ca="1">-SUMIFS(INDIRECT("Tab_00.Trial["&amp;AJ$4&amp;"]"),Tab_00.Trial[CONTA],$B128)</f>
        <v>-1708.38</v>
      </c>
      <c r="AK128" s="78">
        <f t="shared" ca="1" si="110"/>
        <v>-1E-4</v>
      </c>
      <c r="AL128" s="78">
        <f t="shared" ca="1" si="111"/>
        <v>-2.6599999999999999E-2</v>
      </c>
    </row>
    <row r="129" spans="2:38" ht="15" customHeight="1" outlineLevel="1" x14ac:dyDescent="0.3">
      <c r="B129" s="14" t="s">
        <v>533</v>
      </c>
      <c r="C129" s="14" t="s">
        <v>534</v>
      </c>
      <c r="D129" s="4">
        <f ca="1">-SUMIFS(INDIRECT("Tab_00.Trial["&amp;D$4&amp;"]"),Tab_00.Trial[CONTA],$B129)</f>
        <v>-350</v>
      </c>
      <c r="E129" s="78">
        <f t="shared" ca="1" si="112"/>
        <v>-4.0000000000000002E-4</v>
      </c>
      <c r="F129" s="4">
        <f ca="1">-SUMIFS(INDIRECT("Tab_00.Trial["&amp;F$4&amp;"]"),Tab_00.Trial[CONTA],$B129)</f>
        <v>-350</v>
      </c>
      <c r="G129" s="78">
        <f t="shared" ca="1" si="91"/>
        <v>-2.0000000000000001E-4</v>
      </c>
      <c r="H129" s="78">
        <f t="shared" ca="1" si="113"/>
        <v>0</v>
      </c>
      <c r="I129" s="4">
        <f ca="1">-SUMIFS(INDIRECT("Tab_00.Trial["&amp;I$4&amp;"]"),Tab_00.Trial[CONTA],$B129)</f>
        <v>-350</v>
      </c>
      <c r="J129" s="78">
        <f t="shared" ca="1" si="92"/>
        <v>-1E-4</v>
      </c>
      <c r="K129" s="78">
        <f t="shared" ca="1" si="93"/>
        <v>0</v>
      </c>
      <c r="L129" s="4">
        <f ca="1">-SUMIFS(INDIRECT("Tab_00.Trial["&amp;L$4&amp;"]"),Tab_00.Trial[CONTA],$B129)</f>
        <v>-350</v>
      </c>
      <c r="M129" s="78">
        <f t="shared" ca="1" si="94"/>
        <v>-1E-4</v>
      </c>
      <c r="N129" s="78">
        <f t="shared" ca="1" si="95"/>
        <v>0</v>
      </c>
      <c r="O129" s="4">
        <f ca="1">-SUMIFS(INDIRECT("Tab_00.Trial["&amp;O$4&amp;"]"),Tab_00.Trial[CONTA],$B129)</f>
        <v>-1750</v>
      </c>
      <c r="P129" s="78">
        <f t="shared" ca="1" si="114"/>
        <v>-2.9999999999999997E-4</v>
      </c>
      <c r="Q129" s="78">
        <f t="shared" ca="1" si="115"/>
        <v>-4</v>
      </c>
      <c r="R129" s="4">
        <f ca="1">-SUMIFS(INDIRECT("Tab_00.Trial["&amp;R$4&amp;"]"),Tab_00.Trial[CONTA],$B129)</f>
        <v>-1750</v>
      </c>
      <c r="S129" s="78">
        <f t="shared" ca="1" si="98"/>
        <v>-2.9999999999999997E-4</v>
      </c>
      <c r="T129" s="78">
        <f t="shared" ca="1" si="99"/>
        <v>0</v>
      </c>
      <c r="U129" s="4">
        <f ca="1">-SUMIFS(INDIRECT("Tab_00.Trial["&amp;U$4&amp;"]"),Tab_00.Trial[CONTA],$B129)</f>
        <v>-2100</v>
      </c>
      <c r="V129" s="78">
        <f t="shared" ca="1" si="100"/>
        <v>-2.9999999999999997E-4</v>
      </c>
      <c r="W129" s="78">
        <f t="shared" ca="1" si="101"/>
        <v>-0.2</v>
      </c>
      <c r="X129" s="4">
        <f ca="1">-SUMIFS(INDIRECT("Tab_00.Trial["&amp;X$4&amp;"]"),Tab_00.Trial[CONTA],$B129)</f>
        <v>-2700</v>
      </c>
      <c r="Y129" s="78">
        <f t="shared" ca="1" si="116"/>
        <v>-2.9999999999999997E-4</v>
      </c>
      <c r="Z129" s="78">
        <f t="shared" ca="1" si="117"/>
        <v>-0.28570000000000001</v>
      </c>
      <c r="AA129" s="4">
        <f ca="1">-SUMIFS(INDIRECT("Tab_00.Trial["&amp;AA$4&amp;"]"),Tab_00.Trial[CONTA],$B129)</f>
        <v>-3798.91</v>
      </c>
      <c r="AB129" s="78">
        <f t="shared" ca="1" si="104"/>
        <v>-4.0000000000000002E-4</v>
      </c>
      <c r="AC129" s="78">
        <f t="shared" ca="1" si="105"/>
        <v>-0.40699999999999997</v>
      </c>
      <c r="AD129" s="4">
        <f ca="1">-SUMIFS(INDIRECT("Tab_00.Trial["&amp;AD$4&amp;"]"),Tab_00.Trial[CONTA],$B129)</f>
        <v>-4988.91</v>
      </c>
      <c r="AE129" s="78">
        <f t="shared" ca="1" si="106"/>
        <v>-5.0000000000000001E-4</v>
      </c>
      <c r="AF129" s="78">
        <f t="shared" ca="1" si="107"/>
        <v>-0.31319999999999998</v>
      </c>
      <c r="AG129" s="4">
        <f ca="1">-SUMIFS(INDIRECT("Tab_00.Trial["&amp;AG$4&amp;"]"),Tab_00.Trial[CONTA],$B129)</f>
        <v>-7060.19</v>
      </c>
      <c r="AH129" s="78">
        <f t="shared" ca="1" si="108"/>
        <v>-5.9999999999999995E-4</v>
      </c>
      <c r="AI129" s="78">
        <f t="shared" ca="1" si="109"/>
        <v>-0.41520000000000001</v>
      </c>
      <c r="AJ129" s="4">
        <f ca="1">-SUMIFS(INDIRECT("Tab_00.Trial["&amp;AJ$4&amp;"]"),Tab_00.Trial[CONTA],$B129)</f>
        <v>-14070.19</v>
      </c>
      <c r="AK129" s="78">
        <f t="shared" ca="1" si="110"/>
        <v>-1.1000000000000001E-3</v>
      </c>
      <c r="AL129" s="78">
        <f t="shared" ca="1" si="111"/>
        <v>-0.9929</v>
      </c>
    </row>
    <row r="130" spans="2:38" ht="15" customHeight="1" outlineLevel="1" x14ac:dyDescent="0.3">
      <c r="B130" s="14" t="s">
        <v>535</v>
      </c>
      <c r="C130" s="14" t="s">
        <v>536</v>
      </c>
      <c r="D130" s="4">
        <f ca="1">-SUMIFS(INDIRECT("Tab_00.Trial["&amp;D$4&amp;"]"),Tab_00.Trial[CONTA],$B130)</f>
        <v>0</v>
      </c>
      <c r="E130" s="78">
        <f t="shared" ca="1" si="112"/>
        <v>0</v>
      </c>
      <c r="F130" s="4">
        <f ca="1">-SUMIFS(INDIRECT("Tab_00.Trial["&amp;F$4&amp;"]"),Tab_00.Trial[CONTA],$B130)</f>
        <v>0</v>
      </c>
      <c r="G130" s="78">
        <f t="shared" ca="1" si="91"/>
        <v>0</v>
      </c>
      <c r="H130" s="78">
        <f t="shared" ca="1" si="113"/>
        <v>0</v>
      </c>
      <c r="I130" s="4">
        <f ca="1">-SUMIFS(INDIRECT("Tab_00.Trial["&amp;I$4&amp;"]"),Tab_00.Trial[CONTA],$B130)</f>
        <v>0</v>
      </c>
      <c r="J130" s="78">
        <f t="shared" ca="1" si="92"/>
        <v>0</v>
      </c>
      <c r="K130" s="78">
        <f t="shared" ca="1" si="93"/>
        <v>0</v>
      </c>
      <c r="L130" s="4">
        <f ca="1">-SUMIFS(INDIRECT("Tab_00.Trial["&amp;L$4&amp;"]"),Tab_00.Trial[CONTA],$B130)</f>
        <v>0</v>
      </c>
      <c r="M130" s="78">
        <f t="shared" ca="1" si="94"/>
        <v>0</v>
      </c>
      <c r="N130" s="78">
        <f t="shared" ca="1" si="95"/>
        <v>0</v>
      </c>
      <c r="O130" s="4">
        <f ca="1">-SUMIFS(INDIRECT("Tab_00.Trial["&amp;O$4&amp;"]"),Tab_00.Trial[CONTA],$B130)</f>
        <v>0</v>
      </c>
      <c r="P130" s="78">
        <f t="shared" ca="1" si="114"/>
        <v>0</v>
      </c>
      <c r="Q130" s="78">
        <f t="shared" ca="1" si="115"/>
        <v>0</v>
      </c>
      <c r="R130" s="4">
        <f ca="1">-SUMIFS(INDIRECT("Tab_00.Trial["&amp;R$4&amp;"]"),Tab_00.Trial[CONTA],$B130)</f>
        <v>0</v>
      </c>
      <c r="S130" s="78">
        <f t="shared" ca="1" si="98"/>
        <v>0</v>
      </c>
      <c r="T130" s="78">
        <f t="shared" ca="1" si="99"/>
        <v>0</v>
      </c>
      <c r="U130" s="4">
        <f ca="1">-SUMIFS(INDIRECT("Tab_00.Trial["&amp;U$4&amp;"]"),Tab_00.Trial[CONTA],$B130)</f>
        <v>0</v>
      </c>
      <c r="V130" s="78">
        <f t="shared" ca="1" si="100"/>
        <v>0</v>
      </c>
      <c r="W130" s="78">
        <f t="shared" ca="1" si="101"/>
        <v>0</v>
      </c>
      <c r="X130" s="4">
        <f ca="1">-SUMIFS(INDIRECT("Tab_00.Trial["&amp;X$4&amp;"]"),Tab_00.Trial[CONTA],$B130)</f>
        <v>0</v>
      </c>
      <c r="Y130" s="78">
        <f t="shared" ca="1" si="116"/>
        <v>0</v>
      </c>
      <c r="Z130" s="78">
        <f t="shared" ca="1" si="117"/>
        <v>0</v>
      </c>
      <c r="AA130" s="4">
        <f ca="1">-SUMIFS(INDIRECT("Tab_00.Trial["&amp;AA$4&amp;"]"),Tab_00.Trial[CONTA],$B130)</f>
        <v>0</v>
      </c>
      <c r="AB130" s="78">
        <f t="shared" ca="1" si="104"/>
        <v>0</v>
      </c>
      <c r="AC130" s="78">
        <f t="shared" ca="1" si="105"/>
        <v>0</v>
      </c>
      <c r="AD130" s="4">
        <f ca="1">-SUMIFS(INDIRECT("Tab_00.Trial["&amp;AD$4&amp;"]"),Tab_00.Trial[CONTA],$B130)</f>
        <v>0</v>
      </c>
      <c r="AE130" s="78">
        <f t="shared" ca="1" si="106"/>
        <v>0</v>
      </c>
      <c r="AF130" s="78">
        <f t="shared" ca="1" si="107"/>
        <v>0</v>
      </c>
      <c r="AG130" s="4">
        <f ca="1">-SUMIFS(INDIRECT("Tab_00.Trial["&amp;AG$4&amp;"]"),Tab_00.Trial[CONTA],$B130)</f>
        <v>0</v>
      </c>
      <c r="AH130" s="78">
        <f t="shared" ca="1" si="108"/>
        <v>0</v>
      </c>
      <c r="AI130" s="78">
        <f t="shared" ca="1" si="109"/>
        <v>0</v>
      </c>
      <c r="AJ130" s="4">
        <f ca="1">-SUMIFS(INDIRECT("Tab_00.Trial["&amp;AJ$4&amp;"]"),Tab_00.Trial[CONTA],$B130)</f>
        <v>0</v>
      </c>
      <c r="AK130" s="78">
        <f t="shared" ca="1" si="110"/>
        <v>0</v>
      </c>
      <c r="AL130" s="78">
        <f t="shared" ca="1" si="111"/>
        <v>0</v>
      </c>
    </row>
    <row r="131" spans="2:38" ht="15" customHeight="1" outlineLevel="1" x14ac:dyDescent="0.3">
      <c r="B131" s="14" t="s">
        <v>537</v>
      </c>
      <c r="C131" s="14" t="s">
        <v>538</v>
      </c>
      <c r="D131" s="4">
        <f ca="1">-SUMIFS(INDIRECT("Tab_00.Trial["&amp;D$4&amp;"]"),Tab_00.Trial[CONTA],$B131)</f>
        <v>-1059.06</v>
      </c>
      <c r="E131" s="78">
        <f t="shared" ca="1" si="112"/>
        <v>-1.1000000000000001E-3</v>
      </c>
      <c r="F131" s="4">
        <f ca="1">-SUMIFS(INDIRECT("Tab_00.Trial["&amp;F$4&amp;"]"),Tab_00.Trial[CONTA],$B131)</f>
        <v>-1059.06</v>
      </c>
      <c r="G131" s="78">
        <f t="shared" ca="1" si="91"/>
        <v>-5.9999999999999995E-4</v>
      </c>
      <c r="H131" s="78">
        <f t="shared" ca="1" si="113"/>
        <v>0</v>
      </c>
      <c r="I131" s="4">
        <f ca="1">-SUMIFS(INDIRECT("Tab_00.Trial["&amp;I$4&amp;"]"),Tab_00.Trial[CONTA],$B131)</f>
        <v>-4744.78</v>
      </c>
      <c r="J131" s="78">
        <f t="shared" ca="1" si="92"/>
        <v>-1.6000000000000001E-3</v>
      </c>
      <c r="K131" s="78">
        <f t="shared" ca="1" si="93"/>
        <v>-3.4802</v>
      </c>
      <c r="L131" s="4">
        <f ca="1">-SUMIFS(INDIRECT("Tab_00.Trial["&amp;L$4&amp;"]"),Tab_00.Trial[CONTA],$B131)</f>
        <v>-4744.78</v>
      </c>
      <c r="M131" s="78">
        <f t="shared" ca="1" si="94"/>
        <v>-1.1999999999999999E-3</v>
      </c>
      <c r="N131" s="78">
        <f t="shared" ca="1" si="95"/>
        <v>0</v>
      </c>
      <c r="O131" s="4">
        <f ca="1">-SUMIFS(INDIRECT("Tab_00.Trial["&amp;O$4&amp;"]"),Tab_00.Trial[CONTA],$B131)</f>
        <v>-4744.78</v>
      </c>
      <c r="P131" s="78">
        <f t="shared" ca="1" si="114"/>
        <v>-8.9999999999999998E-4</v>
      </c>
      <c r="Q131" s="78">
        <f t="shared" ca="1" si="115"/>
        <v>0</v>
      </c>
      <c r="R131" s="4">
        <f ca="1">-SUMIFS(INDIRECT("Tab_00.Trial["&amp;R$4&amp;"]"),Tab_00.Trial[CONTA],$B131)</f>
        <v>-4744.79</v>
      </c>
      <c r="S131" s="78">
        <f t="shared" ca="1" si="98"/>
        <v>-8.0000000000000004E-4</v>
      </c>
      <c r="T131" s="78">
        <f t="shared" ca="1" si="99"/>
        <v>0</v>
      </c>
      <c r="U131" s="4">
        <f ca="1">-SUMIFS(INDIRECT("Tab_00.Trial["&amp;U$4&amp;"]"),Tab_00.Trial[CONTA],$B131)</f>
        <v>-4749.8900000000003</v>
      </c>
      <c r="V131" s="78">
        <f t="shared" ca="1" si="100"/>
        <v>-5.9999999999999995E-4</v>
      </c>
      <c r="W131" s="78">
        <f t="shared" ca="1" si="101"/>
        <v>-1.1000000000000001E-3</v>
      </c>
      <c r="X131" s="4">
        <f ca="1">-SUMIFS(INDIRECT("Tab_00.Trial["&amp;X$4&amp;"]"),Tab_00.Trial[CONTA],$B131)</f>
        <v>-4749.8900000000003</v>
      </c>
      <c r="Y131" s="78">
        <f t="shared" ca="1" si="116"/>
        <v>-5.9999999999999995E-4</v>
      </c>
      <c r="Z131" s="78">
        <f t="shared" ca="1" si="117"/>
        <v>0</v>
      </c>
      <c r="AA131" s="4">
        <f ca="1">-SUMIFS(INDIRECT("Tab_00.Trial["&amp;AA$4&amp;"]"),Tab_00.Trial[CONTA],$B131)</f>
        <v>-4749.8900000000003</v>
      </c>
      <c r="AB131" s="78">
        <f t="shared" ca="1" si="104"/>
        <v>-5.0000000000000001E-4</v>
      </c>
      <c r="AC131" s="78">
        <f t="shared" ca="1" si="105"/>
        <v>0</v>
      </c>
      <c r="AD131" s="4">
        <f ca="1">-SUMIFS(INDIRECT("Tab_00.Trial["&amp;AD$4&amp;"]"),Tab_00.Trial[CONTA],$B131)</f>
        <v>-4749.8900000000003</v>
      </c>
      <c r="AE131" s="78">
        <f t="shared" ca="1" si="106"/>
        <v>-4.0000000000000002E-4</v>
      </c>
      <c r="AF131" s="78">
        <f t="shared" ca="1" si="107"/>
        <v>0</v>
      </c>
      <c r="AG131" s="4">
        <f ca="1">-SUMIFS(INDIRECT("Tab_00.Trial["&amp;AG$4&amp;"]"),Tab_00.Trial[CONTA],$B131)</f>
        <v>-4749.8900000000003</v>
      </c>
      <c r="AH131" s="78">
        <f t="shared" ca="1" si="108"/>
        <v>-4.0000000000000002E-4</v>
      </c>
      <c r="AI131" s="78">
        <f t="shared" ca="1" si="109"/>
        <v>0</v>
      </c>
      <c r="AJ131" s="4">
        <f ca="1">-SUMIFS(INDIRECT("Tab_00.Trial["&amp;AJ$4&amp;"]"),Tab_00.Trial[CONTA],$B131)</f>
        <v>-4756.09</v>
      </c>
      <c r="AK131" s="78">
        <f t="shared" ca="1" si="110"/>
        <v>-4.0000000000000002E-4</v>
      </c>
      <c r="AL131" s="78">
        <f t="shared" ca="1" si="111"/>
        <v>-1.2999999999999999E-3</v>
      </c>
    </row>
    <row r="132" spans="2:38" ht="15" customHeight="1" outlineLevel="1" x14ac:dyDescent="0.3">
      <c r="B132" s="14" t="s">
        <v>539</v>
      </c>
      <c r="C132" s="14" t="s">
        <v>540</v>
      </c>
      <c r="D132" s="4">
        <f ca="1">-SUMIFS(INDIRECT("Tab_00.Trial["&amp;D$4&amp;"]"),Tab_00.Trial[CONTA],$B132)</f>
        <v>0</v>
      </c>
      <c r="E132" s="78">
        <f t="shared" ca="1" si="112"/>
        <v>0</v>
      </c>
      <c r="F132" s="4">
        <f ca="1">-SUMIFS(INDIRECT("Tab_00.Trial["&amp;F$4&amp;"]"),Tab_00.Trial[CONTA],$B132)</f>
        <v>-2484.4</v>
      </c>
      <c r="G132" s="78">
        <f t="shared" ca="1" si="91"/>
        <v>-1.2999999999999999E-3</v>
      </c>
      <c r="H132" s="78">
        <f t="shared" ca="1" si="113"/>
        <v>0</v>
      </c>
      <c r="I132" s="4">
        <f ca="1">-SUMIFS(INDIRECT("Tab_00.Trial["&amp;I$4&amp;"]"),Tab_00.Trial[CONTA],$B132)</f>
        <v>-4226.5200000000004</v>
      </c>
      <c r="J132" s="78">
        <f t="shared" ca="1" si="92"/>
        <v>-1.4E-3</v>
      </c>
      <c r="K132" s="78">
        <f t="shared" ca="1" si="93"/>
        <v>-0.70120000000000005</v>
      </c>
      <c r="L132" s="4">
        <f ca="1">-SUMIFS(INDIRECT("Tab_00.Trial["&amp;L$4&amp;"]"),Tab_00.Trial[CONTA],$B132)</f>
        <v>-5480.09</v>
      </c>
      <c r="M132" s="78">
        <f t="shared" ca="1" si="94"/>
        <v>-1.2999999999999999E-3</v>
      </c>
      <c r="N132" s="78">
        <f t="shared" ca="1" si="95"/>
        <v>-0.29659999999999997</v>
      </c>
      <c r="O132" s="4">
        <f ca="1">-SUMIFS(INDIRECT("Tab_00.Trial["&amp;O$4&amp;"]"),Tab_00.Trial[CONTA],$B132)</f>
        <v>-7128.57</v>
      </c>
      <c r="P132" s="78">
        <f t="shared" ca="1" si="114"/>
        <v>-1.2999999999999999E-3</v>
      </c>
      <c r="Q132" s="78">
        <f t="shared" ca="1" si="115"/>
        <v>-0.30080000000000001</v>
      </c>
      <c r="R132" s="4">
        <f ca="1">-SUMIFS(INDIRECT("Tab_00.Trial["&amp;R$4&amp;"]"),Tab_00.Trial[CONTA],$B132)</f>
        <v>-9750.25</v>
      </c>
      <c r="S132" s="78">
        <f t="shared" ca="1" si="98"/>
        <v>-1.5E-3</v>
      </c>
      <c r="T132" s="78">
        <f t="shared" ca="1" si="99"/>
        <v>-0.36780000000000002</v>
      </c>
      <c r="U132" s="4">
        <f ca="1">-SUMIFS(INDIRECT("Tab_00.Trial["&amp;U$4&amp;"]"),Tab_00.Trial[CONTA],$B132)</f>
        <v>-10965.13</v>
      </c>
      <c r="V132" s="78">
        <f t="shared" ca="1" si="100"/>
        <v>-1.5E-3</v>
      </c>
      <c r="W132" s="78">
        <f t="shared" ca="1" si="101"/>
        <v>-0.1246</v>
      </c>
      <c r="X132" s="4">
        <f ca="1">-SUMIFS(INDIRECT("Tab_00.Trial["&amp;X$4&amp;"]"),Tab_00.Trial[CONTA],$B132)</f>
        <v>-12140.78</v>
      </c>
      <c r="Y132" s="78">
        <f t="shared" ca="1" si="116"/>
        <v>-1.4E-3</v>
      </c>
      <c r="Z132" s="78">
        <f t="shared" ca="1" si="117"/>
        <v>-0.1072</v>
      </c>
      <c r="AA132" s="4">
        <f ca="1">-SUMIFS(INDIRECT("Tab_00.Trial["&amp;AA$4&amp;"]"),Tab_00.Trial[CONTA],$B132)</f>
        <v>-13596.8</v>
      </c>
      <c r="AB132" s="78">
        <f t="shared" ca="1" si="104"/>
        <v>-1.4E-3</v>
      </c>
      <c r="AC132" s="78">
        <f t="shared" ca="1" si="105"/>
        <v>-0.11990000000000001</v>
      </c>
      <c r="AD132" s="4">
        <f ca="1">-SUMIFS(INDIRECT("Tab_00.Trial["&amp;AD$4&amp;"]"),Tab_00.Trial[CONTA],$B132)</f>
        <v>-14901.6</v>
      </c>
      <c r="AE132" s="78">
        <f t="shared" ca="1" si="106"/>
        <v>-1.4E-3</v>
      </c>
      <c r="AF132" s="78">
        <f t="shared" ca="1" si="107"/>
        <v>-9.6000000000000002E-2</v>
      </c>
      <c r="AG132" s="4">
        <f ca="1">-SUMIFS(INDIRECT("Tab_00.Trial["&amp;AG$4&amp;"]"),Tab_00.Trial[CONTA],$B132)</f>
        <v>-16302.77</v>
      </c>
      <c r="AH132" s="78">
        <f t="shared" ca="1" si="108"/>
        <v>-1.4E-3</v>
      </c>
      <c r="AI132" s="78">
        <f t="shared" ca="1" si="109"/>
        <v>-9.4E-2</v>
      </c>
      <c r="AJ132" s="4">
        <f ca="1">-SUMIFS(INDIRECT("Tab_00.Trial["&amp;AJ$4&amp;"]"),Tab_00.Trial[CONTA],$B132)</f>
        <v>-17650.84</v>
      </c>
      <c r="AK132" s="78">
        <f t="shared" ca="1" si="110"/>
        <v>-1.4E-3</v>
      </c>
      <c r="AL132" s="78">
        <f t="shared" ca="1" si="111"/>
        <v>-8.2699999999999996E-2</v>
      </c>
    </row>
    <row r="133" spans="2:38" ht="15" customHeight="1" outlineLevel="1" x14ac:dyDescent="0.3">
      <c r="B133" s="14" t="s">
        <v>541</v>
      </c>
      <c r="C133" s="14" t="s">
        <v>542</v>
      </c>
      <c r="D133" s="4">
        <f ca="1">-SUMIFS(INDIRECT("Tab_00.Trial["&amp;D$4&amp;"]"),Tab_00.Trial[CONTA],$B133)</f>
        <v>-362.82</v>
      </c>
      <c r="E133" s="78">
        <f t="shared" ca="1" si="112"/>
        <v>-4.0000000000000002E-4</v>
      </c>
      <c r="F133" s="4">
        <f ca="1">-SUMIFS(INDIRECT("Tab_00.Trial["&amp;F$4&amp;"]"),Tab_00.Trial[CONTA],$B133)</f>
        <v>-362.82</v>
      </c>
      <c r="G133" s="78">
        <f t="shared" ca="1" si="91"/>
        <v>-2.0000000000000001E-4</v>
      </c>
      <c r="H133" s="78">
        <f t="shared" ca="1" si="113"/>
        <v>0</v>
      </c>
      <c r="I133" s="4">
        <f ca="1">-SUMIFS(INDIRECT("Tab_00.Trial["&amp;I$4&amp;"]"),Tab_00.Trial[CONTA],$B133)</f>
        <v>-540.87</v>
      </c>
      <c r="J133" s="78">
        <f t="shared" ca="1" si="92"/>
        <v>-2.0000000000000001E-4</v>
      </c>
      <c r="K133" s="78">
        <f t="shared" ca="1" si="93"/>
        <v>-0.49070000000000003</v>
      </c>
      <c r="L133" s="4">
        <f ca="1">-SUMIFS(INDIRECT("Tab_00.Trial["&amp;L$4&amp;"]"),Tab_00.Trial[CONTA],$B133)</f>
        <v>-700.87</v>
      </c>
      <c r="M133" s="78">
        <f t="shared" ca="1" si="94"/>
        <v>-2.0000000000000001E-4</v>
      </c>
      <c r="N133" s="78">
        <f t="shared" ca="1" si="95"/>
        <v>-0.29580000000000001</v>
      </c>
      <c r="O133" s="4">
        <f ca="1">-SUMIFS(INDIRECT("Tab_00.Trial["&amp;O$4&amp;"]"),Tab_00.Trial[CONTA],$B133)</f>
        <v>-1000.77</v>
      </c>
      <c r="P133" s="78">
        <f t="shared" ca="1" si="114"/>
        <v>-2.0000000000000001E-4</v>
      </c>
      <c r="Q133" s="78">
        <f t="shared" ca="1" si="115"/>
        <v>-0.4279</v>
      </c>
      <c r="R133" s="4">
        <f ca="1">-SUMIFS(INDIRECT("Tab_00.Trial["&amp;R$4&amp;"]"),Tab_00.Trial[CONTA],$B133)</f>
        <v>-1428.87</v>
      </c>
      <c r="S133" s="78">
        <f t="shared" ca="1" si="98"/>
        <v>-2.0000000000000001E-4</v>
      </c>
      <c r="T133" s="78">
        <f t="shared" ca="1" si="99"/>
        <v>-0.42780000000000001</v>
      </c>
      <c r="U133" s="4">
        <f ca="1">-SUMIFS(INDIRECT("Tab_00.Trial["&amp;U$4&amp;"]"),Tab_00.Trial[CONTA],$B133)</f>
        <v>-1686.27</v>
      </c>
      <c r="V133" s="78">
        <f t="shared" ca="1" si="100"/>
        <v>-2.0000000000000001E-4</v>
      </c>
      <c r="W133" s="78">
        <f t="shared" ca="1" si="101"/>
        <v>-0.18010000000000001</v>
      </c>
      <c r="X133" s="4">
        <f ca="1">-SUMIFS(INDIRECT("Tab_00.Trial["&amp;X$4&amp;"]"),Tab_00.Trial[CONTA],$B133)</f>
        <v>-2288.96</v>
      </c>
      <c r="Y133" s="78">
        <f t="shared" ca="1" si="116"/>
        <v>-2.9999999999999997E-4</v>
      </c>
      <c r="Z133" s="78">
        <f t="shared" ca="1" si="117"/>
        <v>-0.3574</v>
      </c>
      <c r="AA133" s="4">
        <f ca="1">-SUMIFS(INDIRECT("Tab_00.Trial["&amp;AA$4&amp;"]"),Tab_00.Trial[CONTA],$B133)</f>
        <v>-2686.72</v>
      </c>
      <c r="AB133" s="78">
        <f t="shared" ca="1" si="104"/>
        <v>-2.9999999999999997E-4</v>
      </c>
      <c r="AC133" s="78">
        <f t="shared" ca="1" si="105"/>
        <v>-0.17380000000000001</v>
      </c>
      <c r="AD133" s="4">
        <f ca="1">-SUMIFS(INDIRECT("Tab_00.Trial["&amp;AD$4&amp;"]"),Tab_00.Trial[CONTA],$B133)</f>
        <v>-3891.6</v>
      </c>
      <c r="AE133" s="78">
        <f t="shared" ca="1" si="106"/>
        <v>-4.0000000000000002E-4</v>
      </c>
      <c r="AF133" s="78">
        <f t="shared" ca="1" si="107"/>
        <v>-0.44850000000000001</v>
      </c>
      <c r="AG133" s="4">
        <f ca="1">-SUMIFS(INDIRECT("Tab_00.Trial["&amp;AG$4&amp;"]"),Tab_00.Trial[CONTA],$B133)</f>
        <v>-4226.1000000000004</v>
      </c>
      <c r="AH133" s="78">
        <f t="shared" ca="1" si="108"/>
        <v>-4.0000000000000002E-4</v>
      </c>
      <c r="AI133" s="78">
        <f t="shared" ca="1" si="109"/>
        <v>-8.5999999999999993E-2</v>
      </c>
      <c r="AJ133" s="4">
        <f ca="1">-SUMIFS(INDIRECT("Tab_00.Trial["&amp;AJ$4&amp;"]"),Tab_00.Trial[CONTA],$B133)</f>
        <v>-5227.6499999999996</v>
      </c>
      <c r="AK133" s="78">
        <f t="shared" ca="1" si="110"/>
        <v>-4.0000000000000002E-4</v>
      </c>
      <c r="AL133" s="78">
        <f t="shared" ca="1" si="111"/>
        <v>-0.23699999999999999</v>
      </c>
    </row>
    <row r="134" spans="2:38" ht="15" customHeight="1" outlineLevel="1" x14ac:dyDescent="0.3">
      <c r="B134" s="14" t="s">
        <v>739</v>
      </c>
      <c r="C134" s="14" t="s">
        <v>740</v>
      </c>
      <c r="D134" s="4">
        <f ca="1">-SUMIFS(INDIRECT("Tab_00.Trial["&amp;D$4&amp;"]"),Tab_00.Trial[CONTA],$B134)</f>
        <v>-287.74</v>
      </c>
      <c r="E134" s="78">
        <f t="shared" ca="1" si="112"/>
        <v>-2.9999999999999997E-4</v>
      </c>
      <c r="F134" s="4">
        <f ca="1">-SUMIFS(INDIRECT("Tab_00.Trial["&amp;F$4&amp;"]"),Tab_00.Trial[CONTA],$B134)</f>
        <v>-575.48</v>
      </c>
      <c r="G134" s="78">
        <f t="shared" ca="1" si="91"/>
        <v>-2.9999999999999997E-4</v>
      </c>
      <c r="H134" s="78">
        <f t="shared" ca="1" si="113"/>
        <v>-1</v>
      </c>
      <c r="I134" s="4">
        <f ca="1">-SUMIFS(INDIRECT("Tab_00.Trial["&amp;I$4&amp;"]"),Tab_00.Trial[CONTA],$B134)</f>
        <v>-863.22</v>
      </c>
      <c r="J134" s="78">
        <f t="shared" ca="1" si="92"/>
        <v>-2.9999999999999997E-4</v>
      </c>
      <c r="K134" s="78">
        <f t="shared" ca="1" si="93"/>
        <v>-0.5</v>
      </c>
      <c r="L134" s="4">
        <f ca="1">-SUMIFS(INDIRECT("Tab_00.Trial["&amp;L$4&amp;"]"),Tab_00.Trial[CONTA],$B134)</f>
        <v>-1150.96</v>
      </c>
      <c r="M134" s="78">
        <f t="shared" ca="1" si="94"/>
        <v>-2.9999999999999997E-4</v>
      </c>
      <c r="N134" s="78">
        <f t="shared" ca="1" si="95"/>
        <v>-0.33329999999999999</v>
      </c>
      <c r="O134" s="4">
        <f ca="1">-SUMIFS(INDIRECT("Tab_00.Trial["&amp;O$4&amp;"]"),Tab_00.Trial[CONTA],$B134)</f>
        <v>-1438.7</v>
      </c>
      <c r="P134" s="78">
        <f t="shared" ca="1" si="114"/>
        <v>-2.9999999999999997E-4</v>
      </c>
      <c r="Q134" s="78">
        <f t="shared" ca="1" si="115"/>
        <v>-0.25</v>
      </c>
      <c r="R134" s="4">
        <f ca="1">-SUMIFS(INDIRECT("Tab_00.Trial["&amp;R$4&amp;"]"),Tab_00.Trial[CONTA],$B134)</f>
        <v>-1726.44</v>
      </c>
      <c r="S134" s="78">
        <f t="shared" ca="1" si="98"/>
        <v>-2.9999999999999997E-4</v>
      </c>
      <c r="T134" s="78">
        <f t="shared" ca="1" si="99"/>
        <v>-0.2</v>
      </c>
      <c r="U134" s="4">
        <f ca="1">-SUMIFS(INDIRECT("Tab_00.Trial["&amp;U$4&amp;"]"),Tab_00.Trial[CONTA],$B134)</f>
        <v>-2014.18</v>
      </c>
      <c r="V134" s="78">
        <f t="shared" ca="1" si="100"/>
        <v>-2.9999999999999997E-4</v>
      </c>
      <c r="W134" s="78">
        <f t="shared" ca="1" si="101"/>
        <v>-0.16669999999999999</v>
      </c>
      <c r="X134" s="4">
        <f ca="1">-SUMIFS(INDIRECT("Tab_00.Trial["&amp;X$4&amp;"]"),Tab_00.Trial[CONTA],$B134)</f>
        <v>-2301.92</v>
      </c>
      <c r="Y134" s="78">
        <f t="shared" ca="1" si="116"/>
        <v>-2.9999999999999997E-4</v>
      </c>
      <c r="Z134" s="78">
        <f t="shared" ca="1" si="117"/>
        <v>-0.1429</v>
      </c>
      <c r="AA134" s="4">
        <f ca="1">-SUMIFS(INDIRECT("Tab_00.Trial["&amp;AA$4&amp;"]"),Tab_00.Trial[CONTA],$B134)</f>
        <v>-2577.0700000000002</v>
      </c>
      <c r="AB134" s="78">
        <f t="shared" ca="1" si="104"/>
        <v>-2.9999999999999997E-4</v>
      </c>
      <c r="AC134" s="78">
        <f t="shared" ca="1" si="105"/>
        <v>-0.1195</v>
      </c>
      <c r="AD134" s="4">
        <f ca="1">-SUMIFS(INDIRECT("Tab_00.Trial["&amp;AD$4&amp;"]"),Tab_00.Trial[CONTA],$B134)</f>
        <v>-2868.83</v>
      </c>
      <c r="AE134" s="78">
        <f t="shared" ca="1" si="106"/>
        <v>-2.9999999999999997E-4</v>
      </c>
      <c r="AF134" s="78">
        <f t="shared" ca="1" si="107"/>
        <v>-0.1132</v>
      </c>
      <c r="AG134" s="4">
        <f ca="1">-SUMIFS(INDIRECT("Tab_00.Trial["&amp;AG$4&amp;"]"),Tab_00.Trial[CONTA],$B134)</f>
        <v>-3160.59</v>
      </c>
      <c r="AH134" s="78">
        <f t="shared" ca="1" si="108"/>
        <v>-2.9999999999999997E-4</v>
      </c>
      <c r="AI134" s="78">
        <f t="shared" ca="1" si="109"/>
        <v>-0.1017</v>
      </c>
      <c r="AJ134" s="4">
        <f ca="1">-SUMIFS(INDIRECT("Tab_00.Trial["&amp;AJ$4&amp;"]"),Tab_00.Trial[CONTA],$B134)</f>
        <v>-3452.35</v>
      </c>
      <c r="AK134" s="78">
        <f t="shared" ca="1" si="110"/>
        <v>-2.9999999999999997E-4</v>
      </c>
      <c r="AL134" s="78">
        <f t="shared" ca="1" si="111"/>
        <v>-9.2299999999999993E-2</v>
      </c>
    </row>
    <row r="135" spans="2:38" ht="15" customHeight="1" outlineLevel="1" x14ac:dyDescent="0.3">
      <c r="B135" s="14" t="s">
        <v>741</v>
      </c>
      <c r="C135" s="14" t="s">
        <v>742</v>
      </c>
      <c r="D135" s="4">
        <f ca="1">-SUMIFS(INDIRECT("Tab_00.Trial["&amp;D$4&amp;"]"),Tab_00.Trial[CONTA],$B135)</f>
        <v>-17980.080000000002</v>
      </c>
      <c r="E135" s="78">
        <f t="shared" ca="1" si="112"/>
        <v>-1.89E-2</v>
      </c>
      <c r="F135" s="4">
        <f ca="1">-SUMIFS(INDIRECT("Tab_00.Trial["&amp;F$4&amp;"]"),Tab_00.Trial[CONTA],$B135)</f>
        <v>-35960.160000000003</v>
      </c>
      <c r="G135" s="78">
        <f t="shared" ca="1" si="91"/>
        <v>-1.8700000000000001E-2</v>
      </c>
      <c r="H135" s="78">
        <f t="shared" ca="1" si="113"/>
        <v>-1</v>
      </c>
      <c r="I135" s="4">
        <f ca="1">-SUMIFS(INDIRECT("Tab_00.Trial["&amp;I$4&amp;"]"),Tab_00.Trial[CONTA],$B135)</f>
        <v>-53940.24</v>
      </c>
      <c r="J135" s="78">
        <f t="shared" ca="1" si="92"/>
        <v>-1.8100000000000002E-2</v>
      </c>
      <c r="K135" s="78">
        <f t="shared" ca="1" si="93"/>
        <v>-0.5</v>
      </c>
      <c r="L135" s="4">
        <f ca="1">-SUMIFS(INDIRECT("Tab_00.Trial["&amp;L$4&amp;"]"),Tab_00.Trial[CONTA],$B135)</f>
        <v>-71920.320000000007</v>
      </c>
      <c r="M135" s="78">
        <f t="shared" ca="1" si="94"/>
        <v>-1.7600000000000001E-2</v>
      </c>
      <c r="N135" s="78">
        <f t="shared" ca="1" si="95"/>
        <v>-0.33329999999999999</v>
      </c>
      <c r="O135" s="4">
        <f ca="1">-SUMIFS(INDIRECT("Tab_00.Trial["&amp;O$4&amp;"]"),Tab_00.Trial[CONTA],$B135)</f>
        <v>-89900.4</v>
      </c>
      <c r="P135" s="78">
        <f t="shared" ca="1" si="114"/>
        <v>-1.7000000000000001E-2</v>
      </c>
      <c r="Q135" s="78">
        <f t="shared" ca="1" si="115"/>
        <v>-0.25</v>
      </c>
      <c r="R135" s="4">
        <f ca="1">-SUMIFS(INDIRECT("Tab_00.Trial["&amp;R$4&amp;"]"),Tab_00.Trial[CONTA],$B135)</f>
        <v>-107880.48</v>
      </c>
      <c r="S135" s="78">
        <f t="shared" ca="1" si="98"/>
        <v>-1.7100000000000001E-2</v>
      </c>
      <c r="T135" s="78">
        <f t="shared" ca="1" si="99"/>
        <v>-0.2</v>
      </c>
      <c r="U135" s="4">
        <f ca="1">-SUMIFS(INDIRECT("Tab_00.Trial["&amp;U$4&amp;"]"),Tab_00.Trial[CONTA],$B135)</f>
        <v>-125860.56</v>
      </c>
      <c r="V135" s="78">
        <f t="shared" ca="1" si="100"/>
        <v>-1.7100000000000001E-2</v>
      </c>
      <c r="W135" s="78">
        <f t="shared" ca="1" si="101"/>
        <v>-0.16669999999999999</v>
      </c>
      <c r="X135" s="4">
        <f ca="1">-SUMIFS(INDIRECT("Tab_00.Trial["&amp;X$4&amp;"]"),Tab_00.Trial[CONTA],$B135)</f>
        <v>-143840.64000000001</v>
      </c>
      <c r="Y135" s="78">
        <f t="shared" ca="1" si="116"/>
        <v>-1.7100000000000001E-2</v>
      </c>
      <c r="Z135" s="78">
        <f t="shared" ca="1" si="117"/>
        <v>-0.1429</v>
      </c>
      <c r="AA135" s="4">
        <f ca="1">-SUMIFS(INDIRECT("Tab_00.Trial["&amp;AA$4&amp;"]"),Tab_00.Trial[CONTA],$B135)</f>
        <v>-161820.73000000001</v>
      </c>
      <c r="AB135" s="78">
        <f t="shared" ca="1" si="104"/>
        <v>-1.72E-2</v>
      </c>
      <c r="AC135" s="78">
        <f t="shared" ca="1" si="105"/>
        <v>-0.125</v>
      </c>
      <c r="AD135" s="4">
        <f ca="1">-SUMIFS(INDIRECT("Tab_00.Trial["&amp;AD$4&amp;"]"),Tab_00.Trial[CONTA],$B135)</f>
        <v>-179800.81</v>
      </c>
      <c r="AE135" s="78">
        <f t="shared" ca="1" si="106"/>
        <v>-1.6899999999999998E-2</v>
      </c>
      <c r="AF135" s="78">
        <f t="shared" ca="1" si="107"/>
        <v>-0.1111</v>
      </c>
      <c r="AG135" s="4">
        <f ca="1">-SUMIFS(INDIRECT("Tab_00.Trial["&amp;AG$4&amp;"]"),Tab_00.Trial[CONTA],$B135)</f>
        <v>-197780.89</v>
      </c>
      <c r="AH135" s="78">
        <f t="shared" ca="1" si="108"/>
        <v>-1.7100000000000001E-2</v>
      </c>
      <c r="AI135" s="78">
        <f t="shared" ca="1" si="109"/>
        <v>-0.1</v>
      </c>
      <c r="AJ135" s="4">
        <f ca="1">-SUMIFS(INDIRECT("Tab_00.Trial["&amp;AJ$4&amp;"]"),Tab_00.Trial[CONTA],$B135)</f>
        <v>-215760.97</v>
      </c>
      <c r="AK135" s="78">
        <f t="shared" ca="1" si="110"/>
        <v>-1.6500000000000001E-2</v>
      </c>
      <c r="AL135" s="78">
        <f t="shared" ca="1" si="111"/>
        <v>-9.0899999999999995E-2</v>
      </c>
    </row>
    <row r="136" spans="2:38" ht="15" customHeight="1" outlineLevel="1" x14ac:dyDescent="0.3">
      <c r="B136" s="14" t="s">
        <v>752</v>
      </c>
      <c r="C136" s="14" t="s">
        <v>753</v>
      </c>
      <c r="D136" s="4">
        <f ca="1">-SUMIFS(INDIRECT("Tab_00.Trial["&amp;D$4&amp;"]"),Tab_00.Trial[CONTA],$B136)</f>
        <v>0</v>
      </c>
      <c r="E136" s="78">
        <f t="shared" ca="1" si="112"/>
        <v>0</v>
      </c>
      <c r="F136" s="4">
        <f ca="1">-SUMIFS(INDIRECT("Tab_00.Trial["&amp;F$4&amp;"]"),Tab_00.Trial[CONTA],$B136)</f>
        <v>0</v>
      </c>
      <c r="G136" s="78">
        <f t="shared" ca="1" si="91"/>
        <v>0</v>
      </c>
      <c r="H136" s="78">
        <f t="shared" ca="1" si="113"/>
        <v>0</v>
      </c>
      <c r="I136" s="4">
        <f ca="1">-SUMIFS(INDIRECT("Tab_00.Trial["&amp;I$4&amp;"]"),Tab_00.Trial[CONTA],$B136)</f>
        <v>0</v>
      </c>
      <c r="J136" s="78">
        <f t="shared" ca="1" si="92"/>
        <v>0</v>
      </c>
      <c r="K136" s="78">
        <f t="shared" ca="1" si="93"/>
        <v>0</v>
      </c>
      <c r="L136" s="4">
        <f ca="1">-SUMIFS(INDIRECT("Tab_00.Trial["&amp;L$4&amp;"]"),Tab_00.Trial[CONTA],$B136)</f>
        <v>-5000</v>
      </c>
      <c r="M136" s="78">
        <f t="shared" ca="1" si="94"/>
        <v>-1.1999999999999999E-3</v>
      </c>
      <c r="N136" s="78">
        <f t="shared" ca="1" si="95"/>
        <v>0</v>
      </c>
      <c r="O136" s="4">
        <f ca="1">-SUMIFS(INDIRECT("Tab_00.Trial["&amp;O$4&amp;"]"),Tab_00.Trial[CONTA],$B136)</f>
        <v>-5000</v>
      </c>
      <c r="P136" s="78">
        <f t="shared" ca="1" si="114"/>
        <v>-8.9999999999999998E-4</v>
      </c>
      <c r="Q136" s="78">
        <f t="shared" ca="1" si="115"/>
        <v>0</v>
      </c>
      <c r="R136" s="4">
        <f ca="1">-SUMIFS(INDIRECT("Tab_00.Trial["&amp;R$4&amp;"]"),Tab_00.Trial[CONTA],$B136)</f>
        <v>-5000</v>
      </c>
      <c r="S136" s="78">
        <f t="shared" ca="1" si="98"/>
        <v>-8.0000000000000004E-4</v>
      </c>
      <c r="T136" s="78">
        <f t="shared" ca="1" si="99"/>
        <v>0</v>
      </c>
      <c r="U136" s="4">
        <f ca="1">-SUMIFS(INDIRECT("Tab_00.Trial["&amp;U$4&amp;"]"),Tab_00.Trial[CONTA],$B136)</f>
        <v>-5000</v>
      </c>
      <c r="V136" s="78">
        <f t="shared" ca="1" si="100"/>
        <v>-6.9999999999999999E-4</v>
      </c>
      <c r="W136" s="78">
        <f t="shared" ca="1" si="101"/>
        <v>0</v>
      </c>
      <c r="X136" s="4">
        <f ca="1">-SUMIFS(INDIRECT("Tab_00.Trial["&amp;X$4&amp;"]"),Tab_00.Trial[CONTA],$B136)</f>
        <v>-5000</v>
      </c>
      <c r="Y136" s="78">
        <f t="shared" ca="1" si="116"/>
        <v>-5.9999999999999995E-4</v>
      </c>
      <c r="Z136" s="78">
        <f t="shared" ca="1" si="117"/>
        <v>0</v>
      </c>
      <c r="AA136" s="4">
        <f ca="1">-SUMIFS(INDIRECT("Tab_00.Trial["&amp;AA$4&amp;"]"),Tab_00.Trial[CONTA],$B136)</f>
        <v>-5000</v>
      </c>
      <c r="AB136" s="78">
        <f t="shared" ca="1" si="104"/>
        <v>-5.0000000000000001E-4</v>
      </c>
      <c r="AC136" s="78">
        <f t="shared" ca="1" si="105"/>
        <v>0</v>
      </c>
      <c r="AD136" s="4">
        <f ca="1">-SUMIFS(INDIRECT("Tab_00.Trial["&amp;AD$4&amp;"]"),Tab_00.Trial[CONTA],$B136)</f>
        <v>-5000</v>
      </c>
      <c r="AE136" s="78">
        <f t="shared" ca="1" si="106"/>
        <v>-5.0000000000000001E-4</v>
      </c>
      <c r="AF136" s="78">
        <f t="shared" ca="1" si="107"/>
        <v>0</v>
      </c>
      <c r="AG136" s="4">
        <f ca="1">-SUMIFS(INDIRECT("Tab_00.Trial["&amp;AG$4&amp;"]"),Tab_00.Trial[CONTA],$B136)</f>
        <v>-5000</v>
      </c>
      <c r="AH136" s="78">
        <f t="shared" ca="1" si="108"/>
        <v>-4.0000000000000002E-4</v>
      </c>
      <c r="AI136" s="78">
        <f t="shared" ca="1" si="109"/>
        <v>0</v>
      </c>
      <c r="AJ136" s="4">
        <f ca="1">-SUMIFS(INDIRECT("Tab_00.Trial["&amp;AJ$4&amp;"]"),Tab_00.Trial[CONTA],$B136)</f>
        <v>-5000</v>
      </c>
      <c r="AK136" s="78">
        <f t="shared" ca="1" si="110"/>
        <v>-4.0000000000000002E-4</v>
      </c>
      <c r="AL136" s="78">
        <f t="shared" ca="1" si="111"/>
        <v>0</v>
      </c>
    </row>
    <row r="137" spans="2:38" ht="15" customHeight="1" outlineLevel="1" x14ac:dyDescent="0.3">
      <c r="B137" s="14" t="s">
        <v>772</v>
      </c>
      <c r="C137" s="14" t="s">
        <v>435</v>
      </c>
      <c r="D137" s="4">
        <f ca="1">-SUMIFS(INDIRECT("Tab_00.Trial["&amp;D$4&amp;"]"),Tab_00.Trial[CONTA],$B137)</f>
        <v>0</v>
      </c>
      <c r="E137" s="78">
        <f t="shared" ca="1" si="112"/>
        <v>0</v>
      </c>
      <c r="F137" s="4">
        <f ca="1">-SUMIFS(INDIRECT("Tab_00.Trial["&amp;F$4&amp;"]"),Tab_00.Trial[CONTA],$B137)</f>
        <v>0</v>
      </c>
      <c r="G137" s="78">
        <f t="shared" ca="1" si="91"/>
        <v>0</v>
      </c>
      <c r="H137" s="78">
        <f t="shared" ca="1" si="113"/>
        <v>0</v>
      </c>
      <c r="I137" s="4">
        <f ca="1">-SUMIFS(INDIRECT("Tab_00.Trial["&amp;I$4&amp;"]"),Tab_00.Trial[CONTA],$B137)</f>
        <v>0</v>
      </c>
      <c r="J137" s="78">
        <f t="shared" ca="1" si="92"/>
        <v>0</v>
      </c>
      <c r="K137" s="78">
        <f t="shared" ca="1" si="93"/>
        <v>0</v>
      </c>
      <c r="L137" s="4">
        <f ca="1">-SUMIFS(INDIRECT("Tab_00.Trial["&amp;L$4&amp;"]"),Tab_00.Trial[CONTA],$B137)</f>
        <v>0</v>
      </c>
      <c r="M137" s="78">
        <f t="shared" ca="1" si="94"/>
        <v>0</v>
      </c>
      <c r="N137" s="78">
        <f t="shared" ca="1" si="95"/>
        <v>0</v>
      </c>
      <c r="O137" s="4">
        <f ca="1">-SUMIFS(INDIRECT("Tab_00.Trial["&amp;O$4&amp;"]"),Tab_00.Trial[CONTA],$B137)</f>
        <v>0</v>
      </c>
      <c r="P137" s="78">
        <f t="shared" ca="1" si="114"/>
        <v>0</v>
      </c>
      <c r="Q137" s="78">
        <f t="shared" ca="1" si="115"/>
        <v>0</v>
      </c>
      <c r="R137" s="4">
        <f ca="1">-SUMIFS(INDIRECT("Tab_00.Trial["&amp;R$4&amp;"]"),Tab_00.Trial[CONTA],$B137)</f>
        <v>0</v>
      </c>
      <c r="S137" s="78">
        <f t="shared" ca="1" si="98"/>
        <v>0</v>
      </c>
      <c r="T137" s="78">
        <f t="shared" ca="1" si="99"/>
        <v>0</v>
      </c>
      <c r="U137" s="4">
        <f ca="1">-SUMIFS(INDIRECT("Tab_00.Trial["&amp;U$4&amp;"]"),Tab_00.Trial[CONTA],$B137)</f>
        <v>0</v>
      </c>
      <c r="V137" s="78">
        <f t="shared" ca="1" si="100"/>
        <v>0</v>
      </c>
      <c r="W137" s="78">
        <f t="shared" ca="1" si="101"/>
        <v>0</v>
      </c>
      <c r="X137" s="4">
        <f ca="1">-SUMIFS(INDIRECT("Tab_00.Trial["&amp;X$4&amp;"]"),Tab_00.Trial[CONTA],$B137)</f>
        <v>0</v>
      </c>
      <c r="Y137" s="78">
        <f t="shared" ca="1" si="116"/>
        <v>0</v>
      </c>
      <c r="Z137" s="78">
        <f t="shared" ca="1" si="117"/>
        <v>0</v>
      </c>
      <c r="AA137" s="4">
        <f ca="1">-SUMIFS(INDIRECT("Tab_00.Trial["&amp;AA$4&amp;"]"),Tab_00.Trial[CONTA],$B137)</f>
        <v>0</v>
      </c>
      <c r="AB137" s="78">
        <f t="shared" ca="1" si="104"/>
        <v>0</v>
      </c>
      <c r="AC137" s="78">
        <f t="shared" ca="1" si="105"/>
        <v>0</v>
      </c>
      <c r="AD137" s="4">
        <f ca="1">-SUMIFS(INDIRECT("Tab_00.Trial["&amp;AD$4&amp;"]"),Tab_00.Trial[CONTA],$B137)</f>
        <v>0</v>
      </c>
      <c r="AE137" s="78">
        <f t="shared" ca="1" si="106"/>
        <v>0</v>
      </c>
      <c r="AF137" s="78">
        <f t="shared" ca="1" si="107"/>
        <v>0</v>
      </c>
      <c r="AG137" s="4">
        <f ca="1">-SUMIFS(INDIRECT("Tab_00.Trial["&amp;AG$4&amp;"]"),Tab_00.Trial[CONTA],$B137)</f>
        <v>0</v>
      </c>
      <c r="AH137" s="78">
        <f t="shared" ca="1" si="108"/>
        <v>0</v>
      </c>
      <c r="AI137" s="78">
        <f t="shared" ca="1" si="109"/>
        <v>0</v>
      </c>
      <c r="AJ137" s="4">
        <f ca="1">-SUMIFS(INDIRECT("Tab_00.Trial["&amp;AJ$4&amp;"]"),Tab_00.Trial[CONTA],$B137)</f>
        <v>0</v>
      </c>
      <c r="AK137" s="78">
        <f t="shared" ca="1" si="110"/>
        <v>0</v>
      </c>
      <c r="AL137" s="78">
        <f t="shared" ca="1" si="111"/>
        <v>0</v>
      </c>
    </row>
    <row r="138" spans="2:38" ht="15" customHeight="1" outlineLevel="1" x14ac:dyDescent="0.3">
      <c r="B138" s="14" t="s">
        <v>773</v>
      </c>
      <c r="C138" s="14" t="s">
        <v>751</v>
      </c>
      <c r="D138" s="4">
        <f ca="1">-SUMIFS(INDIRECT("Tab_00.Trial["&amp;D$4&amp;"]"),Tab_00.Trial[CONTA],$B138)</f>
        <v>0</v>
      </c>
      <c r="E138" s="78">
        <f t="shared" ca="1" si="112"/>
        <v>0</v>
      </c>
      <c r="F138" s="4">
        <f ca="1">-SUMIFS(INDIRECT("Tab_00.Trial["&amp;F$4&amp;"]"),Tab_00.Trial[CONTA],$B138)</f>
        <v>0</v>
      </c>
      <c r="G138" s="78">
        <f t="shared" ca="1" si="91"/>
        <v>0</v>
      </c>
      <c r="H138" s="78">
        <f t="shared" ca="1" si="113"/>
        <v>0</v>
      </c>
      <c r="I138" s="4">
        <f ca="1">-SUMIFS(INDIRECT("Tab_00.Trial["&amp;I$4&amp;"]"),Tab_00.Trial[CONTA],$B138)</f>
        <v>0</v>
      </c>
      <c r="J138" s="78">
        <f t="shared" ca="1" si="92"/>
        <v>0</v>
      </c>
      <c r="K138" s="78">
        <f t="shared" ca="1" si="93"/>
        <v>0</v>
      </c>
      <c r="L138" s="4">
        <f ca="1">-SUMIFS(INDIRECT("Tab_00.Trial["&amp;L$4&amp;"]"),Tab_00.Trial[CONTA],$B138)</f>
        <v>0</v>
      </c>
      <c r="M138" s="78">
        <f t="shared" ca="1" si="94"/>
        <v>0</v>
      </c>
      <c r="N138" s="78">
        <f t="shared" ca="1" si="95"/>
        <v>0</v>
      </c>
      <c r="O138" s="4">
        <f ca="1">-SUMIFS(INDIRECT("Tab_00.Trial["&amp;O$4&amp;"]"),Tab_00.Trial[CONTA],$B138)</f>
        <v>0</v>
      </c>
      <c r="P138" s="78">
        <f t="shared" ca="1" si="114"/>
        <v>0</v>
      </c>
      <c r="Q138" s="78">
        <f t="shared" ca="1" si="115"/>
        <v>0</v>
      </c>
      <c r="R138" s="4">
        <f ca="1">-SUMIFS(INDIRECT("Tab_00.Trial["&amp;R$4&amp;"]"),Tab_00.Trial[CONTA],$B138)</f>
        <v>0</v>
      </c>
      <c r="S138" s="78">
        <f t="shared" ca="1" si="98"/>
        <v>0</v>
      </c>
      <c r="T138" s="78">
        <f t="shared" ca="1" si="99"/>
        <v>0</v>
      </c>
      <c r="U138" s="4">
        <f ca="1">-SUMIFS(INDIRECT("Tab_00.Trial["&amp;U$4&amp;"]"),Tab_00.Trial[CONTA],$B138)</f>
        <v>0</v>
      </c>
      <c r="V138" s="78">
        <f t="shared" ca="1" si="100"/>
        <v>0</v>
      </c>
      <c r="W138" s="78">
        <f t="shared" ca="1" si="101"/>
        <v>0</v>
      </c>
      <c r="X138" s="4">
        <f ca="1">-SUMIFS(INDIRECT("Tab_00.Trial["&amp;X$4&amp;"]"),Tab_00.Trial[CONTA],$B138)</f>
        <v>-386.16</v>
      </c>
      <c r="Y138" s="78">
        <f t="shared" ca="1" si="116"/>
        <v>0</v>
      </c>
      <c r="Z138" s="78">
        <f t="shared" ca="1" si="117"/>
        <v>0</v>
      </c>
      <c r="AA138" s="4">
        <f ca="1">-SUMIFS(INDIRECT("Tab_00.Trial["&amp;AA$4&amp;"]"),Tab_00.Trial[CONTA],$B138)</f>
        <v>0</v>
      </c>
      <c r="AB138" s="78">
        <f t="shared" ca="1" si="104"/>
        <v>0</v>
      </c>
      <c r="AC138" s="78">
        <f t="shared" ca="1" si="105"/>
        <v>1</v>
      </c>
      <c r="AD138" s="4">
        <f ca="1">-SUMIFS(INDIRECT("Tab_00.Trial["&amp;AD$4&amp;"]"),Tab_00.Trial[CONTA],$B138)</f>
        <v>0</v>
      </c>
      <c r="AE138" s="78">
        <f t="shared" ca="1" si="106"/>
        <v>0</v>
      </c>
      <c r="AF138" s="78">
        <f t="shared" ca="1" si="107"/>
        <v>0</v>
      </c>
      <c r="AG138" s="4">
        <f ca="1">-SUMIFS(INDIRECT("Tab_00.Trial["&amp;AG$4&amp;"]"),Tab_00.Trial[CONTA],$B138)</f>
        <v>0</v>
      </c>
      <c r="AH138" s="78">
        <f t="shared" ca="1" si="108"/>
        <v>0</v>
      </c>
      <c r="AI138" s="78">
        <f t="shared" ca="1" si="109"/>
        <v>0</v>
      </c>
      <c r="AJ138" s="4">
        <f ca="1">-SUMIFS(INDIRECT("Tab_00.Trial["&amp;AJ$4&amp;"]"),Tab_00.Trial[CONTA],$B138)</f>
        <v>0</v>
      </c>
      <c r="AK138" s="78">
        <f t="shared" ca="1" si="110"/>
        <v>0</v>
      </c>
      <c r="AL138" s="78">
        <f t="shared" ca="1" si="111"/>
        <v>0</v>
      </c>
    </row>
    <row r="139" spans="2:38" ht="15" customHeight="1" outlineLevel="1" x14ac:dyDescent="0.3">
      <c r="B139" s="14" t="s">
        <v>833</v>
      </c>
      <c r="C139" s="14" t="s">
        <v>834</v>
      </c>
      <c r="D139" s="165">
        <f ca="1">-SUMIFS(INDIRECT("Tab_00.Trial["&amp;D$4&amp;"]"),Tab_00.Trial[CONTA],$B139)</f>
        <v>-7500</v>
      </c>
      <c r="E139" s="78">
        <f t="shared" ca="1" si="112"/>
        <v>-7.9000000000000008E-3</v>
      </c>
      <c r="F139" s="4">
        <f ca="1">-SUMIFS(INDIRECT("Tab_00.Trial["&amp;F$4&amp;"]"),Tab_00.Trial[CONTA],$B139)</f>
        <v>-15000</v>
      </c>
      <c r="G139" s="78">
        <f t="shared" ca="1" si="91"/>
        <v>-7.7999999999999996E-3</v>
      </c>
      <c r="H139" s="78">
        <f t="shared" ca="1" si="113"/>
        <v>-1</v>
      </c>
      <c r="I139" s="4">
        <f ca="1">-SUMIFS(INDIRECT("Tab_00.Trial["&amp;I$4&amp;"]"),Tab_00.Trial[CONTA],$B139)</f>
        <v>-22500</v>
      </c>
      <c r="J139" s="78">
        <f t="shared" ca="1" si="92"/>
        <v>-7.6E-3</v>
      </c>
      <c r="K139" s="78">
        <f t="shared" ca="1" si="93"/>
        <v>-0.5</v>
      </c>
      <c r="L139" s="4">
        <f ca="1">-SUMIFS(INDIRECT("Tab_00.Trial["&amp;L$4&amp;"]"),Tab_00.Trial[CONTA],$B139)</f>
        <v>-30000</v>
      </c>
      <c r="M139" s="78">
        <f t="shared" ca="1" si="94"/>
        <v>-7.3000000000000001E-3</v>
      </c>
      <c r="N139" s="78">
        <f t="shared" ca="1" si="95"/>
        <v>-0.33329999999999999</v>
      </c>
      <c r="O139" s="4">
        <f ca="1">-SUMIFS(INDIRECT("Tab_00.Trial["&amp;O$4&amp;"]"),Tab_00.Trial[CONTA],$B139)</f>
        <v>-37500</v>
      </c>
      <c r="P139" s="78">
        <f t="shared" ca="1" si="114"/>
        <v>-7.1000000000000004E-3</v>
      </c>
      <c r="Q139" s="78">
        <f t="shared" ca="1" si="115"/>
        <v>-0.25</v>
      </c>
      <c r="R139" s="4">
        <f ca="1">-SUMIFS(INDIRECT("Tab_00.Trial["&amp;R$4&amp;"]"),Tab_00.Trial[CONTA],$B139)</f>
        <v>-45000</v>
      </c>
      <c r="S139" s="78">
        <f t="shared" ca="1" si="98"/>
        <v>-7.1000000000000004E-3</v>
      </c>
      <c r="T139" s="78">
        <f t="shared" ca="1" si="99"/>
        <v>-0.2</v>
      </c>
      <c r="U139" s="4">
        <f ca="1">-SUMIFS(INDIRECT("Tab_00.Trial["&amp;U$4&amp;"]"),Tab_00.Trial[CONTA],$B139)</f>
        <v>-52500</v>
      </c>
      <c r="V139" s="78">
        <f t="shared" ca="1" si="100"/>
        <v>-7.1000000000000004E-3</v>
      </c>
      <c r="W139" s="78">
        <f t="shared" ca="1" si="101"/>
        <v>-0.16669999999999999</v>
      </c>
      <c r="X139" s="4">
        <f ca="1">-SUMIFS(INDIRECT("Tab_00.Trial["&amp;X$4&amp;"]"),Tab_00.Trial[CONTA],$B139)</f>
        <v>-60000</v>
      </c>
      <c r="Y139" s="78">
        <f t="shared" ca="1" si="116"/>
        <v>-7.1000000000000004E-3</v>
      </c>
      <c r="Z139" s="78">
        <f t="shared" ca="1" si="117"/>
        <v>-0.1429</v>
      </c>
      <c r="AA139" s="4">
        <f ca="1">-SUMIFS(INDIRECT("Tab_00.Trial["&amp;AA$4&amp;"]"),Tab_00.Trial[CONTA],$B139)</f>
        <v>-67500</v>
      </c>
      <c r="AB139" s="78">
        <f t="shared" ca="1" si="104"/>
        <v>-7.1999999999999998E-3</v>
      </c>
      <c r="AC139" s="78">
        <f t="shared" ca="1" si="105"/>
        <v>-0.125</v>
      </c>
      <c r="AD139" s="4">
        <f ca="1">-SUMIFS(INDIRECT("Tab_00.Trial["&amp;AD$4&amp;"]"),Tab_00.Trial[CONTA],$B139)</f>
        <v>-75000</v>
      </c>
      <c r="AE139" s="78">
        <f t="shared" ca="1" si="106"/>
        <v>-7.1000000000000004E-3</v>
      </c>
      <c r="AF139" s="78">
        <f t="shared" ca="1" si="107"/>
        <v>-0.1111</v>
      </c>
      <c r="AG139" s="4">
        <f ca="1">-SUMIFS(INDIRECT("Tab_00.Trial["&amp;AG$4&amp;"]"),Tab_00.Trial[CONTA],$B139)</f>
        <v>-82500</v>
      </c>
      <c r="AH139" s="78">
        <f t="shared" ca="1" si="108"/>
        <v>-7.1000000000000004E-3</v>
      </c>
      <c r="AI139" s="78">
        <f t="shared" ca="1" si="109"/>
        <v>-0.1</v>
      </c>
      <c r="AJ139" s="4">
        <f ca="1">-SUMIFS(INDIRECT("Tab_00.Trial["&amp;AJ$4&amp;"]"),Tab_00.Trial[CONTA],$B139)</f>
        <v>-90000</v>
      </c>
      <c r="AK139" s="78">
        <f t="shared" ca="1" si="110"/>
        <v>-6.8999999999999999E-3</v>
      </c>
      <c r="AL139" s="78">
        <f t="shared" ca="1" si="111"/>
        <v>-9.0899999999999995E-2</v>
      </c>
    </row>
    <row r="140" spans="2:38" ht="15" customHeight="1" outlineLevel="1" x14ac:dyDescent="0.3">
      <c r="B140" s="14"/>
      <c r="C140" s="14"/>
      <c r="D140" s="4">
        <f ca="1">-SUMIFS(INDIRECT("Tab_00.Trial["&amp;D$4&amp;"]"),Tab_00.Trial[CONTA],$B140)</f>
        <v>0</v>
      </c>
      <c r="E140" s="78">
        <f t="shared" ca="1" si="112"/>
        <v>0</v>
      </c>
      <c r="F140" s="4">
        <f ca="1">-SUMIFS(INDIRECT("Tab_00.Trial["&amp;F$4&amp;"]"),Tab_00.Trial[CONTA],$B140)</f>
        <v>0</v>
      </c>
      <c r="G140" s="78">
        <f t="shared" ca="1" si="91"/>
        <v>0</v>
      </c>
      <c r="H140" s="78">
        <f t="shared" ca="1" si="113"/>
        <v>0</v>
      </c>
      <c r="I140" s="4">
        <f ca="1">-SUMIFS(INDIRECT("Tab_00.Trial["&amp;I$4&amp;"]"),Tab_00.Trial[CONTA],$B140)</f>
        <v>0</v>
      </c>
      <c r="J140" s="78">
        <f t="shared" ca="1" si="92"/>
        <v>0</v>
      </c>
      <c r="K140" s="78">
        <f t="shared" ca="1" si="93"/>
        <v>0</v>
      </c>
      <c r="L140" s="4">
        <f ca="1">-SUMIFS(INDIRECT("Tab_00.Trial["&amp;L$4&amp;"]"),Tab_00.Trial[CONTA],$B140)</f>
        <v>0</v>
      </c>
      <c r="M140" s="78">
        <f t="shared" ca="1" si="94"/>
        <v>0</v>
      </c>
      <c r="N140" s="78">
        <f t="shared" ca="1" si="95"/>
        <v>0</v>
      </c>
      <c r="O140" s="4">
        <f ca="1">-SUMIFS(INDIRECT("Tab_00.Trial["&amp;O$4&amp;"]"),Tab_00.Trial[CONTA],$B140)</f>
        <v>0</v>
      </c>
      <c r="P140" s="78">
        <f t="shared" ca="1" si="114"/>
        <v>0</v>
      </c>
      <c r="Q140" s="78">
        <f t="shared" ca="1" si="115"/>
        <v>0</v>
      </c>
      <c r="R140" s="4">
        <f ca="1">-SUMIFS(INDIRECT("Tab_00.Trial["&amp;R$4&amp;"]"),Tab_00.Trial[CONTA],$B140)</f>
        <v>0</v>
      </c>
      <c r="S140" s="78">
        <f t="shared" ca="1" si="98"/>
        <v>0</v>
      </c>
      <c r="T140" s="78">
        <f t="shared" ca="1" si="99"/>
        <v>0</v>
      </c>
      <c r="U140" s="4">
        <f ca="1">-SUMIFS(INDIRECT("Tab_00.Trial["&amp;U$4&amp;"]"),Tab_00.Trial[CONTA],$B140)</f>
        <v>0</v>
      </c>
      <c r="V140" s="78">
        <f t="shared" ca="1" si="100"/>
        <v>0</v>
      </c>
      <c r="W140" s="78">
        <f t="shared" ca="1" si="101"/>
        <v>0</v>
      </c>
      <c r="X140" s="4">
        <f ca="1">-SUMIFS(INDIRECT("Tab_00.Trial["&amp;X$4&amp;"]"),Tab_00.Trial[CONTA],$B140)</f>
        <v>0</v>
      </c>
      <c r="Y140" s="78">
        <f t="shared" ca="1" si="116"/>
        <v>0</v>
      </c>
      <c r="Z140" s="78">
        <f t="shared" ca="1" si="117"/>
        <v>0</v>
      </c>
      <c r="AA140" s="4">
        <f ca="1">-SUMIFS(INDIRECT("Tab_00.Trial["&amp;AA$4&amp;"]"),Tab_00.Trial[CONTA],$B140)</f>
        <v>0</v>
      </c>
      <c r="AB140" s="78">
        <f t="shared" ca="1" si="104"/>
        <v>0</v>
      </c>
      <c r="AC140" s="78">
        <f t="shared" ca="1" si="105"/>
        <v>0</v>
      </c>
      <c r="AD140" s="4">
        <f ca="1">-SUMIFS(INDIRECT("Tab_00.Trial["&amp;AD$4&amp;"]"),Tab_00.Trial[CONTA],$B140)</f>
        <v>0</v>
      </c>
      <c r="AE140" s="78">
        <f t="shared" ca="1" si="106"/>
        <v>0</v>
      </c>
      <c r="AF140" s="78">
        <f t="shared" ca="1" si="107"/>
        <v>0</v>
      </c>
      <c r="AG140" s="4">
        <f ca="1">-SUMIFS(INDIRECT("Tab_00.Trial["&amp;AG$4&amp;"]"),Tab_00.Trial[CONTA],$B140)</f>
        <v>0</v>
      </c>
      <c r="AH140" s="78">
        <f t="shared" ca="1" si="108"/>
        <v>0</v>
      </c>
      <c r="AI140" s="78">
        <f t="shared" ca="1" si="109"/>
        <v>0</v>
      </c>
      <c r="AJ140" s="4">
        <f ca="1">-SUMIFS(INDIRECT("Tab_00.Trial["&amp;AJ$4&amp;"]"),Tab_00.Trial[CONTA],$B140)</f>
        <v>0</v>
      </c>
      <c r="AK140" s="78">
        <f t="shared" ca="1" si="110"/>
        <v>0</v>
      </c>
      <c r="AL140" s="78">
        <f t="shared" ca="1" si="111"/>
        <v>0</v>
      </c>
    </row>
    <row r="141" spans="2:38" ht="15" customHeight="1" outlineLevel="1" x14ac:dyDescent="0.3">
      <c r="B141" s="14"/>
      <c r="C141" s="14"/>
      <c r="D141" s="4">
        <f ca="1">-SUMIFS(INDIRECT("Tab_00.Trial["&amp;D$4&amp;"]"),Tab_00.Trial[CONTA],$B141)</f>
        <v>0</v>
      </c>
      <c r="E141" s="78">
        <f t="shared" ca="1" si="112"/>
        <v>0</v>
      </c>
      <c r="F141" s="4">
        <f ca="1">-SUMIFS(INDIRECT("Tab_00.Trial["&amp;F$4&amp;"]"),Tab_00.Trial[CONTA],$B141)</f>
        <v>0</v>
      </c>
      <c r="G141" s="78">
        <f t="shared" ca="1" si="91"/>
        <v>0</v>
      </c>
      <c r="H141" s="78">
        <f t="shared" ca="1" si="113"/>
        <v>0</v>
      </c>
      <c r="I141" s="4">
        <f ca="1">-SUMIFS(INDIRECT("Tab_00.Trial["&amp;I$4&amp;"]"),Tab_00.Trial[CONTA],$B141)</f>
        <v>0</v>
      </c>
      <c r="J141" s="78">
        <f t="shared" ca="1" si="92"/>
        <v>0</v>
      </c>
      <c r="K141" s="78">
        <f t="shared" ca="1" si="93"/>
        <v>0</v>
      </c>
      <c r="L141" s="4">
        <f ca="1">-SUMIFS(INDIRECT("Tab_00.Trial["&amp;L$4&amp;"]"),Tab_00.Trial[CONTA],$B141)</f>
        <v>0</v>
      </c>
      <c r="M141" s="78">
        <f t="shared" ca="1" si="94"/>
        <v>0</v>
      </c>
      <c r="N141" s="78">
        <f t="shared" ca="1" si="95"/>
        <v>0</v>
      </c>
      <c r="O141" s="4">
        <f ca="1">-SUMIFS(INDIRECT("Tab_00.Trial["&amp;O$4&amp;"]"),Tab_00.Trial[CONTA],$B141)</f>
        <v>0</v>
      </c>
      <c r="P141" s="78">
        <f t="shared" ca="1" si="114"/>
        <v>0</v>
      </c>
      <c r="Q141" s="78">
        <f t="shared" ca="1" si="115"/>
        <v>0</v>
      </c>
      <c r="R141" s="4">
        <f ca="1">-SUMIFS(INDIRECT("Tab_00.Trial["&amp;R$4&amp;"]"),Tab_00.Trial[CONTA],$B141)</f>
        <v>0</v>
      </c>
      <c r="S141" s="78">
        <f t="shared" ca="1" si="98"/>
        <v>0</v>
      </c>
      <c r="T141" s="78">
        <f t="shared" ca="1" si="99"/>
        <v>0</v>
      </c>
      <c r="U141" s="4">
        <f ca="1">-SUMIFS(INDIRECT("Tab_00.Trial["&amp;U$4&amp;"]"),Tab_00.Trial[CONTA],$B141)</f>
        <v>0</v>
      </c>
      <c r="V141" s="78">
        <f t="shared" ca="1" si="100"/>
        <v>0</v>
      </c>
      <c r="W141" s="78">
        <f t="shared" ca="1" si="101"/>
        <v>0</v>
      </c>
      <c r="X141" s="4">
        <f ca="1">-SUMIFS(INDIRECT("Tab_00.Trial["&amp;X$4&amp;"]"),Tab_00.Trial[CONTA],$B141)</f>
        <v>0</v>
      </c>
      <c r="Y141" s="78">
        <f t="shared" ca="1" si="116"/>
        <v>0</v>
      </c>
      <c r="Z141" s="78">
        <f t="shared" ca="1" si="117"/>
        <v>0</v>
      </c>
      <c r="AA141" s="4">
        <f ca="1">-SUMIFS(INDIRECT("Tab_00.Trial["&amp;AA$4&amp;"]"),Tab_00.Trial[CONTA],$B141)</f>
        <v>0</v>
      </c>
      <c r="AB141" s="78">
        <f t="shared" ca="1" si="104"/>
        <v>0</v>
      </c>
      <c r="AC141" s="78">
        <f t="shared" ca="1" si="105"/>
        <v>0</v>
      </c>
      <c r="AD141" s="4">
        <f ca="1">-SUMIFS(INDIRECT("Tab_00.Trial["&amp;AD$4&amp;"]"),Tab_00.Trial[CONTA],$B141)</f>
        <v>0</v>
      </c>
      <c r="AE141" s="78">
        <f t="shared" ca="1" si="106"/>
        <v>0</v>
      </c>
      <c r="AF141" s="78">
        <f t="shared" ca="1" si="107"/>
        <v>0</v>
      </c>
      <c r="AG141" s="4">
        <f ca="1">-SUMIFS(INDIRECT("Tab_00.Trial["&amp;AG$4&amp;"]"),Tab_00.Trial[CONTA],$B141)</f>
        <v>0</v>
      </c>
      <c r="AH141" s="78">
        <f t="shared" ca="1" si="108"/>
        <v>0</v>
      </c>
      <c r="AI141" s="78">
        <f t="shared" ca="1" si="109"/>
        <v>0</v>
      </c>
      <c r="AJ141" s="4">
        <f ca="1">-SUMIFS(INDIRECT("Tab_00.Trial["&amp;AJ$4&amp;"]"),Tab_00.Trial[CONTA],$B141)</f>
        <v>0</v>
      </c>
      <c r="AK141" s="78">
        <f t="shared" ca="1" si="110"/>
        <v>0</v>
      </c>
      <c r="AL141" s="78">
        <f t="shared" ca="1" si="111"/>
        <v>0</v>
      </c>
    </row>
    <row r="142" spans="2:38" ht="5.0999999999999996" customHeight="1" outlineLevel="1" x14ac:dyDescent="0.3">
      <c r="B142" s="74" t="s">
        <v>169</v>
      </c>
      <c r="C142" s="75" t="s">
        <v>156</v>
      </c>
      <c r="D142" s="76"/>
      <c r="E142" s="77"/>
      <c r="F142" s="76"/>
      <c r="G142" s="77"/>
      <c r="H142" s="77"/>
      <c r="I142" s="76"/>
      <c r="J142" s="77"/>
      <c r="K142" s="77"/>
      <c r="L142" s="76"/>
      <c r="M142" s="77"/>
      <c r="N142" s="77"/>
      <c r="O142" s="76"/>
      <c r="P142" s="77"/>
      <c r="Q142" s="77"/>
      <c r="R142" s="76"/>
      <c r="S142" s="77"/>
      <c r="T142" s="77"/>
      <c r="U142" s="76"/>
      <c r="V142" s="77"/>
      <c r="W142" s="77"/>
      <c r="X142" s="76"/>
      <c r="Y142" s="77"/>
      <c r="Z142" s="77"/>
      <c r="AA142" s="76"/>
      <c r="AB142" s="77"/>
      <c r="AC142" s="77"/>
      <c r="AD142" s="76"/>
      <c r="AE142" s="77"/>
      <c r="AF142" s="77"/>
      <c r="AG142" s="76"/>
      <c r="AH142" s="77"/>
      <c r="AI142" s="77"/>
      <c r="AJ142" s="76"/>
      <c r="AK142" s="77"/>
      <c r="AL142" s="77"/>
    </row>
    <row r="143" spans="2:38" ht="15" customHeight="1" x14ac:dyDescent="0.3">
      <c r="B143" s="3" t="s">
        <v>106</v>
      </c>
      <c r="C143" s="3" t="s">
        <v>147</v>
      </c>
      <c r="D143" s="4">
        <f ca="1">SUBTOTAL(9,D$144:D$155)</f>
        <v>-40945.24</v>
      </c>
      <c r="E143" s="78">
        <f t="shared" ref="E143:E154" ca="1" si="118">IFERROR($D143/$D$6,0)</f>
        <v>-4.3099999999999999E-2</v>
      </c>
      <c r="F143" s="4">
        <f ca="1">SUBTOTAL(9,F$144:F$155)</f>
        <v>-78308.75</v>
      </c>
      <c r="G143" s="78">
        <f ca="1">IFERROR($F143/$F$6,0)</f>
        <v>-4.07E-2</v>
      </c>
      <c r="H143" s="78">
        <f t="shared" ref="H143:H154" ca="1" si="119">IFERROR(($F143-$D143)/ABS($D143),0)</f>
        <v>-0.91249999999999998</v>
      </c>
      <c r="I143" s="4">
        <f ca="1">SUBTOTAL(9,I$144:I$155)</f>
        <v>-115672.26</v>
      </c>
      <c r="J143" s="78">
        <f ca="1">IFERROR($I143/$I$6,0)</f>
        <v>-3.8899999999999997E-2</v>
      </c>
      <c r="K143" s="78">
        <f ca="1">IFERROR(($I143-$F143)/ABS($F143),0)</f>
        <v>-0.47710000000000002</v>
      </c>
      <c r="L143" s="4">
        <f ca="1">SUBTOTAL(9,L$144:L$155)</f>
        <v>-161546.54</v>
      </c>
      <c r="M143" s="78">
        <f ca="1">IFERROR($L143/$L$6,0)</f>
        <v>-3.9600000000000003E-2</v>
      </c>
      <c r="N143" s="78">
        <f ca="1">IFERROR(($L143-$I143)/ABS($I143),0)</f>
        <v>-0.39660000000000001</v>
      </c>
      <c r="O143" s="4">
        <f ca="1">SUBTOTAL(9,O$144:O$155)</f>
        <v>-213804.89</v>
      </c>
      <c r="P143" s="78">
        <f ca="1">IFERROR($O143/$O$6,0)</f>
        <v>-4.0399999999999998E-2</v>
      </c>
      <c r="Q143" s="78">
        <f ca="1">IFERROR(($O143-$L143)/ABS($L143),0)</f>
        <v>-0.32350000000000001</v>
      </c>
      <c r="R143" s="4">
        <f ca="1">SUBTOTAL(9,R$144:R$155)</f>
        <v>-338577.42</v>
      </c>
      <c r="S143" s="78">
        <f ca="1">IFERROR($R143/$R$6,0)</f>
        <v>-5.3699999999999998E-2</v>
      </c>
      <c r="T143" s="78">
        <f ca="1">IFERROR(($R143-$O143)/ABS($O143),0)</f>
        <v>-0.58360000000000001</v>
      </c>
      <c r="U143" s="4">
        <f ca="1">SUBTOTAL(9,U$144:U$155)</f>
        <v>-418981.83</v>
      </c>
      <c r="V143" s="78">
        <f ca="1">IFERROR($U143/$U$6,0)</f>
        <v>-5.6800000000000003E-2</v>
      </c>
      <c r="W143" s="78">
        <f ca="1">IFERROR(($U143-$R143)/ABS($R143),0)</f>
        <v>-0.23749999999999999</v>
      </c>
      <c r="X143" s="4">
        <f ca="1">SUBTOTAL(9,X$144:X$155)</f>
        <v>-496176.53</v>
      </c>
      <c r="Y143" s="78">
        <f ca="1">IFERROR($X143/$X$6,0)</f>
        <v>-5.8900000000000001E-2</v>
      </c>
      <c r="Z143" s="78">
        <f ca="1">IFERROR(($X143-$U143)/ABS($U143),0)</f>
        <v>-0.1842</v>
      </c>
      <c r="AA143" s="4">
        <f ca="1">SUBTOTAL(9,AA$144:AA$155)</f>
        <v>-571694.82999999996</v>
      </c>
      <c r="AB143" s="78">
        <f ca="1">IFERROR($AA143/$AA$6,0)</f>
        <v>-6.0900000000000003E-2</v>
      </c>
      <c r="AC143" s="78">
        <f ca="1">IFERROR(($AA143-$X143)/ABS($X143),0)</f>
        <v>-0.1522</v>
      </c>
      <c r="AD143" s="4">
        <f ca="1">SUBTOTAL(9,AD$144:AD$155)</f>
        <v>-645759.96</v>
      </c>
      <c r="AE143" s="78">
        <f ca="1">IFERROR($AD143/$AD$6,0)</f>
        <v>-6.0699999999999997E-2</v>
      </c>
      <c r="AF143" s="78">
        <f ca="1">IFERROR(($AD143-$AA143)/ABS($AA143),0)</f>
        <v>-0.12959999999999999</v>
      </c>
      <c r="AG143" s="4">
        <f ca="1">SUBTOTAL(9,AG$144:AG$155)</f>
        <v>-729247.59</v>
      </c>
      <c r="AH143" s="78">
        <f ca="1">IFERROR($AG143/$AG$6,0)</f>
        <v>-6.3100000000000003E-2</v>
      </c>
      <c r="AI143" s="78">
        <f ca="1">IFERROR(($AG143-$AD143)/ABS($AD143),0)</f>
        <v>-0.1293</v>
      </c>
      <c r="AJ143" s="4">
        <f ca="1">SUBTOTAL(9,AJ$144:AJ$155)</f>
        <v>-802954.04</v>
      </c>
      <c r="AK143" s="78">
        <f ca="1">IFERROR($AJ143/$AJ$6,0)</f>
        <v>-6.1600000000000002E-2</v>
      </c>
      <c r="AL143" s="78">
        <f ca="1">IFERROR(($AJ143-$AG143)/ABS($AG143),0)</f>
        <v>-0.1011</v>
      </c>
    </row>
    <row r="144" spans="2:38" ht="15" customHeight="1" outlineLevel="1" x14ac:dyDescent="0.3">
      <c r="B144" s="14" t="s">
        <v>459</v>
      </c>
      <c r="C144" s="14" t="s">
        <v>460</v>
      </c>
      <c r="D144" s="4">
        <f ca="1">-SUMIFS(INDIRECT("Tab_00.Trial["&amp;D$4&amp;"]"),Tab_00.Trial[CONTA],$B144)</f>
        <v>-7634.62</v>
      </c>
      <c r="E144" s="78">
        <f t="shared" ca="1" si="118"/>
        <v>-8.0000000000000002E-3</v>
      </c>
      <c r="F144" s="4">
        <f ca="1">-SUMIFS(INDIRECT("Tab_00.Trial["&amp;F$4&amp;"]"),Tab_00.Trial[CONTA],$B144)</f>
        <v>-15269.24</v>
      </c>
      <c r="G144" s="78">
        <f t="shared" ca="1" si="91"/>
        <v>-7.9000000000000008E-3</v>
      </c>
      <c r="H144" s="78">
        <f t="shared" ca="1" si="119"/>
        <v>-1</v>
      </c>
      <c r="I144" s="4">
        <f ca="1">-SUMIFS(INDIRECT("Tab_00.Trial["&amp;I$4&amp;"]"),Tab_00.Trial[CONTA],$B144)</f>
        <v>-22903.86</v>
      </c>
      <c r="J144" s="78">
        <f t="shared" ca="1" si="92"/>
        <v>-7.7000000000000002E-3</v>
      </c>
      <c r="K144" s="78">
        <f t="shared" ca="1" si="93"/>
        <v>-0.5</v>
      </c>
      <c r="L144" s="4">
        <f ca="1">-SUMIFS(INDIRECT("Tab_00.Trial["&amp;L$4&amp;"]"),Tab_00.Trial[CONTA],$B144)</f>
        <v>-30582.58</v>
      </c>
      <c r="M144" s="78">
        <f t="shared" ca="1" si="94"/>
        <v>-7.4999999999999997E-3</v>
      </c>
      <c r="N144" s="78">
        <f t="shared" ca="1" si="95"/>
        <v>-0.33529999999999999</v>
      </c>
      <c r="O144" s="4">
        <f ca="1">-SUMIFS(INDIRECT("Tab_00.Trial["&amp;O$4&amp;"]"),Tab_00.Trial[CONTA],$B144)</f>
        <v>-38217.199999999997</v>
      </c>
      <c r="P144" s="78">
        <f t="shared" ref="P144:P154" ca="1" si="120">IFERROR($O144/$O$6,0)</f>
        <v>-7.1999999999999998E-3</v>
      </c>
      <c r="Q144" s="78">
        <f t="shared" ref="Q144:Q154" ca="1" si="121">IFERROR(($O144-$L144)/ABS($L144),0)</f>
        <v>-0.24959999999999999</v>
      </c>
      <c r="R144" s="4">
        <f ca="1">-SUMIFS(INDIRECT("Tab_00.Trial["&amp;R$4&amp;"]"),Tab_00.Trial[CONTA],$B144)</f>
        <v>-45851.82</v>
      </c>
      <c r="S144" s="78">
        <f t="shared" ca="1" si="98"/>
        <v>-7.3000000000000001E-3</v>
      </c>
      <c r="T144" s="78">
        <f t="shared" ca="1" si="99"/>
        <v>-0.19980000000000001</v>
      </c>
      <c r="U144" s="4">
        <f ca="1">-SUMIFS(INDIRECT("Tab_00.Trial["&amp;U$4&amp;"]"),Tab_00.Trial[CONTA],$B144)</f>
        <v>-53486.44</v>
      </c>
      <c r="V144" s="78">
        <f t="shared" ca="1" si="100"/>
        <v>-7.1999999999999998E-3</v>
      </c>
      <c r="W144" s="78">
        <f t="shared" ca="1" si="101"/>
        <v>-0.16650000000000001</v>
      </c>
      <c r="X144" s="4">
        <f ca="1">-SUMIFS(INDIRECT("Tab_00.Trial["&amp;X$4&amp;"]"),Tab_00.Trial[CONTA],$B144)</f>
        <v>-61444</v>
      </c>
      <c r="Y144" s="78">
        <f t="shared" ref="Y144:Y154" ca="1" si="122">IFERROR($X144/$X$6,0)</f>
        <v>-7.3000000000000001E-3</v>
      </c>
      <c r="Z144" s="78">
        <f t="shared" ref="Z144:Z154" ca="1" si="123">IFERROR(($X144-$U144)/ABS($U144),0)</f>
        <v>-0.14879999999999999</v>
      </c>
      <c r="AA144" s="4">
        <f ca="1">-SUMIFS(INDIRECT("Tab_00.Trial["&amp;AA$4&amp;"]"),Tab_00.Trial[CONTA],$B144)</f>
        <v>-70601.56</v>
      </c>
      <c r="AB144" s="78">
        <f t="shared" ca="1" si="104"/>
        <v>-7.4999999999999997E-3</v>
      </c>
      <c r="AC144" s="78">
        <f t="shared" ca="1" si="105"/>
        <v>-0.14899999999999999</v>
      </c>
      <c r="AD144" s="4">
        <f ca="1">-SUMIFS(INDIRECT("Tab_00.Trial["&amp;AD$4&amp;"]"),Tab_00.Trial[CONTA],$B144)</f>
        <v>-79759.12</v>
      </c>
      <c r="AE144" s="78">
        <f t="shared" ca="1" si="106"/>
        <v>-7.4999999999999997E-3</v>
      </c>
      <c r="AF144" s="78">
        <f t="shared" ca="1" si="107"/>
        <v>-0.12970000000000001</v>
      </c>
      <c r="AG144" s="4">
        <f ca="1">-SUMIFS(INDIRECT("Tab_00.Trial["&amp;AG$4&amp;"]"),Tab_00.Trial[CONTA],$B144)</f>
        <v>-96874.240000000005</v>
      </c>
      <c r="AH144" s="78">
        <f t="shared" ca="1" si="108"/>
        <v>-8.3999999999999995E-3</v>
      </c>
      <c r="AI144" s="78">
        <f t="shared" ca="1" si="109"/>
        <v>-0.21460000000000001</v>
      </c>
      <c r="AJ144" s="4">
        <f ca="1">-SUMIFS(INDIRECT("Tab_00.Trial["&amp;AJ$4&amp;"]"),Tab_00.Trial[CONTA],$B144)</f>
        <v>-106031.8</v>
      </c>
      <c r="AK144" s="78">
        <f t="shared" ca="1" si="110"/>
        <v>-8.0999999999999996E-3</v>
      </c>
      <c r="AL144" s="78">
        <f t="shared" ca="1" si="111"/>
        <v>-9.4500000000000001E-2</v>
      </c>
    </row>
    <row r="145" spans="2:38" ht="15" customHeight="1" outlineLevel="1" x14ac:dyDescent="0.3">
      <c r="B145" s="14" t="s">
        <v>461</v>
      </c>
      <c r="C145" s="14" t="s">
        <v>462</v>
      </c>
      <c r="D145" s="4">
        <f ca="1">-SUMIFS(INDIRECT("Tab_00.Trial["&amp;D$4&amp;"]"),Tab_00.Trial[CONTA],$B145)</f>
        <v>-17299.38</v>
      </c>
      <c r="E145" s="78">
        <f t="shared" ca="1" si="118"/>
        <v>-1.8200000000000001E-2</v>
      </c>
      <c r="F145" s="4">
        <f ca="1">-SUMIFS(INDIRECT("Tab_00.Trial["&amp;F$4&amp;"]"),Tab_00.Trial[CONTA],$B145)</f>
        <v>-31107.03</v>
      </c>
      <c r="G145" s="78">
        <f t="shared" ca="1" si="91"/>
        <v>-1.6199999999999999E-2</v>
      </c>
      <c r="H145" s="78">
        <f t="shared" ca="1" si="119"/>
        <v>-0.79820000000000002</v>
      </c>
      <c r="I145" s="4">
        <f ca="1">-SUMIFS(INDIRECT("Tab_00.Trial["&amp;I$4&amp;"]"),Tab_00.Trial[CONTA],$B145)</f>
        <v>-44914.68</v>
      </c>
      <c r="J145" s="78">
        <f t="shared" ca="1" si="92"/>
        <v>-1.5100000000000001E-2</v>
      </c>
      <c r="K145" s="78">
        <f t="shared" ca="1" si="93"/>
        <v>-0.44390000000000002</v>
      </c>
      <c r="L145" s="4">
        <f ca="1">-SUMIFS(INDIRECT("Tab_00.Trial["&amp;L$4&amp;"]"),Tab_00.Trial[CONTA],$B145)</f>
        <v>-58572.33</v>
      </c>
      <c r="M145" s="78">
        <f t="shared" ca="1" si="94"/>
        <v>-1.43E-2</v>
      </c>
      <c r="N145" s="78">
        <f t="shared" ca="1" si="95"/>
        <v>-0.30409999999999998</v>
      </c>
      <c r="O145" s="4">
        <f ca="1">-SUMIFS(INDIRECT("Tab_00.Trial["&amp;O$4&amp;"]"),Tab_00.Trial[CONTA],$B145)</f>
        <v>-79526.759999999995</v>
      </c>
      <c r="P145" s="78">
        <f t="shared" ca="1" si="120"/>
        <v>-1.4999999999999999E-2</v>
      </c>
      <c r="Q145" s="78">
        <f t="shared" ca="1" si="121"/>
        <v>-0.35780000000000001</v>
      </c>
      <c r="R145" s="4">
        <f ca="1">-SUMIFS(INDIRECT("Tab_00.Trial["&amp;R$4&amp;"]"),Tab_00.Trial[CONTA],$B145)</f>
        <v>-93576.76</v>
      </c>
      <c r="S145" s="78">
        <f t="shared" ca="1" si="98"/>
        <v>-1.4800000000000001E-2</v>
      </c>
      <c r="T145" s="78">
        <f t="shared" ca="1" si="99"/>
        <v>-0.1767</v>
      </c>
      <c r="U145" s="4">
        <f ca="1">-SUMIFS(INDIRECT("Tab_00.Trial["&amp;U$4&amp;"]"),Tab_00.Trial[CONTA],$B145)</f>
        <v>-105046.48</v>
      </c>
      <c r="V145" s="78">
        <f t="shared" ca="1" si="100"/>
        <v>-1.4200000000000001E-2</v>
      </c>
      <c r="W145" s="78">
        <f t="shared" ca="1" si="101"/>
        <v>-0.1226</v>
      </c>
      <c r="X145" s="4">
        <f ca="1">-SUMIFS(INDIRECT("Tab_00.Trial["&amp;X$4&amp;"]"),Tab_00.Trial[CONTA],$B145)</f>
        <v>-119272.1</v>
      </c>
      <c r="Y145" s="78">
        <f t="shared" ca="1" si="122"/>
        <v>-1.4200000000000001E-2</v>
      </c>
      <c r="Z145" s="78">
        <f t="shared" ca="1" si="123"/>
        <v>-0.13539999999999999</v>
      </c>
      <c r="AA145" s="4">
        <f ca="1">-SUMIFS(INDIRECT("Tab_00.Trial["&amp;AA$4&amp;"]"),Tab_00.Trial[CONTA],$B145)</f>
        <v>-131622.1</v>
      </c>
      <c r="AB145" s="78">
        <f t="shared" ca="1" si="104"/>
        <v>-1.4E-2</v>
      </c>
      <c r="AC145" s="78">
        <f t="shared" ca="1" si="105"/>
        <v>-0.10349999999999999</v>
      </c>
      <c r="AD145" s="4">
        <f ca="1">-SUMIFS(INDIRECT("Tab_00.Trial["&amp;AD$4&amp;"]"),Tab_00.Trial[CONTA],$B145)</f>
        <v>-143972.1</v>
      </c>
      <c r="AE145" s="78">
        <f t="shared" ca="1" si="106"/>
        <v>-1.35E-2</v>
      </c>
      <c r="AF145" s="78">
        <f t="shared" ca="1" si="107"/>
        <v>-9.3799999999999994E-2</v>
      </c>
      <c r="AG145" s="4">
        <f ca="1">-SUMIFS(INDIRECT("Tab_00.Trial["&amp;AG$4&amp;"]"),Tab_00.Trial[CONTA],$B145)</f>
        <v>-156172.1</v>
      </c>
      <c r="AH145" s="78">
        <f t="shared" ca="1" si="108"/>
        <v>-1.35E-2</v>
      </c>
      <c r="AI145" s="78">
        <f t="shared" ca="1" si="109"/>
        <v>-8.4699999999999998E-2</v>
      </c>
      <c r="AJ145" s="4">
        <f ca="1">-SUMIFS(INDIRECT("Tab_00.Trial["&amp;AJ$4&amp;"]"),Tab_00.Trial[CONTA],$B145)</f>
        <v>-168522.1</v>
      </c>
      <c r="AK145" s="78">
        <f t="shared" ca="1" si="110"/>
        <v>-1.29E-2</v>
      </c>
      <c r="AL145" s="78">
        <f t="shared" ca="1" si="111"/>
        <v>-7.9100000000000004E-2</v>
      </c>
    </row>
    <row r="146" spans="2:38" ht="15" customHeight="1" outlineLevel="1" x14ac:dyDescent="0.3">
      <c r="B146" s="14" t="s">
        <v>463</v>
      </c>
      <c r="C146" s="14" t="s">
        <v>464</v>
      </c>
      <c r="D146" s="4">
        <f ca="1">-SUMIFS(INDIRECT("Tab_00.Trial["&amp;D$4&amp;"]"),Tab_00.Trial[CONTA],$B146)</f>
        <v>0</v>
      </c>
      <c r="E146" s="78">
        <f t="shared" ca="1" si="118"/>
        <v>0</v>
      </c>
      <c r="F146" s="4">
        <f ca="1">-SUMIFS(INDIRECT("Tab_00.Trial["&amp;F$4&amp;"]"),Tab_00.Trial[CONTA],$B146)</f>
        <v>0</v>
      </c>
      <c r="G146" s="78">
        <f t="shared" ca="1" si="91"/>
        <v>0</v>
      </c>
      <c r="H146" s="78">
        <f t="shared" ca="1" si="119"/>
        <v>0</v>
      </c>
      <c r="I146" s="4">
        <f ca="1">-SUMIFS(INDIRECT("Tab_00.Trial["&amp;I$4&amp;"]"),Tab_00.Trial[CONTA],$B146)</f>
        <v>0</v>
      </c>
      <c r="J146" s="78">
        <f t="shared" ca="1" si="92"/>
        <v>0</v>
      </c>
      <c r="K146" s="78">
        <f t="shared" ca="1" si="93"/>
        <v>0</v>
      </c>
      <c r="L146" s="4">
        <f ca="1">-SUMIFS(INDIRECT("Tab_00.Trial["&amp;L$4&amp;"]"),Tab_00.Trial[CONTA],$B146)</f>
        <v>-7166.67</v>
      </c>
      <c r="M146" s="78">
        <f t="shared" ca="1" si="94"/>
        <v>-1.8E-3</v>
      </c>
      <c r="N146" s="78">
        <f t="shared" ca="1" si="95"/>
        <v>0</v>
      </c>
      <c r="O146" s="4">
        <f ca="1">-SUMIFS(INDIRECT("Tab_00.Trial["&amp;O$4&amp;"]"),Tab_00.Trial[CONTA],$B146)</f>
        <v>-14333.34</v>
      </c>
      <c r="P146" s="78">
        <f t="shared" ca="1" si="120"/>
        <v>-2.7000000000000001E-3</v>
      </c>
      <c r="Q146" s="78">
        <f t="shared" ca="1" si="121"/>
        <v>-1</v>
      </c>
      <c r="R146" s="4">
        <f ca="1">-SUMIFS(INDIRECT("Tab_00.Trial["&amp;R$4&amp;"]"),Tab_00.Trial[CONTA],$B146)</f>
        <v>-21500.01</v>
      </c>
      <c r="S146" s="78">
        <f t="shared" ca="1" si="98"/>
        <v>-3.3999999999999998E-3</v>
      </c>
      <c r="T146" s="78">
        <f t="shared" ca="1" si="99"/>
        <v>-0.5</v>
      </c>
      <c r="U146" s="4">
        <f ca="1">-SUMIFS(INDIRECT("Tab_00.Trial["&amp;U$4&amp;"]"),Tab_00.Trial[CONTA],$B146)</f>
        <v>-21500.01</v>
      </c>
      <c r="V146" s="78">
        <f t="shared" ca="1" si="100"/>
        <v>-2.8999999999999998E-3</v>
      </c>
      <c r="W146" s="78">
        <f t="shared" ca="1" si="101"/>
        <v>0</v>
      </c>
      <c r="X146" s="4">
        <f ca="1">-SUMIFS(INDIRECT("Tab_00.Trial["&amp;X$4&amp;"]"),Tab_00.Trial[CONTA],$B146)</f>
        <v>-21500.01</v>
      </c>
      <c r="Y146" s="78">
        <f t="shared" ca="1" si="122"/>
        <v>-2.5999999999999999E-3</v>
      </c>
      <c r="Z146" s="78">
        <f t="shared" ca="1" si="123"/>
        <v>0</v>
      </c>
      <c r="AA146" s="4">
        <f ca="1">-SUMIFS(INDIRECT("Tab_00.Trial["&amp;AA$4&amp;"]"),Tab_00.Trial[CONTA],$B146)</f>
        <v>-21500.01</v>
      </c>
      <c r="AB146" s="78">
        <f t="shared" ca="1" si="104"/>
        <v>-2.3E-3</v>
      </c>
      <c r="AC146" s="78">
        <f t="shared" ca="1" si="105"/>
        <v>0</v>
      </c>
      <c r="AD146" s="4">
        <f ca="1">-SUMIFS(INDIRECT("Tab_00.Trial["&amp;AD$4&amp;"]"),Tab_00.Trial[CONTA],$B146)</f>
        <v>-21500.01</v>
      </c>
      <c r="AE146" s="78">
        <f t="shared" ca="1" si="106"/>
        <v>-2E-3</v>
      </c>
      <c r="AF146" s="78">
        <f t="shared" ca="1" si="107"/>
        <v>0</v>
      </c>
      <c r="AG146" s="4">
        <f ca="1">-SUMIFS(INDIRECT("Tab_00.Trial["&amp;AG$4&amp;"]"),Tab_00.Trial[CONTA],$B146)</f>
        <v>-21500.01</v>
      </c>
      <c r="AH146" s="78">
        <f t="shared" ca="1" si="108"/>
        <v>-1.9E-3</v>
      </c>
      <c r="AI146" s="78">
        <f t="shared" ca="1" si="109"/>
        <v>0</v>
      </c>
      <c r="AJ146" s="4">
        <f ca="1">-SUMIFS(INDIRECT("Tab_00.Trial["&amp;AJ$4&amp;"]"),Tab_00.Trial[CONTA],$B146)</f>
        <v>-21500.01</v>
      </c>
      <c r="AK146" s="78">
        <f t="shared" ca="1" si="110"/>
        <v>-1.6000000000000001E-3</v>
      </c>
      <c r="AL146" s="78">
        <f t="shared" ca="1" si="111"/>
        <v>0</v>
      </c>
    </row>
    <row r="147" spans="2:38" ht="15" customHeight="1" outlineLevel="1" x14ac:dyDescent="0.3">
      <c r="B147" s="14" t="s">
        <v>465</v>
      </c>
      <c r="C147" s="14" t="s">
        <v>466</v>
      </c>
      <c r="D147" s="4">
        <f ca="1">-SUMIFS(INDIRECT("Tab_00.Trial["&amp;D$4&amp;"]"),Tab_00.Trial[CONTA],$B147)</f>
        <v>-4524.45</v>
      </c>
      <c r="E147" s="78">
        <f t="shared" ca="1" si="118"/>
        <v>-4.7999999999999996E-3</v>
      </c>
      <c r="F147" s="4">
        <f ca="1">-SUMIFS(INDIRECT("Tab_00.Trial["&amp;F$4&amp;"]"),Tab_00.Trial[CONTA],$B147)</f>
        <v>-8958.9</v>
      </c>
      <c r="G147" s="78">
        <f t="shared" ca="1" si="91"/>
        <v>-4.7000000000000002E-3</v>
      </c>
      <c r="H147" s="78">
        <f t="shared" ca="1" si="119"/>
        <v>-0.98009999999999997</v>
      </c>
      <c r="I147" s="4">
        <f ca="1">-SUMIFS(INDIRECT("Tab_00.Trial["&amp;I$4&amp;"]"),Tab_00.Trial[CONTA],$B147)</f>
        <v>-13393.35</v>
      </c>
      <c r="J147" s="78">
        <f t="shared" ca="1" si="92"/>
        <v>-4.4999999999999997E-3</v>
      </c>
      <c r="K147" s="78">
        <f t="shared" ca="1" si="93"/>
        <v>-0.495</v>
      </c>
      <c r="L147" s="4">
        <f ca="1">-SUMIFS(INDIRECT("Tab_00.Trial["&amp;L$4&amp;"]"),Tab_00.Trial[CONTA],$B147)</f>
        <v>-19277.8</v>
      </c>
      <c r="M147" s="78">
        <f t="shared" ca="1" si="94"/>
        <v>-4.7000000000000002E-3</v>
      </c>
      <c r="N147" s="78">
        <f t="shared" ca="1" si="95"/>
        <v>-0.43940000000000001</v>
      </c>
      <c r="O147" s="4">
        <f ca="1">-SUMIFS(INDIRECT("Tab_00.Trial["&amp;O$4&amp;"]"),Tab_00.Trial[CONTA],$B147)</f>
        <v>-24293.64</v>
      </c>
      <c r="P147" s="78">
        <f t="shared" ca="1" si="120"/>
        <v>-4.5999999999999999E-3</v>
      </c>
      <c r="Q147" s="78">
        <f t="shared" ca="1" si="121"/>
        <v>-0.26019999999999999</v>
      </c>
      <c r="R147" s="4">
        <f ca="1">-SUMIFS(INDIRECT("Tab_00.Trial["&amp;R$4&amp;"]"),Tab_00.Trial[CONTA],$B147)</f>
        <v>-108728.09</v>
      </c>
      <c r="S147" s="78">
        <f t="shared" ca="1" si="98"/>
        <v>-1.72E-2</v>
      </c>
      <c r="T147" s="78">
        <f t="shared" ca="1" si="99"/>
        <v>-3.4756</v>
      </c>
      <c r="U147" s="4">
        <f ca="1">-SUMIFS(INDIRECT("Tab_00.Trial["&amp;U$4&amp;"]"),Tab_00.Trial[CONTA],$B147)</f>
        <v>-157895.04000000001</v>
      </c>
      <c r="V147" s="78">
        <f t="shared" ca="1" si="100"/>
        <v>-2.1399999999999999E-2</v>
      </c>
      <c r="W147" s="78">
        <f t="shared" ca="1" si="101"/>
        <v>-0.45219999999999999</v>
      </c>
      <c r="X147" s="4">
        <f ca="1">-SUMIFS(INDIRECT("Tab_00.Trial["&amp;X$4&amp;"]"),Tab_00.Trial[CONTA],$B147)</f>
        <v>-202423.26</v>
      </c>
      <c r="Y147" s="78">
        <f t="shared" ca="1" si="122"/>
        <v>-2.4E-2</v>
      </c>
      <c r="Z147" s="78">
        <f t="shared" ca="1" si="123"/>
        <v>-0.28199999999999997</v>
      </c>
      <c r="AA147" s="4">
        <f ca="1">-SUMIFS(INDIRECT("Tab_00.Trial["&amp;AA$4&amp;"]"),Tab_00.Trial[CONTA],$B147)</f>
        <v>-246320.03</v>
      </c>
      <c r="AB147" s="78">
        <f t="shared" ca="1" si="104"/>
        <v>-2.6200000000000001E-2</v>
      </c>
      <c r="AC147" s="78">
        <f t="shared" ca="1" si="105"/>
        <v>-0.21690000000000001</v>
      </c>
      <c r="AD147" s="4">
        <f ca="1">-SUMIFS(INDIRECT("Tab_00.Trial["&amp;AD$4&amp;"]"),Tab_00.Trial[CONTA],$B147)</f>
        <v>-288394.3</v>
      </c>
      <c r="AE147" s="78">
        <f t="shared" ca="1" si="106"/>
        <v>-2.7099999999999999E-2</v>
      </c>
      <c r="AF147" s="78">
        <f t="shared" ca="1" si="107"/>
        <v>-0.17080000000000001</v>
      </c>
      <c r="AG147" s="4">
        <f ca="1">-SUMIFS(INDIRECT("Tab_00.Trial["&amp;AG$4&amp;"]"),Tab_00.Trial[CONTA],$B147)</f>
        <v>-332452.84000000003</v>
      </c>
      <c r="AH147" s="78">
        <f t="shared" ca="1" si="108"/>
        <v>-2.8799999999999999E-2</v>
      </c>
      <c r="AI147" s="78">
        <f t="shared" ca="1" si="109"/>
        <v>-0.15279999999999999</v>
      </c>
      <c r="AJ147" s="4">
        <f ca="1">-SUMIFS(INDIRECT("Tab_00.Trial["&amp;AJ$4&amp;"]"),Tab_00.Trial[CONTA],$B147)</f>
        <v>-374527.11</v>
      </c>
      <c r="AK147" s="78">
        <f t="shared" ca="1" si="110"/>
        <v>-2.87E-2</v>
      </c>
      <c r="AL147" s="78">
        <f t="shared" ca="1" si="111"/>
        <v>-0.12659999999999999</v>
      </c>
    </row>
    <row r="148" spans="2:38" ht="15" customHeight="1" outlineLevel="1" x14ac:dyDescent="0.3">
      <c r="B148" s="14" t="s">
        <v>467</v>
      </c>
      <c r="C148" s="14" t="s">
        <v>468</v>
      </c>
      <c r="D148" s="4">
        <f ca="1">-SUMIFS(INDIRECT("Tab_00.Trial["&amp;D$4&amp;"]"),Tab_00.Trial[CONTA],$B148)</f>
        <v>-223.56</v>
      </c>
      <c r="E148" s="78">
        <f t="shared" ca="1" si="118"/>
        <v>-2.0000000000000001E-4</v>
      </c>
      <c r="F148" s="4">
        <f ca="1">-SUMIFS(INDIRECT("Tab_00.Trial["&amp;F$4&amp;"]"),Tab_00.Trial[CONTA],$B148)</f>
        <v>-447.12</v>
      </c>
      <c r="G148" s="78">
        <f t="shared" ca="1" si="91"/>
        <v>-2.0000000000000001E-4</v>
      </c>
      <c r="H148" s="78">
        <f t="shared" ca="1" si="119"/>
        <v>-1</v>
      </c>
      <c r="I148" s="4">
        <f ca="1">-SUMIFS(INDIRECT("Tab_00.Trial["&amp;I$4&amp;"]"),Tab_00.Trial[CONTA],$B148)</f>
        <v>-670.68</v>
      </c>
      <c r="J148" s="78">
        <f t="shared" ca="1" si="92"/>
        <v>-2.0000000000000001E-4</v>
      </c>
      <c r="K148" s="78">
        <f t="shared" ca="1" si="93"/>
        <v>-0.5</v>
      </c>
      <c r="L148" s="4">
        <f ca="1">-SUMIFS(INDIRECT("Tab_00.Trial["&amp;L$4&amp;"]"),Tab_00.Trial[CONTA],$B148)</f>
        <v>-894.24</v>
      </c>
      <c r="M148" s="78">
        <f t="shared" ca="1" si="94"/>
        <v>-2.0000000000000001E-4</v>
      </c>
      <c r="N148" s="78">
        <f t="shared" ca="1" si="95"/>
        <v>-0.33329999999999999</v>
      </c>
      <c r="O148" s="4">
        <f ca="1">-SUMIFS(INDIRECT("Tab_00.Trial["&amp;O$4&amp;"]"),Tab_00.Trial[CONTA],$B148)</f>
        <v>-1117.8</v>
      </c>
      <c r="P148" s="78">
        <f t="shared" ca="1" si="120"/>
        <v>-2.0000000000000001E-4</v>
      </c>
      <c r="Q148" s="78">
        <f t="shared" ca="1" si="121"/>
        <v>-0.25</v>
      </c>
      <c r="R148" s="4">
        <f ca="1">-SUMIFS(INDIRECT("Tab_00.Trial["&amp;R$4&amp;"]"),Tab_00.Trial[CONTA],$B148)</f>
        <v>-1341.36</v>
      </c>
      <c r="S148" s="78">
        <f t="shared" ca="1" si="98"/>
        <v>-2.0000000000000001E-4</v>
      </c>
      <c r="T148" s="78">
        <f t="shared" ca="1" si="99"/>
        <v>-0.2</v>
      </c>
      <c r="U148" s="4">
        <f ca="1">-SUMIFS(INDIRECT("Tab_00.Trial["&amp;U$4&amp;"]"),Tab_00.Trial[CONTA],$B148)</f>
        <v>-1564.92</v>
      </c>
      <c r="V148" s="78">
        <f t="shared" ca="1" si="100"/>
        <v>-2.0000000000000001E-4</v>
      </c>
      <c r="W148" s="78">
        <f t="shared" ca="1" si="101"/>
        <v>-0.16669999999999999</v>
      </c>
      <c r="X148" s="4">
        <f ca="1">-SUMIFS(INDIRECT("Tab_00.Trial["&amp;X$4&amp;"]"),Tab_00.Trial[CONTA],$B148)</f>
        <v>-1788.48</v>
      </c>
      <c r="Y148" s="78">
        <f t="shared" ca="1" si="122"/>
        <v>-2.0000000000000001E-4</v>
      </c>
      <c r="Z148" s="78">
        <f t="shared" ca="1" si="123"/>
        <v>-0.1429</v>
      </c>
      <c r="AA148" s="4">
        <f ca="1">-SUMIFS(INDIRECT("Tab_00.Trial["&amp;AA$4&amp;"]"),Tab_00.Trial[CONTA],$B148)</f>
        <v>-2012.04</v>
      </c>
      <c r="AB148" s="78">
        <f t="shared" ca="1" si="104"/>
        <v>-2.0000000000000001E-4</v>
      </c>
      <c r="AC148" s="78">
        <f t="shared" ca="1" si="105"/>
        <v>-0.125</v>
      </c>
      <c r="AD148" s="4">
        <f ca="1">-SUMIFS(INDIRECT("Tab_00.Trial["&amp;AD$4&amp;"]"),Tab_00.Trial[CONTA],$B148)</f>
        <v>-2235.6</v>
      </c>
      <c r="AE148" s="78">
        <f t="shared" ca="1" si="106"/>
        <v>-2.0000000000000001E-4</v>
      </c>
      <c r="AF148" s="78">
        <f t="shared" ca="1" si="107"/>
        <v>-0.1111</v>
      </c>
      <c r="AG148" s="4">
        <f ca="1">-SUMIFS(INDIRECT("Tab_00.Trial["&amp;AG$4&amp;"]"),Tab_00.Trial[CONTA],$B148)</f>
        <v>-2459.16</v>
      </c>
      <c r="AH148" s="78">
        <f t="shared" ca="1" si="108"/>
        <v>-2.0000000000000001E-4</v>
      </c>
      <c r="AI148" s="78">
        <f t="shared" ca="1" si="109"/>
        <v>-0.1</v>
      </c>
      <c r="AJ148" s="4">
        <f ca="1">-SUMIFS(INDIRECT("Tab_00.Trial["&amp;AJ$4&amp;"]"),Tab_00.Trial[CONTA],$B148)</f>
        <v>-2693.37</v>
      </c>
      <c r="AK148" s="78">
        <f t="shared" ca="1" si="110"/>
        <v>-2.0000000000000001E-4</v>
      </c>
      <c r="AL148" s="78">
        <f t="shared" ca="1" si="111"/>
        <v>-9.5200000000000007E-2</v>
      </c>
    </row>
    <row r="149" spans="2:38" ht="15" customHeight="1" outlineLevel="1" x14ac:dyDescent="0.3">
      <c r="B149" s="14" t="s">
        <v>469</v>
      </c>
      <c r="C149" s="14" t="s">
        <v>470</v>
      </c>
      <c r="D149" s="4">
        <f ca="1">-SUMIFS(INDIRECT("Tab_00.Trial["&amp;D$4&amp;"]"),Tab_00.Trial[CONTA],$B149)</f>
        <v>-6599.82</v>
      </c>
      <c r="E149" s="78">
        <f t="shared" ca="1" si="118"/>
        <v>-6.8999999999999999E-3</v>
      </c>
      <c r="F149" s="4">
        <f ca="1">-SUMIFS(INDIRECT("Tab_00.Trial["&amp;F$4&amp;"]"),Tab_00.Trial[CONTA],$B149)</f>
        <v>-13199.64</v>
      </c>
      <c r="G149" s="78">
        <f t="shared" ca="1" si="91"/>
        <v>-6.8999999999999999E-3</v>
      </c>
      <c r="H149" s="78">
        <f t="shared" ca="1" si="119"/>
        <v>-1</v>
      </c>
      <c r="I149" s="4">
        <f ca="1">-SUMIFS(INDIRECT("Tab_00.Trial["&amp;I$4&amp;"]"),Tab_00.Trial[CONTA],$B149)</f>
        <v>-19799.46</v>
      </c>
      <c r="J149" s="78">
        <f t="shared" ca="1" si="92"/>
        <v>-6.7000000000000002E-3</v>
      </c>
      <c r="K149" s="78">
        <f t="shared" ca="1" si="93"/>
        <v>-0.5</v>
      </c>
      <c r="L149" s="4">
        <f ca="1">-SUMIFS(INDIRECT("Tab_00.Trial["&amp;L$4&amp;"]"),Tab_00.Trial[CONTA],$B149)</f>
        <v>-26399.279999999999</v>
      </c>
      <c r="M149" s="78">
        <f t="shared" ca="1" si="94"/>
        <v>-6.4999999999999997E-3</v>
      </c>
      <c r="N149" s="78">
        <f t="shared" ca="1" si="95"/>
        <v>-0.33329999999999999</v>
      </c>
      <c r="O149" s="4">
        <f ca="1">-SUMIFS(INDIRECT("Tab_00.Trial["&amp;O$4&amp;"]"),Tab_00.Trial[CONTA],$B149)</f>
        <v>-32999.1</v>
      </c>
      <c r="P149" s="78">
        <f t="shared" ca="1" si="120"/>
        <v>-6.1999999999999998E-3</v>
      </c>
      <c r="Q149" s="78">
        <f t="shared" ca="1" si="121"/>
        <v>-0.25</v>
      </c>
      <c r="R149" s="4">
        <f ca="1">-SUMIFS(INDIRECT("Tab_00.Trial["&amp;R$4&amp;"]"),Tab_00.Trial[CONTA],$B149)</f>
        <v>-39598.92</v>
      </c>
      <c r="S149" s="78">
        <f t="shared" ca="1" si="98"/>
        <v>-6.3E-3</v>
      </c>
      <c r="T149" s="78">
        <f t="shared" ca="1" si="99"/>
        <v>-0.2</v>
      </c>
      <c r="U149" s="4">
        <f ca="1">-SUMIFS(INDIRECT("Tab_00.Trial["&amp;U$4&amp;"]"),Tab_00.Trial[CONTA],$B149)</f>
        <v>-46198.74</v>
      </c>
      <c r="V149" s="78">
        <f t="shared" ca="1" si="100"/>
        <v>-6.3E-3</v>
      </c>
      <c r="W149" s="78">
        <f t="shared" ca="1" si="101"/>
        <v>-0.16669999999999999</v>
      </c>
      <c r="X149" s="4">
        <f ca="1">-SUMIFS(INDIRECT("Tab_00.Trial["&amp;X$4&amp;"]"),Tab_00.Trial[CONTA],$B149)</f>
        <v>-51148.74</v>
      </c>
      <c r="Y149" s="78">
        <f t="shared" ca="1" si="122"/>
        <v>-6.1000000000000004E-3</v>
      </c>
      <c r="Z149" s="78">
        <f t="shared" ca="1" si="123"/>
        <v>-0.1071</v>
      </c>
      <c r="AA149" s="4">
        <f ca="1">-SUMIFS(INDIRECT("Tab_00.Trial["&amp;AA$4&amp;"]"),Tab_00.Trial[CONTA],$B149)</f>
        <v>-56098.74</v>
      </c>
      <c r="AB149" s="78">
        <f t="shared" ca="1" si="104"/>
        <v>-6.0000000000000001E-3</v>
      </c>
      <c r="AC149" s="78">
        <f t="shared" ca="1" si="105"/>
        <v>-9.6799999999999997E-2</v>
      </c>
      <c r="AD149" s="4">
        <f ca="1">-SUMIFS(INDIRECT("Tab_00.Trial["&amp;AD$4&amp;"]"),Tab_00.Trial[CONTA],$B149)</f>
        <v>-61048.74</v>
      </c>
      <c r="AE149" s="78">
        <f t="shared" ca="1" si="106"/>
        <v>-5.7000000000000002E-3</v>
      </c>
      <c r="AF149" s="78">
        <f t="shared" ca="1" si="107"/>
        <v>-8.8200000000000001E-2</v>
      </c>
      <c r="AG149" s="4">
        <f ca="1">-SUMIFS(INDIRECT("Tab_00.Trial["&amp;AG$4&amp;"]"),Tab_00.Trial[CONTA],$B149)</f>
        <v>-65998.740000000005</v>
      </c>
      <c r="AH149" s="78">
        <f t="shared" ca="1" si="108"/>
        <v>-5.7000000000000002E-3</v>
      </c>
      <c r="AI149" s="78">
        <f t="shared" ca="1" si="109"/>
        <v>-8.1100000000000005E-2</v>
      </c>
      <c r="AJ149" s="4">
        <f ca="1">-SUMIFS(INDIRECT("Tab_00.Trial["&amp;AJ$4&amp;"]"),Tab_00.Trial[CONTA],$B149)</f>
        <v>-70948.740000000005</v>
      </c>
      <c r="AK149" s="78">
        <f t="shared" ca="1" si="110"/>
        <v>-5.4000000000000003E-3</v>
      </c>
      <c r="AL149" s="78">
        <f t="shared" ca="1" si="111"/>
        <v>-7.4999999999999997E-2</v>
      </c>
    </row>
    <row r="150" spans="2:38" ht="15" customHeight="1" outlineLevel="1" x14ac:dyDescent="0.3">
      <c r="B150" s="14" t="s">
        <v>471</v>
      </c>
      <c r="C150" s="14" t="s">
        <v>472</v>
      </c>
      <c r="D150" s="4">
        <f ca="1">-SUMIFS(INDIRECT("Tab_00.Trial["&amp;D$4&amp;"]"),Tab_00.Trial[CONTA],$B150)</f>
        <v>-4663.41</v>
      </c>
      <c r="E150" s="78">
        <f t="shared" ca="1" si="118"/>
        <v>-4.8999999999999998E-3</v>
      </c>
      <c r="F150" s="4">
        <f ca="1">-SUMIFS(INDIRECT("Tab_00.Trial["&amp;F$4&amp;"]"),Tab_00.Trial[CONTA],$B150)</f>
        <v>-9326.82</v>
      </c>
      <c r="G150" s="78">
        <f t="shared" ca="1" si="91"/>
        <v>-4.7999999999999996E-3</v>
      </c>
      <c r="H150" s="78">
        <f t="shared" ca="1" si="119"/>
        <v>-1</v>
      </c>
      <c r="I150" s="4">
        <f ca="1">-SUMIFS(INDIRECT("Tab_00.Trial["&amp;I$4&amp;"]"),Tab_00.Trial[CONTA],$B150)</f>
        <v>-13990.23</v>
      </c>
      <c r="J150" s="78">
        <f t="shared" ca="1" si="92"/>
        <v>-4.7000000000000002E-3</v>
      </c>
      <c r="K150" s="78">
        <f t="shared" ca="1" si="93"/>
        <v>-0.5</v>
      </c>
      <c r="L150" s="4">
        <f ca="1">-SUMIFS(INDIRECT("Tab_00.Trial["&amp;L$4&amp;"]"),Tab_00.Trial[CONTA],$B150)</f>
        <v>-18653.64</v>
      </c>
      <c r="M150" s="78">
        <f t="shared" ca="1" si="94"/>
        <v>-4.5999999999999999E-3</v>
      </c>
      <c r="N150" s="78">
        <f t="shared" ca="1" si="95"/>
        <v>-0.33329999999999999</v>
      </c>
      <c r="O150" s="4">
        <f ca="1">-SUMIFS(INDIRECT("Tab_00.Trial["&amp;O$4&amp;"]"),Tab_00.Trial[CONTA],$B150)</f>
        <v>-23317.05</v>
      </c>
      <c r="P150" s="78">
        <f t="shared" ca="1" si="120"/>
        <v>-4.4000000000000003E-3</v>
      </c>
      <c r="Q150" s="78">
        <f t="shared" ca="1" si="121"/>
        <v>-0.25</v>
      </c>
      <c r="R150" s="4">
        <f ca="1">-SUMIFS(INDIRECT("Tab_00.Trial["&amp;R$4&amp;"]"),Tab_00.Trial[CONTA],$B150)</f>
        <v>-27980.46</v>
      </c>
      <c r="S150" s="78">
        <f t="shared" ca="1" si="98"/>
        <v>-4.4000000000000003E-3</v>
      </c>
      <c r="T150" s="78">
        <f t="shared" ca="1" si="99"/>
        <v>-0.2</v>
      </c>
      <c r="U150" s="4">
        <f ca="1">-SUMIFS(INDIRECT("Tab_00.Trial["&amp;U$4&amp;"]"),Tab_00.Trial[CONTA],$B150)</f>
        <v>-33290.199999999997</v>
      </c>
      <c r="V150" s="78">
        <f t="shared" ca="1" si="100"/>
        <v>-4.4999999999999997E-3</v>
      </c>
      <c r="W150" s="78">
        <f t="shared" ca="1" si="101"/>
        <v>-0.1898</v>
      </c>
      <c r="X150" s="4">
        <f ca="1">-SUMIFS(INDIRECT("Tab_00.Trial["&amp;X$4&amp;"]"),Tab_00.Trial[CONTA],$B150)</f>
        <v>-38599.94</v>
      </c>
      <c r="Y150" s="78">
        <f t="shared" ca="1" si="122"/>
        <v>-4.5999999999999999E-3</v>
      </c>
      <c r="Z150" s="78">
        <f t="shared" ca="1" si="123"/>
        <v>-0.1595</v>
      </c>
      <c r="AA150" s="4">
        <f ca="1">-SUMIFS(INDIRECT("Tab_00.Trial["&amp;AA$4&amp;"]"),Tab_00.Trial[CONTA],$B150)</f>
        <v>-43540.35</v>
      </c>
      <c r="AB150" s="78">
        <f t="shared" ca="1" si="104"/>
        <v>-4.5999999999999999E-3</v>
      </c>
      <c r="AC150" s="78">
        <f t="shared" ca="1" si="105"/>
        <v>-0.128</v>
      </c>
      <c r="AD150" s="4">
        <f ca="1">-SUMIFS(INDIRECT("Tab_00.Trial["&amp;AD$4&amp;"]"),Tab_00.Trial[CONTA],$B150)</f>
        <v>-48850.09</v>
      </c>
      <c r="AE150" s="78">
        <f t="shared" ca="1" si="106"/>
        <v>-4.5999999999999999E-3</v>
      </c>
      <c r="AF150" s="78">
        <f t="shared" ca="1" si="107"/>
        <v>-0.12189999999999999</v>
      </c>
      <c r="AG150" s="4">
        <f ca="1">-SUMIFS(INDIRECT("Tab_00.Trial["&amp;AG$4&amp;"]"),Tab_00.Trial[CONTA],$B150)</f>
        <v>-53790.5</v>
      </c>
      <c r="AH150" s="78">
        <f t="shared" ca="1" si="108"/>
        <v>-4.7000000000000002E-3</v>
      </c>
      <c r="AI150" s="78">
        <f t="shared" ca="1" si="109"/>
        <v>-0.1011</v>
      </c>
      <c r="AJ150" s="4">
        <f ca="1">-SUMIFS(INDIRECT("Tab_00.Trial["&amp;AJ$4&amp;"]"),Tab_00.Trial[CONTA],$B150)</f>
        <v>-58730.91</v>
      </c>
      <c r="AK150" s="78">
        <f t="shared" ca="1" si="110"/>
        <v>-4.4999999999999997E-3</v>
      </c>
      <c r="AL150" s="78">
        <f t="shared" ca="1" si="111"/>
        <v>-9.1800000000000007E-2</v>
      </c>
    </row>
    <row r="151" spans="2:38" ht="15" customHeight="1" outlineLevel="1" x14ac:dyDescent="0.3">
      <c r="B151" s="14" t="s">
        <v>479</v>
      </c>
      <c r="C151" s="14" t="s">
        <v>408</v>
      </c>
      <c r="D151" s="4">
        <f ca="1">-SUMIFS(INDIRECT("Tab_00.Trial["&amp;D$4&amp;"]"),Tab_00.Trial[CONTA],$B151)</f>
        <v>0</v>
      </c>
      <c r="E151" s="78">
        <f t="shared" ca="1" si="118"/>
        <v>0</v>
      </c>
      <c r="F151" s="4">
        <f ca="1">-SUMIFS(INDIRECT("Tab_00.Trial["&amp;F$4&amp;"]"),Tab_00.Trial[CONTA],$B151)</f>
        <v>0</v>
      </c>
      <c r="G151" s="78">
        <f t="shared" ca="1" si="91"/>
        <v>0</v>
      </c>
      <c r="H151" s="78">
        <f t="shared" ca="1" si="119"/>
        <v>0</v>
      </c>
      <c r="I151" s="4">
        <f ca="1">-SUMIFS(INDIRECT("Tab_00.Trial["&amp;I$4&amp;"]"),Tab_00.Trial[CONTA],$B151)</f>
        <v>0</v>
      </c>
      <c r="J151" s="78">
        <f t="shared" ca="1" si="92"/>
        <v>0</v>
      </c>
      <c r="K151" s="78">
        <f t="shared" ca="1" si="93"/>
        <v>0</v>
      </c>
      <c r="L151" s="4">
        <f ca="1">-SUMIFS(INDIRECT("Tab_00.Trial["&amp;L$4&amp;"]"),Tab_00.Trial[CONTA],$B151)</f>
        <v>0</v>
      </c>
      <c r="M151" s="78">
        <f t="shared" ca="1" si="94"/>
        <v>0</v>
      </c>
      <c r="N151" s="78">
        <f t="shared" ca="1" si="95"/>
        <v>0</v>
      </c>
      <c r="O151" s="4">
        <f ca="1">-SUMIFS(INDIRECT("Tab_00.Trial["&amp;O$4&amp;"]"),Tab_00.Trial[CONTA],$B151)</f>
        <v>0</v>
      </c>
      <c r="P151" s="78">
        <f t="shared" ca="1" si="120"/>
        <v>0</v>
      </c>
      <c r="Q151" s="78">
        <f t="shared" ca="1" si="121"/>
        <v>0</v>
      </c>
      <c r="R151" s="4">
        <f ca="1">-SUMIFS(INDIRECT("Tab_00.Trial["&amp;R$4&amp;"]"),Tab_00.Trial[CONTA],$B151)</f>
        <v>0</v>
      </c>
      <c r="S151" s="78">
        <f t="shared" ca="1" si="98"/>
        <v>0</v>
      </c>
      <c r="T151" s="78">
        <f t="shared" ca="1" si="99"/>
        <v>0</v>
      </c>
      <c r="U151" s="4">
        <f ca="1">-SUMIFS(INDIRECT("Tab_00.Trial["&amp;U$4&amp;"]"),Tab_00.Trial[CONTA],$B151)</f>
        <v>0</v>
      </c>
      <c r="V151" s="78">
        <f t="shared" ca="1" si="100"/>
        <v>0</v>
      </c>
      <c r="W151" s="78">
        <f t="shared" ca="1" si="101"/>
        <v>0</v>
      </c>
      <c r="X151" s="4">
        <f ca="1">-SUMIFS(INDIRECT("Tab_00.Trial["&amp;X$4&amp;"]"),Tab_00.Trial[CONTA],$B151)</f>
        <v>0</v>
      </c>
      <c r="Y151" s="78">
        <f t="shared" ca="1" si="122"/>
        <v>0</v>
      </c>
      <c r="Z151" s="78">
        <f t="shared" ca="1" si="123"/>
        <v>0</v>
      </c>
      <c r="AA151" s="4">
        <f ca="1">-SUMIFS(INDIRECT("Tab_00.Trial["&amp;AA$4&amp;"]"),Tab_00.Trial[CONTA],$B151)</f>
        <v>0</v>
      </c>
      <c r="AB151" s="78">
        <f t="shared" ca="1" si="104"/>
        <v>0</v>
      </c>
      <c r="AC151" s="78">
        <f t="shared" ca="1" si="105"/>
        <v>0</v>
      </c>
      <c r="AD151" s="4">
        <f ca="1">-SUMIFS(INDIRECT("Tab_00.Trial["&amp;AD$4&amp;"]"),Tab_00.Trial[CONTA],$B151)</f>
        <v>0</v>
      </c>
      <c r="AE151" s="78">
        <f t="shared" ca="1" si="106"/>
        <v>0</v>
      </c>
      <c r="AF151" s="78">
        <f t="shared" ca="1" si="107"/>
        <v>0</v>
      </c>
      <c r="AG151" s="4">
        <f ca="1">-SUMIFS(INDIRECT("Tab_00.Trial["&amp;AG$4&amp;"]"),Tab_00.Trial[CONTA],$B151)</f>
        <v>0</v>
      </c>
      <c r="AH151" s="78">
        <f t="shared" ca="1" si="108"/>
        <v>0</v>
      </c>
      <c r="AI151" s="78">
        <f t="shared" ca="1" si="109"/>
        <v>0</v>
      </c>
      <c r="AJ151" s="4">
        <f ca="1">-SUMIFS(INDIRECT("Tab_00.Trial["&amp;AJ$4&amp;"]"),Tab_00.Trial[CONTA],$B151)</f>
        <v>0</v>
      </c>
      <c r="AK151" s="78">
        <f t="shared" ca="1" si="110"/>
        <v>0</v>
      </c>
      <c r="AL151" s="78">
        <f t="shared" ca="1" si="111"/>
        <v>0</v>
      </c>
    </row>
    <row r="152" spans="2:38" ht="15" customHeight="1" outlineLevel="1" x14ac:dyDescent="0.3">
      <c r="B152" s="14"/>
      <c r="C152" s="14"/>
      <c r="D152" s="4">
        <f ca="1">-SUMIFS(INDIRECT("Tab_00.Trial["&amp;D$4&amp;"]"),Tab_00.Trial[CONTA],$B152)</f>
        <v>0</v>
      </c>
      <c r="E152" s="78">
        <f t="shared" ca="1" si="118"/>
        <v>0</v>
      </c>
      <c r="F152" s="4">
        <f ca="1">-SUMIFS(INDIRECT("Tab_00.Trial["&amp;F$4&amp;"]"),Tab_00.Trial[CONTA],$B152)</f>
        <v>0</v>
      </c>
      <c r="G152" s="78">
        <f t="shared" ca="1" si="91"/>
        <v>0</v>
      </c>
      <c r="H152" s="78">
        <f t="shared" ca="1" si="119"/>
        <v>0</v>
      </c>
      <c r="I152" s="4">
        <f ca="1">-SUMIFS(INDIRECT("Tab_00.Trial["&amp;I$4&amp;"]"),Tab_00.Trial[CONTA],$B152)</f>
        <v>0</v>
      </c>
      <c r="J152" s="78">
        <f t="shared" ca="1" si="92"/>
        <v>0</v>
      </c>
      <c r="K152" s="78">
        <f t="shared" ca="1" si="93"/>
        <v>0</v>
      </c>
      <c r="L152" s="4">
        <f ca="1">-SUMIFS(INDIRECT("Tab_00.Trial["&amp;L$4&amp;"]"),Tab_00.Trial[CONTA],$B152)</f>
        <v>0</v>
      </c>
      <c r="M152" s="78">
        <f t="shared" ca="1" si="94"/>
        <v>0</v>
      </c>
      <c r="N152" s="78">
        <f t="shared" ca="1" si="95"/>
        <v>0</v>
      </c>
      <c r="O152" s="4">
        <f ca="1">-SUMIFS(INDIRECT("Tab_00.Trial["&amp;O$4&amp;"]"),Tab_00.Trial[CONTA],$B152)</f>
        <v>0</v>
      </c>
      <c r="P152" s="78">
        <f t="shared" ca="1" si="120"/>
        <v>0</v>
      </c>
      <c r="Q152" s="78">
        <f t="shared" ca="1" si="121"/>
        <v>0</v>
      </c>
      <c r="R152" s="4">
        <f ca="1">-SUMIFS(INDIRECT("Tab_00.Trial["&amp;R$4&amp;"]"),Tab_00.Trial[CONTA],$B152)</f>
        <v>0</v>
      </c>
      <c r="S152" s="78">
        <f t="shared" ca="1" si="98"/>
        <v>0</v>
      </c>
      <c r="T152" s="78">
        <f t="shared" ca="1" si="99"/>
        <v>0</v>
      </c>
      <c r="U152" s="4">
        <f ca="1">-SUMIFS(INDIRECT("Tab_00.Trial["&amp;U$4&amp;"]"),Tab_00.Trial[CONTA],$B152)</f>
        <v>0</v>
      </c>
      <c r="V152" s="78">
        <f t="shared" ca="1" si="100"/>
        <v>0</v>
      </c>
      <c r="W152" s="78">
        <f t="shared" ca="1" si="101"/>
        <v>0</v>
      </c>
      <c r="X152" s="4">
        <f ca="1">-SUMIFS(INDIRECT("Tab_00.Trial["&amp;X$4&amp;"]"),Tab_00.Trial[CONTA],$B152)</f>
        <v>0</v>
      </c>
      <c r="Y152" s="78">
        <f t="shared" ca="1" si="122"/>
        <v>0</v>
      </c>
      <c r="Z152" s="78">
        <f t="shared" ca="1" si="123"/>
        <v>0</v>
      </c>
      <c r="AA152" s="4">
        <f ca="1">-SUMIFS(INDIRECT("Tab_00.Trial["&amp;AA$4&amp;"]"),Tab_00.Trial[CONTA],$B152)</f>
        <v>0</v>
      </c>
      <c r="AB152" s="78">
        <f t="shared" ca="1" si="104"/>
        <v>0</v>
      </c>
      <c r="AC152" s="78">
        <f t="shared" ca="1" si="105"/>
        <v>0</v>
      </c>
      <c r="AD152" s="4">
        <f ca="1">-SUMIFS(INDIRECT("Tab_00.Trial["&amp;AD$4&amp;"]"),Tab_00.Trial[CONTA],$B152)</f>
        <v>0</v>
      </c>
      <c r="AE152" s="78">
        <f t="shared" ca="1" si="106"/>
        <v>0</v>
      </c>
      <c r="AF152" s="78">
        <f t="shared" ca="1" si="107"/>
        <v>0</v>
      </c>
      <c r="AG152" s="4">
        <f ca="1">-SUMIFS(INDIRECT("Tab_00.Trial["&amp;AG$4&amp;"]"),Tab_00.Trial[CONTA],$B152)</f>
        <v>0</v>
      </c>
      <c r="AH152" s="78">
        <f t="shared" ca="1" si="108"/>
        <v>0</v>
      </c>
      <c r="AI152" s="78">
        <f t="shared" ca="1" si="109"/>
        <v>0</v>
      </c>
      <c r="AJ152" s="4">
        <f ca="1">-SUMIFS(INDIRECT("Tab_00.Trial["&amp;AJ$4&amp;"]"),Tab_00.Trial[CONTA],$B152)</f>
        <v>0</v>
      </c>
      <c r="AK152" s="78">
        <f t="shared" ca="1" si="110"/>
        <v>0</v>
      </c>
      <c r="AL152" s="78">
        <f t="shared" ca="1" si="111"/>
        <v>0</v>
      </c>
    </row>
    <row r="153" spans="2:38" ht="15" customHeight="1" outlineLevel="1" x14ac:dyDescent="0.3">
      <c r="B153" s="14"/>
      <c r="C153" s="14"/>
      <c r="D153" s="4">
        <f ca="1">-SUMIFS(INDIRECT("Tab_00.Trial["&amp;D$4&amp;"]"),Tab_00.Trial[CONTA],$B153)</f>
        <v>0</v>
      </c>
      <c r="E153" s="78">
        <f t="shared" ca="1" si="118"/>
        <v>0</v>
      </c>
      <c r="F153" s="4">
        <f ca="1">-SUMIFS(INDIRECT("Tab_00.Trial["&amp;F$4&amp;"]"),Tab_00.Trial[CONTA],$B153)</f>
        <v>0</v>
      </c>
      <c r="G153" s="78">
        <f t="shared" ca="1" si="91"/>
        <v>0</v>
      </c>
      <c r="H153" s="78">
        <f t="shared" ca="1" si="119"/>
        <v>0</v>
      </c>
      <c r="I153" s="4">
        <f ca="1">-SUMIFS(INDIRECT("Tab_00.Trial["&amp;I$4&amp;"]"),Tab_00.Trial[CONTA],$B153)</f>
        <v>0</v>
      </c>
      <c r="J153" s="78">
        <f t="shared" ca="1" si="92"/>
        <v>0</v>
      </c>
      <c r="K153" s="78">
        <f t="shared" ca="1" si="93"/>
        <v>0</v>
      </c>
      <c r="L153" s="4">
        <f ca="1">-SUMIFS(INDIRECT("Tab_00.Trial["&amp;L$4&amp;"]"),Tab_00.Trial[CONTA],$B153)</f>
        <v>0</v>
      </c>
      <c r="M153" s="78">
        <f t="shared" ca="1" si="94"/>
        <v>0</v>
      </c>
      <c r="N153" s="78">
        <f t="shared" ca="1" si="95"/>
        <v>0</v>
      </c>
      <c r="O153" s="4">
        <f ca="1">-SUMIFS(INDIRECT("Tab_00.Trial["&amp;O$4&amp;"]"),Tab_00.Trial[CONTA],$B153)</f>
        <v>0</v>
      </c>
      <c r="P153" s="78">
        <f t="shared" ca="1" si="120"/>
        <v>0</v>
      </c>
      <c r="Q153" s="78">
        <f t="shared" ca="1" si="121"/>
        <v>0</v>
      </c>
      <c r="R153" s="4">
        <f ca="1">-SUMIFS(INDIRECT("Tab_00.Trial["&amp;R$4&amp;"]"),Tab_00.Trial[CONTA],$B153)</f>
        <v>0</v>
      </c>
      <c r="S153" s="78">
        <f t="shared" ca="1" si="98"/>
        <v>0</v>
      </c>
      <c r="T153" s="78">
        <f t="shared" ca="1" si="99"/>
        <v>0</v>
      </c>
      <c r="U153" s="4">
        <f ca="1">-SUMIFS(INDIRECT("Tab_00.Trial["&amp;U$4&amp;"]"),Tab_00.Trial[CONTA],$B153)</f>
        <v>0</v>
      </c>
      <c r="V153" s="78">
        <f t="shared" ca="1" si="100"/>
        <v>0</v>
      </c>
      <c r="W153" s="78">
        <f t="shared" ca="1" si="101"/>
        <v>0</v>
      </c>
      <c r="X153" s="4">
        <f ca="1">-SUMIFS(INDIRECT("Tab_00.Trial["&amp;X$4&amp;"]"),Tab_00.Trial[CONTA],$B153)</f>
        <v>0</v>
      </c>
      <c r="Y153" s="78">
        <f t="shared" ca="1" si="122"/>
        <v>0</v>
      </c>
      <c r="Z153" s="78">
        <f t="shared" ca="1" si="123"/>
        <v>0</v>
      </c>
      <c r="AA153" s="4">
        <f ca="1">-SUMIFS(INDIRECT("Tab_00.Trial["&amp;AA$4&amp;"]"),Tab_00.Trial[CONTA],$B153)</f>
        <v>0</v>
      </c>
      <c r="AB153" s="78">
        <f t="shared" ca="1" si="104"/>
        <v>0</v>
      </c>
      <c r="AC153" s="78">
        <f t="shared" ca="1" si="105"/>
        <v>0</v>
      </c>
      <c r="AD153" s="4">
        <f ca="1">-SUMIFS(INDIRECT("Tab_00.Trial["&amp;AD$4&amp;"]"),Tab_00.Trial[CONTA],$B153)</f>
        <v>0</v>
      </c>
      <c r="AE153" s="78">
        <f t="shared" ca="1" si="106"/>
        <v>0</v>
      </c>
      <c r="AF153" s="78">
        <f t="shared" ca="1" si="107"/>
        <v>0</v>
      </c>
      <c r="AG153" s="4">
        <f ca="1">-SUMIFS(INDIRECT("Tab_00.Trial["&amp;AG$4&amp;"]"),Tab_00.Trial[CONTA],$B153)</f>
        <v>0</v>
      </c>
      <c r="AH153" s="78">
        <f t="shared" ca="1" si="108"/>
        <v>0</v>
      </c>
      <c r="AI153" s="78">
        <f t="shared" ca="1" si="109"/>
        <v>0</v>
      </c>
      <c r="AJ153" s="4">
        <f ca="1">-SUMIFS(INDIRECT("Tab_00.Trial["&amp;AJ$4&amp;"]"),Tab_00.Trial[CONTA],$B153)</f>
        <v>0</v>
      </c>
      <c r="AK153" s="78">
        <f t="shared" ca="1" si="110"/>
        <v>0</v>
      </c>
      <c r="AL153" s="78">
        <f t="shared" ca="1" si="111"/>
        <v>0</v>
      </c>
    </row>
    <row r="154" spans="2:38" ht="15" customHeight="1" outlineLevel="1" x14ac:dyDescent="0.3">
      <c r="B154" s="14"/>
      <c r="C154" s="14"/>
      <c r="D154" s="4">
        <f ca="1">-SUMIFS(INDIRECT("Tab_00.Trial["&amp;D$4&amp;"]"),Tab_00.Trial[CONTA],$B154)</f>
        <v>0</v>
      </c>
      <c r="E154" s="78">
        <f t="shared" ca="1" si="118"/>
        <v>0</v>
      </c>
      <c r="F154" s="4">
        <f ca="1">-SUMIFS(INDIRECT("Tab_00.Trial["&amp;F$4&amp;"]"),Tab_00.Trial[CONTA],$B154)</f>
        <v>0</v>
      </c>
      <c r="G154" s="78">
        <f t="shared" ca="1" si="91"/>
        <v>0</v>
      </c>
      <c r="H154" s="78">
        <f t="shared" ca="1" si="119"/>
        <v>0</v>
      </c>
      <c r="I154" s="4">
        <f ca="1">-SUMIFS(INDIRECT("Tab_00.Trial["&amp;I$4&amp;"]"),Tab_00.Trial[CONTA],$B154)</f>
        <v>0</v>
      </c>
      <c r="J154" s="78">
        <f t="shared" ca="1" si="92"/>
        <v>0</v>
      </c>
      <c r="K154" s="78">
        <f t="shared" ca="1" si="93"/>
        <v>0</v>
      </c>
      <c r="L154" s="4">
        <f ca="1">-SUMIFS(INDIRECT("Tab_00.Trial["&amp;L$4&amp;"]"),Tab_00.Trial[CONTA],$B154)</f>
        <v>0</v>
      </c>
      <c r="M154" s="78">
        <f t="shared" ca="1" si="94"/>
        <v>0</v>
      </c>
      <c r="N154" s="78">
        <f t="shared" ca="1" si="95"/>
        <v>0</v>
      </c>
      <c r="O154" s="4">
        <f ca="1">-SUMIFS(INDIRECT("Tab_00.Trial["&amp;O$4&amp;"]"),Tab_00.Trial[CONTA],$B154)</f>
        <v>0</v>
      </c>
      <c r="P154" s="78">
        <f t="shared" ca="1" si="120"/>
        <v>0</v>
      </c>
      <c r="Q154" s="78">
        <f t="shared" ca="1" si="121"/>
        <v>0</v>
      </c>
      <c r="R154" s="4">
        <f ca="1">-SUMIFS(INDIRECT("Tab_00.Trial["&amp;R$4&amp;"]"),Tab_00.Trial[CONTA],$B154)</f>
        <v>0</v>
      </c>
      <c r="S154" s="78">
        <f t="shared" ca="1" si="98"/>
        <v>0</v>
      </c>
      <c r="T154" s="78">
        <f t="shared" ca="1" si="99"/>
        <v>0</v>
      </c>
      <c r="U154" s="4">
        <f ca="1">-SUMIFS(INDIRECT("Tab_00.Trial["&amp;U$4&amp;"]"),Tab_00.Trial[CONTA],$B154)</f>
        <v>0</v>
      </c>
      <c r="V154" s="78">
        <f t="shared" ca="1" si="100"/>
        <v>0</v>
      </c>
      <c r="W154" s="78">
        <f t="shared" ca="1" si="101"/>
        <v>0</v>
      </c>
      <c r="X154" s="4">
        <f ca="1">-SUMIFS(INDIRECT("Tab_00.Trial["&amp;X$4&amp;"]"),Tab_00.Trial[CONTA],$B154)</f>
        <v>0</v>
      </c>
      <c r="Y154" s="78">
        <f t="shared" ca="1" si="122"/>
        <v>0</v>
      </c>
      <c r="Z154" s="78">
        <f t="shared" ca="1" si="123"/>
        <v>0</v>
      </c>
      <c r="AA154" s="4">
        <f ca="1">-SUMIFS(INDIRECT("Tab_00.Trial["&amp;AA$4&amp;"]"),Tab_00.Trial[CONTA],$B154)</f>
        <v>0</v>
      </c>
      <c r="AB154" s="78">
        <f t="shared" ca="1" si="104"/>
        <v>0</v>
      </c>
      <c r="AC154" s="78">
        <f t="shared" ca="1" si="105"/>
        <v>0</v>
      </c>
      <c r="AD154" s="4">
        <f ca="1">-SUMIFS(INDIRECT("Tab_00.Trial["&amp;AD$4&amp;"]"),Tab_00.Trial[CONTA],$B154)</f>
        <v>0</v>
      </c>
      <c r="AE154" s="78">
        <f t="shared" ca="1" si="106"/>
        <v>0</v>
      </c>
      <c r="AF154" s="78">
        <f t="shared" ca="1" si="107"/>
        <v>0</v>
      </c>
      <c r="AG154" s="4">
        <f ca="1">-SUMIFS(INDIRECT("Tab_00.Trial["&amp;AG$4&amp;"]"),Tab_00.Trial[CONTA],$B154)</f>
        <v>0</v>
      </c>
      <c r="AH154" s="78">
        <f t="shared" ca="1" si="108"/>
        <v>0</v>
      </c>
      <c r="AI154" s="78">
        <f t="shared" ca="1" si="109"/>
        <v>0</v>
      </c>
      <c r="AJ154" s="4">
        <f ca="1">-SUMIFS(INDIRECT("Tab_00.Trial["&amp;AJ$4&amp;"]"),Tab_00.Trial[CONTA],$B154)</f>
        <v>0</v>
      </c>
      <c r="AK154" s="78">
        <f t="shared" ca="1" si="110"/>
        <v>0</v>
      </c>
      <c r="AL154" s="78">
        <f t="shared" ca="1" si="111"/>
        <v>0</v>
      </c>
    </row>
    <row r="155" spans="2:38" ht="5.0999999999999996" customHeight="1" outlineLevel="1" x14ac:dyDescent="0.3">
      <c r="B155" s="74"/>
      <c r="C155" s="75"/>
      <c r="D155" s="76"/>
      <c r="E155" s="77"/>
      <c r="F155" s="76"/>
      <c r="G155" s="77"/>
      <c r="H155" s="77"/>
      <c r="I155" s="76"/>
      <c r="J155" s="77"/>
      <c r="K155" s="77"/>
      <c r="L155" s="76"/>
      <c r="M155" s="77"/>
      <c r="N155" s="77"/>
      <c r="O155" s="76"/>
      <c r="P155" s="77"/>
      <c r="Q155" s="77"/>
      <c r="R155" s="76"/>
      <c r="S155" s="77"/>
      <c r="T155" s="77"/>
      <c r="U155" s="76"/>
      <c r="V155" s="77"/>
      <c r="W155" s="77"/>
      <c r="X155" s="76"/>
      <c r="Y155" s="77"/>
      <c r="Z155" s="77"/>
      <c r="AA155" s="76"/>
      <c r="AB155" s="77"/>
      <c r="AC155" s="77"/>
      <c r="AD155" s="76"/>
      <c r="AE155" s="77"/>
      <c r="AF155" s="77"/>
      <c r="AG155" s="76"/>
      <c r="AH155" s="77"/>
      <c r="AI155" s="77"/>
      <c r="AJ155" s="76"/>
      <c r="AK155" s="77"/>
      <c r="AL155" s="77"/>
    </row>
    <row r="156" spans="2:38" ht="15" customHeight="1" x14ac:dyDescent="0.3">
      <c r="B156" s="3" t="s">
        <v>107</v>
      </c>
      <c r="C156" s="3" t="s">
        <v>167</v>
      </c>
      <c r="D156" s="4">
        <f ca="1">SUBTOTAL(9,D$157:D$165)</f>
        <v>0</v>
      </c>
      <c r="E156" s="78">
        <f t="shared" ref="E156:E164" ca="1" si="124">IFERROR($D156/$D$6,0)</f>
        <v>0</v>
      </c>
      <c r="F156" s="4">
        <f ca="1">SUBTOTAL(9,F$157:F$165)</f>
        <v>0</v>
      </c>
      <c r="G156" s="78">
        <f ca="1">IFERROR($F156/$F$6,0)</f>
        <v>0</v>
      </c>
      <c r="H156" s="78">
        <f t="shared" ref="H156:H164" ca="1" si="125">IFERROR(($F156-$D156)/ABS($D156),0)</f>
        <v>0</v>
      </c>
      <c r="I156" s="4">
        <f ca="1">SUBTOTAL(9,I$157:I$165)</f>
        <v>0</v>
      </c>
      <c r="J156" s="78">
        <f ca="1">IFERROR($I156/$I$6,0)</f>
        <v>0</v>
      </c>
      <c r="K156" s="78">
        <f ca="1">IFERROR(($I156-$F156)/ABS($F156),0)</f>
        <v>0</v>
      </c>
      <c r="L156" s="4">
        <f ca="1">SUBTOTAL(9,L$157:L$165)</f>
        <v>0</v>
      </c>
      <c r="M156" s="78">
        <f ca="1">IFERROR($L156/$L$6,0)</f>
        <v>0</v>
      </c>
      <c r="N156" s="78">
        <f ca="1">IFERROR(($L156-$I156)/ABS($I156),0)</f>
        <v>0</v>
      </c>
      <c r="O156" s="4">
        <f ca="1">SUBTOTAL(9,O$157:O$165)</f>
        <v>0</v>
      </c>
      <c r="P156" s="78">
        <f ca="1">IFERROR($O156/$O$6,0)</f>
        <v>0</v>
      </c>
      <c r="Q156" s="78">
        <f ca="1">IFERROR(($O156-$L156)/ABS($L156),0)</f>
        <v>0</v>
      </c>
      <c r="R156" s="4">
        <f ca="1">SUBTOTAL(9,R$157:R$165)</f>
        <v>0</v>
      </c>
      <c r="S156" s="78">
        <f ca="1">IFERROR($R156/$R$6,0)</f>
        <v>0</v>
      </c>
      <c r="T156" s="78">
        <f ca="1">IFERROR(($R156-$O156)/ABS($O156),0)</f>
        <v>0</v>
      </c>
      <c r="U156" s="4">
        <f ca="1">SUBTOTAL(9,U$157:U$165)</f>
        <v>0</v>
      </c>
      <c r="V156" s="78">
        <f ca="1">IFERROR($U156/$U$6,0)</f>
        <v>0</v>
      </c>
      <c r="W156" s="78">
        <f ca="1">IFERROR(($U156-$R156)/ABS($R156),0)</f>
        <v>0</v>
      </c>
      <c r="X156" s="4">
        <f ca="1">SUBTOTAL(9,X$157:X$165)</f>
        <v>0</v>
      </c>
      <c r="Y156" s="78">
        <f ca="1">IFERROR($X156/$X$6,0)</f>
        <v>0</v>
      </c>
      <c r="Z156" s="78">
        <f ca="1">IFERROR(($X156-$U156)/ABS($U156),0)</f>
        <v>0</v>
      </c>
      <c r="AA156" s="4">
        <f ca="1">SUBTOTAL(9,AA$157:AA$165)</f>
        <v>0</v>
      </c>
      <c r="AB156" s="78">
        <f ca="1">IFERROR($AA156/$AA$6,0)</f>
        <v>0</v>
      </c>
      <c r="AC156" s="78">
        <f ca="1">IFERROR(($AA156-$X156)/ABS($X156),0)</f>
        <v>0</v>
      </c>
      <c r="AD156" s="4">
        <f ca="1">SUBTOTAL(9,AD$157:AD$165)</f>
        <v>0</v>
      </c>
      <c r="AE156" s="78">
        <f ca="1">IFERROR($AD156/$AD$6,0)</f>
        <v>0</v>
      </c>
      <c r="AF156" s="78">
        <f ca="1">IFERROR(($AD156-$AA156)/ABS($AA156),0)</f>
        <v>0</v>
      </c>
      <c r="AG156" s="4">
        <f ca="1">SUBTOTAL(9,AG$157:AG$165)</f>
        <v>0</v>
      </c>
      <c r="AH156" s="78">
        <f ca="1">IFERROR($AG156/$AG$6,0)</f>
        <v>0</v>
      </c>
      <c r="AI156" s="78">
        <f ca="1">IFERROR(($AG156-$AD156)/ABS($AD156),0)</f>
        <v>0</v>
      </c>
      <c r="AJ156" s="4">
        <f ca="1">SUBTOTAL(9,AJ$157:AJ$165)</f>
        <v>0</v>
      </c>
      <c r="AK156" s="78">
        <f ca="1">IFERROR($AJ156/$AJ$6,0)</f>
        <v>0</v>
      </c>
      <c r="AL156" s="78">
        <f ca="1">IFERROR(($AJ156-$AG156)/ABS($AG156),0)</f>
        <v>0</v>
      </c>
    </row>
    <row r="157" spans="2:38" ht="15" customHeight="1" outlineLevel="1" x14ac:dyDescent="0.3">
      <c r="B157" s="14"/>
      <c r="C157" s="14"/>
      <c r="D157" s="4">
        <f ca="1">-SUMIFS(INDIRECT("Tab_00.Trial["&amp;D$4&amp;"]"),Tab_00.Trial[CONTA],$B157)</f>
        <v>0</v>
      </c>
      <c r="E157" s="78">
        <f t="shared" ca="1" si="124"/>
        <v>0</v>
      </c>
      <c r="F157" s="4">
        <f ca="1">-SUMIFS(INDIRECT("Tab_00.Trial["&amp;F$4&amp;"]"),Tab_00.Trial[CONTA],$B157)</f>
        <v>0</v>
      </c>
      <c r="G157" s="78">
        <f t="shared" ca="1" si="91"/>
        <v>0</v>
      </c>
      <c r="H157" s="78">
        <f t="shared" ca="1" si="125"/>
        <v>0</v>
      </c>
      <c r="I157" s="4">
        <f ca="1">-SUMIFS(INDIRECT("Tab_00.Trial["&amp;I$4&amp;"]"),Tab_00.Trial[CONTA],$B157)</f>
        <v>0</v>
      </c>
      <c r="J157" s="78">
        <f t="shared" ca="1" si="92"/>
        <v>0</v>
      </c>
      <c r="K157" s="78">
        <f t="shared" ca="1" si="93"/>
        <v>0</v>
      </c>
      <c r="L157" s="4">
        <f ca="1">-SUMIFS(INDIRECT("Tab_00.Trial["&amp;L$4&amp;"]"),Tab_00.Trial[CONTA],$B157)</f>
        <v>0</v>
      </c>
      <c r="M157" s="78">
        <f t="shared" ca="1" si="94"/>
        <v>0</v>
      </c>
      <c r="N157" s="78">
        <f t="shared" ca="1" si="95"/>
        <v>0</v>
      </c>
      <c r="O157" s="4">
        <f ca="1">-SUMIFS(INDIRECT("Tab_00.Trial["&amp;O$4&amp;"]"),Tab_00.Trial[CONTA],$B157)</f>
        <v>0</v>
      </c>
      <c r="P157" s="78">
        <f t="shared" ref="P157:P164" ca="1" si="126">IFERROR($O157/$O$6,0)</f>
        <v>0</v>
      </c>
      <c r="Q157" s="78">
        <f t="shared" ref="Q157:Q164" ca="1" si="127">IFERROR(($O157-$L157)/ABS($L157),0)</f>
        <v>0</v>
      </c>
      <c r="R157" s="4">
        <f ca="1">-SUMIFS(INDIRECT("Tab_00.Trial["&amp;R$4&amp;"]"),Tab_00.Trial[CONTA],$B157)</f>
        <v>0</v>
      </c>
      <c r="S157" s="78">
        <f t="shared" ca="1" si="98"/>
        <v>0</v>
      </c>
      <c r="T157" s="78">
        <f t="shared" ca="1" si="99"/>
        <v>0</v>
      </c>
      <c r="U157" s="4">
        <f ca="1">-SUMIFS(INDIRECT("Tab_00.Trial["&amp;U$4&amp;"]"),Tab_00.Trial[CONTA],$B157)</f>
        <v>0</v>
      </c>
      <c r="V157" s="78">
        <f t="shared" ca="1" si="100"/>
        <v>0</v>
      </c>
      <c r="W157" s="78">
        <f t="shared" ca="1" si="101"/>
        <v>0</v>
      </c>
      <c r="X157" s="4">
        <f ca="1">-SUMIFS(INDIRECT("Tab_00.Trial["&amp;X$4&amp;"]"),Tab_00.Trial[CONTA],$B157)</f>
        <v>0</v>
      </c>
      <c r="Y157" s="78">
        <f t="shared" ref="Y157:Y164" ca="1" si="128">IFERROR($X157/$X$6,0)</f>
        <v>0</v>
      </c>
      <c r="Z157" s="78">
        <f t="shared" ref="Z157:Z164" ca="1" si="129">IFERROR(($X157-$U157)/ABS($U157),0)</f>
        <v>0</v>
      </c>
      <c r="AA157" s="4">
        <f ca="1">-SUMIFS(INDIRECT("Tab_00.Trial["&amp;AA$4&amp;"]"),Tab_00.Trial[CONTA],$B157)</f>
        <v>0</v>
      </c>
      <c r="AB157" s="78">
        <f t="shared" ca="1" si="104"/>
        <v>0</v>
      </c>
      <c r="AC157" s="78">
        <f t="shared" ca="1" si="105"/>
        <v>0</v>
      </c>
      <c r="AD157" s="4">
        <f ca="1">-SUMIFS(INDIRECT("Tab_00.Trial["&amp;AD$4&amp;"]"),Tab_00.Trial[CONTA],$B157)</f>
        <v>0</v>
      </c>
      <c r="AE157" s="78">
        <f t="shared" ca="1" si="106"/>
        <v>0</v>
      </c>
      <c r="AF157" s="78">
        <f t="shared" ca="1" si="107"/>
        <v>0</v>
      </c>
      <c r="AG157" s="4">
        <f ca="1">-SUMIFS(INDIRECT("Tab_00.Trial["&amp;AG$4&amp;"]"),Tab_00.Trial[CONTA],$B157)</f>
        <v>0</v>
      </c>
      <c r="AH157" s="78">
        <f t="shared" ca="1" si="108"/>
        <v>0</v>
      </c>
      <c r="AI157" s="78">
        <f t="shared" ca="1" si="109"/>
        <v>0</v>
      </c>
      <c r="AJ157" s="4">
        <f ca="1">-SUMIFS(INDIRECT("Tab_00.Trial["&amp;AJ$4&amp;"]"),Tab_00.Trial[CONTA],$B157)</f>
        <v>0</v>
      </c>
      <c r="AK157" s="78">
        <f t="shared" ca="1" si="110"/>
        <v>0</v>
      </c>
      <c r="AL157" s="78">
        <f t="shared" ca="1" si="111"/>
        <v>0</v>
      </c>
    </row>
    <row r="158" spans="2:38" ht="15" customHeight="1" outlineLevel="1" x14ac:dyDescent="0.3">
      <c r="B158" s="14"/>
      <c r="C158" s="14"/>
      <c r="D158" s="4">
        <f ca="1">-SUMIFS(INDIRECT("Tab_00.Trial["&amp;D$4&amp;"]"),Tab_00.Trial[CONTA],$B158)</f>
        <v>0</v>
      </c>
      <c r="E158" s="78">
        <f t="shared" ca="1" si="124"/>
        <v>0</v>
      </c>
      <c r="F158" s="4">
        <f ca="1">-SUMIFS(INDIRECT("Tab_00.Trial["&amp;F$4&amp;"]"),Tab_00.Trial[CONTA],$B158)</f>
        <v>0</v>
      </c>
      <c r="G158" s="78">
        <f t="shared" ca="1" si="91"/>
        <v>0</v>
      </c>
      <c r="H158" s="78">
        <f t="shared" ca="1" si="125"/>
        <v>0</v>
      </c>
      <c r="I158" s="4">
        <f ca="1">-SUMIFS(INDIRECT("Tab_00.Trial["&amp;I$4&amp;"]"),Tab_00.Trial[CONTA],$B158)</f>
        <v>0</v>
      </c>
      <c r="J158" s="78">
        <f t="shared" ca="1" si="92"/>
        <v>0</v>
      </c>
      <c r="K158" s="78">
        <f t="shared" ca="1" si="93"/>
        <v>0</v>
      </c>
      <c r="L158" s="4">
        <f ca="1">-SUMIFS(INDIRECT("Tab_00.Trial["&amp;L$4&amp;"]"),Tab_00.Trial[CONTA],$B158)</f>
        <v>0</v>
      </c>
      <c r="M158" s="78">
        <f t="shared" ca="1" si="94"/>
        <v>0</v>
      </c>
      <c r="N158" s="78">
        <f t="shared" ca="1" si="95"/>
        <v>0</v>
      </c>
      <c r="O158" s="4">
        <f ca="1">-SUMIFS(INDIRECT("Tab_00.Trial["&amp;O$4&amp;"]"),Tab_00.Trial[CONTA],$B158)</f>
        <v>0</v>
      </c>
      <c r="P158" s="78">
        <f t="shared" ca="1" si="126"/>
        <v>0</v>
      </c>
      <c r="Q158" s="78">
        <f t="shared" ca="1" si="127"/>
        <v>0</v>
      </c>
      <c r="R158" s="4">
        <f ca="1">-SUMIFS(INDIRECT("Tab_00.Trial["&amp;R$4&amp;"]"),Tab_00.Trial[CONTA],$B158)</f>
        <v>0</v>
      </c>
      <c r="S158" s="78">
        <f t="shared" ca="1" si="98"/>
        <v>0</v>
      </c>
      <c r="T158" s="78">
        <f t="shared" ca="1" si="99"/>
        <v>0</v>
      </c>
      <c r="U158" s="4">
        <f ca="1">-SUMIFS(INDIRECT("Tab_00.Trial["&amp;U$4&amp;"]"),Tab_00.Trial[CONTA],$B158)</f>
        <v>0</v>
      </c>
      <c r="V158" s="78">
        <f t="shared" ca="1" si="100"/>
        <v>0</v>
      </c>
      <c r="W158" s="78">
        <f t="shared" ca="1" si="101"/>
        <v>0</v>
      </c>
      <c r="X158" s="4">
        <f ca="1">-SUMIFS(INDIRECT("Tab_00.Trial["&amp;X$4&amp;"]"),Tab_00.Trial[CONTA],$B158)</f>
        <v>0</v>
      </c>
      <c r="Y158" s="78">
        <f t="shared" ca="1" si="128"/>
        <v>0</v>
      </c>
      <c r="Z158" s="78">
        <f t="shared" ca="1" si="129"/>
        <v>0</v>
      </c>
      <c r="AA158" s="4">
        <f ca="1">-SUMIFS(INDIRECT("Tab_00.Trial["&amp;AA$4&amp;"]"),Tab_00.Trial[CONTA],$B158)</f>
        <v>0</v>
      </c>
      <c r="AB158" s="78">
        <f t="shared" ca="1" si="104"/>
        <v>0</v>
      </c>
      <c r="AC158" s="78">
        <f t="shared" ca="1" si="105"/>
        <v>0</v>
      </c>
      <c r="AD158" s="4">
        <f ca="1">-SUMIFS(INDIRECT("Tab_00.Trial["&amp;AD$4&amp;"]"),Tab_00.Trial[CONTA],$B158)</f>
        <v>0</v>
      </c>
      <c r="AE158" s="78">
        <f t="shared" ca="1" si="106"/>
        <v>0</v>
      </c>
      <c r="AF158" s="78">
        <f t="shared" ca="1" si="107"/>
        <v>0</v>
      </c>
      <c r="AG158" s="4">
        <f ca="1">-SUMIFS(INDIRECT("Tab_00.Trial["&amp;AG$4&amp;"]"),Tab_00.Trial[CONTA],$B158)</f>
        <v>0</v>
      </c>
      <c r="AH158" s="78">
        <f t="shared" ca="1" si="108"/>
        <v>0</v>
      </c>
      <c r="AI158" s="78">
        <f t="shared" ca="1" si="109"/>
        <v>0</v>
      </c>
      <c r="AJ158" s="4">
        <f ca="1">-SUMIFS(INDIRECT("Tab_00.Trial["&amp;AJ$4&amp;"]"),Tab_00.Trial[CONTA],$B158)</f>
        <v>0</v>
      </c>
      <c r="AK158" s="78">
        <f t="shared" ca="1" si="110"/>
        <v>0</v>
      </c>
      <c r="AL158" s="78">
        <f t="shared" ca="1" si="111"/>
        <v>0</v>
      </c>
    </row>
    <row r="159" spans="2:38" ht="15" customHeight="1" outlineLevel="1" x14ac:dyDescent="0.3">
      <c r="B159" s="14"/>
      <c r="C159" s="14"/>
      <c r="D159" s="4">
        <f ca="1">-SUMIFS(INDIRECT("Tab_00.Trial["&amp;D$4&amp;"]"),Tab_00.Trial[CONTA],$B159)</f>
        <v>0</v>
      </c>
      <c r="E159" s="78">
        <f t="shared" ca="1" si="124"/>
        <v>0</v>
      </c>
      <c r="F159" s="4">
        <f ca="1">-SUMIFS(INDIRECT("Tab_00.Trial["&amp;F$4&amp;"]"),Tab_00.Trial[CONTA],$B159)</f>
        <v>0</v>
      </c>
      <c r="G159" s="78">
        <f t="shared" ca="1" si="91"/>
        <v>0</v>
      </c>
      <c r="H159" s="78">
        <f t="shared" ca="1" si="125"/>
        <v>0</v>
      </c>
      <c r="I159" s="4">
        <f ca="1">-SUMIFS(INDIRECT("Tab_00.Trial["&amp;I$4&amp;"]"),Tab_00.Trial[CONTA],$B159)</f>
        <v>0</v>
      </c>
      <c r="J159" s="78">
        <f t="shared" ca="1" si="92"/>
        <v>0</v>
      </c>
      <c r="K159" s="78">
        <f t="shared" ca="1" si="93"/>
        <v>0</v>
      </c>
      <c r="L159" s="4">
        <f ca="1">-SUMIFS(INDIRECT("Tab_00.Trial["&amp;L$4&amp;"]"),Tab_00.Trial[CONTA],$B159)</f>
        <v>0</v>
      </c>
      <c r="M159" s="78">
        <f t="shared" ca="1" si="94"/>
        <v>0</v>
      </c>
      <c r="N159" s="78">
        <f t="shared" ca="1" si="95"/>
        <v>0</v>
      </c>
      <c r="O159" s="4">
        <f ca="1">-SUMIFS(INDIRECT("Tab_00.Trial["&amp;O$4&amp;"]"),Tab_00.Trial[CONTA],$B159)</f>
        <v>0</v>
      </c>
      <c r="P159" s="78">
        <f t="shared" ca="1" si="126"/>
        <v>0</v>
      </c>
      <c r="Q159" s="78">
        <f t="shared" ca="1" si="127"/>
        <v>0</v>
      </c>
      <c r="R159" s="4">
        <f ca="1">-SUMIFS(INDIRECT("Tab_00.Trial["&amp;R$4&amp;"]"),Tab_00.Trial[CONTA],$B159)</f>
        <v>0</v>
      </c>
      <c r="S159" s="78">
        <f t="shared" ca="1" si="98"/>
        <v>0</v>
      </c>
      <c r="T159" s="78">
        <f t="shared" ca="1" si="99"/>
        <v>0</v>
      </c>
      <c r="U159" s="4">
        <f ca="1">-SUMIFS(INDIRECT("Tab_00.Trial["&amp;U$4&amp;"]"),Tab_00.Trial[CONTA],$B159)</f>
        <v>0</v>
      </c>
      <c r="V159" s="78">
        <f t="shared" ca="1" si="100"/>
        <v>0</v>
      </c>
      <c r="W159" s="78">
        <f t="shared" ca="1" si="101"/>
        <v>0</v>
      </c>
      <c r="X159" s="4">
        <f ca="1">-SUMIFS(INDIRECT("Tab_00.Trial["&amp;X$4&amp;"]"),Tab_00.Trial[CONTA],$B159)</f>
        <v>0</v>
      </c>
      <c r="Y159" s="78">
        <f t="shared" ca="1" si="128"/>
        <v>0</v>
      </c>
      <c r="Z159" s="78">
        <f t="shared" ca="1" si="129"/>
        <v>0</v>
      </c>
      <c r="AA159" s="4">
        <f ca="1">-SUMIFS(INDIRECT("Tab_00.Trial["&amp;AA$4&amp;"]"),Tab_00.Trial[CONTA],$B159)</f>
        <v>0</v>
      </c>
      <c r="AB159" s="78">
        <f t="shared" ca="1" si="104"/>
        <v>0</v>
      </c>
      <c r="AC159" s="78">
        <f t="shared" ca="1" si="105"/>
        <v>0</v>
      </c>
      <c r="AD159" s="4">
        <f ca="1">-SUMIFS(INDIRECT("Tab_00.Trial["&amp;AD$4&amp;"]"),Tab_00.Trial[CONTA],$B159)</f>
        <v>0</v>
      </c>
      <c r="AE159" s="78">
        <f t="shared" ca="1" si="106"/>
        <v>0</v>
      </c>
      <c r="AF159" s="78">
        <f t="shared" ca="1" si="107"/>
        <v>0</v>
      </c>
      <c r="AG159" s="4">
        <f ca="1">-SUMIFS(INDIRECT("Tab_00.Trial["&amp;AG$4&amp;"]"),Tab_00.Trial[CONTA],$B159)</f>
        <v>0</v>
      </c>
      <c r="AH159" s="78">
        <f t="shared" ca="1" si="108"/>
        <v>0</v>
      </c>
      <c r="AI159" s="78">
        <f t="shared" ca="1" si="109"/>
        <v>0</v>
      </c>
      <c r="AJ159" s="4">
        <f ca="1">-SUMIFS(INDIRECT("Tab_00.Trial["&amp;AJ$4&amp;"]"),Tab_00.Trial[CONTA],$B159)</f>
        <v>0</v>
      </c>
      <c r="AK159" s="78">
        <f t="shared" ca="1" si="110"/>
        <v>0</v>
      </c>
      <c r="AL159" s="78">
        <f t="shared" ca="1" si="111"/>
        <v>0</v>
      </c>
    </row>
    <row r="160" spans="2:38" ht="15" customHeight="1" outlineLevel="1" x14ac:dyDescent="0.3">
      <c r="B160" s="14"/>
      <c r="C160" s="14"/>
      <c r="D160" s="4">
        <f ca="1">-SUMIFS(INDIRECT("Tab_00.Trial["&amp;D$4&amp;"]"),Tab_00.Trial[CONTA],$B160)</f>
        <v>0</v>
      </c>
      <c r="E160" s="78">
        <f t="shared" ca="1" si="124"/>
        <v>0</v>
      </c>
      <c r="F160" s="4">
        <f ca="1">-SUMIFS(INDIRECT("Tab_00.Trial["&amp;F$4&amp;"]"),Tab_00.Trial[CONTA],$B160)</f>
        <v>0</v>
      </c>
      <c r="G160" s="78">
        <f t="shared" ca="1" si="91"/>
        <v>0</v>
      </c>
      <c r="H160" s="78">
        <f t="shared" ca="1" si="125"/>
        <v>0</v>
      </c>
      <c r="I160" s="4">
        <f ca="1">-SUMIFS(INDIRECT("Tab_00.Trial["&amp;I$4&amp;"]"),Tab_00.Trial[CONTA],$B160)</f>
        <v>0</v>
      </c>
      <c r="J160" s="78">
        <f t="shared" ca="1" si="92"/>
        <v>0</v>
      </c>
      <c r="K160" s="78">
        <f t="shared" ca="1" si="93"/>
        <v>0</v>
      </c>
      <c r="L160" s="4">
        <f ca="1">-SUMIFS(INDIRECT("Tab_00.Trial["&amp;L$4&amp;"]"),Tab_00.Trial[CONTA],$B160)</f>
        <v>0</v>
      </c>
      <c r="M160" s="78">
        <f t="shared" ca="1" si="94"/>
        <v>0</v>
      </c>
      <c r="N160" s="78">
        <f t="shared" ca="1" si="95"/>
        <v>0</v>
      </c>
      <c r="O160" s="4">
        <f ca="1">-SUMIFS(INDIRECT("Tab_00.Trial["&amp;O$4&amp;"]"),Tab_00.Trial[CONTA],$B160)</f>
        <v>0</v>
      </c>
      <c r="P160" s="78">
        <f t="shared" ca="1" si="126"/>
        <v>0</v>
      </c>
      <c r="Q160" s="78">
        <f t="shared" ca="1" si="127"/>
        <v>0</v>
      </c>
      <c r="R160" s="4">
        <f ca="1">-SUMIFS(INDIRECT("Tab_00.Trial["&amp;R$4&amp;"]"),Tab_00.Trial[CONTA],$B160)</f>
        <v>0</v>
      </c>
      <c r="S160" s="78">
        <f t="shared" ca="1" si="98"/>
        <v>0</v>
      </c>
      <c r="T160" s="78">
        <f t="shared" ca="1" si="99"/>
        <v>0</v>
      </c>
      <c r="U160" s="4">
        <f ca="1">-SUMIFS(INDIRECT("Tab_00.Trial["&amp;U$4&amp;"]"),Tab_00.Trial[CONTA],$B160)</f>
        <v>0</v>
      </c>
      <c r="V160" s="78">
        <f t="shared" ca="1" si="100"/>
        <v>0</v>
      </c>
      <c r="W160" s="78">
        <f t="shared" ca="1" si="101"/>
        <v>0</v>
      </c>
      <c r="X160" s="4">
        <f ca="1">-SUMIFS(INDIRECT("Tab_00.Trial["&amp;X$4&amp;"]"),Tab_00.Trial[CONTA],$B160)</f>
        <v>0</v>
      </c>
      <c r="Y160" s="78">
        <f t="shared" ca="1" si="128"/>
        <v>0</v>
      </c>
      <c r="Z160" s="78">
        <f t="shared" ca="1" si="129"/>
        <v>0</v>
      </c>
      <c r="AA160" s="4">
        <f ca="1">-SUMIFS(INDIRECT("Tab_00.Trial["&amp;AA$4&amp;"]"),Tab_00.Trial[CONTA],$B160)</f>
        <v>0</v>
      </c>
      <c r="AB160" s="78">
        <f t="shared" ca="1" si="104"/>
        <v>0</v>
      </c>
      <c r="AC160" s="78">
        <f t="shared" ca="1" si="105"/>
        <v>0</v>
      </c>
      <c r="AD160" s="4">
        <f ca="1">-SUMIFS(INDIRECT("Tab_00.Trial["&amp;AD$4&amp;"]"),Tab_00.Trial[CONTA],$B160)</f>
        <v>0</v>
      </c>
      <c r="AE160" s="78">
        <f t="shared" ca="1" si="106"/>
        <v>0</v>
      </c>
      <c r="AF160" s="78">
        <f t="shared" ca="1" si="107"/>
        <v>0</v>
      </c>
      <c r="AG160" s="4">
        <f ca="1">-SUMIFS(INDIRECT("Tab_00.Trial["&amp;AG$4&amp;"]"),Tab_00.Trial[CONTA],$B160)</f>
        <v>0</v>
      </c>
      <c r="AH160" s="78">
        <f t="shared" ca="1" si="108"/>
        <v>0</v>
      </c>
      <c r="AI160" s="78">
        <f t="shared" ca="1" si="109"/>
        <v>0</v>
      </c>
      <c r="AJ160" s="4">
        <f ca="1">-SUMIFS(INDIRECT("Tab_00.Trial["&amp;AJ$4&amp;"]"),Tab_00.Trial[CONTA],$B160)</f>
        <v>0</v>
      </c>
      <c r="AK160" s="78">
        <f t="shared" ca="1" si="110"/>
        <v>0</v>
      </c>
      <c r="AL160" s="78">
        <f t="shared" ca="1" si="111"/>
        <v>0</v>
      </c>
    </row>
    <row r="161" spans="2:38" ht="15" customHeight="1" outlineLevel="1" x14ac:dyDescent="0.3">
      <c r="B161" s="14"/>
      <c r="C161" s="14"/>
      <c r="D161" s="4">
        <f ca="1">-SUMIFS(INDIRECT("Tab_00.Trial["&amp;D$4&amp;"]"),Tab_00.Trial[CONTA],$B161)</f>
        <v>0</v>
      </c>
      <c r="E161" s="78">
        <f t="shared" ca="1" si="124"/>
        <v>0</v>
      </c>
      <c r="F161" s="4">
        <f ca="1">-SUMIFS(INDIRECT("Tab_00.Trial["&amp;F$4&amp;"]"),Tab_00.Trial[CONTA],$B161)</f>
        <v>0</v>
      </c>
      <c r="G161" s="78">
        <f t="shared" ca="1" si="91"/>
        <v>0</v>
      </c>
      <c r="H161" s="78">
        <f t="shared" ca="1" si="125"/>
        <v>0</v>
      </c>
      <c r="I161" s="4">
        <f ca="1">-SUMIFS(INDIRECT("Tab_00.Trial["&amp;I$4&amp;"]"),Tab_00.Trial[CONTA],$B161)</f>
        <v>0</v>
      </c>
      <c r="J161" s="78">
        <f t="shared" ca="1" si="92"/>
        <v>0</v>
      </c>
      <c r="K161" s="78">
        <f t="shared" ca="1" si="93"/>
        <v>0</v>
      </c>
      <c r="L161" s="4">
        <f ca="1">-SUMIFS(INDIRECT("Tab_00.Trial["&amp;L$4&amp;"]"),Tab_00.Trial[CONTA],$B161)</f>
        <v>0</v>
      </c>
      <c r="M161" s="78">
        <f t="shared" ca="1" si="94"/>
        <v>0</v>
      </c>
      <c r="N161" s="78">
        <f t="shared" ca="1" si="95"/>
        <v>0</v>
      </c>
      <c r="O161" s="4">
        <f ca="1">-SUMIFS(INDIRECT("Tab_00.Trial["&amp;O$4&amp;"]"),Tab_00.Trial[CONTA],$B161)</f>
        <v>0</v>
      </c>
      <c r="P161" s="78">
        <f t="shared" ca="1" si="126"/>
        <v>0</v>
      </c>
      <c r="Q161" s="78">
        <f t="shared" ca="1" si="127"/>
        <v>0</v>
      </c>
      <c r="R161" s="4">
        <f ca="1">-SUMIFS(INDIRECT("Tab_00.Trial["&amp;R$4&amp;"]"),Tab_00.Trial[CONTA],$B161)</f>
        <v>0</v>
      </c>
      <c r="S161" s="78">
        <f t="shared" ca="1" si="98"/>
        <v>0</v>
      </c>
      <c r="T161" s="78">
        <f t="shared" ca="1" si="99"/>
        <v>0</v>
      </c>
      <c r="U161" s="4">
        <f ca="1">-SUMIFS(INDIRECT("Tab_00.Trial["&amp;U$4&amp;"]"),Tab_00.Trial[CONTA],$B161)</f>
        <v>0</v>
      </c>
      <c r="V161" s="78">
        <f t="shared" ca="1" si="100"/>
        <v>0</v>
      </c>
      <c r="W161" s="78">
        <f t="shared" ca="1" si="101"/>
        <v>0</v>
      </c>
      <c r="X161" s="4">
        <f ca="1">-SUMIFS(INDIRECT("Tab_00.Trial["&amp;X$4&amp;"]"),Tab_00.Trial[CONTA],$B161)</f>
        <v>0</v>
      </c>
      <c r="Y161" s="78">
        <f t="shared" ca="1" si="128"/>
        <v>0</v>
      </c>
      <c r="Z161" s="78">
        <f t="shared" ca="1" si="129"/>
        <v>0</v>
      </c>
      <c r="AA161" s="4">
        <f ca="1">-SUMIFS(INDIRECT("Tab_00.Trial["&amp;AA$4&amp;"]"),Tab_00.Trial[CONTA],$B161)</f>
        <v>0</v>
      </c>
      <c r="AB161" s="78">
        <f t="shared" ca="1" si="104"/>
        <v>0</v>
      </c>
      <c r="AC161" s="78">
        <f t="shared" ca="1" si="105"/>
        <v>0</v>
      </c>
      <c r="AD161" s="4">
        <f ca="1">-SUMIFS(INDIRECT("Tab_00.Trial["&amp;AD$4&amp;"]"),Tab_00.Trial[CONTA],$B161)</f>
        <v>0</v>
      </c>
      <c r="AE161" s="78">
        <f t="shared" ca="1" si="106"/>
        <v>0</v>
      </c>
      <c r="AF161" s="78">
        <f t="shared" ca="1" si="107"/>
        <v>0</v>
      </c>
      <c r="AG161" s="4">
        <f ca="1">-SUMIFS(INDIRECT("Tab_00.Trial["&amp;AG$4&amp;"]"),Tab_00.Trial[CONTA],$B161)</f>
        <v>0</v>
      </c>
      <c r="AH161" s="78">
        <f t="shared" ca="1" si="108"/>
        <v>0</v>
      </c>
      <c r="AI161" s="78">
        <f t="shared" ca="1" si="109"/>
        <v>0</v>
      </c>
      <c r="AJ161" s="4">
        <f ca="1">-SUMIFS(INDIRECT("Tab_00.Trial["&amp;AJ$4&amp;"]"),Tab_00.Trial[CONTA],$B161)</f>
        <v>0</v>
      </c>
      <c r="AK161" s="78">
        <f t="shared" ca="1" si="110"/>
        <v>0</v>
      </c>
      <c r="AL161" s="78">
        <f t="shared" ca="1" si="111"/>
        <v>0</v>
      </c>
    </row>
    <row r="162" spans="2:38" ht="15" customHeight="1" outlineLevel="1" x14ac:dyDescent="0.3">
      <c r="B162" s="14"/>
      <c r="C162" s="14"/>
      <c r="D162" s="4">
        <f ca="1">-SUMIFS(INDIRECT("Tab_00.Trial["&amp;D$4&amp;"]"),Tab_00.Trial[CONTA],$B162)</f>
        <v>0</v>
      </c>
      <c r="E162" s="78">
        <f t="shared" ca="1" si="124"/>
        <v>0</v>
      </c>
      <c r="F162" s="4">
        <f ca="1">-SUMIFS(INDIRECT("Tab_00.Trial["&amp;F$4&amp;"]"),Tab_00.Trial[CONTA],$B162)</f>
        <v>0</v>
      </c>
      <c r="G162" s="78">
        <f t="shared" ca="1" si="91"/>
        <v>0</v>
      </c>
      <c r="H162" s="78">
        <f t="shared" ca="1" si="125"/>
        <v>0</v>
      </c>
      <c r="I162" s="4">
        <f ca="1">-SUMIFS(INDIRECT("Tab_00.Trial["&amp;I$4&amp;"]"),Tab_00.Trial[CONTA],$B162)</f>
        <v>0</v>
      </c>
      <c r="J162" s="78">
        <f t="shared" ca="1" si="92"/>
        <v>0</v>
      </c>
      <c r="K162" s="78">
        <f t="shared" ca="1" si="93"/>
        <v>0</v>
      </c>
      <c r="L162" s="4">
        <f ca="1">-SUMIFS(INDIRECT("Tab_00.Trial["&amp;L$4&amp;"]"),Tab_00.Trial[CONTA],$B162)</f>
        <v>0</v>
      </c>
      <c r="M162" s="78">
        <f t="shared" ca="1" si="94"/>
        <v>0</v>
      </c>
      <c r="N162" s="78">
        <f t="shared" ca="1" si="95"/>
        <v>0</v>
      </c>
      <c r="O162" s="4">
        <f ca="1">-SUMIFS(INDIRECT("Tab_00.Trial["&amp;O$4&amp;"]"),Tab_00.Trial[CONTA],$B162)</f>
        <v>0</v>
      </c>
      <c r="P162" s="78">
        <f t="shared" ca="1" si="126"/>
        <v>0</v>
      </c>
      <c r="Q162" s="78">
        <f t="shared" ca="1" si="127"/>
        <v>0</v>
      </c>
      <c r="R162" s="4">
        <f ca="1">-SUMIFS(INDIRECT("Tab_00.Trial["&amp;R$4&amp;"]"),Tab_00.Trial[CONTA],$B162)</f>
        <v>0</v>
      </c>
      <c r="S162" s="78">
        <f t="shared" ca="1" si="98"/>
        <v>0</v>
      </c>
      <c r="T162" s="78">
        <f t="shared" ca="1" si="99"/>
        <v>0</v>
      </c>
      <c r="U162" s="4">
        <f ca="1">-SUMIFS(INDIRECT("Tab_00.Trial["&amp;U$4&amp;"]"),Tab_00.Trial[CONTA],$B162)</f>
        <v>0</v>
      </c>
      <c r="V162" s="78">
        <f t="shared" ca="1" si="100"/>
        <v>0</v>
      </c>
      <c r="W162" s="78">
        <f t="shared" ca="1" si="101"/>
        <v>0</v>
      </c>
      <c r="X162" s="4">
        <f ca="1">-SUMIFS(INDIRECT("Tab_00.Trial["&amp;X$4&amp;"]"),Tab_00.Trial[CONTA],$B162)</f>
        <v>0</v>
      </c>
      <c r="Y162" s="78">
        <f t="shared" ca="1" si="128"/>
        <v>0</v>
      </c>
      <c r="Z162" s="78">
        <f t="shared" ca="1" si="129"/>
        <v>0</v>
      </c>
      <c r="AA162" s="4">
        <f ca="1">-SUMIFS(INDIRECT("Tab_00.Trial["&amp;AA$4&amp;"]"),Tab_00.Trial[CONTA],$B162)</f>
        <v>0</v>
      </c>
      <c r="AB162" s="78">
        <f t="shared" ca="1" si="104"/>
        <v>0</v>
      </c>
      <c r="AC162" s="78">
        <f t="shared" ca="1" si="105"/>
        <v>0</v>
      </c>
      <c r="AD162" s="4">
        <f ca="1">-SUMIFS(INDIRECT("Tab_00.Trial["&amp;AD$4&amp;"]"),Tab_00.Trial[CONTA],$B162)</f>
        <v>0</v>
      </c>
      <c r="AE162" s="78">
        <f t="shared" ca="1" si="106"/>
        <v>0</v>
      </c>
      <c r="AF162" s="78">
        <f t="shared" ca="1" si="107"/>
        <v>0</v>
      </c>
      <c r="AG162" s="4">
        <f ca="1">-SUMIFS(INDIRECT("Tab_00.Trial["&amp;AG$4&amp;"]"),Tab_00.Trial[CONTA],$B162)</f>
        <v>0</v>
      </c>
      <c r="AH162" s="78">
        <f t="shared" ca="1" si="108"/>
        <v>0</v>
      </c>
      <c r="AI162" s="78">
        <f t="shared" ca="1" si="109"/>
        <v>0</v>
      </c>
      <c r="AJ162" s="4">
        <f ca="1">-SUMIFS(INDIRECT("Tab_00.Trial["&amp;AJ$4&amp;"]"),Tab_00.Trial[CONTA],$B162)</f>
        <v>0</v>
      </c>
      <c r="AK162" s="78">
        <f t="shared" ca="1" si="110"/>
        <v>0</v>
      </c>
      <c r="AL162" s="78">
        <f t="shared" ca="1" si="111"/>
        <v>0</v>
      </c>
    </row>
    <row r="163" spans="2:38" ht="15" customHeight="1" outlineLevel="1" x14ac:dyDescent="0.3">
      <c r="B163" s="14"/>
      <c r="C163" s="14"/>
      <c r="D163" s="4">
        <f ca="1">-SUMIFS(INDIRECT("Tab_00.Trial["&amp;D$4&amp;"]"),Tab_00.Trial[CONTA],$B163)</f>
        <v>0</v>
      </c>
      <c r="E163" s="78">
        <f t="shared" ca="1" si="124"/>
        <v>0</v>
      </c>
      <c r="F163" s="4">
        <f ca="1">-SUMIFS(INDIRECT("Tab_00.Trial["&amp;F$4&amp;"]"),Tab_00.Trial[CONTA],$B163)</f>
        <v>0</v>
      </c>
      <c r="G163" s="78">
        <f t="shared" ca="1" si="91"/>
        <v>0</v>
      </c>
      <c r="H163" s="78">
        <f t="shared" ca="1" si="125"/>
        <v>0</v>
      </c>
      <c r="I163" s="4">
        <f ca="1">-SUMIFS(INDIRECT("Tab_00.Trial["&amp;I$4&amp;"]"),Tab_00.Trial[CONTA],$B163)</f>
        <v>0</v>
      </c>
      <c r="J163" s="78">
        <f t="shared" ca="1" si="92"/>
        <v>0</v>
      </c>
      <c r="K163" s="78">
        <f t="shared" ca="1" si="93"/>
        <v>0</v>
      </c>
      <c r="L163" s="4">
        <f ca="1">-SUMIFS(INDIRECT("Tab_00.Trial["&amp;L$4&amp;"]"),Tab_00.Trial[CONTA],$B163)</f>
        <v>0</v>
      </c>
      <c r="M163" s="78">
        <f t="shared" ca="1" si="94"/>
        <v>0</v>
      </c>
      <c r="N163" s="78">
        <f t="shared" ca="1" si="95"/>
        <v>0</v>
      </c>
      <c r="O163" s="4">
        <f ca="1">-SUMIFS(INDIRECT("Tab_00.Trial["&amp;O$4&amp;"]"),Tab_00.Trial[CONTA],$B163)</f>
        <v>0</v>
      </c>
      <c r="P163" s="78">
        <f t="shared" ca="1" si="126"/>
        <v>0</v>
      </c>
      <c r="Q163" s="78">
        <f t="shared" ca="1" si="127"/>
        <v>0</v>
      </c>
      <c r="R163" s="4">
        <f ca="1">-SUMIFS(INDIRECT("Tab_00.Trial["&amp;R$4&amp;"]"),Tab_00.Trial[CONTA],$B163)</f>
        <v>0</v>
      </c>
      <c r="S163" s="78">
        <f t="shared" ca="1" si="98"/>
        <v>0</v>
      </c>
      <c r="T163" s="78">
        <f t="shared" ca="1" si="99"/>
        <v>0</v>
      </c>
      <c r="U163" s="4">
        <f ca="1">-SUMIFS(INDIRECT("Tab_00.Trial["&amp;U$4&amp;"]"),Tab_00.Trial[CONTA],$B163)</f>
        <v>0</v>
      </c>
      <c r="V163" s="78">
        <f t="shared" ca="1" si="100"/>
        <v>0</v>
      </c>
      <c r="W163" s="78">
        <f t="shared" ca="1" si="101"/>
        <v>0</v>
      </c>
      <c r="X163" s="4">
        <f ca="1">-SUMIFS(INDIRECT("Tab_00.Trial["&amp;X$4&amp;"]"),Tab_00.Trial[CONTA],$B163)</f>
        <v>0</v>
      </c>
      <c r="Y163" s="78">
        <f t="shared" ca="1" si="128"/>
        <v>0</v>
      </c>
      <c r="Z163" s="78">
        <f t="shared" ca="1" si="129"/>
        <v>0</v>
      </c>
      <c r="AA163" s="4">
        <f ca="1">-SUMIFS(INDIRECT("Tab_00.Trial["&amp;AA$4&amp;"]"),Tab_00.Trial[CONTA],$B163)</f>
        <v>0</v>
      </c>
      <c r="AB163" s="78">
        <f t="shared" ca="1" si="104"/>
        <v>0</v>
      </c>
      <c r="AC163" s="78">
        <f t="shared" ca="1" si="105"/>
        <v>0</v>
      </c>
      <c r="AD163" s="4">
        <f ca="1">-SUMIFS(INDIRECT("Tab_00.Trial["&amp;AD$4&amp;"]"),Tab_00.Trial[CONTA],$B163)</f>
        <v>0</v>
      </c>
      <c r="AE163" s="78">
        <f t="shared" ca="1" si="106"/>
        <v>0</v>
      </c>
      <c r="AF163" s="78">
        <f t="shared" ca="1" si="107"/>
        <v>0</v>
      </c>
      <c r="AG163" s="4">
        <f ca="1">-SUMIFS(INDIRECT("Tab_00.Trial["&amp;AG$4&amp;"]"),Tab_00.Trial[CONTA],$B163)</f>
        <v>0</v>
      </c>
      <c r="AH163" s="78">
        <f t="shared" ca="1" si="108"/>
        <v>0</v>
      </c>
      <c r="AI163" s="78">
        <f t="shared" ca="1" si="109"/>
        <v>0</v>
      </c>
      <c r="AJ163" s="4">
        <f ca="1">-SUMIFS(INDIRECT("Tab_00.Trial["&amp;AJ$4&amp;"]"),Tab_00.Trial[CONTA],$B163)</f>
        <v>0</v>
      </c>
      <c r="AK163" s="78">
        <f t="shared" ca="1" si="110"/>
        <v>0</v>
      </c>
      <c r="AL163" s="78">
        <f t="shared" ca="1" si="111"/>
        <v>0</v>
      </c>
    </row>
    <row r="164" spans="2:38" ht="15" customHeight="1" outlineLevel="1" x14ac:dyDescent="0.3">
      <c r="B164" s="14"/>
      <c r="C164" s="14"/>
      <c r="D164" s="4">
        <f ca="1">-SUMIFS(INDIRECT("Tab_00.Trial["&amp;D$4&amp;"]"),Tab_00.Trial[CONTA],$B164)</f>
        <v>0</v>
      </c>
      <c r="E164" s="78">
        <f t="shared" ca="1" si="124"/>
        <v>0</v>
      </c>
      <c r="F164" s="4">
        <f ca="1">-SUMIFS(INDIRECT("Tab_00.Trial["&amp;F$4&amp;"]"),Tab_00.Trial[CONTA],$B164)</f>
        <v>0</v>
      </c>
      <c r="G164" s="78">
        <f t="shared" ca="1" si="91"/>
        <v>0</v>
      </c>
      <c r="H164" s="78">
        <f t="shared" ca="1" si="125"/>
        <v>0</v>
      </c>
      <c r="I164" s="4">
        <f ca="1">-SUMIFS(INDIRECT("Tab_00.Trial["&amp;I$4&amp;"]"),Tab_00.Trial[CONTA],$B164)</f>
        <v>0</v>
      </c>
      <c r="J164" s="78">
        <f t="shared" ca="1" si="92"/>
        <v>0</v>
      </c>
      <c r="K164" s="78">
        <f t="shared" ca="1" si="93"/>
        <v>0</v>
      </c>
      <c r="L164" s="4">
        <f ca="1">-SUMIFS(INDIRECT("Tab_00.Trial["&amp;L$4&amp;"]"),Tab_00.Trial[CONTA],$B164)</f>
        <v>0</v>
      </c>
      <c r="M164" s="78">
        <f t="shared" ca="1" si="94"/>
        <v>0</v>
      </c>
      <c r="N164" s="78">
        <f t="shared" ca="1" si="95"/>
        <v>0</v>
      </c>
      <c r="O164" s="4">
        <f ca="1">-SUMIFS(INDIRECT("Tab_00.Trial["&amp;O$4&amp;"]"),Tab_00.Trial[CONTA],$B164)</f>
        <v>0</v>
      </c>
      <c r="P164" s="78">
        <f t="shared" ca="1" si="126"/>
        <v>0</v>
      </c>
      <c r="Q164" s="78">
        <f t="shared" ca="1" si="127"/>
        <v>0</v>
      </c>
      <c r="R164" s="4">
        <f ca="1">-SUMIFS(INDIRECT("Tab_00.Trial["&amp;R$4&amp;"]"),Tab_00.Trial[CONTA],$B164)</f>
        <v>0</v>
      </c>
      <c r="S164" s="78">
        <f t="shared" ca="1" si="98"/>
        <v>0</v>
      </c>
      <c r="T164" s="78">
        <f t="shared" ca="1" si="99"/>
        <v>0</v>
      </c>
      <c r="U164" s="4">
        <f ca="1">-SUMIFS(INDIRECT("Tab_00.Trial["&amp;U$4&amp;"]"),Tab_00.Trial[CONTA],$B164)</f>
        <v>0</v>
      </c>
      <c r="V164" s="78">
        <f t="shared" ca="1" si="100"/>
        <v>0</v>
      </c>
      <c r="W164" s="78">
        <f t="shared" ca="1" si="101"/>
        <v>0</v>
      </c>
      <c r="X164" s="4">
        <f ca="1">-SUMIFS(INDIRECT("Tab_00.Trial["&amp;X$4&amp;"]"),Tab_00.Trial[CONTA],$B164)</f>
        <v>0</v>
      </c>
      <c r="Y164" s="78">
        <f t="shared" ca="1" si="128"/>
        <v>0</v>
      </c>
      <c r="Z164" s="78">
        <f t="shared" ca="1" si="129"/>
        <v>0</v>
      </c>
      <c r="AA164" s="4">
        <f ca="1">-SUMIFS(INDIRECT("Tab_00.Trial["&amp;AA$4&amp;"]"),Tab_00.Trial[CONTA],$B164)</f>
        <v>0</v>
      </c>
      <c r="AB164" s="78">
        <f t="shared" ca="1" si="104"/>
        <v>0</v>
      </c>
      <c r="AC164" s="78">
        <f t="shared" ca="1" si="105"/>
        <v>0</v>
      </c>
      <c r="AD164" s="4">
        <f ca="1">-SUMIFS(INDIRECT("Tab_00.Trial["&amp;AD$4&amp;"]"),Tab_00.Trial[CONTA],$B164)</f>
        <v>0</v>
      </c>
      <c r="AE164" s="78">
        <f t="shared" ca="1" si="106"/>
        <v>0</v>
      </c>
      <c r="AF164" s="78">
        <f t="shared" ca="1" si="107"/>
        <v>0</v>
      </c>
      <c r="AG164" s="4">
        <f ca="1">-SUMIFS(INDIRECT("Tab_00.Trial["&amp;AG$4&amp;"]"),Tab_00.Trial[CONTA],$B164)</f>
        <v>0</v>
      </c>
      <c r="AH164" s="78">
        <f t="shared" ca="1" si="108"/>
        <v>0</v>
      </c>
      <c r="AI164" s="78">
        <f t="shared" ca="1" si="109"/>
        <v>0</v>
      </c>
      <c r="AJ164" s="4">
        <f ca="1">-SUMIFS(INDIRECT("Tab_00.Trial["&amp;AJ$4&amp;"]"),Tab_00.Trial[CONTA],$B164)</f>
        <v>0</v>
      </c>
      <c r="AK164" s="78">
        <f t="shared" ca="1" si="110"/>
        <v>0</v>
      </c>
      <c r="AL164" s="78">
        <f t="shared" ca="1" si="111"/>
        <v>0</v>
      </c>
    </row>
    <row r="165" spans="2:38" ht="5.0999999999999996" customHeight="1" outlineLevel="1" x14ac:dyDescent="0.3">
      <c r="B165" s="74"/>
      <c r="C165" s="75"/>
      <c r="D165" s="76"/>
      <c r="E165" s="77"/>
      <c r="F165" s="76"/>
      <c r="G165" s="77"/>
      <c r="H165" s="77"/>
      <c r="I165" s="76"/>
      <c r="J165" s="77"/>
      <c r="K165" s="77"/>
      <c r="L165" s="76"/>
      <c r="M165" s="77"/>
      <c r="N165" s="77"/>
      <c r="O165" s="76"/>
      <c r="P165" s="77"/>
      <c r="Q165" s="77"/>
      <c r="R165" s="76"/>
      <c r="S165" s="77"/>
      <c r="T165" s="77"/>
      <c r="U165" s="76"/>
      <c r="V165" s="77"/>
      <c r="W165" s="77"/>
      <c r="X165" s="76"/>
      <c r="Y165" s="77"/>
      <c r="Z165" s="77"/>
      <c r="AA165" s="76"/>
      <c r="AB165" s="77"/>
      <c r="AC165" s="77"/>
      <c r="AD165" s="76"/>
      <c r="AE165" s="77"/>
      <c r="AF165" s="77"/>
      <c r="AG165" s="76"/>
      <c r="AH165" s="77"/>
      <c r="AI165" s="77"/>
      <c r="AJ165" s="76"/>
      <c r="AK165" s="77"/>
      <c r="AL165" s="77"/>
    </row>
    <row r="166" spans="2:38" ht="15" customHeight="1" x14ac:dyDescent="0.3">
      <c r="B166" s="3" t="s">
        <v>108</v>
      </c>
      <c r="C166" s="3" t="s">
        <v>149</v>
      </c>
      <c r="D166" s="4">
        <f ca="1">SUBTOTAL(9,D$167:D$172)</f>
        <v>-1075.6099999999999</v>
      </c>
      <c r="E166" s="78">
        <f t="shared" ref="E166:E171" ca="1" si="130">IFERROR($D166/$D$6,0)</f>
        <v>-1.1000000000000001E-3</v>
      </c>
      <c r="F166" s="4">
        <f ca="1">SUBTOTAL(9,F$167:F$172)</f>
        <v>-2404.58</v>
      </c>
      <c r="G166" s="78">
        <f ca="1">IFERROR($F166/$F$6,0)</f>
        <v>-1.1999999999999999E-3</v>
      </c>
      <c r="H166" s="78">
        <f t="shared" ref="H166:H171" ca="1" si="131">IFERROR(($F166-$D166)/ABS($D166),0)</f>
        <v>-1.2356</v>
      </c>
      <c r="I166" s="4">
        <f ca="1">SUBTOTAL(9,I$167:I$172)</f>
        <v>-15412.24</v>
      </c>
      <c r="J166" s="78">
        <f ca="1">IFERROR($I166/$I$6,0)</f>
        <v>-5.1999999999999998E-3</v>
      </c>
      <c r="K166" s="78">
        <f ca="1">IFERROR(($I166-$F166)/ABS($F166),0)</f>
        <v>-5.4095000000000004</v>
      </c>
      <c r="L166" s="4">
        <f ca="1">SUBTOTAL(9,L$167:L$172)</f>
        <v>-15412.24</v>
      </c>
      <c r="M166" s="78">
        <f ca="1">IFERROR($L166/$L$6,0)</f>
        <v>-3.8E-3</v>
      </c>
      <c r="N166" s="78">
        <f ca="1">IFERROR(($L166-$I166)/ABS($I166),0)</f>
        <v>0</v>
      </c>
      <c r="O166" s="4">
        <f ca="1">SUBTOTAL(9,O$167:O$172)</f>
        <v>-15527.74</v>
      </c>
      <c r="P166" s="78">
        <f ca="1">IFERROR($O166/$O$6,0)</f>
        <v>-2.8999999999999998E-3</v>
      </c>
      <c r="Q166" s="78">
        <f ca="1">IFERROR(($O166-$L166)/ABS($L166),0)</f>
        <v>-7.4999999999999997E-3</v>
      </c>
      <c r="R166" s="4">
        <f ca="1">SUBTOTAL(9,R$167:R$172)</f>
        <v>-15527.74</v>
      </c>
      <c r="S166" s="78">
        <f ca="1">IFERROR($R166/$R$6,0)</f>
        <v>-2.5000000000000001E-3</v>
      </c>
      <c r="T166" s="78">
        <f ca="1">IFERROR(($R166-$O166)/ABS($O166),0)</f>
        <v>0</v>
      </c>
      <c r="U166" s="4">
        <f ca="1">SUBTOTAL(9,U$167:U$172)</f>
        <v>-15527.74</v>
      </c>
      <c r="V166" s="78">
        <f ca="1">IFERROR($U166/$U$6,0)</f>
        <v>-2.0999999999999999E-3</v>
      </c>
      <c r="W166" s="78">
        <f ca="1">IFERROR(($U166-$R166)/ABS($R166),0)</f>
        <v>0</v>
      </c>
      <c r="X166" s="4">
        <f ca="1">SUBTOTAL(9,X$167:X$172)</f>
        <v>-15527.74</v>
      </c>
      <c r="Y166" s="78">
        <f ca="1">IFERROR($X166/$X$6,0)</f>
        <v>-1.8E-3</v>
      </c>
      <c r="Z166" s="78">
        <f ca="1">IFERROR(($X166-$U166)/ABS($U166),0)</f>
        <v>0</v>
      </c>
      <c r="AA166" s="4">
        <f ca="1">SUBTOTAL(9,AA$167:AA$172)</f>
        <v>-15527.74</v>
      </c>
      <c r="AB166" s="78">
        <f ca="1">IFERROR($AA166/$AA$6,0)</f>
        <v>-1.6999999999999999E-3</v>
      </c>
      <c r="AC166" s="78">
        <f ca="1">IFERROR(($AA166-$X166)/ABS($X166),0)</f>
        <v>0</v>
      </c>
      <c r="AD166" s="4">
        <f ca="1">SUBTOTAL(9,AD$167:AD$172)</f>
        <v>-15527.74</v>
      </c>
      <c r="AE166" s="78">
        <f ca="1">IFERROR($AD166/$AD$6,0)</f>
        <v>-1.5E-3</v>
      </c>
      <c r="AF166" s="78">
        <f ca="1">IFERROR(($AD166-$AA166)/ABS($AA166),0)</f>
        <v>0</v>
      </c>
      <c r="AG166" s="4">
        <f ca="1">SUBTOTAL(9,AG$167:AG$172)</f>
        <v>-16854.34</v>
      </c>
      <c r="AH166" s="78">
        <f ca="1">IFERROR($AG166/$AG$6,0)</f>
        <v>-1.5E-3</v>
      </c>
      <c r="AI166" s="78">
        <f ca="1">IFERROR(($AG166-$AD166)/ABS($AD166),0)</f>
        <v>-8.5400000000000004E-2</v>
      </c>
      <c r="AJ166" s="4">
        <f ca="1">SUBTOTAL(9,AJ$167:AJ$172)</f>
        <v>-16854.34</v>
      </c>
      <c r="AK166" s="78">
        <f ca="1">IFERROR($AJ166/$AJ$6,0)</f>
        <v>-1.2999999999999999E-3</v>
      </c>
      <c r="AL166" s="78">
        <f ca="1">IFERROR(($AJ166-$AG166)/ABS($AG166),0)</f>
        <v>0</v>
      </c>
    </row>
    <row r="167" spans="2:38" ht="15" customHeight="1" outlineLevel="1" x14ac:dyDescent="0.3">
      <c r="B167" s="14" t="s">
        <v>522</v>
      </c>
      <c r="C167" s="14" t="s">
        <v>523</v>
      </c>
      <c r="D167" s="4">
        <f ca="1">-SUMIFS(INDIRECT("Tab_00.Trial["&amp;D$4&amp;"]"),Tab_00.Trial[CONTA],$B167)</f>
        <v>-1075.6099999999999</v>
      </c>
      <c r="E167" s="78">
        <f t="shared" ca="1" si="130"/>
        <v>-1.1000000000000001E-3</v>
      </c>
      <c r="F167" s="4">
        <f ca="1">-SUMIFS(INDIRECT("Tab_00.Trial["&amp;F$4&amp;"]"),Tab_00.Trial[CONTA],$B167)</f>
        <v>-2404.58</v>
      </c>
      <c r="G167" s="78">
        <f t="shared" ca="1" si="91"/>
        <v>-1.1999999999999999E-3</v>
      </c>
      <c r="H167" s="78">
        <f t="shared" ca="1" si="131"/>
        <v>-1.2356</v>
      </c>
      <c r="I167" s="4">
        <f ca="1">-SUMIFS(INDIRECT("Tab_00.Trial["&amp;I$4&amp;"]"),Tab_00.Trial[CONTA],$B167)</f>
        <v>-15412.24</v>
      </c>
      <c r="J167" s="78">
        <f t="shared" ca="1" si="92"/>
        <v>-5.1999999999999998E-3</v>
      </c>
      <c r="K167" s="78">
        <f t="shared" ca="1" si="93"/>
        <v>-5.4095000000000004</v>
      </c>
      <c r="L167" s="4">
        <f ca="1">-SUMIFS(INDIRECT("Tab_00.Trial["&amp;L$4&amp;"]"),Tab_00.Trial[CONTA],$B167)</f>
        <v>-15412.24</v>
      </c>
      <c r="M167" s="78">
        <f t="shared" ca="1" si="94"/>
        <v>-3.8E-3</v>
      </c>
      <c r="N167" s="78">
        <f t="shared" ca="1" si="95"/>
        <v>0</v>
      </c>
      <c r="O167" s="4">
        <f ca="1">-SUMIFS(INDIRECT("Tab_00.Trial["&amp;O$4&amp;"]"),Tab_00.Trial[CONTA],$B167)</f>
        <v>-15527.74</v>
      </c>
      <c r="P167" s="78">
        <f t="shared" ref="P167:P171" ca="1" si="132">IFERROR($O167/$O$6,0)</f>
        <v>-2.8999999999999998E-3</v>
      </c>
      <c r="Q167" s="78">
        <f t="shared" ref="Q167:Q171" ca="1" si="133">IFERROR(($O167-$L167)/ABS($L167),0)</f>
        <v>-7.4999999999999997E-3</v>
      </c>
      <c r="R167" s="4">
        <f ca="1">-SUMIFS(INDIRECT("Tab_00.Trial["&amp;R$4&amp;"]"),Tab_00.Trial[CONTA],$B167)</f>
        <v>-15527.74</v>
      </c>
      <c r="S167" s="78">
        <f t="shared" ca="1" si="98"/>
        <v>-2.5000000000000001E-3</v>
      </c>
      <c r="T167" s="78">
        <f t="shared" ca="1" si="99"/>
        <v>0</v>
      </c>
      <c r="U167" s="4">
        <f ca="1">-SUMIFS(INDIRECT("Tab_00.Trial["&amp;U$4&amp;"]"),Tab_00.Trial[CONTA],$B167)</f>
        <v>-15527.74</v>
      </c>
      <c r="V167" s="78">
        <f t="shared" ca="1" si="100"/>
        <v>-2.0999999999999999E-3</v>
      </c>
      <c r="W167" s="78">
        <f t="shared" ca="1" si="101"/>
        <v>0</v>
      </c>
      <c r="X167" s="4">
        <f ca="1">-SUMIFS(INDIRECT("Tab_00.Trial["&amp;X$4&amp;"]"),Tab_00.Trial[CONTA],$B167)</f>
        <v>-15527.74</v>
      </c>
      <c r="Y167" s="78">
        <f t="shared" ref="Y167:Y171" ca="1" si="134">IFERROR($X167/$X$6,0)</f>
        <v>-1.8E-3</v>
      </c>
      <c r="Z167" s="78">
        <f t="shared" ref="Z167:Z171" ca="1" si="135">IFERROR(($X167-$U167)/ABS($U167),0)</f>
        <v>0</v>
      </c>
      <c r="AA167" s="4">
        <f ca="1">-SUMIFS(INDIRECT("Tab_00.Trial["&amp;AA$4&amp;"]"),Tab_00.Trial[CONTA],$B167)</f>
        <v>-15527.74</v>
      </c>
      <c r="AB167" s="78">
        <f t="shared" ca="1" si="104"/>
        <v>-1.6999999999999999E-3</v>
      </c>
      <c r="AC167" s="78">
        <f t="shared" ca="1" si="105"/>
        <v>0</v>
      </c>
      <c r="AD167" s="4">
        <f ca="1">-SUMIFS(INDIRECT("Tab_00.Trial["&amp;AD$4&amp;"]"),Tab_00.Trial[CONTA],$B167)</f>
        <v>-15527.74</v>
      </c>
      <c r="AE167" s="78">
        <f t="shared" ca="1" si="106"/>
        <v>-1.5E-3</v>
      </c>
      <c r="AF167" s="78">
        <f t="shared" ca="1" si="107"/>
        <v>0</v>
      </c>
      <c r="AG167" s="4">
        <f ca="1">-SUMIFS(INDIRECT("Tab_00.Trial["&amp;AG$4&amp;"]"),Tab_00.Trial[CONTA],$B167)</f>
        <v>-16854.34</v>
      </c>
      <c r="AH167" s="78">
        <f t="shared" ca="1" si="108"/>
        <v>-1.5E-3</v>
      </c>
      <c r="AI167" s="78">
        <f t="shared" ca="1" si="109"/>
        <v>-8.5400000000000004E-2</v>
      </c>
      <c r="AJ167" s="4">
        <f ca="1">-SUMIFS(INDIRECT("Tab_00.Trial["&amp;AJ$4&amp;"]"),Tab_00.Trial[CONTA],$B167)</f>
        <v>-16854.34</v>
      </c>
      <c r="AK167" s="78">
        <f t="shared" ca="1" si="110"/>
        <v>-1.2999999999999999E-3</v>
      </c>
      <c r="AL167" s="78">
        <f t="shared" ca="1" si="111"/>
        <v>0</v>
      </c>
    </row>
    <row r="168" spans="2:38" ht="15" customHeight="1" outlineLevel="1" x14ac:dyDescent="0.3">
      <c r="B168" s="14" t="s">
        <v>526</v>
      </c>
      <c r="C168" s="14" t="s">
        <v>527</v>
      </c>
      <c r="D168" s="4">
        <f ca="1">-SUMIFS(INDIRECT("Tab_00.Trial["&amp;D$4&amp;"]"),Tab_00.Trial[CONTA],$B168)</f>
        <v>0</v>
      </c>
      <c r="E168" s="78">
        <f t="shared" ca="1" si="130"/>
        <v>0</v>
      </c>
      <c r="F168" s="4">
        <f ca="1">-SUMIFS(INDIRECT("Tab_00.Trial["&amp;F$4&amp;"]"),Tab_00.Trial[CONTA],$B168)</f>
        <v>0</v>
      </c>
      <c r="G168" s="78">
        <f t="shared" ca="1" si="91"/>
        <v>0</v>
      </c>
      <c r="H168" s="78">
        <f t="shared" ca="1" si="131"/>
        <v>0</v>
      </c>
      <c r="I168" s="4">
        <f ca="1">-SUMIFS(INDIRECT("Tab_00.Trial["&amp;I$4&amp;"]"),Tab_00.Trial[CONTA],$B168)</f>
        <v>0</v>
      </c>
      <c r="J168" s="78">
        <f t="shared" ca="1" si="92"/>
        <v>0</v>
      </c>
      <c r="K168" s="78">
        <f t="shared" ca="1" si="93"/>
        <v>0</v>
      </c>
      <c r="L168" s="4">
        <f ca="1">-SUMIFS(INDIRECT("Tab_00.Trial["&amp;L$4&amp;"]"),Tab_00.Trial[CONTA],$B168)</f>
        <v>0</v>
      </c>
      <c r="M168" s="78">
        <f t="shared" ca="1" si="94"/>
        <v>0</v>
      </c>
      <c r="N168" s="78">
        <f t="shared" ca="1" si="95"/>
        <v>0</v>
      </c>
      <c r="O168" s="4">
        <f ca="1">-SUMIFS(INDIRECT("Tab_00.Trial["&amp;O$4&amp;"]"),Tab_00.Trial[CONTA],$B168)</f>
        <v>0</v>
      </c>
      <c r="P168" s="78">
        <f t="shared" ca="1" si="132"/>
        <v>0</v>
      </c>
      <c r="Q168" s="78">
        <f t="shared" ca="1" si="133"/>
        <v>0</v>
      </c>
      <c r="R168" s="4">
        <f ca="1">-SUMIFS(INDIRECT("Tab_00.Trial["&amp;R$4&amp;"]"),Tab_00.Trial[CONTA],$B168)</f>
        <v>0</v>
      </c>
      <c r="S168" s="78">
        <f t="shared" ca="1" si="98"/>
        <v>0</v>
      </c>
      <c r="T168" s="78">
        <f t="shared" ca="1" si="99"/>
        <v>0</v>
      </c>
      <c r="U168" s="4">
        <f ca="1">-SUMIFS(INDIRECT("Tab_00.Trial["&amp;U$4&amp;"]"),Tab_00.Trial[CONTA],$B168)</f>
        <v>0</v>
      </c>
      <c r="V168" s="78">
        <f t="shared" ca="1" si="100"/>
        <v>0</v>
      </c>
      <c r="W168" s="78">
        <f t="shared" ca="1" si="101"/>
        <v>0</v>
      </c>
      <c r="X168" s="4">
        <f ca="1">-SUMIFS(INDIRECT("Tab_00.Trial["&amp;X$4&amp;"]"),Tab_00.Trial[CONTA],$B168)</f>
        <v>0</v>
      </c>
      <c r="Y168" s="78">
        <f t="shared" ca="1" si="134"/>
        <v>0</v>
      </c>
      <c r="Z168" s="78">
        <f t="shared" ca="1" si="135"/>
        <v>0</v>
      </c>
      <c r="AA168" s="4">
        <f ca="1">-SUMIFS(INDIRECT("Tab_00.Trial["&amp;AA$4&amp;"]"),Tab_00.Trial[CONTA],$B168)</f>
        <v>0</v>
      </c>
      <c r="AB168" s="78">
        <f t="shared" ca="1" si="104"/>
        <v>0</v>
      </c>
      <c r="AC168" s="78">
        <f t="shared" ca="1" si="105"/>
        <v>0</v>
      </c>
      <c r="AD168" s="4">
        <f ca="1">-SUMIFS(INDIRECT("Tab_00.Trial["&amp;AD$4&amp;"]"),Tab_00.Trial[CONTA],$B168)</f>
        <v>0</v>
      </c>
      <c r="AE168" s="78">
        <f t="shared" ca="1" si="106"/>
        <v>0</v>
      </c>
      <c r="AF168" s="78">
        <f t="shared" ca="1" si="107"/>
        <v>0</v>
      </c>
      <c r="AG168" s="4">
        <f ca="1">-SUMIFS(INDIRECT("Tab_00.Trial["&amp;AG$4&amp;"]"),Tab_00.Trial[CONTA],$B168)</f>
        <v>0</v>
      </c>
      <c r="AH168" s="78">
        <f t="shared" ca="1" si="108"/>
        <v>0</v>
      </c>
      <c r="AI168" s="78">
        <f t="shared" ca="1" si="109"/>
        <v>0</v>
      </c>
      <c r="AJ168" s="4">
        <f ca="1">-SUMIFS(INDIRECT("Tab_00.Trial["&amp;AJ$4&amp;"]"),Tab_00.Trial[CONTA],$B168)</f>
        <v>0</v>
      </c>
      <c r="AK168" s="78">
        <f t="shared" ca="1" si="110"/>
        <v>0</v>
      </c>
      <c r="AL168" s="78">
        <f t="shared" ca="1" si="111"/>
        <v>0</v>
      </c>
    </row>
    <row r="169" spans="2:38" ht="15" customHeight="1" outlineLevel="1" x14ac:dyDescent="0.3">
      <c r="B169" s="14"/>
      <c r="C169" s="14"/>
      <c r="D169" s="4">
        <f ca="1">-SUMIFS(INDIRECT("Tab_00.Trial["&amp;D$4&amp;"]"),Tab_00.Trial[CONTA],$B169)</f>
        <v>0</v>
      </c>
      <c r="E169" s="78">
        <f t="shared" ca="1" si="130"/>
        <v>0</v>
      </c>
      <c r="F169" s="4">
        <f ca="1">-SUMIFS(INDIRECT("Tab_00.Trial["&amp;F$4&amp;"]"),Tab_00.Trial[CONTA],$B169)</f>
        <v>0</v>
      </c>
      <c r="G169" s="78">
        <f t="shared" ca="1" si="91"/>
        <v>0</v>
      </c>
      <c r="H169" s="78">
        <f t="shared" ca="1" si="131"/>
        <v>0</v>
      </c>
      <c r="I169" s="4">
        <f ca="1">-SUMIFS(INDIRECT("Tab_00.Trial["&amp;I$4&amp;"]"),Tab_00.Trial[CONTA],$B169)</f>
        <v>0</v>
      </c>
      <c r="J169" s="78">
        <f t="shared" ca="1" si="92"/>
        <v>0</v>
      </c>
      <c r="K169" s="78">
        <f t="shared" ca="1" si="93"/>
        <v>0</v>
      </c>
      <c r="L169" s="4">
        <f ca="1">-SUMIFS(INDIRECT("Tab_00.Trial["&amp;L$4&amp;"]"),Tab_00.Trial[CONTA],$B169)</f>
        <v>0</v>
      </c>
      <c r="M169" s="78">
        <f t="shared" ca="1" si="94"/>
        <v>0</v>
      </c>
      <c r="N169" s="78">
        <f t="shared" ca="1" si="95"/>
        <v>0</v>
      </c>
      <c r="O169" s="4">
        <f ca="1">-SUMIFS(INDIRECT("Tab_00.Trial["&amp;O$4&amp;"]"),Tab_00.Trial[CONTA],$B169)</f>
        <v>0</v>
      </c>
      <c r="P169" s="78">
        <f t="shared" ca="1" si="132"/>
        <v>0</v>
      </c>
      <c r="Q169" s="78">
        <f t="shared" ca="1" si="133"/>
        <v>0</v>
      </c>
      <c r="R169" s="4">
        <f ca="1">-SUMIFS(INDIRECT("Tab_00.Trial["&amp;R$4&amp;"]"),Tab_00.Trial[CONTA],$B169)</f>
        <v>0</v>
      </c>
      <c r="S169" s="78">
        <f t="shared" ca="1" si="98"/>
        <v>0</v>
      </c>
      <c r="T169" s="78">
        <f t="shared" ca="1" si="99"/>
        <v>0</v>
      </c>
      <c r="U169" s="4">
        <f ca="1">-SUMIFS(INDIRECT("Tab_00.Trial["&amp;U$4&amp;"]"),Tab_00.Trial[CONTA],$B169)</f>
        <v>0</v>
      </c>
      <c r="V169" s="78">
        <f t="shared" ca="1" si="100"/>
        <v>0</v>
      </c>
      <c r="W169" s="78">
        <f t="shared" ca="1" si="101"/>
        <v>0</v>
      </c>
      <c r="X169" s="4">
        <f ca="1">-SUMIFS(INDIRECT("Tab_00.Trial["&amp;X$4&amp;"]"),Tab_00.Trial[CONTA],$B169)</f>
        <v>0</v>
      </c>
      <c r="Y169" s="78">
        <f t="shared" ca="1" si="134"/>
        <v>0</v>
      </c>
      <c r="Z169" s="78">
        <f t="shared" ca="1" si="135"/>
        <v>0</v>
      </c>
      <c r="AA169" s="4">
        <f ca="1">-SUMIFS(INDIRECT("Tab_00.Trial["&amp;AA$4&amp;"]"),Tab_00.Trial[CONTA],$B169)</f>
        <v>0</v>
      </c>
      <c r="AB169" s="78">
        <f t="shared" ca="1" si="104"/>
        <v>0</v>
      </c>
      <c r="AC169" s="78">
        <f t="shared" ca="1" si="105"/>
        <v>0</v>
      </c>
      <c r="AD169" s="4">
        <f ca="1">-SUMIFS(INDIRECT("Tab_00.Trial["&amp;AD$4&amp;"]"),Tab_00.Trial[CONTA],$B169)</f>
        <v>0</v>
      </c>
      <c r="AE169" s="78">
        <f t="shared" ca="1" si="106"/>
        <v>0</v>
      </c>
      <c r="AF169" s="78">
        <f t="shared" ca="1" si="107"/>
        <v>0</v>
      </c>
      <c r="AG169" s="4">
        <f ca="1">-SUMIFS(INDIRECT("Tab_00.Trial["&amp;AG$4&amp;"]"),Tab_00.Trial[CONTA],$B169)</f>
        <v>0</v>
      </c>
      <c r="AH169" s="78">
        <f t="shared" ca="1" si="108"/>
        <v>0</v>
      </c>
      <c r="AI169" s="78">
        <f t="shared" ca="1" si="109"/>
        <v>0</v>
      </c>
      <c r="AJ169" s="4">
        <f ca="1">-SUMIFS(INDIRECT("Tab_00.Trial["&amp;AJ$4&amp;"]"),Tab_00.Trial[CONTA],$B169)</f>
        <v>0</v>
      </c>
      <c r="AK169" s="78">
        <f t="shared" ca="1" si="110"/>
        <v>0</v>
      </c>
      <c r="AL169" s="78">
        <f t="shared" ca="1" si="111"/>
        <v>0</v>
      </c>
    </row>
    <row r="170" spans="2:38" ht="15" customHeight="1" outlineLevel="1" x14ac:dyDescent="0.3">
      <c r="B170" s="14"/>
      <c r="C170" s="14"/>
      <c r="D170" s="4">
        <f ca="1">-SUMIFS(INDIRECT("Tab_00.Trial["&amp;D$4&amp;"]"),Tab_00.Trial[CONTA],$B170)</f>
        <v>0</v>
      </c>
      <c r="E170" s="78">
        <f t="shared" ca="1" si="130"/>
        <v>0</v>
      </c>
      <c r="F170" s="4">
        <f ca="1">-SUMIFS(INDIRECT("Tab_00.Trial["&amp;F$4&amp;"]"),Tab_00.Trial[CONTA],$B170)</f>
        <v>0</v>
      </c>
      <c r="G170" s="78">
        <f t="shared" ca="1" si="91"/>
        <v>0</v>
      </c>
      <c r="H170" s="78">
        <f t="shared" ca="1" si="131"/>
        <v>0</v>
      </c>
      <c r="I170" s="4">
        <f ca="1">-SUMIFS(INDIRECT("Tab_00.Trial["&amp;I$4&amp;"]"),Tab_00.Trial[CONTA],$B170)</f>
        <v>0</v>
      </c>
      <c r="J170" s="78">
        <f t="shared" ca="1" si="92"/>
        <v>0</v>
      </c>
      <c r="K170" s="78">
        <f t="shared" ca="1" si="93"/>
        <v>0</v>
      </c>
      <c r="L170" s="4">
        <f ca="1">-SUMIFS(INDIRECT("Tab_00.Trial["&amp;L$4&amp;"]"),Tab_00.Trial[CONTA],$B170)</f>
        <v>0</v>
      </c>
      <c r="M170" s="78">
        <f t="shared" ca="1" si="94"/>
        <v>0</v>
      </c>
      <c r="N170" s="78">
        <f t="shared" ca="1" si="95"/>
        <v>0</v>
      </c>
      <c r="O170" s="4">
        <f ca="1">-SUMIFS(INDIRECT("Tab_00.Trial["&amp;O$4&amp;"]"),Tab_00.Trial[CONTA],$B170)</f>
        <v>0</v>
      </c>
      <c r="P170" s="78">
        <f t="shared" ca="1" si="132"/>
        <v>0</v>
      </c>
      <c r="Q170" s="78">
        <f t="shared" ca="1" si="133"/>
        <v>0</v>
      </c>
      <c r="R170" s="4">
        <f ca="1">-SUMIFS(INDIRECT("Tab_00.Trial["&amp;R$4&amp;"]"),Tab_00.Trial[CONTA],$B170)</f>
        <v>0</v>
      </c>
      <c r="S170" s="78">
        <f t="shared" ca="1" si="98"/>
        <v>0</v>
      </c>
      <c r="T170" s="78">
        <f t="shared" ca="1" si="99"/>
        <v>0</v>
      </c>
      <c r="U170" s="4">
        <f ca="1">-SUMIFS(INDIRECT("Tab_00.Trial["&amp;U$4&amp;"]"),Tab_00.Trial[CONTA],$B170)</f>
        <v>0</v>
      </c>
      <c r="V170" s="78">
        <f t="shared" ca="1" si="100"/>
        <v>0</v>
      </c>
      <c r="W170" s="78">
        <f t="shared" ca="1" si="101"/>
        <v>0</v>
      </c>
      <c r="X170" s="4">
        <f ca="1">-SUMIFS(INDIRECT("Tab_00.Trial["&amp;X$4&amp;"]"),Tab_00.Trial[CONTA],$B170)</f>
        <v>0</v>
      </c>
      <c r="Y170" s="78">
        <f t="shared" ca="1" si="134"/>
        <v>0</v>
      </c>
      <c r="Z170" s="78">
        <f t="shared" ca="1" si="135"/>
        <v>0</v>
      </c>
      <c r="AA170" s="4">
        <f ca="1">-SUMIFS(INDIRECT("Tab_00.Trial["&amp;AA$4&amp;"]"),Tab_00.Trial[CONTA],$B170)</f>
        <v>0</v>
      </c>
      <c r="AB170" s="78">
        <f t="shared" ca="1" si="104"/>
        <v>0</v>
      </c>
      <c r="AC170" s="78">
        <f t="shared" ca="1" si="105"/>
        <v>0</v>
      </c>
      <c r="AD170" s="4">
        <f ca="1">-SUMIFS(INDIRECT("Tab_00.Trial["&amp;AD$4&amp;"]"),Tab_00.Trial[CONTA],$B170)</f>
        <v>0</v>
      </c>
      <c r="AE170" s="78">
        <f t="shared" ca="1" si="106"/>
        <v>0</v>
      </c>
      <c r="AF170" s="78">
        <f t="shared" ca="1" si="107"/>
        <v>0</v>
      </c>
      <c r="AG170" s="4">
        <f ca="1">-SUMIFS(INDIRECT("Tab_00.Trial["&amp;AG$4&amp;"]"),Tab_00.Trial[CONTA],$B170)</f>
        <v>0</v>
      </c>
      <c r="AH170" s="78">
        <f t="shared" ca="1" si="108"/>
        <v>0</v>
      </c>
      <c r="AI170" s="78">
        <f t="shared" ca="1" si="109"/>
        <v>0</v>
      </c>
      <c r="AJ170" s="4">
        <f ca="1">-SUMIFS(INDIRECT("Tab_00.Trial["&amp;AJ$4&amp;"]"),Tab_00.Trial[CONTA],$B170)</f>
        <v>0</v>
      </c>
      <c r="AK170" s="78">
        <f t="shared" ca="1" si="110"/>
        <v>0</v>
      </c>
      <c r="AL170" s="78">
        <f t="shared" ca="1" si="111"/>
        <v>0</v>
      </c>
    </row>
    <row r="171" spans="2:38" ht="15" customHeight="1" outlineLevel="1" x14ac:dyDescent="0.3">
      <c r="B171" s="14"/>
      <c r="C171" s="14"/>
      <c r="D171" s="4">
        <f ca="1">-SUMIFS(INDIRECT("Tab_00.Trial["&amp;D$4&amp;"]"),Tab_00.Trial[CONTA],$B171)</f>
        <v>0</v>
      </c>
      <c r="E171" s="78">
        <f t="shared" ca="1" si="130"/>
        <v>0</v>
      </c>
      <c r="F171" s="4">
        <f ca="1">-SUMIFS(INDIRECT("Tab_00.Trial["&amp;F$4&amp;"]"),Tab_00.Trial[CONTA],$B171)</f>
        <v>0</v>
      </c>
      <c r="G171" s="78">
        <f t="shared" ca="1" si="91"/>
        <v>0</v>
      </c>
      <c r="H171" s="78">
        <f t="shared" ca="1" si="131"/>
        <v>0</v>
      </c>
      <c r="I171" s="4">
        <f ca="1">-SUMIFS(INDIRECT("Tab_00.Trial["&amp;I$4&amp;"]"),Tab_00.Trial[CONTA],$B171)</f>
        <v>0</v>
      </c>
      <c r="J171" s="78">
        <f t="shared" ca="1" si="92"/>
        <v>0</v>
      </c>
      <c r="K171" s="78">
        <f t="shared" ca="1" si="93"/>
        <v>0</v>
      </c>
      <c r="L171" s="4">
        <f ca="1">-SUMIFS(INDIRECT("Tab_00.Trial["&amp;L$4&amp;"]"),Tab_00.Trial[CONTA],$B171)</f>
        <v>0</v>
      </c>
      <c r="M171" s="78">
        <f t="shared" ca="1" si="94"/>
        <v>0</v>
      </c>
      <c r="N171" s="78">
        <f t="shared" ca="1" si="95"/>
        <v>0</v>
      </c>
      <c r="O171" s="4">
        <f ca="1">-SUMIFS(INDIRECT("Tab_00.Trial["&amp;O$4&amp;"]"),Tab_00.Trial[CONTA],$B171)</f>
        <v>0</v>
      </c>
      <c r="P171" s="78">
        <f t="shared" ca="1" si="132"/>
        <v>0</v>
      </c>
      <c r="Q171" s="78">
        <f t="shared" ca="1" si="133"/>
        <v>0</v>
      </c>
      <c r="R171" s="4">
        <f ca="1">-SUMIFS(INDIRECT("Tab_00.Trial["&amp;R$4&amp;"]"),Tab_00.Trial[CONTA],$B171)</f>
        <v>0</v>
      </c>
      <c r="S171" s="78">
        <f t="shared" ca="1" si="98"/>
        <v>0</v>
      </c>
      <c r="T171" s="78">
        <f t="shared" ca="1" si="99"/>
        <v>0</v>
      </c>
      <c r="U171" s="4">
        <f ca="1">-SUMIFS(INDIRECT("Tab_00.Trial["&amp;U$4&amp;"]"),Tab_00.Trial[CONTA],$B171)</f>
        <v>0</v>
      </c>
      <c r="V171" s="78">
        <f t="shared" ca="1" si="100"/>
        <v>0</v>
      </c>
      <c r="W171" s="78">
        <f t="shared" ca="1" si="101"/>
        <v>0</v>
      </c>
      <c r="X171" s="4">
        <f ca="1">-SUMIFS(INDIRECT("Tab_00.Trial["&amp;X$4&amp;"]"),Tab_00.Trial[CONTA],$B171)</f>
        <v>0</v>
      </c>
      <c r="Y171" s="78">
        <f t="shared" ca="1" si="134"/>
        <v>0</v>
      </c>
      <c r="Z171" s="78">
        <f t="shared" ca="1" si="135"/>
        <v>0</v>
      </c>
      <c r="AA171" s="4">
        <f ca="1">-SUMIFS(INDIRECT("Tab_00.Trial["&amp;AA$4&amp;"]"),Tab_00.Trial[CONTA],$B171)</f>
        <v>0</v>
      </c>
      <c r="AB171" s="78">
        <f t="shared" ca="1" si="104"/>
        <v>0</v>
      </c>
      <c r="AC171" s="78">
        <f t="shared" ca="1" si="105"/>
        <v>0</v>
      </c>
      <c r="AD171" s="4">
        <f ca="1">-SUMIFS(INDIRECT("Tab_00.Trial["&amp;AD$4&amp;"]"),Tab_00.Trial[CONTA],$B171)</f>
        <v>0</v>
      </c>
      <c r="AE171" s="78">
        <f t="shared" ca="1" si="106"/>
        <v>0</v>
      </c>
      <c r="AF171" s="78">
        <f t="shared" ca="1" si="107"/>
        <v>0</v>
      </c>
      <c r="AG171" s="4">
        <f ca="1">-SUMIFS(INDIRECT("Tab_00.Trial["&amp;AG$4&amp;"]"),Tab_00.Trial[CONTA],$B171)</f>
        <v>0</v>
      </c>
      <c r="AH171" s="78">
        <f t="shared" ca="1" si="108"/>
        <v>0</v>
      </c>
      <c r="AI171" s="78">
        <f t="shared" ca="1" si="109"/>
        <v>0</v>
      </c>
      <c r="AJ171" s="4">
        <f ca="1">-SUMIFS(INDIRECT("Tab_00.Trial["&amp;AJ$4&amp;"]"),Tab_00.Trial[CONTA],$B171)</f>
        <v>0</v>
      </c>
      <c r="AK171" s="78">
        <f t="shared" ca="1" si="110"/>
        <v>0</v>
      </c>
      <c r="AL171" s="78">
        <f t="shared" ca="1" si="111"/>
        <v>0</v>
      </c>
    </row>
    <row r="172" spans="2:38" ht="5.0999999999999996" customHeight="1" outlineLevel="1" x14ac:dyDescent="0.3">
      <c r="B172" s="74"/>
      <c r="C172" s="75"/>
      <c r="D172" s="76"/>
      <c r="E172" s="77"/>
      <c r="F172" s="76"/>
      <c r="G172" s="77"/>
      <c r="H172" s="77"/>
      <c r="I172" s="76"/>
      <c r="J172" s="77"/>
      <c r="K172" s="77"/>
      <c r="L172" s="76"/>
      <c r="M172" s="77"/>
      <c r="N172" s="77"/>
      <c r="O172" s="76"/>
      <c r="P172" s="77"/>
      <c r="Q172" s="77"/>
      <c r="R172" s="76"/>
      <c r="S172" s="77"/>
      <c r="T172" s="77"/>
      <c r="U172" s="76"/>
      <c r="V172" s="77"/>
      <c r="W172" s="77"/>
      <c r="X172" s="76"/>
      <c r="Y172" s="77"/>
      <c r="Z172" s="77"/>
      <c r="AA172" s="76"/>
      <c r="AB172" s="77"/>
      <c r="AC172" s="77"/>
      <c r="AD172" s="76"/>
      <c r="AE172" s="77"/>
      <c r="AF172" s="77"/>
      <c r="AG172" s="76"/>
      <c r="AH172" s="77"/>
      <c r="AI172" s="77"/>
      <c r="AJ172" s="76"/>
      <c r="AK172" s="77"/>
      <c r="AL172" s="77"/>
    </row>
    <row r="173" spans="2:38" ht="15" customHeight="1" x14ac:dyDescent="0.3">
      <c r="B173" s="3" t="s">
        <v>109</v>
      </c>
      <c r="C173" s="3" t="s">
        <v>150</v>
      </c>
      <c r="D173" s="4">
        <f ca="1">SUBTOTAL(9,D$174:D$181)</f>
        <v>-5364.1</v>
      </c>
      <c r="E173" s="78">
        <f t="shared" ref="E173:E180" ca="1" si="136">IFERROR($D173/$D$6,0)</f>
        <v>-5.5999999999999999E-3</v>
      </c>
      <c r="F173" s="4">
        <f ca="1">SUBTOTAL(9,F$174:F$181)</f>
        <v>-10613.84</v>
      </c>
      <c r="G173" s="78">
        <f ca="1">IFERROR($F173/$F$6,0)</f>
        <v>-5.4999999999999997E-3</v>
      </c>
      <c r="H173" s="78">
        <f t="shared" ref="H173:H180" ca="1" si="137">IFERROR(($F173-$D173)/ABS($D173),0)</f>
        <v>-0.97870000000000001</v>
      </c>
      <c r="I173" s="4">
        <f ca="1">SUBTOTAL(9,I$174:I$181)</f>
        <v>-14280.89</v>
      </c>
      <c r="J173" s="78">
        <f ca="1">IFERROR($I173/$I$6,0)</f>
        <v>-4.7999999999999996E-3</v>
      </c>
      <c r="K173" s="78">
        <f ca="1">IFERROR(($I173-$F173)/ABS($F173),0)</f>
        <v>-0.34549999999999997</v>
      </c>
      <c r="L173" s="4">
        <f ca="1">SUBTOTAL(9,L$174:L$181)</f>
        <v>-17947.939999999999</v>
      </c>
      <c r="M173" s="78">
        <f ca="1">IFERROR($L173/$L$6,0)</f>
        <v>-4.4000000000000003E-3</v>
      </c>
      <c r="N173" s="78">
        <f ca="1">IFERROR(($L173-$I173)/ABS($I173),0)</f>
        <v>-0.25679999999999997</v>
      </c>
      <c r="O173" s="4">
        <f ca="1">SUBTOTAL(9,O$174:O$181)</f>
        <v>-21614.99</v>
      </c>
      <c r="P173" s="78">
        <f ca="1">IFERROR($O173/$O$6,0)</f>
        <v>-4.1000000000000003E-3</v>
      </c>
      <c r="Q173" s="78">
        <f ca="1">IFERROR(($O173-$L173)/ABS($L173),0)</f>
        <v>-0.20430000000000001</v>
      </c>
      <c r="R173" s="4">
        <f ca="1">SUBTOTAL(9,R$174:R$181)</f>
        <v>-25281.74</v>
      </c>
      <c r="S173" s="78">
        <f ca="1">IFERROR($R173/$R$6,0)</f>
        <v>-4.0000000000000001E-3</v>
      </c>
      <c r="T173" s="78">
        <f ca="1">IFERROR(($R173-$O173)/ABS($O173),0)</f>
        <v>-0.1696</v>
      </c>
      <c r="U173" s="4">
        <f ca="1">SUBTOTAL(9,U$174:U$181)</f>
        <v>-28948.49</v>
      </c>
      <c r="V173" s="78">
        <f ca="1">IFERROR($U173/$U$6,0)</f>
        <v>-3.8999999999999998E-3</v>
      </c>
      <c r="W173" s="78">
        <f ca="1">IFERROR(($U173-$R173)/ABS($R173),0)</f>
        <v>-0.14499999999999999</v>
      </c>
      <c r="X173" s="4">
        <f ca="1">SUBTOTAL(9,X$174:X$181)</f>
        <v>-32615.24</v>
      </c>
      <c r="Y173" s="78">
        <f ca="1">IFERROR($X173/$X$6,0)</f>
        <v>-3.8999999999999998E-3</v>
      </c>
      <c r="Z173" s="78">
        <f ca="1">IFERROR(($X173-$U173)/ABS($U173),0)</f>
        <v>-0.12670000000000001</v>
      </c>
      <c r="AA173" s="4">
        <f ca="1">SUBTOTAL(9,AA$174:AA$181)</f>
        <v>-36281.99</v>
      </c>
      <c r="AB173" s="78">
        <f ca="1">IFERROR($AA173/$AA$6,0)</f>
        <v>-3.8999999999999998E-3</v>
      </c>
      <c r="AC173" s="78">
        <f ca="1">IFERROR(($AA173-$X173)/ABS($X173),0)</f>
        <v>-0.1124</v>
      </c>
      <c r="AD173" s="4">
        <f ca="1">SUBTOTAL(9,AD$174:AD$181)</f>
        <v>-39948.74</v>
      </c>
      <c r="AE173" s="78">
        <f ca="1">IFERROR($AD173/$AD$6,0)</f>
        <v>-3.8E-3</v>
      </c>
      <c r="AF173" s="78">
        <f ca="1">IFERROR(($AD173-$AA173)/ABS($AA173),0)</f>
        <v>-0.1011</v>
      </c>
      <c r="AG173" s="4">
        <f ca="1">SUBTOTAL(9,AG$174:AG$181)</f>
        <v>-43615.49</v>
      </c>
      <c r="AH173" s="78">
        <f ca="1">IFERROR($AG173/$AG$6,0)</f>
        <v>-3.8E-3</v>
      </c>
      <c r="AI173" s="78">
        <f ca="1">IFERROR(($AG173-$AD173)/ABS($AD173),0)</f>
        <v>-9.1800000000000007E-2</v>
      </c>
      <c r="AJ173" s="4">
        <f ca="1">SUBTOTAL(9,AJ$174:AJ$181)</f>
        <v>-47282.239999999998</v>
      </c>
      <c r="AK173" s="78">
        <f ca="1">IFERROR($AJ173/$AJ$6,0)</f>
        <v>-3.5999999999999999E-3</v>
      </c>
      <c r="AL173" s="78">
        <f ca="1">IFERROR(($AJ173-$AG173)/ABS($AG173),0)</f>
        <v>-8.4099999999999994E-2</v>
      </c>
    </row>
    <row r="174" spans="2:38" ht="15" customHeight="1" outlineLevel="1" x14ac:dyDescent="0.3">
      <c r="B174" s="14" t="s">
        <v>520</v>
      </c>
      <c r="C174" s="14" t="s">
        <v>521</v>
      </c>
      <c r="D174" s="4">
        <f ca="1">-SUMIFS(INDIRECT("Tab_00.Trial["&amp;D$4&amp;"]"),Tab_00.Trial[CONTA],$B174)</f>
        <v>-5364.1</v>
      </c>
      <c r="E174" s="78">
        <f t="shared" ca="1" si="136"/>
        <v>-5.5999999999999999E-3</v>
      </c>
      <c r="F174" s="4">
        <f ca="1">-SUMIFS(INDIRECT("Tab_00.Trial["&amp;F$4&amp;"]"),Tab_00.Trial[CONTA],$B174)</f>
        <v>-10613.84</v>
      </c>
      <c r="G174" s="78">
        <f t="shared" ca="1" si="91"/>
        <v>-5.4999999999999997E-3</v>
      </c>
      <c r="H174" s="78">
        <f t="shared" ca="1" si="137"/>
        <v>-0.97870000000000001</v>
      </c>
      <c r="I174" s="4">
        <f ca="1">-SUMIFS(INDIRECT("Tab_00.Trial["&amp;I$4&amp;"]"),Tab_00.Trial[CONTA],$B174)</f>
        <v>-14280.89</v>
      </c>
      <c r="J174" s="78">
        <f t="shared" ca="1" si="92"/>
        <v>-4.7999999999999996E-3</v>
      </c>
      <c r="K174" s="78">
        <f t="shared" ca="1" si="93"/>
        <v>-0.34549999999999997</v>
      </c>
      <c r="L174" s="4">
        <f ca="1">-SUMIFS(INDIRECT("Tab_00.Trial["&amp;L$4&amp;"]"),Tab_00.Trial[CONTA],$B174)</f>
        <v>-17947.939999999999</v>
      </c>
      <c r="M174" s="78">
        <f t="shared" ca="1" si="94"/>
        <v>-4.4000000000000003E-3</v>
      </c>
      <c r="N174" s="78">
        <f t="shared" ca="1" si="95"/>
        <v>-0.25679999999999997</v>
      </c>
      <c r="O174" s="4">
        <f ca="1">-SUMIFS(INDIRECT("Tab_00.Trial["&amp;O$4&amp;"]"),Tab_00.Trial[CONTA],$B174)</f>
        <v>-21614.99</v>
      </c>
      <c r="P174" s="78">
        <f t="shared" ref="P174:P180" ca="1" si="138">IFERROR($O174/$O$6,0)</f>
        <v>-4.1000000000000003E-3</v>
      </c>
      <c r="Q174" s="78">
        <f t="shared" ref="Q174:Q180" ca="1" si="139">IFERROR(($O174-$L174)/ABS($L174),0)</f>
        <v>-0.20430000000000001</v>
      </c>
      <c r="R174" s="4">
        <f ca="1">-SUMIFS(INDIRECT("Tab_00.Trial["&amp;R$4&amp;"]"),Tab_00.Trial[CONTA],$B174)</f>
        <v>-25281.74</v>
      </c>
      <c r="S174" s="78">
        <f t="shared" ca="1" si="98"/>
        <v>-4.0000000000000001E-3</v>
      </c>
      <c r="T174" s="78">
        <f t="shared" ca="1" si="99"/>
        <v>-0.1696</v>
      </c>
      <c r="U174" s="4">
        <f ca="1">-SUMIFS(INDIRECT("Tab_00.Trial["&amp;U$4&amp;"]"),Tab_00.Trial[CONTA],$B174)</f>
        <v>-28948.49</v>
      </c>
      <c r="V174" s="78">
        <f t="shared" ca="1" si="100"/>
        <v>-3.8999999999999998E-3</v>
      </c>
      <c r="W174" s="78">
        <f t="shared" ca="1" si="101"/>
        <v>-0.14499999999999999</v>
      </c>
      <c r="X174" s="4">
        <f ca="1">-SUMIFS(INDIRECT("Tab_00.Trial["&amp;X$4&amp;"]"),Tab_00.Trial[CONTA],$B174)</f>
        <v>-32615.24</v>
      </c>
      <c r="Y174" s="78">
        <f t="shared" ref="Y174:Y180" ca="1" si="140">IFERROR($X174/$X$6,0)</f>
        <v>-3.8999999999999998E-3</v>
      </c>
      <c r="Z174" s="78">
        <f t="shared" ref="Z174:Z180" ca="1" si="141">IFERROR(($X174-$U174)/ABS($U174),0)</f>
        <v>-0.12670000000000001</v>
      </c>
      <c r="AA174" s="4">
        <f ca="1">-SUMIFS(INDIRECT("Tab_00.Trial["&amp;AA$4&amp;"]"),Tab_00.Trial[CONTA],$B174)</f>
        <v>-36281.99</v>
      </c>
      <c r="AB174" s="78">
        <f t="shared" ca="1" si="104"/>
        <v>-3.8999999999999998E-3</v>
      </c>
      <c r="AC174" s="78">
        <f t="shared" ca="1" si="105"/>
        <v>-0.1124</v>
      </c>
      <c r="AD174" s="4">
        <f ca="1">-SUMIFS(INDIRECT("Tab_00.Trial["&amp;AD$4&amp;"]"),Tab_00.Trial[CONTA],$B174)</f>
        <v>-39948.74</v>
      </c>
      <c r="AE174" s="78">
        <f t="shared" ca="1" si="106"/>
        <v>-3.8E-3</v>
      </c>
      <c r="AF174" s="78">
        <f t="shared" ca="1" si="107"/>
        <v>-0.1011</v>
      </c>
      <c r="AG174" s="4">
        <f ca="1">-SUMIFS(INDIRECT("Tab_00.Trial["&amp;AG$4&amp;"]"),Tab_00.Trial[CONTA],$B174)</f>
        <v>-43615.49</v>
      </c>
      <c r="AH174" s="78">
        <f t="shared" ca="1" si="108"/>
        <v>-3.8E-3</v>
      </c>
      <c r="AI174" s="78">
        <f t="shared" ca="1" si="109"/>
        <v>-9.1800000000000007E-2</v>
      </c>
      <c r="AJ174" s="4">
        <f ca="1">-SUMIFS(INDIRECT("Tab_00.Trial["&amp;AJ$4&amp;"]"),Tab_00.Trial[CONTA],$B174)</f>
        <v>-47282.239999999998</v>
      </c>
      <c r="AK174" s="78">
        <f t="shared" ca="1" si="110"/>
        <v>-3.5999999999999999E-3</v>
      </c>
      <c r="AL174" s="78">
        <f t="shared" ca="1" si="111"/>
        <v>-8.4099999999999994E-2</v>
      </c>
    </row>
    <row r="175" spans="2:38" ht="15" customHeight="1" outlineLevel="1" x14ac:dyDescent="0.3">
      <c r="B175" s="14"/>
      <c r="C175" s="14"/>
      <c r="D175" s="4">
        <f ca="1">-SUMIFS(INDIRECT("Tab_00.Trial["&amp;D$4&amp;"]"),Tab_00.Trial[CONTA],$B175)</f>
        <v>0</v>
      </c>
      <c r="E175" s="78">
        <f t="shared" ca="1" si="136"/>
        <v>0</v>
      </c>
      <c r="F175" s="4">
        <f ca="1">-SUMIFS(INDIRECT("Tab_00.Trial["&amp;F$4&amp;"]"),Tab_00.Trial[CONTA],$B175)</f>
        <v>0</v>
      </c>
      <c r="G175" s="78">
        <f t="shared" ca="1" si="91"/>
        <v>0</v>
      </c>
      <c r="H175" s="78">
        <f t="shared" ca="1" si="137"/>
        <v>0</v>
      </c>
      <c r="I175" s="4">
        <f ca="1">-SUMIFS(INDIRECT("Tab_00.Trial["&amp;I$4&amp;"]"),Tab_00.Trial[CONTA],$B175)</f>
        <v>0</v>
      </c>
      <c r="J175" s="78">
        <f t="shared" ca="1" si="92"/>
        <v>0</v>
      </c>
      <c r="K175" s="78">
        <f t="shared" ca="1" si="93"/>
        <v>0</v>
      </c>
      <c r="L175" s="4">
        <f ca="1">-SUMIFS(INDIRECT("Tab_00.Trial["&amp;L$4&amp;"]"),Tab_00.Trial[CONTA],$B175)</f>
        <v>0</v>
      </c>
      <c r="M175" s="78">
        <f t="shared" ca="1" si="94"/>
        <v>0</v>
      </c>
      <c r="N175" s="78">
        <f t="shared" ca="1" si="95"/>
        <v>0</v>
      </c>
      <c r="O175" s="4">
        <f ca="1">-SUMIFS(INDIRECT("Tab_00.Trial["&amp;O$4&amp;"]"),Tab_00.Trial[CONTA],$B175)</f>
        <v>0</v>
      </c>
      <c r="P175" s="78">
        <f t="shared" ca="1" si="138"/>
        <v>0</v>
      </c>
      <c r="Q175" s="78">
        <f t="shared" ca="1" si="139"/>
        <v>0</v>
      </c>
      <c r="R175" s="4">
        <f ca="1">-SUMIFS(INDIRECT("Tab_00.Trial["&amp;R$4&amp;"]"),Tab_00.Trial[CONTA],$B175)</f>
        <v>0</v>
      </c>
      <c r="S175" s="78">
        <f t="shared" ca="1" si="98"/>
        <v>0</v>
      </c>
      <c r="T175" s="78">
        <f t="shared" ca="1" si="99"/>
        <v>0</v>
      </c>
      <c r="U175" s="4">
        <f ca="1">-SUMIFS(INDIRECT("Tab_00.Trial["&amp;U$4&amp;"]"),Tab_00.Trial[CONTA],$B175)</f>
        <v>0</v>
      </c>
      <c r="V175" s="78">
        <f t="shared" ca="1" si="100"/>
        <v>0</v>
      </c>
      <c r="W175" s="78">
        <f t="shared" ca="1" si="101"/>
        <v>0</v>
      </c>
      <c r="X175" s="4">
        <f ca="1">-SUMIFS(INDIRECT("Tab_00.Trial["&amp;X$4&amp;"]"),Tab_00.Trial[CONTA],$B175)</f>
        <v>0</v>
      </c>
      <c r="Y175" s="78">
        <f t="shared" ca="1" si="140"/>
        <v>0</v>
      </c>
      <c r="Z175" s="78">
        <f t="shared" ca="1" si="141"/>
        <v>0</v>
      </c>
      <c r="AA175" s="4">
        <f ca="1">-SUMIFS(INDIRECT("Tab_00.Trial["&amp;AA$4&amp;"]"),Tab_00.Trial[CONTA],$B175)</f>
        <v>0</v>
      </c>
      <c r="AB175" s="78">
        <f t="shared" ca="1" si="104"/>
        <v>0</v>
      </c>
      <c r="AC175" s="78">
        <f t="shared" ca="1" si="105"/>
        <v>0</v>
      </c>
      <c r="AD175" s="4">
        <f ca="1">-SUMIFS(INDIRECT("Tab_00.Trial["&amp;AD$4&amp;"]"),Tab_00.Trial[CONTA],$B175)</f>
        <v>0</v>
      </c>
      <c r="AE175" s="78">
        <f t="shared" ca="1" si="106"/>
        <v>0</v>
      </c>
      <c r="AF175" s="78">
        <f t="shared" ca="1" si="107"/>
        <v>0</v>
      </c>
      <c r="AG175" s="4">
        <f ca="1">-SUMIFS(INDIRECT("Tab_00.Trial["&amp;AG$4&amp;"]"),Tab_00.Trial[CONTA],$B175)</f>
        <v>0</v>
      </c>
      <c r="AH175" s="78">
        <f t="shared" ca="1" si="108"/>
        <v>0</v>
      </c>
      <c r="AI175" s="78">
        <f t="shared" ca="1" si="109"/>
        <v>0</v>
      </c>
      <c r="AJ175" s="4">
        <f ca="1">-SUMIFS(INDIRECT("Tab_00.Trial["&amp;AJ$4&amp;"]"),Tab_00.Trial[CONTA],$B175)</f>
        <v>0</v>
      </c>
      <c r="AK175" s="78">
        <f t="shared" ca="1" si="110"/>
        <v>0</v>
      </c>
      <c r="AL175" s="78">
        <f t="shared" ca="1" si="111"/>
        <v>0</v>
      </c>
    </row>
    <row r="176" spans="2:38" ht="15" customHeight="1" outlineLevel="1" x14ac:dyDescent="0.3">
      <c r="B176" s="14"/>
      <c r="C176" s="14"/>
      <c r="D176" s="4">
        <f ca="1">-SUMIFS(INDIRECT("Tab_00.Trial["&amp;D$4&amp;"]"),Tab_00.Trial[CONTA],$B176)</f>
        <v>0</v>
      </c>
      <c r="E176" s="78">
        <f t="shared" ca="1" si="136"/>
        <v>0</v>
      </c>
      <c r="F176" s="4">
        <f ca="1">-SUMIFS(INDIRECT("Tab_00.Trial["&amp;F$4&amp;"]"),Tab_00.Trial[CONTA],$B176)</f>
        <v>0</v>
      </c>
      <c r="G176" s="78">
        <f t="shared" ca="1" si="91"/>
        <v>0</v>
      </c>
      <c r="H176" s="78">
        <f t="shared" ca="1" si="137"/>
        <v>0</v>
      </c>
      <c r="I176" s="4">
        <f ca="1">-SUMIFS(INDIRECT("Tab_00.Trial["&amp;I$4&amp;"]"),Tab_00.Trial[CONTA],$B176)</f>
        <v>0</v>
      </c>
      <c r="J176" s="78">
        <f t="shared" ca="1" si="92"/>
        <v>0</v>
      </c>
      <c r="K176" s="78">
        <f t="shared" ca="1" si="93"/>
        <v>0</v>
      </c>
      <c r="L176" s="4">
        <f ca="1">-SUMIFS(INDIRECT("Tab_00.Trial["&amp;L$4&amp;"]"),Tab_00.Trial[CONTA],$B176)</f>
        <v>0</v>
      </c>
      <c r="M176" s="78">
        <f t="shared" ca="1" si="94"/>
        <v>0</v>
      </c>
      <c r="N176" s="78">
        <f t="shared" ca="1" si="95"/>
        <v>0</v>
      </c>
      <c r="O176" s="4">
        <f ca="1">-SUMIFS(INDIRECT("Tab_00.Trial["&amp;O$4&amp;"]"),Tab_00.Trial[CONTA],$B176)</f>
        <v>0</v>
      </c>
      <c r="P176" s="78">
        <f t="shared" ca="1" si="138"/>
        <v>0</v>
      </c>
      <c r="Q176" s="78">
        <f t="shared" ca="1" si="139"/>
        <v>0</v>
      </c>
      <c r="R176" s="4">
        <f ca="1">-SUMIFS(INDIRECT("Tab_00.Trial["&amp;R$4&amp;"]"),Tab_00.Trial[CONTA],$B176)</f>
        <v>0</v>
      </c>
      <c r="S176" s="78">
        <f t="shared" ca="1" si="98"/>
        <v>0</v>
      </c>
      <c r="T176" s="78">
        <f t="shared" ca="1" si="99"/>
        <v>0</v>
      </c>
      <c r="U176" s="4">
        <f ca="1">-SUMIFS(INDIRECT("Tab_00.Trial["&amp;U$4&amp;"]"),Tab_00.Trial[CONTA],$B176)</f>
        <v>0</v>
      </c>
      <c r="V176" s="78">
        <f t="shared" ca="1" si="100"/>
        <v>0</v>
      </c>
      <c r="W176" s="78">
        <f t="shared" ca="1" si="101"/>
        <v>0</v>
      </c>
      <c r="X176" s="4">
        <f ca="1">-SUMIFS(INDIRECT("Tab_00.Trial["&amp;X$4&amp;"]"),Tab_00.Trial[CONTA],$B176)</f>
        <v>0</v>
      </c>
      <c r="Y176" s="78">
        <f t="shared" ca="1" si="140"/>
        <v>0</v>
      </c>
      <c r="Z176" s="78">
        <f t="shared" ca="1" si="141"/>
        <v>0</v>
      </c>
      <c r="AA176" s="4">
        <f ca="1">-SUMIFS(INDIRECT("Tab_00.Trial["&amp;AA$4&amp;"]"),Tab_00.Trial[CONTA],$B176)</f>
        <v>0</v>
      </c>
      <c r="AB176" s="78">
        <f t="shared" ca="1" si="104"/>
        <v>0</v>
      </c>
      <c r="AC176" s="78">
        <f t="shared" ca="1" si="105"/>
        <v>0</v>
      </c>
      <c r="AD176" s="4">
        <f ca="1">-SUMIFS(INDIRECT("Tab_00.Trial["&amp;AD$4&amp;"]"),Tab_00.Trial[CONTA],$B176)</f>
        <v>0</v>
      </c>
      <c r="AE176" s="78">
        <f t="shared" ca="1" si="106"/>
        <v>0</v>
      </c>
      <c r="AF176" s="78">
        <f t="shared" ca="1" si="107"/>
        <v>0</v>
      </c>
      <c r="AG176" s="4">
        <f ca="1">-SUMIFS(INDIRECT("Tab_00.Trial["&amp;AG$4&amp;"]"),Tab_00.Trial[CONTA],$B176)</f>
        <v>0</v>
      </c>
      <c r="AH176" s="78">
        <f t="shared" ca="1" si="108"/>
        <v>0</v>
      </c>
      <c r="AI176" s="78">
        <f t="shared" ca="1" si="109"/>
        <v>0</v>
      </c>
      <c r="AJ176" s="4">
        <f ca="1">-SUMIFS(INDIRECT("Tab_00.Trial["&amp;AJ$4&amp;"]"),Tab_00.Trial[CONTA],$B176)</f>
        <v>0</v>
      </c>
      <c r="AK176" s="78">
        <f t="shared" ca="1" si="110"/>
        <v>0</v>
      </c>
      <c r="AL176" s="78">
        <f t="shared" ca="1" si="111"/>
        <v>0</v>
      </c>
    </row>
    <row r="177" spans="2:38" ht="15" customHeight="1" outlineLevel="1" x14ac:dyDescent="0.3">
      <c r="B177" s="14"/>
      <c r="C177" s="14"/>
      <c r="D177" s="4">
        <f ca="1">-SUMIFS(INDIRECT("Tab_00.Trial["&amp;D$4&amp;"]"),Tab_00.Trial[CONTA],$B177)</f>
        <v>0</v>
      </c>
      <c r="E177" s="78">
        <f t="shared" ca="1" si="136"/>
        <v>0</v>
      </c>
      <c r="F177" s="4">
        <f ca="1">-SUMIFS(INDIRECT("Tab_00.Trial["&amp;F$4&amp;"]"),Tab_00.Trial[CONTA],$B177)</f>
        <v>0</v>
      </c>
      <c r="G177" s="78">
        <f t="shared" ca="1" si="91"/>
        <v>0</v>
      </c>
      <c r="H177" s="78">
        <f t="shared" ca="1" si="137"/>
        <v>0</v>
      </c>
      <c r="I177" s="4">
        <f ca="1">-SUMIFS(INDIRECT("Tab_00.Trial["&amp;I$4&amp;"]"),Tab_00.Trial[CONTA],$B177)</f>
        <v>0</v>
      </c>
      <c r="J177" s="78">
        <f t="shared" ca="1" si="92"/>
        <v>0</v>
      </c>
      <c r="K177" s="78">
        <f t="shared" ca="1" si="93"/>
        <v>0</v>
      </c>
      <c r="L177" s="4">
        <f ca="1">-SUMIFS(INDIRECT("Tab_00.Trial["&amp;L$4&amp;"]"),Tab_00.Trial[CONTA],$B177)</f>
        <v>0</v>
      </c>
      <c r="M177" s="78">
        <f t="shared" ca="1" si="94"/>
        <v>0</v>
      </c>
      <c r="N177" s="78">
        <f t="shared" ca="1" si="95"/>
        <v>0</v>
      </c>
      <c r="O177" s="4">
        <f ca="1">-SUMIFS(INDIRECT("Tab_00.Trial["&amp;O$4&amp;"]"),Tab_00.Trial[CONTA],$B177)</f>
        <v>0</v>
      </c>
      <c r="P177" s="78">
        <f t="shared" ca="1" si="138"/>
        <v>0</v>
      </c>
      <c r="Q177" s="78">
        <f t="shared" ca="1" si="139"/>
        <v>0</v>
      </c>
      <c r="R177" s="4">
        <f ca="1">-SUMIFS(INDIRECT("Tab_00.Trial["&amp;R$4&amp;"]"),Tab_00.Trial[CONTA],$B177)</f>
        <v>0</v>
      </c>
      <c r="S177" s="78">
        <f t="shared" ca="1" si="98"/>
        <v>0</v>
      </c>
      <c r="T177" s="78">
        <f t="shared" ca="1" si="99"/>
        <v>0</v>
      </c>
      <c r="U177" s="4">
        <f ca="1">-SUMIFS(INDIRECT("Tab_00.Trial["&amp;U$4&amp;"]"),Tab_00.Trial[CONTA],$B177)</f>
        <v>0</v>
      </c>
      <c r="V177" s="78">
        <f t="shared" ca="1" si="100"/>
        <v>0</v>
      </c>
      <c r="W177" s="78">
        <f t="shared" ca="1" si="101"/>
        <v>0</v>
      </c>
      <c r="X177" s="4">
        <f ca="1">-SUMIFS(INDIRECT("Tab_00.Trial["&amp;X$4&amp;"]"),Tab_00.Trial[CONTA],$B177)</f>
        <v>0</v>
      </c>
      <c r="Y177" s="78">
        <f t="shared" ca="1" si="140"/>
        <v>0</v>
      </c>
      <c r="Z177" s="78">
        <f t="shared" ca="1" si="141"/>
        <v>0</v>
      </c>
      <c r="AA177" s="4">
        <f ca="1">-SUMIFS(INDIRECT("Tab_00.Trial["&amp;AA$4&amp;"]"),Tab_00.Trial[CONTA],$B177)</f>
        <v>0</v>
      </c>
      <c r="AB177" s="78">
        <f t="shared" ca="1" si="104"/>
        <v>0</v>
      </c>
      <c r="AC177" s="78">
        <f t="shared" ca="1" si="105"/>
        <v>0</v>
      </c>
      <c r="AD177" s="4">
        <f ca="1">-SUMIFS(INDIRECT("Tab_00.Trial["&amp;AD$4&amp;"]"),Tab_00.Trial[CONTA],$B177)</f>
        <v>0</v>
      </c>
      <c r="AE177" s="78">
        <f t="shared" ca="1" si="106"/>
        <v>0</v>
      </c>
      <c r="AF177" s="78">
        <f t="shared" ca="1" si="107"/>
        <v>0</v>
      </c>
      <c r="AG177" s="4">
        <f ca="1">-SUMIFS(INDIRECT("Tab_00.Trial["&amp;AG$4&amp;"]"),Tab_00.Trial[CONTA],$B177)</f>
        <v>0</v>
      </c>
      <c r="AH177" s="78">
        <f t="shared" ca="1" si="108"/>
        <v>0</v>
      </c>
      <c r="AI177" s="78">
        <f t="shared" ca="1" si="109"/>
        <v>0</v>
      </c>
      <c r="AJ177" s="4">
        <f ca="1">-SUMIFS(INDIRECT("Tab_00.Trial["&amp;AJ$4&amp;"]"),Tab_00.Trial[CONTA],$B177)</f>
        <v>0</v>
      </c>
      <c r="AK177" s="78">
        <f t="shared" ca="1" si="110"/>
        <v>0</v>
      </c>
      <c r="AL177" s="78">
        <f t="shared" ca="1" si="111"/>
        <v>0</v>
      </c>
    </row>
    <row r="178" spans="2:38" ht="15" customHeight="1" outlineLevel="1" x14ac:dyDescent="0.3">
      <c r="B178" s="14"/>
      <c r="C178" s="14"/>
      <c r="D178" s="4">
        <f ca="1">-SUMIFS(INDIRECT("Tab_00.Trial["&amp;D$4&amp;"]"),Tab_00.Trial[CONTA],$B178)</f>
        <v>0</v>
      </c>
      <c r="E178" s="78">
        <f t="shared" ca="1" si="136"/>
        <v>0</v>
      </c>
      <c r="F178" s="4">
        <f ca="1">-SUMIFS(INDIRECT("Tab_00.Trial["&amp;F$4&amp;"]"),Tab_00.Trial[CONTA],$B178)</f>
        <v>0</v>
      </c>
      <c r="G178" s="78">
        <f t="shared" ca="1" si="91"/>
        <v>0</v>
      </c>
      <c r="H178" s="78">
        <f t="shared" ca="1" si="137"/>
        <v>0</v>
      </c>
      <c r="I178" s="4">
        <f ca="1">-SUMIFS(INDIRECT("Tab_00.Trial["&amp;I$4&amp;"]"),Tab_00.Trial[CONTA],$B178)</f>
        <v>0</v>
      </c>
      <c r="J178" s="78">
        <f t="shared" ca="1" si="92"/>
        <v>0</v>
      </c>
      <c r="K178" s="78">
        <f t="shared" ca="1" si="93"/>
        <v>0</v>
      </c>
      <c r="L178" s="4">
        <f ca="1">-SUMIFS(INDIRECT("Tab_00.Trial["&amp;L$4&amp;"]"),Tab_00.Trial[CONTA],$B178)</f>
        <v>0</v>
      </c>
      <c r="M178" s="78">
        <f t="shared" ca="1" si="94"/>
        <v>0</v>
      </c>
      <c r="N178" s="78">
        <f t="shared" ca="1" si="95"/>
        <v>0</v>
      </c>
      <c r="O178" s="4">
        <f ca="1">-SUMIFS(INDIRECT("Tab_00.Trial["&amp;O$4&amp;"]"),Tab_00.Trial[CONTA],$B178)</f>
        <v>0</v>
      </c>
      <c r="P178" s="78">
        <f t="shared" ca="1" si="138"/>
        <v>0</v>
      </c>
      <c r="Q178" s="78">
        <f t="shared" ca="1" si="139"/>
        <v>0</v>
      </c>
      <c r="R178" s="4">
        <f ca="1">-SUMIFS(INDIRECT("Tab_00.Trial["&amp;R$4&amp;"]"),Tab_00.Trial[CONTA],$B178)</f>
        <v>0</v>
      </c>
      <c r="S178" s="78">
        <f t="shared" ca="1" si="98"/>
        <v>0</v>
      </c>
      <c r="T178" s="78">
        <f t="shared" ca="1" si="99"/>
        <v>0</v>
      </c>
      <c r="U178" s="4">
        <f ca="1">-SUMIFS(INDIRECT("Tab_00.Trial["&amp;U$4&amp;"]"),Tab_00.Trial[CONTA],$B178)</f>
        <v>0</v>
      </c>
      <c r="V178" s="78">
        <f t="shared" ca="1" si="100"/>
        <v>0</v>
      </c>
      <c r="W178" s="78">
        <f t="shared" ca="1" si="101"/>
        <v>0</v>
      </c>
      <c r="X178" s="4">
        <f ca="1">-SUMIFS(INDIRECT("Tab_00.Trial["&amp;X$4&amp;"]"),Tab_00.Trial[CONTA],$B178)</f>
        <v>0</v>
      </c>
      <c r="Y178" s="78">
        <f t="shared" ca="1" si="140"/>
        <v>0</v>
      </c>
      <c r="Z178" s="78">
        <f t="shared" ca="1" si="141"/>
        <v>0</v>
      </c>
      <c r="AA178" s="4">
        <f ca="1">-SUMIFS(INDIRECT("Tab_00.Trial["&amp;AA$4&amp;"]"),Tab_00.Trial[CONTA],$B178)</f>
        <v>0</v>
      </c>
      <c r="AB178" s="78">
        <f t="shared" ca="1" si="104"/>
        <v>0</v>
      </c>
      <c r="AC178" s="78">
        <f t="shared" ca="1" si="105"/>
        <v>0</v>
      </c>
      <c r="AD178" s="4">
        <f ca="1">-SUMIFS(INDIRECT("Tab_00.Trial["&amp;AD$4&amp;"]"),Tab_00.Trial[CONTA],$B178)</f>
        <v>0</v>
      </c>
      <c r="AE178" s="78">
        <f t="shared" ca="1" si="106"/>
        <v>0</v>
      </c>
      <c r="AF178" s="78">
        <f t="shared" ca="1" si="107"/>
        <v>0</v>
      </c>
      <c r="AG178" s="4">
        <f ca="1">-SUMIFS(INDIRECT("Tab_00.Trial["&amp;AG$4&amp;"]"),Tab_00.Trial[CONTA],$B178)</f>
        <v>0</v>
      </c>
      <c r="AH178" s="78">
        <f t="shared" ca="1" si="108"/>
        <v>0</v>
      </c>
      <c r="AI178" s="78">
        <f t="shared" ca="1" si="109"/>
        <v>0</v>
      </c>
      <c r="AJ178" s="4">
        <f ca="1">-SUMIFS(INDIRECT("Tab_00.Trial["&amp;AJ$4&amp;"]"),Tab_00.Trial[CONTA],$B178)</f>
        <v>0</v>
      </c>
      <c r="AK178" s="78">
        <f t="shared" ca="1" si="110"/>
        <v>0</v>
      </c>
      <c r="AL178" s="78">
        <f t="shared" ca="1" si="111"/>
        <v>0</v>
      </c>
    </row>
    <row r="179" spans="2:38" ht="15" customHeight="1" outlineLevel="1" x14ac:dyDescent="0.3">
      <c r="B179" s="14"/>
      <c r="C179" s="14"/>
      <c r="D179" s="4">
        <f ca="1">-SUMIFS(INDIRECT("Tab_00.Trial["&amp;D$4&amp;"]"),Tab_00.Trial[CONTA],$B179)</f>
        <v>0</v>
      </c>
      <c r="E179" s="78">
        <f t="shared" ca="1" si="136"/>
        <v>0</v>
      </c>
      <c r="F179" s="4">
        <f ca="1">-SUMIFS(INDIRECT("Tab_00.Trial["&amp;F$4&amp;"]"),Tab_00.Trial[CONTA],$B179)</f>
        <v>0</v>
      </c>
      <c r="G179" s="78">
        <f t="shared" ca="1" si="91"/>
        <v>0</v>
      </c>
      <c r="H179" s="78">
        <f t="shared" ca="1" si="137"/>
        <v>0</v>
      </c>
      <c r="I179" s="4">
        <f ca="1">-SUMIFS(INDIRECT("Tab_00.Trial["&amp;I$4&amp;"]"),Tab_00.Trial[CONTA],$B179)</f>
        <v>0</v>
      </c>
      <c r="J179" s="78">
        <f t="shared" ca="1" si="92"/>
        <v>0</v>
      </c>
      <c r="K179" s="78">
        <f t="shared" ca="1" si="93"/>
        <v>0</v>
      </c>
      <c r="L179" s="4">
        <f ca="1">-SUMIFS(INDIRECT("Tab_00.Trial["&amp;L$4&amp;"]"),Tab_00.Trial[CONTA],$B179)</f>
        <v>0</v>
      </c>
      <c r="M179" s="78">
        <f t="shared" ca="1" si="94"/>
        <v>0</v>
      </c>
      <c r="N179" s="78">
        <f t="shared" ca="1" si="95"/>
        <v>0</v>
      </c>
      <c r="O179" s="4">
        <f ca="1">-SUMIFS(INDIRECT("Tab_00.Trial["&amp;O$4&amp;"]"),Tab_00.Trial[CONTA],$B179)</f>
        <v>0</v>
      </c>
      <c r="P179" s="78">
        <f t="shared" ca="1" si="138"/>
        <v>0</v>
      </c>
      <c r="Q179" s="78">
        <f t="shared" ca="1" si="139"/>
        <v>0</v>
      </c>
      <c r="R179" s="4">
        <f ca="1">-SUMIFS(INDIRECT("Tab_00.Trial["&amp;R$4&amp;"]"),Tab_00.Trial[CONTA],$B179)</f>
        <v>0</v>
      </c>
      <c r="S179" s="78">
        <f t="shared" ca="1" si="98"/>
        <v>0</v>
      </c>
      <c r="T179" s="78">
        <f t="shared" ca="1" si="99"/>
        <v>0</v>
      </c>
      <c r="U179" s="4">
        <f ca="1">-SUMIFS(INDIRECT("Tab_00.Trial["&amp;U$4&amp;"]"),Tab_00.Trial[CONTA],$B179)</f>
        <v>0</v>
      </c>
      <c r="V179" s="78">
        <f t="shared" ca="1" si="100"/>
        <v>0</v>
      </c>
      <c r="W179" s="78">
        <f t="shared" ca="1" si="101"/>
        <v>0</v>
      </c>
      <c r="X179" s="4">
        <f ca="1">-SUMIFS(INDIRECT("Tab_00.Trial["&amp;X$4&amp;"]"),Tab_00.Trial[CONTA],$B179)</f>
        <v>0</v>
      </c>
      <c r="Y179" s="78">
        <f t="shared" ca="1" si="140"/>
        <v>0</v>
      </c>
      <c r="Z179" s="78">
        <f t="shared" ca="1" si="141"/>
        <v>0</v>
      </c>
      <c r="AA179" s="4">
        <f ca="1">-SUMIFS(INDIRECT("Tab_00.Trial["&amp;AA$4&amp;"]"),Tab_00.Trial[CONTA],$B179)</f>
        <v>0</v>
      </c>
      <c r="AB179" s="78">
        <f t="shared" ca="1" si="104"/>
        <v>0</v>
      </c>
      <c r="AC179" s="78">
        <f t="shared" ca="1" si="105"/>
        <v>0</v>
      </c>
      <c r="AD179" s="4">
        <f ca="1">-SUMIFS(INDIRECT("Tab_00.Trial["&amp;AD$4&amp;"]"),Tab_00.Trial[CONTA],$B179)</f>
        <v>0</v>
      </c>
      <c r="AE179" s="78">
        <f t="shared" ca="1" si="106"/>
        <v>0</v>
      </c>
      <c r="AF179" s="78">
        <f t="shared" ca="1" si="107"/>
        <v>0</v>
      </c>
      <c r="AG179" s="4">
        <f ca="1">-SUMIFS(INDIRECT("Tab_00.Trial["&amp;AG$4&amp;"]"),Tab_00.Trial[CONTA],$B179)</f>
        <v>0</v>
      </c>
      <c r="AH179" s="78">
        <f t="shared" ca="1" si="108"/>
        <v>0</v>
      </c>
      <c r="AI179" s="78">
        <f t="shared" ca="1" si="109"/>
        <v>0</v>
      </c>
      <c r="AJ179" s="4">
        <f ca="1">-SUMIFS(INDIRECT("Tab_00.Trial["&amp;AJ$4&amp;"]"),Tab_00.Trial[CONTA],$B179)</f>
        <v>0</v>
      </c>
      <c r="AK179" s="78">
        <f t="shared" ca="1" si="110"/>
        <v>0</v>
      </c>
      <c r="AL179" s="78">
        <f t="shared" ca="1" si="111"/>
        <v>0</v>
      </c>
    </row>
    <row r="180" spans="2:38" ht="15" customHeight="1" outlineLevel="1" x14ac:dyDescent="0.3">
      <c r="B180" s="14"/>
      <c r="C180" s="14"/>
      <c r="D180" s="4">
        <f ca="1">-SUMIFS(INDIRECT("Tab_00.Trial["&amp;D$4&amp;"]"),Tab_00.Trial[CONTA],$B180)</f>
        <v>0</v>
      </c>
      <c r="E180" s="78">
        <f t="shared" ca="1" si="136"/>
        <v>0</v>
      </c>
      <c r="F180" s="4">
        <f ca="1">-SUMIFS(INDIRECT("Tab_00.Trial["&amp;F$4&amp;"]"),Tab_00.Trial[CONTA],$B180)</f>
        <v>0</v>
      </c>
      <c r="G180" s="78">
        <f t="shared" ca="1" si="91"/>
        <v>0</v>
      </c>
      <c r="H180" s="78">
        <f t="shared" ca="1" si="137"/>
        <v>0</v>
      </c>
      <c r="I180" s="4">
        <f ca="1">-SUMIFS(INDIRECT("Tab_00.Trial["&amp;I$4&amp;"]"),Tab_00.Trial[CONTA],$B180)</f>
        <v>0</v>
      </c>
      <c r="J180" s="78">
        <f t="shared" ca="1" si="92"/>
        <v>0</v>
      </c>
      <c r="K180" s="78">
        <f t="shared" ca="1" si="93"/>
        <v>0</v>
      </c>
      <c r="L180" s="4">
        <f ca="1">-SUMIFS(INDIRECT("Tab_00.Trial["&amp;L$4&amp;"]"),Tab_00.Trial[CONTA],$B180)</f>
        <v>0</v>
      </c>
      <c r="M180" s="78">
        <f t="shared" ca="1" si="94"/>
        <v>0</v>
      </c>
      <c r="N180" s="78">
        <f t="shared" ca="1" si="95"/>
        <v>0</v>
      </c>
      <c r="O180" s="4">
        <f ca="1">-SUMIFS(INDIRECT("Tab_00.Trial["&amp;O$4&amp;"]"),Tab_00.Trial[CONTA],$B180)</f>
        <v>0</v>
      </c>
      <c r="P180" s="78">
        <f t="shared" ca="1" si="138"/>
        <v>0</v>
      </c>
      <c r="Q180" s="78">
        <f t="shared" ca="1" si="139"/>
        <v>0</v>
      </c>
      <c r="R180" s="4">
        <f ca="1">-SUMIFS(INDIRECT("Tab_00.Trial["&amp;R$4&amp;"]"),Tab_00.Trial[CONTA],$B180)</f>
        <v>0</v>
      </c>
      <c r="S180" s="78">
        <f t="shared" ca="1" si="98"/>
        <v>0</v>
      </c>
      <c r="T180" s="78">
        <f t="shared" ca="1" si="99"/>
        <v>0</v>
      </c>
      <c r="U180" s="4">
        <f ca="1">-SUMIFS(INDIRECT("Tab_00.Trial["&amp;U$4&amp;"]"),Tab_00.Trial[CONTA],$B180)</f>
        <v>0</v>
      </c>
      <c r="V180" s="78">
        <f t="shared" ca="1" si="100"/>
        <v>0</v>
      </c>
      <c r="W180" s="78">
        <f t="shared" ca="1" si="101"/>
        <v>0</v>
      </c>
      <c r="X180" s="4">
        <f ca="1">-SUMIFS(INDIRECT("Tab_00.Trial["&amp;X$4&amp;"]"),Tab_00.Trial[CONTA],$B180)</f>
        <v>0</v>
      </c>
      <c r="Y180" s="78">
        <f t="shared" ca="1" si="140"/>
        <v>0</v>
      </c>
      <c r="Z180" s="78">
        <f t="shared" ca="1" si="141"/>
        <v>0</v>
      </c>
      <c r="AA180" s="4">
        <f ca="1">-SUMIFS(INDIRECT("Tab_00.Trial["&amp;AA$4&amp;"]"),Tab_00.Trial[CONTA],$B180)</f>
        <v>0</v>
      </c>
      <c r="AB180" s="78">
        <f t="shared" ca="1" si="104"/>
        <v>0</v>
      </c>
      <c r="AC180" s="78">
        <f t="shared" ca="1" si="105"/>
        <v>0</v>
      </c>
      <c r="AD180" s="4">
        <f ca="1">-SUMIFS(INDIRECT("Tab_00.Trial["&amp;AD$4&amp;"]"),Tab_00.Trial[CONTA],$B180)</f>
        <v>0</v>
      </c>
      <c r="AE180" s="78">
        <f t="shared" ca="1" si="106"/>
        <v>0</v>
      </c>
      <c r="AF180" s="78">
        <f t="shared" ca="1" si="107"/>
        <v>0</v>
      </c>
      <c r="AG180" s="4">
        <f ca="1">-SUMIFS(INDIRECT("Tab_00.Trial["&amp;AG$4&amp;"]"),Tab_00.Trial[CONTA],$B180)</f>
        <v>0</v>
      </c>
      <c r="AH180" s="78">
        <f t="shared" ca="1" si="108"/>
        <v>0</v>
      </c>
      <c r="AI180" s="78">
        <f t="shared" ca="1" si="109"/>
        <v>0</v>
      </c>
      <c r="AJ180" s="4">
        <f ca="1">-SUMIFS(INDIRECT("Tab_00.Trial["&amp;AJ$4&amp;"]"),Tab_00.Trial[CONTA],$B180)</f>
        <v>0</v>
      </c>
      <c r="AK180" s="78">
        <f t="shared" ca="1" si="110"/>
        <v>0</v>
      </c>
      <c r="AL180" s="78">
        <f t="shared" ca="1" si="111"/>
        <v>0</v>
      </c>
    </row>
    <row r="181" spans="2:38" ht="5.0999999999999996" customHeight="1" outlineLevel="1" x14ac:dyDescent="0.3">
      <c r="B181" s="74"/>
      <c r="C181" s="75"/>
      <c r="D181" s="76"/>
      <c r="E181" s="77"/>
      <c r="F181" s="76"/>
      <c r="G181" s="77"/>
      <c r="H181" s="77"/>
      <c r="I181" s="76"/>
      <c r="J181" s="77"/>
      <c r="K181" s="77"/>
      <c r="L181" s="76"/>
      <c r="M181" s="77"/>
      <c r="N181" s="77"/>
      <c r="O181" s="76"/>
      <c r="P181" s="77"/>
      <c r="Q181" s="77"/>
      <c r="R181" s="76"/>
      <c r="S181" s="77"/>
      <c r="T181" s="77"/>
      <c r="U181" s="76"/>
      <c r="V181" s="77"/>
      <c r="W181" s="77"/>
      <c r="X181" s="76"/>
      <c r="Y181" s="77"/>
      <c r="Z181" s="77"/>
      <c r="AA181" s="76"/>
      <c r="AB181" s="77"/>
      <c r="AC181" s="77"/>
      <c r="AD181" s="76"/>
      <c r="AE181" s="77"/>
      <c r="AF181" s="77"/>
      <c r="AG181" s="76"/>
      <c r="AH181" s="77"/>
      <c r="AI181" s="77"/>
      <c r="AJ181" s="76"/>
      <c r="AK181" s="77"/>
      <c r="AL181" s="77"/>
    </row>
    <row r="182" spans="2:38" ht="15" customHeight="1" x14ac:dyDescent="0.3">
      <c r="B182" s="3" t="s">
        <v>66</v>
      </c>
      <c r="C182" s="3" t="s">
        <v>83</v>
      </c>
      <c r="D182" s="4">
        <f ca="1">SUBTOTAL(9,D$183:D$189)</f>
        <v>189</v>
      </c>
      <c r="E182" s="78">
        <f ca="1">IFERROR($D182/$D$6,0)</f>
        <v>2.0000000000000001E-4</v>
      </c>
      <c r="F182" s="4">
        <f ca="1">SUBTOTAL(9,F$183:F$189)</f>
        <v>-81</v>
      </c>
      <c r="G182" s="78">
        <f ca="1">IFERROR($F182/$F$6,0)</f>
        <v>0</v>
      </c>
      <c r="H182" s="78">
        <f ca="1">IFERROR(($F182-$D182)/ABS($D182),0)</f>
        <v>-1.4286000000000001</v>
      </c>
      <c r="I182" s="4">
        <f ca="1">SUBTOTAL(9,I$183:I$189)</f>
        <v>-81</v>
      </c>
      <c r="J182" s="78">
        <f ca="1">IFERROR($I182/$I$6,0)</f>
        <v>0</v>
      </c>
      <c r="K182" s="78">
        <f ca="1">IFERROR(($I182-$F182)/ABS($F182),0)</f>
        <v>0</v>
      </c>
      <c r="L182" s="4">
        <f ca="1">SUBTOTAL(9,L$183:L$189)</f>
        <v>-81</v>
      </c>
      <c r="M182" s="78">
        <f ca="1">IFERROR($L182/$L$6,0)</f>
        <v>0</v>
      </c>
      <c r="N182" s="78">
        <f ca="1">IFERROR(($L182-$I182)/ABS($I182),0)</f>
        <v>0</v>
      </c>
      <c r="O182" s="4">
        <f ca="1">SUBTOTAL(9,O$183:O$189)</f>
        <v>-81</v>
      </c>
      <c r="P182" s="78">
        <f ca="1">IFERROR($O182/$O$6,0)</f>
        <v>0</v>
      </c>
      <c r="Q182" s="78">
        <f ca="1">IFERROR(($O182-$L182)/ABS($L182),0)</f>
        <v>0</v>
      </c>
      <c r="R182" s="4">
        <f ca="1">SUBTOTAL(9,R$183:R$189)</f>
        <v>-216</v>
      </c>
      <c r="S182" s="78">
        <f ca="1">IFERROR($R182/$R$6,0)</f>
        <v>0</v>
      </c>
      <c r="T182" s="78">
        <f ca="1">IFERROR(($R182-$O182)/ABS($O182),0)</f>
        <v>-1.6667000000000001</v>
      </c>
      <c r="U182" s="4">
        <f ca="1">SUBTOTAL(9,U$183:U$189)</f>
        <v>-216</v>
      </c>
      <c r="V182" s="78">
        <f ca="1">IFERROR($U182/$U$6,0)</f>
        <v>0</v>
      </c>
      <c r="W182" s="78">
        <f ca="1">IFERROR(($U182-$R182)/ABS($R182),0)</f>
        <v>0</v>
      </c>
      <c r="X182" s="4">
        <f ca="1">SUBTOTAL(9,X$183:X$189)</f>
        <v>-216</v>
      </c>
      <c r="Y182" s="78">
        <f ca="1">IFERROR($X182/$X$6,0)</f>
        <v>0</v>
      </c>
      <c r="Z182" s="78">
        <f ca="1">IFERROR(($X182-$U182)/ABS($U182),0)</f>
        <v>0</v>
      </c>
      <c r="AA182" s="4">
        <f ca="1">SUBTOTAL(9,AA$183:AA$189)</f>
        <v>-50117.5</v>
      </c>
      <c r="AB182" s="78">
        <f ca="1">IFERROR($AA182/$AA$6,0)</f>
        <v>-5.3E-3</v>
      </c>
      <c r="AC182" s="78">
        <f ca="1">IFERROR(($AA182-$X182)/ABS($X182),0)</f>
        <v>-231.02549999999999</v>
      </c>
      <c r="AD182" s="4">
        <f ca="1">SUBTOTAL(9,AD$183:AD$189)</f>
        <v>-50117.5</v>
      </c>
      <c r="AE182" s="78">
        <f ca="1">IFERROR($AD182/$AD$6,0)</f>
        <v>-4.7000000000000002E-3</v>
      </c>
      <c r="AF182" s="78">
        <f ca="1">IFERROR(($AD182-$AA182)/ABS($AA182),0)</f>
        <v>0</v>
      </c>
      <c r="AG182" s="4">
        <f ca="1">SUBTOTAL(9,AG$183:AG$189)</f>
        <v>-50117.5</v>
      </c>
      <c r="AH182" s="78">
        <f ca="1">IFERROR($AG182/$AG$6,0)</f>
        <v>-4.3E-3</v>
      </c>
      <c r="AI182" s="78">
        <f ca="1">IFERROR(($AG182-$AD182)/ABS($AD182),0)</f>
        <v>0</v>
      </c>
      <c r="AJ182" s="4">
        <f ca="1">SUBTOTAL(9,AJ$183:AJ$189)</f>
        <v>-50117.5</v>
      </c>
      <c r="AK182" s="78">
        <f ca="1">IFERROR($AJ182/$AJ$6,0)</f>
        <v>-3.8E-3</v>
      </c>
      <c r="AL182" s="78">
        <f ca="1">IFERROR(($AJ182-$AG182)/ABS($AG182),0)</f>
        <v>0</v>
      </c>
    </row>
    <row r="183" spans="2:38" ht="15" customHeight="1" outlineLevel="1" x14ac:dyDescent="0.3">
      <c r="B183" s="14" t="s">
        <v>543</v>
      </c>
      <c r="C183" s="14" t="s">
        <v>544</v>
      </c>
      <c r="D183" s="4">
        <f ca="1">-SUMIFS(INDIRECT("Tab_00.Trial["&amp;D$4&amp;"]"),Tab_00.Trial[CONTA],$B183)</f>
        <v>0</v>
      </c>
      <c r="E183" s="78">
        <f ca="1">IFERROR($D183/$D$6,0)</f>
        <v>0</v>
      </c>
      <c r="F183" s="4">
        <f ca="1">-SUMIFS(INDIRECT("Tab_00.Trial["&amp;F$4&amp;"]"),Tab_00.Trial[CONTA],$B183)</f>
        <v>0</v>
      </c>
      <c r="G183" s="78">
        <f t="shared" ca="1" si="91"/>
        <v>0</v>
      </c>
      <c r="H183" s="78">
        <f ca="1">IFERROR(($F183-$D183)/ABS($D183),0)</f>
        <v>0</v>
      </c>
      <c r="I183" s="4">
        <f ca="1">-SUMIFS(INDIRECT("Tab_00.Trial["&amp;I$4&amp;"]"),Tab_00.Trial[CONTA],$B183)</f>
        <v>0</v>
      </c>
      <c r="J183" s="78">
        <f t="shared" ca="1" si="92"/>
        <v>0</v>
      </c>
      <c r="K183" s="78">
        <f t="shared" ca="1" si="93"/>
        <v>0</v>
      </c>
      <c r="L183" s="4">
        <f ca="1">-SUMIFS(INDIRECT("Tab_00.Trial["&amp;L$4&amp;"]"),Tab_00.Trial[CONTA],$B183)</f>
        <v>0</v>
      </c>
      <c r="M183" s="78">
        <f t="shared" ca="1" si="94"/>
        <v>0</v>
      </c>
      <c r="N183" s="78">
        <f t="shared" ca="1" si="95"/>
        <v>0</v>
      </c>
      <c r="O183" s="4">
        <f ca="1">-SUMIFS(INDIRECT("Tab_00.Trial["&amp;O$4&amp;"]"),Tab_00.Trial[CONTA],$B183)</f>
        <v>0</v>
      </c>
      <c r="P183" s="78">
        <f t="shared" ref="P183:P188" ca="1" si="142">IFERROR($O183/$O$6,0)</f>
        <v>0</v>
      </c>
      <c r="Q183" s="78">
        <f t="shared" ref="Q183:Q188" ca="1" si="143">IFERROR(($O183-$L183)/ABS($L183),0)</f>
        <v>0</v>
      </c>
      <c r="R183" s="4">
        <f ca="1">-SUMIFS(INDIRECT("Tab_00.Trial["&amp;R$4&amp;"]"),Tab_00.Trial[CONTA],$B183)</f>
        <v>0</v>
      </c>
      <c r="S183" s="78">
        <f t="shared" ca="1" si="98"/>
        <v>0</v>
      </c>
      <c r="T183" s="78">
        <f t="shared" ca="1" si="99"/>
        <v>0</v>
      </c>
      <c r="U183" s="4">
        <f ca="1">-SUMIFS(INDIRECT("Tab_00.Trial["&amp;U$4&amp;"]"),Tab_00.Trial[CONTA],$B183)</f>
        <v>0</v>
      </c>
      <c r="V183" s="78">
        <f t="shared" ca="1" si="100"/>
        <v>0</v>
      </c>
      <c r="W183" s="78">
        <f t="shared" ca="1" si="101"/>
        <v>0</v>
      </c>
      <c r="X183" s="4">
        <f ca="1">-SUMIFS(INDIRECT("Tab_00.Trial["&amp;X$4&amp;"]"),Tab_00.Trial[CONTA],$B183)</f>
        <v>0</v>
      </c>
      <c r="Y183" s="78">
        <f t="shared" ref="Y183:Y188" ca="1" si="144">IFERROR($X183/$X$6,0)</f>
        <v>0</v>
      </c>
      <c r="Z183" s="78">
        <f t="shared" ref="Z183:Z188" ca="1" si="145">IFERROR(($X183-$U183)/ABS($U183),0)</f>
        <v>0</v>
      </c>
      <c r="AA183" s="4">
        <f ca="1">-SUMIFS(INDIRECT("Tab_00.Trial["&amp;AA$4&amp;"]"),Tab_00.Trial[CONTA],$B183)</f>
        <v>0</v>
      </c>
      <c r="AB183" s="78">
        <f t="shared" ca="1" si="104"/>
        <v>0</v>
      </c>
      <c r="AC183" s="78">
        <f t="shared" ca="1" si="105"/>
        <v>0</v>
      </c>
      <c r="AD183" s="4">
        <f ca="1">-SUMIFS(INDIRECT("Tab_00.Trial["&amp;AD$4&amp;"]"),Tab_00.Trial[CONTA],$B183)</f>
        <v>0</v>
      </c>
      <c r="AE183" s="78">
        <f t="shared" ca="1" si="106"/>
        <v>0</v>
      </c>
      <c r="AF183" s="78">
        <f t="shared" ca="1" si="107"/>
        <v>0</v>
      </c>
      <c r="AG183" s="4">
        <f ca="1">-SUMIFS(INDIRECT("Tab_00.Trial["&amp;AG$4&amp;"]"),Tab_00.Trial[CONTA],$B183)</f>
        <v>0</v>
      </c>
      <c r="AH183" s="78">
        <f t="shared" ca="1" si="108"/>
        <v>0</v>
      </c>
      <c r="AI183" s="78">
        <f t="shared" ca="1" si="109"/>
        <v>0</v>
      </c>
      <c r="AJ183" s="4">
        <f ca="1">-SUMIFS(INDIRECT("Tab_00.Trial["&amp;AJ$4&amp;"]"),Tab_00.Trial[CONTA],$B183)</f>
        <v>0</v>
      </c>
      <c r="AK183" s="78">
        <f t="shared" ca="1" si="110"/>
        <v>0</v>
      </c>
      <c r="AL183" s="78">
        <f t="shared" ca="1" si="111"/>
        <v>0</v>
      </c>
    </row>
    <row r="184" spans="2:38" ht="15" customHeight="1" outlineLevel="1" x14ac:dyDescent="0.3">
      <c r="B184" s="14" t="s">
        <v>547</v>
      </c>
      <c r="C184" s="14" t="s">
        <v>548</v>
      </c>
      <c r="D184" s="4">
        <f ca="1">-SUMIFS(INDIRECT("Tab_00.Trial["&amp;D$4&amp;"]"),Tab_00.Trial[CONTA],$B184)</f>
        <v>0</v>
      </c>
      <c r="E184" s="78">
        <f t="shared" ref="E184:E188" ca="1" si="146">IFERROR($D184/$D$6,0)</f>
        <v>0</v>
      </c>
      <c r="F184" s="4">
        <f ca="1">-SUMIFS(INDIRECT("Tab_00.Trial["&amp;F$4&amp;"]"),Tab_00.Trial[CONTA],$B184)</f>
        <v>-270</v>
      </c>
      <c r="G184" s="78">
        <f t="shared" ca="1" si="91"/>
        <v>-1E-4</v>
      </c>
      <c r="H184" s="78">
        <f t="shared" ref="H184:H188" ca="1" si="147">IFERROR(($F184-$D184)/ABS($D184),0)</f>
        <v>0</v>
      </c>
      <c r="I184" s="4">
        <f ca="1">-SUMIFS(INDIRECT("Tab_00.Trial["&amp;I$4&amp;"]"),Tab_00.Trial[CONTA],$B184)</f>
        <v>-270</v>
      </c>
      <c r="J184" s="78">
        <f t="shared" ca="1" si="92"/>
        <v>-1E-4</v>
      </c>
      <c r="K184" s="78">
        <f t="shared" ca="1" si="93"/>
        <v>0</v>
      </c>
      <c r="L184" s="4">
        <f ca="1">-SUMIFS(INDIRECT("Tab_00.Trial["&amp;L$4&amp;"]"),Tab_00.Trial[CONTA],$B184)</f>
        <v>-270</v>
      </c>
      <c r="M184" s="78">
        <f t="shared" ca="1" si="94"/>
        <v>-1E-4</v>
      </c>
      <c r="N184" s="78">
        <f t="shared" ca="1" si="95"/>
        <v>0</v>
      </c>
      <c r="O184" s="4">
        <f ca="1">-SUMIFS(INDIRECT("Tab_00.Trial["&amp;O$4&amp;"]"),Tab_00.Trial[CONTA],$B184)</f>
        <v>-270</v>
      </c>
      <c r="P184" s="78">
        <f t="shared" ca="1" si="142"/>
        <v>-1E-4</v>
      </c>
      <c r="Q184" s="78">
        <f t="shared" ca="1" si="143"/>
        <v>0</v>
      </c>
      <c r="R184" s="4">
        <f ca="1">-SUMIFS(INDIRECT("Tab_00.Trial["&amp;R$4&amp;"]"),Tab_00.Trial[CONTA],$B184)</f>
        <v>-405</v>
      </c>
      <c r="S184" s="78">
        <f t="shared" ca="1" si="98"/>
        <v>-1E-4</v>
      </c>
      <c r="T184" s="78">
        <f t="shared" ca="1" si="99"/>
        <v>-0.5</v>
      </c>
      <c r="U184" s="4">
        <f ca="1">-SUMIFS(INDIRECT("Tab_00.Trial["&amp;U$4&amp;"]"),Tab_00.Trial[CONTA],$B184)</f>
        <v>-405</v>
      </c>
      <c r="V184" s="78">
        <f t="shared" ca="1" si="100"/>
        <v>-1E-4</v>
      </c>
      <c r="W184" s="78">
        <f t="shared" ca="1" si="101"/>
        <v>0</v>
      </c>
      <c r="X184" s="4">
        <f ca="1">-SUMIFS(INDIRECT("Tab_00.Trial["&amp;X$4&amp;"]"),Tab_00.Trial[CONTA],$B184)</f>
        <v>-405</v>
      </c>
      <c r="Y184" s="78">
        <f t="shared" ca="1" si="144"/>
        <v>0</v>
      </c>
      <c r="Z184" s="78">
        <f t="shared" ca="1" si="145"/>
        <v>0</v>
      </c>
      <c r="AA184" s="4">
        <f ca="1">-SUMIFS(INDIRECT("Tab_00.Trial["&amp;AA$4&amp;"]"),Tab_00.Trial[CONTA],$B184)</f>
        <v>-405</v>
      </c>
      <c r="AB184" s="78">
        <f t="shared" ca="1" si="104"/>
        <v>0</v>
      </c>
      <c r="AC184" s="78">
        <f t="shared" ca="1" si="105"/>
        <v>0</v>
      </c>
      <c r="AD184" s="4">
        <f ca="1">-SUMIFS(INDIRECT("Tab_00.Trial["&amp;AD$4&amp;"]"),Tab_00.Trial[CONTA],$B184)</f>
        <v>-405</v>
      </c>
      <c r="AE184" s="78">
        <f t="shared" ca="1" si="106"/>
        <v>0</v>
      </c>
      <c r="AF184" s="78">
        <f t="shared" ca="1" si="107"/>
        <v>0</v>
      </c>
      <c r="AG184" s="4">
        <f ca="1">-SUMIFS(INDIRECT("Tab_00.Trial["&amp;AG$4&amp;"]"),Tab_00.Trial[CONTA],$B184)</f>
        <v>-405</v>
      </c>
      <c r="AH184" s="78">
        <f t="shared" ca="1" si="108"/>
        <v>0</v>
      </c>
      <c r="AI184" s="78">
        <f t="shared" ca="1" si="109"/>
        <v>0</v>
      </c>
      <c r="AJ184" s="4">
        <f ca="1">-SUMIFS(INDIRECT("Tab_00.Trial["&amp;AJ$4&amp;"]"),Tab_00.Trial[CONTA],$B184)</f>
        <v>-405</v>
      </c>
      <c r="AK184" s="78">
        <f t="shared" ca="1" si="110"/>
        <v>0</v>
      </c>
      <c r="AL184" s="78">
        <f t="shared" ca="1" si="111"/>
        <v>0</v>
      </c>
    </row>
    <row r="185" spans="2:38" ht="15" customHeight="1" outlineLevel="1" x14ac:dyDescent="0.3">
      <c r="B185" s="14" t="s">
        <v>549</v>
      </c>
      <c r="C185" s="14" t="s">
        <v>550</v>
      </c>
      <c r="D185" s="4">
        <f ca="1">-SUMIFS(INDIRECT("Tab_00.Trial["&amp;D$4&amp;"]"),Tab_00.Trial[CONTA],$B185)</f>
        <v>0</v>
      </c>
      <c r="E185" s="78">
        <f t="shared" ca="1" si="146"/>
        <v>0</v>
      </c>
      <c r="F185" s="4">
        <f ca="1">-SUMIFS(INDIRECT("Tab_00.Trial["&amp;F$4&amp;"]"),Tab_00.Trial[CONTA],$B185)</f>
        <v>0</v>
      </c>
      <c r="G185" s="78">
        <f t="shared" ca="1" si="91"/>
        <v>0</v>
      </c>
      <c r="H185" s="78">
        <f t="shared" ca="1" si="147"/>
        <v>0</v>
      </c>
      <c r="I185" s="4">
        <f ca="1">-SUMIFS(INDIRECT("Tab_00.Trial["&amp;I$4&amp;"]"),Tab_00.Trial[CONTA],$B185)</f>
        <v>0</v>
      </c>
      <c r="J185" s="78">
        <f t="shared" ca="1" si="92"/>
        <v>0</v>
      </c>
      <c r="K185" s="78">
        <f t="shared" ca="1" si="93"/>
        <v>0</v>
      </c>
      <c r="L185" s="4">
        <f ca="1">-SUMIFS(INDIRECT("Tab_00.Trial["&amp;L$4&amp;"]"),Tab_00.Trial[CONTA],$B185)</f>
        <v>0</v>
      </c>
      <c r="M185" s="78">
        <f t="shared" ca="1" si="94"/>
        <v>0</v>
      </c>
      <c r="N185" s="78">
        <f t="shared" ca="1" si="95"/>
        <v>0</v>
      </c>
      <c r="O185" s="4">
        <f ca="1">-SUMIFS(INDIRECT("Tab_00.Trial["&amp;O$4&amp;"]"),Tab_00.Trial[CONTA],$B185)</f>
        <v>0</v>
      </c>
      <c r="P185" s="78">
        <f t="shared" ca="1" si="142"/>
        <v>0</v>
      </c>
      <c r="Q185" s="78">
        <f t="shared" ca="1" si="143"/>
        <v>0</v>
      </c>
      <c r="R185" s="4">
        <f ca="1">-SUMIFS(INDIRECT("Tab_00.Trial["&amp;R$4&amp;"]"),Tab_00.Trial[CONTA],$B185)</f>
        <v>0</v>
      </c>
      <c r="S185" s="78">
        <f t="shared" ca="1" si="98"/>
        <v>0</v>
      </c>
      <c r="T185" s="78">
        <f t="shared" ca="1" si="99"/>
        <v>0</v>
      </c>
      <c r="U185" s="4">
        <f ca="1">-SUMIFS(INDIRECT("Tab_00.Trial["&amp;U$4&amp;"]"),Tab_00.Trial[CONTA],$B185)</f>
        <v>0</v>
      </c>
      <c r="V185" s="78">
        <f t="shared" ca="1" si="100"/>
        <v>0</v>
      </c>
      <c r="W185" s="78">
        <f t="shared" ca="1" si="101"/>
        <v>0</v>
      </c>
      <c r="X185" s="4">
        <f ca="1">-SUMIFS(INDIRECT("Tab_00.Trial["&amp;X$4&amp;"]"),Tab_00.Trial[CONTA],$B185)</f>
        <v>0</v>
      </c>
      <c r="Y185" s="78">
        <f t="shared" ca="1" si="144"/>
        <v>0</v>
      </c>
      <c r="Z185" s="78">
        <f t="shared" ca="1" si="145"/>
        <v>0</v>
      </c>
      <c r="AA185" s="4">
        <f ca="1">-SUMIFS(INDIRECT("Tab_00.Trial["&amp;AA$4&amp;"]"),Tab_00.Trial[CONTA],$B185)</f>
        <v>0</v>
      </c>
      <c r="AB185" s="78">
        <f t="shared" ca="1" si="104"/>
        <v>0</v>
      </c>
      <c r="AC185" s="78">
        <f t="shared" ca="1" si="105"/>
        <v>0</v>
      </c>
      <c r="AD185" s="4">
        <f ca="1">-SUMIFS(INDIRECT("Tab_00.Trial["&amp;AD$4&amp;"]"),Tab_00.Trial[CONTA],$B185)</f>
        <v>0</v>
      </c>
      <c r="AE185" s="78">
        <f t="shared" ca="1" si="106"/>
        <v>0</v>
      </c>
      <c r="AF185" s="78">
        <f t="shared" ca="1" si="107"/>
        <v>0</v>
      </c>
      <c r="AG185" s="4">
        <f ca="1">-SUMIFS(INDIRECT("Tab_00.Trial["&amp;AG$4&amp;"]"),Tab_00.Trial[CONTA],$B185)</f>
        <v>0</v>
      </c>
      <c r="AH185" s="78">
        <f t="shared" ca="1" si="108"/>
        <v>0</v>
      </c>
      <c r="AI185" s="78">
        <f t="shared" ca="1" si="109"/>
        <v>0</v>
      </c>
      <c r="AJ185" s="4">
        <f ca="1">-SUMIFS(INDIRECT("Tab_00.Trial["&amp;AJ$4&amp;"]"),Tab_00.Trial[CONTA],$B185)</f>
        <v>0</v>
      </c>
      <c r="AK185" s="78">
        <f t="shared" ca="1" si="110"/>
        <v>0</v>
      </c>
      <c r="AL185" s="78">
        <f t="shared" ca="1" si="111"/>
        <v>0</v>
      </c>
    </row>
    <row r="186" spans="2:38" ht="15" customHeight="1" outlineLevel="1" x14ac:dyDescent="0.3">
      <c r="B186" s="14" t="s">
        <v>828</v>
      </c>
      <c r="C186" s="14" t="s">
        <v>829</v>
      </c>
      <c r="D186" s="4">
        <f ca="1">-SUMIFS(INDIRECT("Tab_00.Trial["&amp;D$4&amp;"]"),Tab_00.Trial[CONTA],$B186)</f>
        <v>189</v>
      </c>
      <c r="E186" s="78">
        <f t="shared" ca="1" si="146"/>
        <v>2.0000000000000001E-4</v>
      </c>
      <c r="F186" s="4">
        <f ca="1">-SUMIFS(INDIRECT("Tab_00.Trial["&amp;F$4&amp;"]"),Tab_00.Trial[CONTA],$B186)</f>
        <v>189</v>
      </c>
      <c r="G186" s="78">
        <f t="shared" ca="1" si="91"/>
        <v>1E-4</v>
      </c>
      <c r="H186" s="78">
        <f t="shared" ca="1" si="147"/>
        <v>0</v>
      </c>
      <c r="I186" s="4">
        <f ca="1">-SUMIFS(INDIRECT("Tab_00.Trial["&amp;I$4&amp;"]"),Tab_00.Trial[CONTA],$B186)</f>
        <v>189</v>
      </c>
      <c r="J186" s="78">
        <f t="shared" ca="1" si="92"/>
        <v>1E-4</v>
      </c>
      <c r="K186" s="78">
        <f t="shared" ca="1" si="93"/>
        <v>0</v>
      </c>
      <c r="L186" s="4">
        <f ca="1">-SUMIFS(INDIRECT("Tab_00.Trial["&amp;L$4&amp;"]"),Tab_00.Trial[CONTA],$B186)</f>
        <v>189</v>
      </c>
      <c r="M186" s="78">
        <f t="shared" ca="1" si="94"/>
        <v>0</v>
      </c>
      <c r="N186" s="78">
        <f t="shared" ca="1" si="95"/>
        <v>0</v>
      </c>
      <c r="O186" s="4">
        <f ca="1">-SUMIFS(INDIRECT("Tab_00.Trial["&amp;O$4&amp;"]"),Tab_00.Trial[CONTA],$B186)</f>
        <v>189</v>
      </c>
      <c r="P186" s="78">
        <f t="shared" ca="1" si="142"/>
        <v>0</v>
      </c>
      <c r="Q186" s="78">
        <f t="shared" ca="1" si="143"/>
        <v>0</v>
      </c>
      <c r="R186" s="4">
        <f ca="1">-SUMIFS(INDIRECT("Tab_00.Trial["&amp;R$4&amp;"]"),Tab_00.Trial[CONTA],$B186)</f>
        <v>189</v>
      </c>
      <c r="S186" s="78">
        <f t="shared" ca="1" si="98"/>
        <v>0</v>
      </c>
      <c r="T186" s="78">
        <f t="shared" ca="1" si="99"/>
        <v>0</v>
      </c>
      <c r="U186" s="4">
        <f ca="1">-SUMIFS(INDIRECT("Tab_00.Trial["&amp;U$4&amp;"]"),Tab_00.Trial[CONTA],$B186)</f>
        <v>189</v>
      </c>
      <c r="V186" s="78">
        <f t="shared" ca="1" si="100"/>
        <v>0</v>
      </c>
      <c r="W186" s="78">
        <f t="shared" ca="1" si="101"/>
        <v>0</v>
      </c>
      <c r="X186" s="4">
        <f ca="1">-SUMIFS(INDIRECT("Tab_00.Trial["&amp;X$4&amp;"]"),Tab_00.Trial[CONTA],$B186)</f>
        <v>189</v>
      </c>
      <c r="Y186" s="78">
        <f t="shared" ca="1" si="144"/>
        <v>0</v>
      </c>
      <c r="Z186" s="78">
        <f t="shared" ca="1" si="145"/>
        <v>0</v>
      </c>
      <c r="AA186" s="4">
        <f ca="1">-SUMIFS(INDIRECT("Tab_00.Trial["&amp;AA$4&amp;"]"),Tab_00.Trial[CONTA],$B186)</f>
        <v>189</v>
      </c>
      <c r="AB186" s="78">
        <f t="shared" ca="1" si="104"/>
        <v>0</v>
      </c>
      <c r="AC186" s="78">
        <f t="shared" ca="1" si="105"/>
        <v>0</v>
      </c>
      <c r="AD186" s="4">
        <f ca="1">-SUMIFS(INDIRECT("Tab_00.Trial["&amp;AD$4&amp;"]"),Tab_00.Trial[CONTA],$B186)</f>
        <v>189</v>
      </c>
      <c r="AE186" s="78">
        <f t="shared" ca="1" si="106"/>
        <v>0</v>
      </c>
      <c r="AF186" s="78">
        <f t="shared" ca="1" si="107"/>
        <v>0</v>
      </c>
      <c r="AG186" s="4">
        <f ca="1">-SUMIFS(INDIRECT("Tab_00.Trial["&amp;AG$4&amp;"]"),Tab_00.Trial[CONTA],$B186)</f>
        <v>189</v>
      </c>
      <c r="AH186" s="78">
        <f t="shared" ca="1" si="108"/>
        <v>0</v>
      </c>
      <c r="AI186" s="78">
        <f t="shared" ca="1" si="109"/>
        <v>0</v>
      </c>
      <c r="AJ186" s="4">
        <f ca="1">-SUMIFS(INDIRECT("Tab_00.Trial["&amp;AJ$4&amp;"]"),Tab_00.Trial[CONTA],$B186)</f>
        <v>189</v>
      </c>
      <c r="AK186" s="78">
        <f t="shared" ca="1" si="110"/>
        <v>0</v>
      </c>
      <c r="AL186" s="78">
        <f t="shared" ca="1" si="111"/>
        <v>0</v>
      </c>
    </row>
    <row r="187" spans="2:38" ht="15" customHeight="1" outlineLevel="1" x14ac:dyDescent="0.3">
      <c r="B187" s="14" t="s">
        <v>824</v>
      </c>
      <c r="C187" s="14" t="s">
        <v>823</v>
      </c>
      <c r="D187" s="4">
        <f ca="1">-SUMIFS(INDIRECT("Tab_00.Trial["&amp;D$4&amp;"]"),Tab_00.Trial[CONTA],$B187)</f>
        <v>0</v>
      </c>
      <c r="E187" s="78">
        <f t="shared" ca="1" si="146"/>
        <v>0</v>
      </c>
      <c r="F187" s="4">
        <f ca="1">-SUMIFS(INDIRECT("Tab_00.Trial["&amp;F$4&amp;"]"),Tab_00.Trial[CONTA],$B187)</f>
        <v>0</v>
      </c>
      <c r="G187" s="78">
        <f t="shared" ca="1" si="91"/>
        <v>0</v>
      </c>
      <c r="H187" s="78">
        <f t="shared" ca="1" si="147"/>
        <v>0</v>
      </c>
      <c r="I187" s="4">
        <f ca="1">-SUMIFS(INDIRECT("Tab_00.Trial["&amp;I$4&amp;"]"),Tab_00.Trial[CONTA],$B187)</f>
        <v>0</v>
      </c>
      <c r="J187" s="78">
        <f t="shared" ca="1" si="92"/>
        <v>0</v>
      </c>
      <c r="K187" s="78">
        <f t="shared" ca="1" si="93"/>
        <v>0</v>
      </c>
      <c r="L187" s="4">
        <f ca="1">-SUMIFS(INDIRECT("Tab_00.Trial["&amp;L$4&amp;"]"),Tab_00.Trial[CONTA],$B187)</f>
        <v>0</v>
      </c>
      <c r="M187" s="78">
        <f t="shared" ca="1" si="94"/>
        <v>0</v>
      </c>
      <c r="N187" s="78">
        <f t="shared" ca="1" si="95"/>
        <v>0</v>
      </c>
      <c r="O187" s="4">
        <f ca="1">-SUMIFS(INDIRECT("Tab_00.Trial["&amp;O$4&amp;"]"),Tab_00.Trial[CONTA],$B187)</f>
        <v>0</v>
      </c>
      <c r="P187" s="78">
        <f t="shared" ca="1" si="142"/>
        <v>0</v>
      </c>
      <c r="Q187" s="78">
        <f t="shared" ca="1" si="143"/>
        <v>0</v>
      </c>
      <c r="R187" s="4">
        <f ca="1">-SUMIFS(INDIRECT("Tab_00.Trial["&amp;R$4&amp;"]"),Tab_00.Trial[CONTA],$B187)</f>
        <v>0</v>
      </c>
      <c r="S187" s="78">
        <f t="shared" ca="1" si="98"/>
        <v>0</v>
      </c>
      <c r="T187" s="78">
        <f t="shared" ca="1" si="99"/>
        <v>0</v>
      </c>
      <c r="U187" s="4">
        <f ca="1">-SUMIFS(INDIRECT("Tab_00.Trial["&amp;U$4&amp;"]"),Tab_00.Trial[CONTA],$B187)</f>
        <v>0</v>
      </c>
      <c r="V187" s="78">
        <f t="shared" ca="1" si="100"/>
        <v>0</v>
      </c>
      <c r="W187" s="78">
        <f t="shared" ca="1" si="101"/>
        <v>0</v>
      </c>
      <c r="X187" s="4">
        <f ca="1">-SUMIFS(INDIRECT("Tab_00.Trial["&amp;X$4&amp;"]"),Tab_00.Trial[CONTA],$B187)</f>
        <v>0</v>
      </c>
      <c r="Y187" s="78">
        <f t="shared" ca="1" si="144"/>
        <v>0</v>
      </c>
      <c r="Z187" s="78">
        <f t="shared" ca="1" si="145"/>
        <v>0</v>
      </c>
      <c r="AA187" s="4">
        <f ca="1">-SUMIFS(INDIRECT("Tab_00.Trial["&amp;AA$4&amp;"]"),Tab_00.Trial[CONTA],$B187)</f>
        <v>0</v>
      </c>
      <c r="AB187" s="78">
        <f t="shared" ca="1" si="104"/>
        <v>0</v>
      </c>
      <c r="AC187" s="78">
        <f t="shared" ca="1" si="105"/>
        <v>0</v>
      </c>
      <c r="AD187" s="4">
        <f ca="1">-SUMIFS(INDIRECT("Tab_00.Trial["&amp;AD$4&amp;"]"),Tab_00.Trial[CONTA],$B187)</f>
        <v>0</v>
      </c>
      <c r="AE187" s="78">
        <f t="shared" ca="1" si="106"/>
        <v>0</v>
      </c>
      <c r="AF187" s="78">
        <f t="shared" ca="1" si="107"/>
        <v>0</v>
      </c>
      <c r="AG187" s="4">
        <f ca="1">-SUMIFS(INDIRECT("Tab_00.Trial["&amp;AG$4&amp;"]"),Tab_00.Trial[CONTA],$B187)</f>
        <v>0</v>
      </c>
      <c r="AH187" s="78">
        <f t="shared" ca="1" si="108"/>
        <v>0</v>
      </c>
      <c r="AI187" s="78">
        <f t="shared" ca="1" si="109"/>
        <v>0</v>
      </c>
      <c r="AJ187" s="4">
        <f ca="1">-SUMIFS(INDIRECT("Tab_00.Trial["&amp;AJ$4&amp;"]"),Tab_00.Trial[CONTA],$B187)</f>
        <v>0</v>
      </c>
      <c r="AK187" s="78">
        <f t="shared" ca="1" si="110"/>
        <v>0</v>
      </c>
      <c r="AL187" s="78">
        <f t="shared" ca="1" si="111"/>
        <v>0</v>
      </c>
    </row>
    <row r="188" spans="2:38" ht="15" customHeight="1" outlineLevel="1" x14ac:dyDescent="0.3">
      <c r="B188" s="14" t="s">
        <v>1006</v>
      </c>
      <c r="C188" s="14" t="s">
        <v>1007</v>
      </c>
      <c r="D188" s="4">
        <f ca="1">-SUMIFS(INDIRECT("Tab_00.Trial["&amp;D$4&amp;"]"),Tab_00.Trial[CONTA],$B188)</f>
        <v>0</v>
      </c>
      <c r="E188" s="78">
        <f t="shared" ca="1" si="146"/>
        <v>0</v>
      </c>
      <c r="F188" s="4">
        <f ca="1">-SUMIFS(INDIRECT("Tab_00.Trial["&amp;F$4&amp;"]"),Tab_00.Trial[CONTA],$B188)</f>
        <v>0</v>
      </c>
      <c r="G188" s="78">
        <f t="shared" ca="1" si="91"/>
        <v>0</v>
      </c>
      <c r="H188" s="78">
        <f t="shared" ca="1" si="147"/>
        <v>0</v>
      </c>
      <c r="I188" s="4">
        <f ca="1">-SUMIFS(INDIRECT("Tab_00.Trial["&amp;I$4&amp;"]"),Tab_00.Trial[CONTA],$B188)</f>
        <v>0</v>
      </c>
      <c r="J188" s="78">
        <f t="shared" ca="1" si="92"/>
        <v>0</v>
      </c>
      <c r="K188" s="78">
        <f t="shared" ca="1" si="93"/>
        <v>0</v>
      </c>
      <c r="L188" s="4">
        <f ca="1">-SUMIFS(INDIRECT("Tab_00.Trial["&amp;L$4&amp;"]"),Tab_00.Trial[CONTA],$B188)</f>
        <v>0</v>
      </c>
      <c r="M188" s="78">
        <f t="shared" ca="1" si="94"/>
        <v>0</v>
      </c>
      <c r="N188" s="78">
        <f t="shared" ca="1" si="95"/>
        <v>0</v>
      </c>
      <c r="O188" s="4">
        <f ca="1">-SUMIFS(INDIRECT("Tab_00.Trial["&amp;O$4&amp;"]"),Tab_00.Trial[CONTA],$B188)</f>
        <v>0</v>
      </c>
      <c r="P188" s="78">
        <f t="shared" ca="1" si="142"/>
        <v>0</v>
      </c>
      <c r="Q188" s="78">
        <f t="shared" ca="1" si="143"/>
        <v>0</v>
      </c>
      <c r="R188" s="4">
        <f ca="1">-SUMIFS(INDIRECT("Tab_00.Trial["&amp;R$4&amp;"]"),Tab_00.Trial[CONTA],$B188)</f>
        <v>0</v>
      </c>
      <c r="S188" s="78">
        <f t="shared" ca="1" si="98"/>
        <v>0</v>
      </c>
      <c r="T188" s="78">
        <f t="shared" ca="1" si="99"/>
        <v>0</v>
      </c>
      <c r="U188" s="4">
        <f ca="1">-SUMIFS(INDIRECT("Tab_00.Trial["&amp;U$4&amp;"]"),Tab_00.Trial[CONTA],$B188)</f>
        <v>0</v>
      </c>
      <c r="V188" s="78">
        <f t="shared" ca="1" si="100"/>
        <v>0</v>
      </c>
      <c r="W188" s="78">
        <f t="shared" ca="1" si="101"/>
        <v>0</v>
      </c>
      <c r="X188" s="4">
        <f ca="1">-SUMIFS(INDIRECT("Tab_00.Trial["&amp;X$4&amp;"]"),Tab_00.Trial[CONTA],$B188)</f>
        <v>0</v>
      </c>
      <c r="Y188" s="78">
        <f t="shared" ca="1" si="144"/>
        <v>0</v>
      </c>
      <c r="Z188" s="78">
        <f t="shared" ca="1" si="145"/>
        <v>0</v>
      </c>
      <c r="AA188" s="4">
        <f ca="1">-SUMIFS(INDIRECT("Tab_00.Trial["&amp;AA$4&amp;"]"),Tab_00.Trial[CONTA],$B188)</f>
        <v>-49901.5</v>
      </c>
      <c r="AB188" s="78">
        <f t="shared" ca="1" si="104"/>
        <v>-5.3E-3</v>
      </c>
      <c r="AC188" s="78">
        <f t="shared" ca="1" si="105"/>
        <v>0</v>
      </c>
      <c r="AD188" s="4">
        <f ca="1">-SUMIFS(INDIRECT("Tab_00.Trial["&amp;AD$4&amp;"]"),Tab_00.Trial[CONTA],$B188)</f>
        <v>-49901.5</v>
      </c>
      <c r="AE188" s="78">
        <f t="shared" ca="1" si="106"/>
        <v>-4.7000000000000002E-3</v>
      </c>
      <c r="AF188" s="78">
        <f t="shared" ca="1" si="107"/>
        <v>0</v>
      </c>
      <c r="AG188" s="4">
        <f ca="1">-SUMIFS(INDIRECT("Tab_00.Trial["&amp;AG$4&amp;"]"),Tab_00.Trial[CONTA],$B188)</f>
        <v>-49901.5</v>
      </c>
      <c r="AH188" s="78">
        <f t="shared" ca="1" si="108"/>
        <v>-4.3E-3</v>
      </c>
      <c r="AI188" s="78">
        <f t="shared" ca="1" si="109"/>
        <v>0</v>
      </c>
      <c r="AJ188" s="4">
        <f ca="1">-SUMIFS(INDIRECT("Tab_00.Trial["&amp;AJ$4&amp;"]"),Tab_00.Trial[CONTA],$B188)</f>
        <v>-49901.5</v>
      </c>
      <c r="AK188" s="78">
        <f t="shared" ca="1" si="110"/>
        <v>-3.8E-3</v>
      </c>
      <c r="AL188" s="78">
        <f t="shared" ca="1" si="111"/>
        <v>0</v>
      </c>
    </row>
    <row r="189" spans="2:38" ht="5.0999999999999996" customHeight="1" outlineLevel="1" x14ac:dyDescent="0.3">
      <c r="B189" s="74"/>
      <c r="C189" s="75"/>
      <c r="D189" s="76"/>
      <c r="E189" s="77"/>
      <c r="F189" s="76"/>
      <c r="G189" s="77"/>
      <c r="H189" s="77"/>
      <c r="I189" s="76"/>
      <c r="J189" s="77"/>
      <c r="K189" s="77"/>
      <c r="L189" s="76"/>
      <c r="M189" s="77"/>
      <c r="N189" s="77"/>
      <c r="O189" s="76"/>
      <c r="P189" s="77"/>
      <c r="Q189" s="77"/>
      <c r="R189" s="76"/>
      <c r="S189" s="77"/>
      <c r="T189" s="77"/>
      <c r="U189" s="76"/>
      <c r="V189" s="77"/>
      <c r="W189" s="77"/>
      <c r="X189" s="76"/>
      <c r="Y189" s="77"/>
      <c r="Z189" s="77"/>
      <c r="AA189" s="76"/>
      <c r="AB189" s="77"/>
      <c r="AC189" s="77"/>
      <c r="AD189" s="76"/>
      <c r="AE189" s="77"/>
      <c r="AF189" s="77"/>
      <c r="AG189" s="76"/>
      <c r="AH189" s="77"/>
      <c r="AI189" s="77"/>
      <c r="AJ189" s="76"/>
      <c r="AK189" s="77"/>
      <c r="AL189" s="77"/>
    </row>
    <row r="190" spans="2:38" ht="15" customHeight="1" collapsed="1" x14ac:dyDescent="0.3">
      <c r="D190" s="8">
        <f ca="1">SUBTOTAL(9,D$63:D$189)</f>
        <v>-356008.71</v>
      </c>
      <c r="E190" s="83">
        <f ca="1">IFERROR($D190/$D$6,0)</f>
        <v>-0.37480000000000002</v>
      </c>
      <c r="F190" s="8">
        <f ca="1">SUBTOTAL(9,F$63:F$189)</f>
        <v>-980557.56</v>
      </c>
      <c r="G190" s="83">
        <f t="shared" ca="1" si="91"/>
        <v>-0.50929999999999997</v>
      </c>
      <c r="H190" s="83">
        <f ca="1">IFERROR(($F190-$D190)/ABS($D190),0)</f>
        <v>-1.7543</v>
      </c>
      <c r="I190" s="8">
        <f ca="1">SUBTOTAL(9,I$63:I$189)</f>
        <v>-1351370.25</v>
      </c>
      <c r="J190" s="83">
        <f t="shared" ca="1" si="92"/>
        <v>-0.4541</v>
      </c>
      <c r="K190" s="83">
        <f ca="1">IFERROR(($I190-$F190)/ABS($F190),0)</f>
        <v>-0.37819999999999998</v>
      </c>
      <c r="L190" s="8">
        <f ca="1">SUBTOTAL(9,L$63:L$189)</f>
        <v>-1714848.12</v>
      </c>
      <c r="M190" s="83">
        <f t="shared" ca="1" si="94"/>
        <v>-0.42</v>
      </c>
      <c r="N190" s="83">
        <f ca="1">IFERROR(($L190-$I190)/ABS($I190),0)</f>
        <v>-0.26900000000000002</v>
      </c>
      <c r="O190" s="8">
        <f ca="1">SUBTOTAL(9,O$63:O$189)</f>
        <v>-2058126.9</v>
      </c>
      <c r="P190" s="83">
        <f t="shared" ref="P190" ca="1" si="148">IFERROR($O190/$O$6,0)</f>
        <v>-0.38869999999999999</v>
      </c>
      <c r="Q190" s="83">
        <f ca="1">IFERROR(($O190-$L190)/ABS($L190),0)</f>
        <v>-0.20019999999999999</v>
      </c>
      <c r="R190" s="8">
        <f ca="1">SUBTOTAL(9,R$63:R$189)</f>
        <v>-2484759.41</v>
      </c>
      <c r="S190" s="83">
        <f t="shared" ca="1" si="98"/>
        <v>-0.39419999999999999</v>
      </c>
      <c r="T190" s="83">
        <f ca="1">IFERROR(($R190-$O190)/ABS($O190),0)</f>
        <v>-0.20730000000000001</v>
      </c>
      <c r="U190" s="8">
        <f ca="1">SUBTOTAL(9,U$63:U$189)</f>
        <v>-2833361.15</v>
      </c>
      <c r="V190" s="83">
        <f t="shared" ca="1" si="100"/>
        <v>-0.38400000000000001</v>
      </c>
      <c r="W190" s="83">
        <f ca="1">IFERROR(($U190-$R190)/ABS($R190),0)</f>
        <v>-0.14030000000000001</v>
      </c>
      <c r="X190" s="8">
        <f ca="1">SUBTOTAL(9,X$63:X$189)</f>
        <v>-3210629.6</v>
      </c>
      <c r="Y190" s="83">
        <f t="shared" ref="Y190" ca="1" si="149">IFERROR($X190/$X$6,0)</f>
        <v>-0.38129999999999997</v>
      </c>
      <c r="Z190" s="83">
        <f ca="1">IFERROR(($X190-$U190)/ABS($U190),0)</f>
        <v>-0.13320000000000001</v>
      </c>
      <c r="AA190" s="8">
        <f ca="1">SUBTOTAL(9,AA$63:AA$189)</f>
        <v>-3643849.25</v>
      </c>
      <c r="AB190" s="83">
        <f t="shared" ca="1" si="104"/>
        <v>-0.38790000000000002</v>
      </c>
      <c r="AC190" s="83">
        <f ca="1">IFERROR(($AA190-$X190)/ABS($X190),0)</f>
        <v>-0.13489999999999999</v>
      </c>
      <c r="AD190" s="8">
        <f ca="1">SUBTOTAL(9,AD$63:AD$189)</f>
        <v>-4012250.01</v>
      </c>
      <c r="AE190" s="83">
        <f t="shared" ca="1" si="106"/>
        <v>-0.37719999999999998</v>
      </c>
      <c r="AF190" s="83">
        <f ca="1">IFERROR(($AD190-$AA190)/ABS($AA190),0)</f>
        <v>-0.1011</v>
      </c>
      <c r="AG190" s="8">
        <f ca="1">SUBTOTAL(9,AG$63:AG$189)</f>
        <v>-4398903.8899999997</v>
      </c>
      <c r="AH190" s="83">
        <f t="shared" ca="1" si="108"/>
        <v>-0.38069999999999998</v>
      </c>
      <c r="AI190" s="83">
        <f ca="1">IFERROR(($AG190-$AD190)/ABS($AD190),0)</f>
        <v>-9.64E-2</v>
      </c>
      <c r="AJ190" s="8">
        <f ca="1">SUBTOTAL(9,AJ$63:AJ$189)</f>
        <v>-4782897.5</v>
      </c>
      <c r="AK190" s="83">
        <f t="shared" ca="1" si="110"/>
        <v>-0.36680000000000001</v>
      </c>
      <c r="AL190" s="83">
        <f ca="1">IFERROR(($AJ190-$AG190)/ABS($AG190),0)</f>
        <v>-8.7300000000000003E-2</v>
      </c>
    </row>
    <row r="191" spans="2:38" ht="5.0999999999999996" customHeight="1" x14ac:dyDescent="0.3"/>
    <row r="192" spans="2:38" ht="15" customHeight="1" x14ac:dyDescent="0.3">
      <c r="C192" s="17" t="s">
        <v>84</v>
      </c>
      <c r="D192" s="16">
        <f ca="1">SUBTOTAL(9,D$5:D$191)</f>
        <v>-313631.42</v>
      </c>
      <c r="E192" s="80">
        <f ca="1">IFERROR($D192/$D$6,0)</f>
        <v>-0.33019999999999999</v>
      </c>
      <c r="F192" s="16">
        <f ca="1">SUBTOTAL(9,F$5:F$191)</f>
        <v>-1028002.26</v>
      </c>
      <c r="G192" s="80">
        <f ca="1">IFERROR($F192/$F$6,0)</f>
        <v>-0.53400000000000003</v>
      </c>
      <c r="H192" s="80">
        <f ca="1">IFERROR(($F192-$D192)/ABS($D192),0)</f>
        <v>-2.2776999999999998</v>
      </c>
      <c r="I192" s="16">
        <f ca="1">SUBTOTAL(9,I$5:I$191)</f>
        <v>-798736.76</v>
      </c>
      <c r="J192" s="80">
        <f ca="1">IFERROR($I192/$I$6,0)</f>
        <v>-0.26840000000000003</v>
      </c>
      <c r="K192" s="80">
        <f t="shared" ref="K192" ca="1" si="150">IFERROR(($I192-$F192)/ABS($F192),0)</f>
        <v>0.223</v>
      </c>
      <c r="L192" s="16">
        <f ca="1">SUBTOTAL(9,L$5:L$191)</f>
        <v>-770664.76</v>
      </c>
      <c r="M192" s="80">
        <f ca="1">IFERROR($L192/$L$6,0)</f>
        <v>-0.1888</v>
      </c>
      <c r="N192" s="80">
        <f t="shared" ref="N192" ca="1" si="151">IFERROR(($L192-$I192)/ABS($I192),0)</f>
        <v>3.5099999999999999E-2</v>
      </c>
      <c r="O192" s="16">
        <f ca="1">SUBTOTAL(9,O$5:O$191)</f>
        <v>-633937.30000000005</v>
      </c>
      <c r="P192" s="80">
        <f ca="1">IFERROR($O192/$O$6,0)</f>
        <v>-0.1197</v>
      </c>
      <c r="Q192" s="80">
        <f t="shared" ref="Q192" ca="1" si="152">IFERROR(($O192-$L192)/ABS($L192),0)</f>
        <v>0.1774</v>
      </c>
      <c r="R192" s="16">
        <f ca="1">SUBTOTAL(9,R$5:R$191)</f>
        <v>-485173.2</v>
      </c>
      <c r="S192" s="80">
        <f ca="1">IFERROR($R192/$R$6,0)</f>
        <v>-7.6999999999999999E-2</v>
      </c>
      <c r="T192" s="80">
        <f t="shared" ref="T192" ca="1" si="153">IFERROR(($R192-$O192)/ABS($O192),0)</f>
        <v>0.23469999999999999</v>
      </c>
      <c r="U192" s="16">
        <f ca="1">SUBTOTAL(9,U$5:U$191)</f>
        <v>-511161.58</v>
      </c>
      <c r="V192" s="80">
        <f ca="1">IFERROR($U192/$U$6,0)</f>
        <v>-6.93E-2</v>
      </c>
      <c r="W192" s="80">
        <f t="shared" ref="W192" ca="1" si="154">IFERROR(($U192-$R192)/ABS($R192),0)</f>
        <v>-5.3600000000000002E-2</v>
      </c>
      <c r="X192" s="16">
        <f ca="1">SUBTOTAL(9,X$5:X$191)</f>
        <v>-549669.68000000005</v>
      </c>
      <c r="Y192" s="80">
        <f ca="1">IFERROR($X192/$X$6,0)</f>
        <v>-6.5299999999999997E-2</v>
      </c>
      <c r="Z192" s="80">
        <f t="shared" ref="Z192" ca="1" si="155">IFERROR(($X192-$U192)/ABS($U192),0)</f>
        <v>-7.5300000000000006E-2</v>
      </c>
      <c r="AA192" s="16">
        <f ca="1">SUBTOTAL(9,AA$5:AA$191)</f>
        <v>-638987.84</v>
      </c>
      <c r="AB192" s="80">
        <f ca="1">IFERROR($AA192/$AA$6,0)</f>
        <v>-6.8000000000000005E-2</v>
      </c>
      <c r="AC192" s="80">
        <f t="shared" ref="AC192" ca="1" si="156">IFERROR(($AA192-$X192)/ABS($X192),0)</f>
        <v>-0.16250000000000001</v>
      </c>
      <c r="AD192" s="16">
        <f ca="1">SUBTOTAL(9,AD$5:AD$191)</f>
        <v>-622666.74</v>
      </c>
      <c r="AE192" s="80">
        <f ca="1">IFERROR($AD192/$AD$6,0)</f>
        <v>-5.8500000000000003E-2</v>
      </c>
      <c r="AF192" s="80">
        <f t="shared" ref="AF192" ca="1" si="157">IFERROR(($AD192-$AA192)/ABS($AA192),0)</f>
        <v>2.5499999999999998E-2</v>
      </c>
      <c r="AG192" s="16">
        <f ca="1">SUBTOTAL(9,AG$5:AG$191)</f>
        <v>-451748.53</v>
      </c>
      <c r="AH192" s="80">
        <f ca="1">IFERROR($AG192/$AG$6,0)</f>
        <v>-3.9100000000000003E-2</v>
      </c>
      <c r="AI192" s="80">
        <f t="shared" ref="AI192" ca="1" si="158">IFERROR(($AG192-$AD192)/ABS($AD192),0)</f>
        <v>0.27450000000000002</v>
      </c>
      <c r="AJ192" s="16">
        <f ca="1">SUBTOTAL(9,AJ$5:AJ$191)</f>
        <v>-846586.18</v>
      </c>
      <c r="AK192" s="80">
        <f ca="1">IFERROR($AJ192/$AJ$6,0)</f>
        <v>-6.4899999999999999E-2</v>
      </c>
      <c r="AL192" s="80">
        <f t="shared" ref="AL192" ca="1" si="159">IFERROR(($AJ192-$AG192)/ABS($AG192),0)</f>
        <v>-0.874</v>
      </c>
    </row>
    <row r="193" spans="2:38" ht="5.0999999999999996" customHeight="1" x14ac:dyDescent="0.3"/>
    <row r="194" spans="2:38" ht="15" customHeight="1" x14ac:dyDescent="0.3">
      <c r="C194" s="17" t="s">
        <v>68</v>
      </c>
    </row>
    <row r="195" spans="2:38" ht="15" customHeight="1" x14ac:dyDescent="0.3">
      <c r="B195" s="3" t="s">
        <v>67</v>
      </c>
      <c r="C195" s="3" t="s">
        <v>70</v>
      </c>
      <c r="D195" s="4">
        <f ca="1">SUBTOTAL(9,D$196:D$201)</f>
        <v>-662.87</v>
      </c>
      <c r="E195" s="78">
        <f t="shared" ref="E195:E200" ca="1" si="160">IFERROR($D195/$D$6,0)</f>
        <v>-6.9999999999999999E-4</v>
      </c>
      <c r="F195" s="4">
        <f ca="1">SUBTOTAL(9,F$196:F$201)</f>
        <v>-1292.8399999999999</v>
      </c>
      <c r="G195" s="78">
        <f t="shared" ref="G195:G200" ca="1" si="161">IFERROR($F195/$F$6,0)</f>
        <v>-6.9999999999999999E-4</v>
      </c>
      <c r="H195" s="78">
        <f t="shared" ref="H195:H200" ca="1" si="162">IFERROR(($F195-$D195)/ABS($D195),0)</f>
        <v>-0.95040000000000002</v>
      </c>
      <c r="I195" s="4">
        <f ca="1">SUBTOTAL(9,I$196:I$201)</f>
        <v>-1897.18</v>
      </c>
      <c r="J195" s="78">
        <f t="shared" ref="J195:J200" ca="1" si="163">IFERROR($I195/$I$6,0)</f>
        <v>-5.9999999999999995E-4</v>
      </c>
      <c r="K195" s="78">
        <f t="shared" ref="K195:K200" ca="1" si="164">IFERROR(($I195-$F195)/ABS($F195),0)</f>
        <v>-0.46750000000000003</v>
      </c>
      <c r="L195" s="4">
        <f ca="1">SUBTOTAL(9,L$196:L$201)</f>
        <v>-2963.74</v>
      </c>
      <c r="M195" s="78">
        <f t="shared" ref="M195:M200" ca="1" si="165">IFERROR($L195/$L$6,0)</f>
        <v>-6.9999999999999999E-4</v>
      </c>
      <c r="N195" s="78">
        <f t="shared" ref="N195:N200" ca="1" si="166">IFERROR(($L195-$I195)/ABS($I195),0)</f>
        <v>-0.56220000000000003</v>
      </c>
      <c r="O195" s="4">
        <f ca="1">SUBTOTAL(9,O$196:O$201)</f>
        <v>-3420.35</v>
      </c>
      <c r="P195" s="78">
        <f t="shared" ref="P195:P200" ca="1" si="167">IFERROR($O195/$O$6,0)</f>
        <v>-5.9999999999999995E-4</v>
      </c>
      <c r="Q195" s="78">
        <f t="shared" ref="Q195:Q200" ca="1" si="168">IFERROR(($O195-$L195)/ABS($L195),0)</f>
        <v>-0.15409999999999999</v>
      </c>
      <c r="R195" s="4">
        <f ca="1">SUBTOTAL(9,R$196:R$201)</f>
        <v>-3777.39</v>
      </c>
      <c r="S195" s="78">
        <f t="shared" ref="S195:S200" ca="1" si="169">IFERROR($R195/$R$6,0)</f>
        <v>-5.9999999999999995E-4</v>
      </c>
      <c r="T195" s="78">
        <f t="shared" ref="T195:T200" ca="1" si="170">IFERROR(($R195-$O195)/ABS($O195),0)</f>
        <v>-0.10440000000000001</v>
      </c>
      <c r="U195" s="4">
        <f ca="1">SUBTOTAL(9,U$196:U$201)</f>
        <v>-4253</v>
      </c>
      <c r="V195" s="78">
        <f t="shared" ref="V195:V200" ca="1" si="171">IFERROR($U195/$U$6,0)</f>
        <v>-5.9999999999999995E-4</v>
      </c>
      <c r="W195" s="78">
        <f t="shared" ref="W195:W200" ca="1" si="172">IFERROR(($U195-$R195)/ABS($R195),0)</f>
        <v>-0.12590000000000001</v>
      </c>
      <c r="X195" s="4">
        <f ca="1">SUBTOTAL(9,X$196:X$201)</f>
        <v>-7320.38</v>
      </c>
      <c r="Y195" s="78">
        <f t="shared" ref="Y195:Y200" ca="1" si="173">IFERROR($X195/$X$6,0)</f>
        <v>-8.9999999999999998E-4</v>
      </c>
      <c r="Z195" s="78">
        <f t="shared" ref="Z195:Z200" ca="1" si="174">IFERROR(($X195-$U195)/ABS($U195),0)</f>
        <v>-0.72119999999999995</v>
      </c>
      <c r="AA195" s="4">
        <f ca="1">SUBTOTAL(9,AA$196:AA$201)</f>
        <v>-10220.11</v>
      </c>
      <c r="AB195" s="78">
        <f t="shared" ref="AB195:AB200" ca="1" si="175">IFERROR($AA195/$AA$6,0)</f>
        <v>-1.1000000000000001E-3</v>
      </c>
      <c r="AC195" s="78">
        <f t="shared" ref="AC195:AC200" ca="1" si="176">IFERROR(($AA195-$X195)/ABS($X195),0)</f>
        <v>-0.39610000000000001</v>
      </c>
      <c r="AD195" s="4">
        <f ca="1">SUBTOTAL(9,AD$196:AD$201)</f>
        <v>-13236.79</v>
      </c>
      <c r="AE195" s="78">
        <f t="shared" ref="AE195:AE200" ca="1" si="177">IFERROR($AD195/$AD$6,0)</f>
        <v>-1.1999999999999999E-3</v>
      </c>
      <c r="AF195" s="78">
        <f t="shared" ref="AF195:AF200" ca="1" si="178">IFERROR(($AD195-$AA195)/ABS($AA195),0)</f>
        <v>-0.29520000000000002</v>
      </c>
      <c r="AG195" s="4">
        <f ca="1">SUBTOTAL(9,AG$196:AG$201)</f>
        <v>-16159.88</v>
      </c>
      <c r="AH195" s="78">
        <f t="shared" ref="AH195:AH200" ca="1" si="179">IFERROR($AG195/$AG$6,0)</f>
        <v>-1.4E-3</v>
      </c>
      <c r="AI195" s="78">
        <f t="shared" ref="AI195:AI200" ca="1" si="180">IFERROR(($AG195-$AD195)/ABS($AD195),0)</f>
        <v>-0.2208</v>
      </c>
      <c r="AJ195" s="4">
        <f ca="1">SUBTOTAL(9,AJ$196:AJ$201)</f>
        <v>-18976.77</v>
      </c>
      <c r="AK195" s="78">
        <f t="shared" ref="AK195:AK200" ca="1" si="181">IFERROR($AJ195/$AJ$6,0)</f>
        <v>-1.5E-3</v>
      </c>
      <c r="AL195" s="78">
        <f t="shared" ref="AL195:AL200" ca="1" si="182">IFERROR(($AJ195-$AG195)/ABS($AG195),0)</f>
        <v>-0.17430000000000001</v>
      </c>
    </row>
    <row r="196" spans="2:38" ht="15" customHeight="1" outlineLevel="1" x14ac:dyDescent="0.3">
      <c r="B196" s="14" t="s">
        <v>503</v>
      </c>
      <c r="C196" s="14" t="s">
        <v>504</v>
      </c>
      <c r="D196" s="4">
        <f ca="1">-SUMIFS(INDIRECT("Tab_00.Trial["&amp;D$4&amp;"]"),Tab_00.Trial[CONTA],$B196)</f>
        <v>-662.87</v>
      </c>
      <c r="E196" s="78">
        <f t="shared" ca="1" si="160"/>
        <v>-6.9999999999999999E-4</v>
      </c>
      <c r="F196" s="4">
        <f ca="1">-SUMIFS(INDIRECT("Tab_00.Trial["&amp;F$4&amp;"]"),Tab_00.Trial[CONTA],$B196)</f>
        <v>-1277.51</v>
      </c>
      <c r="G196" s="78">
        <f t="shared" ca="1" si="161"/>
        <v>-6.9999999999999999E-4</v>
      </c>
      <c r="H196" s="78">
        <f t="shared" ca="1" si="162"/>
        <v>-0.92720000000000002</v>
      </c>
      <c r="I196" s="4">
        <f ca="1">-SUMIFS(INDIRECT("Tab_00.Trial["&amp;I$4&amp;"]"),Tab_00.Trial[CONTA],$B196)</f>
        <v>-1866.52</v>
      </c>
      <c r="J196" s="78">
        <f t="shared" ca="1" si="163"/>
        <v>-5.9999999999999995E-4</v>
      </c>
      <c r="K196" s="78">
        <f t="shared" ca="1" si="164"/>
        <v>-0.46110000000000001</v>
      </c>
      <c r="L196" s="4">
        <f ca="1">-SUMIFS(INDIRECT("Tab_00.Trial["&amp;L$4&amp;"]"),Tab_00.Trial[CONTA],$B196)</f>
        <v>-2507.63</v>
      </c>
      <c r="M196" s="78">
        <f t="shared" ca="1" si="165"/>
        <v>-5.9999999999999995E-4</v>
      </c>
      <c r="N196" s="78">
        <f t="shared" ca="1" si="166"/>
        <v>-0.34350000000000003</v>
      </c>
      <c r="O196" s="4">
        <f ca="1">-SUMIFS(INDIRECT("Tab_00.Trial["&amp;O$4&amp;"]"),Tab_00.Trial[CONTA],$B196)</f>
        <v>-2964.24</v>
      </c>
      <c r="P196" s="78">
        <f t="shared" ca="1" si="167"/>
        <v>-5.9999999999999995E-4</v>
      </c>
      <c r="Q196" s="78">
        <f t="shared" ca="1" si="168"/>
        <v>-0.18210000000000001</v>
      </c>
      <c r="R196" s="4">
        <f ca="1">-SUMIFS(INDIRECT("Tab_00.Trial["&amp;R$4&amp;"]"),Tab_00.Trial[CONTA],$B196)</f>
        <v>-3308.14</v>
      </c>
      <c r="S196" s="78">
        <f t="shared" ca="1" si="169"/>
        <v>-5.0000000000000001E-4</v>
      </c>
      <c r="T196" s="78">
        <f t="shared" ca="1" si="170"/>
        <v>-0.11600000000000001</v>
      </c>
      <c r="U196" s="4">
        <f ca="1">-SUMIFS(INDIRECT("Tab_00.Trial["&amp;U$4&amp;"]"),Tab_00.Trial[CONTA],$B196)</f>
        <v>-3683.93</v>
      </c>
      <c r="V196" s="78">
        <f t="shared" ca="1" si="171"/>
        <v>-5.0000000000000001E-4</v>
      </c>
      <c r="W196" s="78">
        <f t="shared" ca="1" si="172"/>
        <v>-0.11360000000000001</v>
      </c>
      <c r="X196" s="4">
        <f ca="1">-SUMIFS(INDIRECT("Tab_00.Trial["&amp;X$4&amp;"]"),Tab_00.Trial[CONTA],$B196)</f>
        <v>-6643.19</v>
      </c>
      <c r="Y196" s="78">
        <f t="shared" ca="1" si="173"/>
        <v>-8.0000000000000004E-4</v>
      </c>
      <c r="Z196" s="78">
        <f t="shared" ca="1" si="174"/>
        <v>-0.80330000000000001</v>
      </c>
      <c r="AA196" s="4">
        <f ca="1">-SUMIFS(INDIRECT("Tab_00.Trial["&amp;AA$4&amp;"]"),Tab_00.Trial[CONTA],$B196)</f>
        <v>-9529.7800000000007</v>
      </c>
      <c r="AB196" s="78">
        <f t="shared" ca="1" si="175"/>
        <v>-1E-3</v>
      </c>
      <c r="AC196" s="78">
        <f t="shared" ca="1" si="176"/>
        <v>-0.4345</v>
      </c>
      <c r="AD196" s="4">
        <f ca="1">-SUMIFS(INDIRECT("Tab_00.Trial["&amp;AD$4&amp;"]"),Tab_00.Trial[CONTA],$B196)</f>
        <v>-12546.46</v>
      </c>
      <c r="AE196" s="78">
        <f t="shared" ca="1" si="177"/>
        <v>-1.1999999999999999E-3</v>
      </c>
      <c r="AF196" s="78">
        <f t="shared" ca="1" si="178"/>
        <v>-0.31659999999999999</v>
      </c>
      <c r="AG196" s="4">
        <f ca="1">-SUMIFS(INDIRECT("Tab_00.Trial["&amp;AG$4&amp;"]"),Tab_00.Trial[CONTA],$B196)</f>
        <v>-15313.37</v>
      </c>
      <c r="AH196" s="78">
        <f t="shared" ca="1" si="179"/>
        <v>-1.2999999999999999E-3</v>
      </c>
      <c r="AI196" s="78">
        <f t="shared" ca="1" si="180"/>
        <v>-0.2205</v>
      </c>
      <c r="AJ196" s="4">
        <f ca="1">-SUMIFS(INDIRECT("Tab_00.Trial["&amp;AJ$4&amp;"]"),Tab_00.Trial[CONTA],$B196)</f>
        <v>-18105.64</v>
      </c>
      <c r="AK196" s="78">
        <f t="shared" ca="1" si="181"/>
        <v>-1.4E-3</v>
      </c>
      <c r="AL196" s="78">
        <f t="shared" ca="1" si="182"/>
        <v>-0.18229999999999999</v>
      </c>
    </row>
    <row r="197" spans="2:38" ht="15" customHeight="1" outlineLevel="1" x14ac:dyDescent="0.3">
      <c r="B197" s="14" t="s">
        <v>505</v>
      </c>
      <c r="C197" s="14" t="s">
        <v>506</v>
      </c>
      <c r="D197" s="4">
        <f ca="1">-SUMIFS(INDIRECT("Tab_00.Trial["&amp;D$4&amp;"]"),Tab_00.Trial[CONTA],$B197)</f>
        <v>0</v>
      </c>
      <c r="E197" s="78">
        <f t="shared" ca="1" si="160"/>
        <v>0</v>
      </c>
      <c r="F197" s="4">
        <f ca="1">-SUMIFS(INDIRECT("Tab_00.Trial["&amp;F$4&amp;"]"),Tab_00.Trial[CONTA],$B197)</f>
        <v>0</v>
      </c>
      <c r="G197" s="78">
        <f t="shared" ca="1" si="161"/>
        <v>0</v>
      </c>
      <c r="H197" s="78">
        <f t="shared" ca="1" si="162"/>
        <v>0</v>
      </c>
      <c r="I197" s="4">
        <f ca="1">-SUMIFS(INDIRECT("Tab_00.Trial["&amp;I$4&amp;"]"),Tab_00.Trial[CONTA],$B197)</f>
        <v>0</v>
      </c>
      <c r="J197" s="78">
        <f t="shared" ca="1" si="163"/>
        <v>0</v>
      </c>
      <c r="K197" s="78">
        <f t="shared" ca="1" si="164"/>
        <v>0</v>
      </c>
      <c r="L197" s="4">
        <f ca="1">-SUMIFS(INDIRECT("Tab_00.Trial["&amp;L$4&amp;"]"),Tab_00.Trial[CONTA],$B197)</f>
        <v>0</v>
      </c>
      <c r="M197" s="78">
        <f t="shared" ca="1" si="165"/>
        <v>0</v>
      </c>
      <c r="N197" s="78">
        <f t="shared" ca="1" si="166"/>
        <v>0</v>
      </c>
      <c r="O197" s="4">
        <f ca="1">-SUMIFS(INDIRECT("Tab_00.Trial["&amp;O$4&amp;"]"),Tab_00.Trial[CONTA],$B197)</f>
        <v>0</v>
      </c>
      <c r="P197" s="78">
        <f t="shared" ca="1" si="167"/>
        <v>0</v>
      </c>
      <c r="Q197" s="78">
        <f t="shared" ca="1" si="168"/>
        <v>0</v>
      </c>
      <c r="R197" s="4">
        <f ca="1">-SUMIFS(INDIRECT("Tab_00.Trial["&amp;R$4&amp;"]"),Tab_00.Trial[CONTA],$B197)</f>
        <v>0</v>
      </c>
      <c r="S197" s="78">
        <f t="shared" ca="1" si="169"/>
        <v>0</v>
      </c>
      <c r="T197" s="78">
        <f t="shared" ca="1" si="170"/>
        <v>0</v>
      </c>
      <c r="U197" s="4">
        <f ca="1">-SUMIFS(INDIRECT("Tab_00.Trial["&amp;U$4&amp;"]"),Tab_00.Trial[CONTA],$B197)</f>
        <v>0</v>
      </c>
      <c r="V197" s="78">
        <f t="shared" ca="1" si="171"/>
        <v>0</v>
      </c>
      <c r="W197" s="78">
        <f t="shared" ca="1" si="172"/>
        <v>0</v>
      </c>
      <c r="X197" s="4">
        <f ca="1">-SUMIFS(INDIRECT("Tab_00.Trial["&amp;X$4&amp;"]"),Tab_00.Trial[CONTA],$B197)</f>
        <v>-20.16</v>
      </c>
      <c r="Y197" s="78">
        <f t="shared" ca="1" si="173"/>
        <v>0</v>
      </c>
      <c r="Z197" s="78">
        <f t="shared" ca="1" si="174"/>
        <v>0</v>
      </c>
      <c r="AA197" s="4">
        <f ca="1">-SUMIFS(INDIRECT("Tab_00.Trial["&amp;AA$4&amp;"]"),Tab_00.Trial[CONTA],$B197)</f>
        <v>-20.16</v>
      </c>
      <c r="AB197" s="78">
        <f t="shared" ca="1" si="175"/>
        <v>0</v>
      </c>
      <c r="AC197" s="78">
        <f t="shared" ca="1" si="176"/>
        <v>0</v>
      </c>
      <c r="AD197" s="4">
        <f ca="1">-SUMIFS(INDIRECT("Tab_00.Trial["&amp;AD$4&amp;"]"),Tab_00.Trial[CONTA],$B197)</f>
        <v>-20.16</v>
      </c>
      <c r="AE197" s="78">
        <f t="shared" ca="1" si="177"/>
        <v>0</v>
      </c>
      <c r="AF197" s="78">
        <f t="shared" ca="1" si="178"/>
        <v>0</v>
      </c>
      <c r="AG197" s="4">
        <f ca="1">-SUMIFS(INDIRECT("Tab_00.Trial["&amp;AG$4&amp;"]"),Tab_00.Trial[CONTA],$B197)</f>
        <v>-159.69999999999999</v>
      </c>
      <c r="AH197" s="78">
        <f t="shared" ca="1" si="179"/>
        <v>0</v>
      </c>
      <c r="AI197" s="78">
        <f t="shared" ca="1" si="180"/>
        <v>-6.9215999999999998</v>
      </c>
      <c r="AJ197" s="4">
        <f ca="1">-SUMIFS(INDIRECT("Tab_00.Trial["&amp;AJ$4&amp;"]"),Tab_00.Trial[CONTA],$B197)</f>
        <v>-159.69999999999999</v>
      </c>
      <c r="AK197" s="78">
        <f t="shared" ca="1" si="181"/>
        <v>0</v>
      </c>
      <c r="AL197" s="78">
        <f t="shared" ca="1" si="182"/>
        <v>0</v>
      </c>
    </row>
    <row r="198" spans="2:38" ht="15" customHeight="1" outlineLevel="1" x14ac:dyDescent="0.3">
      <c r="B198" s="14" t="s">
        <v>524</v>
      </c>
      <c r="C198" s="14" t="s">
        <v>525</v>
      </c>
      <c r="D198" s="4">
        <f ca="1">-SUMIFS(INDIRECT("Tab_00.Trial["&amp;D$4&amp;"]"),Tab_00.Trial[CONTA],$B198)</f>
        <v>0</v>
      </c>
      <c r="E198" s="78">
        <f t="shared" ca="1" si="160"/>
        <v>0</v>
      </c>
      <c r="F198" s="4">
        <f ca="1">-SUMIFS(INDIRECT("Tab_00.Trial["&amp;F$4&amp;"]"),Tab_00.Trial[CONTA],$B198)</f>
        <v>-15.33</v>
      </c>
      <c r="G198" s="78">
        <f t="shared" ca="1" si="161"/>
        <v>0</v>
      </c>
      <c r="H198" s="78">
        <f t="shared" ca="1" si="162"/>
        <v>0</v>
      </c>
      <c r="I198" s="4">
        <f ca="1">-SUMIFS(INDIRECT("Tab_00.Trial["&amp;I$4&amp;"]"),Tab_00.Trial[CONTA],$B198)</f>
        <v>-30.66</v>
      </c>
      <c r="J198" s="78">
        <f t="shared" ca="1" si="163"/>
        <v>0</v>
      </c>
      <c r="K198" s="78">
        <f t="shared" ca="1" si="164"/>
        <v>-1</v>
      </c>
      <c r="L198" s="4">
        <f ca="1">-SUMIFS(INDIRECT("Tab_00.Trial["&amp;L$4&amp;"]"),Tab_00.Trial[CONTA],$B198)</f>
        <v>-456.11</v>
      </c>
      <c r="M198" s="78">
        <f t="shared" ca="1" si="165"/>
        <v>-1E-4</v>
      </c>
      <c r="N198" s="78">
        <f t="shared" ca="1" si="166"/>
        <v>-13.8764</v>
      </c>
      <c r="O198" s="4">
        <f ca="1">-SUMIFS(INDIRECT("Tab_00.Trial["&amp;O$4&amp;"]"),Tab_00.Trial[CONTA],$B198)</f>
        <v>-456.11</v>
      </c>
      <c r="P198" s="78">
        <f t="shared" ca="1" si="167"/>
        <v>-1E-4</v>
      </c>
      <c r="Q198" s="78">
        <f t="shared" ca="1" si="168"/>
        <v>0</v>
      </c>
      <c r="R198" s="4">
        <f ca="1">-SUMIFS(INDIRECT("Tab_00.Trial["&amp;R$4&amp;"]"),Tab_00.Trial[CONTA],$B198)</f>
        <v>-469.25</v>
      </c>
      <c r="S198" s="78">
        <f t="shared" ca="1" si="169"/>
        <v>-1E-4</v>
      </c>
      <c r="T198" s="78">
        <f t="shared" ca="1" si="170"/>
        <v>-2.8799999999999999E-2</v>
      </c>
      <c r="U198" s="4">
        <f ca="1">-SUMIFS(INDIRECT("Tab_00.Trial["&amp;U$4&amp;"]"),Tab_00.Trial[CONTA],$B198)</f>
        <v>-569.07000000000005</v>
      </c>
      <c r="V198" s="78">
        <f t="shared" ca="1" si="171"/>
        <v>-1E-4</v>
      </c>
      <c r="W198" s="78">
        <f t="shared" ca="1" si="172"/>
        <v>-0.2127</v>
      </c>
      <c r="X198" s="4">
        <f ca="1">-SUMIFS(INDIRECT("Tab_00.Trial["&amp;X$4&amp;"]"),Tab_00.Trial[CONTA],$B198)</f>
        <v>-657.03</v>
      </c>
      <c r="Y198" s="78">
        <f t="shared" ca="1" si="173"/>
        <v>-1E-4</v>
      </c>
      <c r="Z198" s="78">
        <f t="shared" ca="1" si="174"/>
        <v>-0.15459999999999999</v>
      </c>
      <c r="AA198" s="4">
        <f ca="1">-SUMIFS(INDIRECT("Tab_00.Trial["&amp;AA$4&amp;"]"),Tab_00.Trial[CONTA],$B198)</f>
        <v>-670.17</v>
      </c>
      <c r="AB198" s="78">
        <f t="shared" ca="1" si="175"/>
        <v>-1E-4</v>
      </c>
      <c r="AC198" s="78">
        <f t="shared" ca="1" si="176"/>
        <v>-0.02</v>
      </c>
      <c r="AD198" s="4">
        <f ca="1">-SUMIFS(INDIRECT("Tab_00.Trial["&amp;AD$4&amp;"]"),Tab_00.Trial[CONTA],$B198)</f>
        <v>-670.17</v>
      </c>
      <c r="AE198" s="78">
        <f t="shared" ca="1" si="177"/>
        <v>-1E-4</v>
      </c>
      <c r="AF198" s="78">
        <f t="shared" ca="1" si="178"/>
        <v>0</v>
      </c>
      <c r="AG198" s="4">
        <f ca="1">-SUMIFS(INDIRECT("Tab_00.Trial["&amp;AG$4&amp;"]"),Tab_00.Trial[CONTA],$B198)</f>
        <v>-686.81</v>
      </c>
      <c r="AH198" s="78">
        <f t="shared" ca="1" si="179"/>
        <v>-1E-4</v>
      </c>
      <c r="AI198" s="78">
        <f t="shared" ca="1" si="180"/>
        <v>-2.4799999999999999E-2</v>
      </c>
      <c r="AJ198" s="4">
        <f ca="1">-SUMIFS(INDIRECT("Tab_00.Trial["&amp;AJ$4&amp;"]"),Tab_00.Trial[CONTA],$B198)</f>
        <v>-711.43</v>
      </c>
      <c r="AK198" s="78">
        <f t="shared" ca="1" si="181"/>
        <v>-1E-4</v>
      </c>
      <c r="AL198" s="78">
        <f t="shared" ca="1" si="182"/>
        <v>-3.5799999999999998E-2</v>
      </c>
    </row>
    <row r="199" spans="2:38" ht="15" customHeight="1" outlineLevel="1" x14ac:dyDescent="0.3">
      <c r="B199" s="14" t="s">
        <v>545</v>
      </c>
      <c r="C199" s="14" t="s">
        <v>546</v>
      </c>
      <c r="D199" s="4">
        <f ca="1">-SUMIFS(INDIRECT("Tab_00.Trial["&amp;D$4&amp;"]"),Tab_00.Trial[CONTA],$B199)</f>
        <v>0</v>
      </c>
      <c r="E199" s="78">
        <f t="shared" ca="1" si="160"/>
        <v>0</v>
      </c>
      <c r="F199" s="4">
        <f ca="1">-SUMIFS(INDIRECT("Tab_00.Trial["&amp;F$4&amp;"]"),Tab_00.Trial[CONTA],$B199)</f>
        <v>0</v>
      </c>
      <c r="G199" s="78">
        <f t="shared" ca="1" si="161"/>
        <v>0</v>
      </c>
      <c r="H199" s="78">
        <f t="shared" ca="1" si="162"/>
        <v>0</v>
      </c>
      <c r="I199" s="4">
        <f ca="1">-SUMIFS(INDIRECT("Tab_00.Trial["&amp;I$4&amp;"]"),Tab_00.Trial[CONTA],$B199)</f>
        <v>0</v>
      </c>
      <c r="J199" s="78">
        <f t="shared" ca="1" si="163"/>
        <v>0</v>
      </c>
      <c r="K199" s="78">
        <f t="shared" ca="1" si="164"/>
        <v>0</v>
      </c>
      <c r="L199" s="4">
        <f ca="1">-SUMIFS(INDIRECT("Tab_00.Trial["&amp;L$4&amp;"]"),Tab_00.Trial[CONTA],$B199)</f>
        <v>0</v>
      </c>
      <c r="M199" s="78">
        <f t="shared" ca="1" si="165"/>
        <v>0</v>
      </c>
      <c r="N199" s="78">
        <f t="shared" ca="1" si="166"/>
        <v>0</v>
      </c>
      <c r="O199" s="4">
        <f ca="1">-SUMIFS(INDIRECT("Tab_00.Trial["&amp;O$4&amp;"]"),Tab_00.Trial[CONTA],$B199)</f>
        <v>0</v>
      </c>
      <c r="P199" s="78">
        <f t="shared" ca="1" si="167"/>
        <v>0</v>
      </c>
      <c r="Q199" s="78">
        <f t="shared" ca="1" si="168"/>
        <v>0</v>
      </c>
      <c r="R199" s="4">
        <f ca="1">-SUMIFS(INDIRECT("Tab_00.Trial["&amp;R$4&amp;"]"),Tab_00.Trial[CONTA],$B199)</f>
        <v>0</v>
      </c>
      <c r="S199" s="78">
        <f t="shared" ca="1" si="169"/>
        <v>0</v>
      </c>
      <c r="T199" s="78">
        <f t="shared" ca="1" si="170"/>
        <v>0</v>
      </c>
      <c r="U199" s="4">
        <f ca="1">-SUMIFS(INDIRECT("Tab_00.Trial["&amp;U$4&amp;"]"),Tab_00.Trial[CONTA],$B199)</f>
        <v>0</v>
      </c>
      <c r="V199" s="78">
        <f t="shared" ca="1" si="171"/>
        <v>0</v>
      </c>
      <c r="W199" s="78">
        <f t="shared" ca="1" si="172"/>
        <v>0</v>
      </c>
      <c r="X199" s="4">
        <f ca="1">-SUMIFS(INDIRECT("Tab_00.Trial["&amp;X$4&amp;"]"),Tab_00.Trial[CONTA],$B199)</f>
        <v>0</v>
      </c>
      <c r="Y199" s="78">
        <f t="shared" ca="1" si="173"/>
        <v>0</v>
      </c>
      <c r="Z199" s="78">
        <f t="shared" ca="1" si="174"/>
        <v>0</v>
      </c>
      <c r="AA199" s="4">
        <f ca="1">-SUMIFS(INDIRECT("Tab_00.Trial["&amp;AA$4&amp;"]"),Tab_00.Trial[CONTA],$B199)</f>
        <v>0</v>
      </c>
      <c r="AB199" s="78">
        <f t="shared" ca="1" si="175"/>
        <v>0</v>
      </c>
      <c r="AC199" s="78">
        <f t="shared" ca="1" si="176"/>
        <v>0</v>
      </c>
      <c r="AD199" s="4">
        <f ca="1">-SUMIFS(INDIRECT("Tab_00.Trial["&amp;AD$4&amp;"]"),Tab_00.Trial[CONTA],$B199)</f>
        <v>0</v>
      </c>
      <c r="AE199" s="78">
        <f t="shared" ca="1" si="177"/>
        <v>0</v>
      </c>
      <c r="AF199" s="78">
        <f t="shared" ca="1" si="178"/>
        <v>0</v>
      </c>
      <c r="AG199" s="4">
        <f ca="1">-SUMIFS(INDIRECT("Tab_00.Trial["&amp;AG$4&amp;"]"),Tab_00.Trial[CONTA],$B199)</f>
        <v>0</v>
      </c>
      <c r="AH199" s="78">
        <f t="shared" ca="1" si="179"/>
        <v>0</v>
      </c>
      <c r="AI199" s="78">
        <f t="shared" ca="1" si="180"/>
        <v>0</v>
      </c>
      <c r="AJ199" s="4">
        <f ca="1">-SUMIFS(INDIRECT("Tab_00.Trial["&amp;AJ$4&amp;"]"),Tab_00.Trial[CONTA],$B199)</f>
        <v>0</v>
      </c>
      <c r="AK199" s="78">
        <f t="shared" ca="1" si="181"/>
        <v>0</v>
      </c>
      <c r="AL199" s="78">
        <f t="shared" ca="1" si="182"/>
        <v>0</v>
      </c>
    </row>
    <row r="200" spans="2:38" ht="15" customHeight="1" outlineLevel="1" x14ac:dyDescent="0.3">
      <c r="B200" s="14"/>
      <c r="C200" s="14"/>
      <c r="D200" s="4">
        <f ca="1">-SUMIFS(INDIRECT("Tab_00.Trial["&amp;D$4&amp;"]"),Tab_00.Trial[CONTA],$B200)</f>
        <v>0</v>
      </c>
      <c r="E200" s="78">
        <f t="shared" ca="1" si="160"/>
        <v>0</v>
      </c>
      <c r="F200" s="4">
        <f ca="1">-SUMIFS(INDIRECT("Tab_00.Trial["&amp;F$4&amp;"]"),Tab_00.Trial[CONTA],$B200)</f>
        <v>0</v>
      </c>
      <c r="G200" s="78">
        <f t="shared" ca="1" si="161"/>
        <v>0</v>
      </c>
      <c r="H200" s="78">
        <f t="shared" ca="1" si="162"/>
        <v>0</v>
      </c>
      <c r="I200" s="4">
        <f ca="1">-SUMIFS(INDIRECT("Tab_00.Trial["&amp;I$4&amp;"]"),Tab_00.Trial[CONTA],$B200)</f>
        <v>0</v>
      </c>
      <c r="J200" s="78">
        <f t="shared" ca="1" si="163"/>
        <v>0</v>
      </c>
      <c r="K200" s="78">
        <f t="shared" ca="1" si="164"/>
        <v>0</v>
      </c>
      <c r="L200" s="4">
        <f ca="1">-SUMIFS(INDIRECT("Tab_00.Trial["&amp;L$4&amp;"]"),Tab_00.Trial[CONTA],$B200)</f>
        <v>0</v>
      </c>
      <c r="M200" s="78">
        <f t="shared" ca="1" si="165"/>
        <v>0</v>
      </c>
      <c r="N200" s="78">
        <f t="shared" ca="1" si="166"/>
        <v>0</v>
      </c>
      <c r="O200" s="4">
        <f ca="1">-SUMIFS(INDIRECT("Tab_00.Trial["&amp;O$4&amp;"]"),Tab_00.Trial[CONTA],$B200)</f>
        <v>0</v>
      </c>
      <c r="P200" s="78">
        <f t="shared" ca="1" si="167"/>
        <v>0</v>
      </c>
      <c r="Q200" s="78">
        <f t="shared" ca="1" si="168"/>
        <v>0</v>
      </c>
      <c r="R200" s="4">
        <f ca="1">-SUMIFS(INDIRECT("Tab_00.Trial["&amp;R$4&amp;"]"),Tab_00.Trial[CONTA],$B200)</f>
        <v>0</v>
      </c>
      <c r="S200" s="78">
        <f t="shared" ca="1" si="169"/>
        <v>0</v>
      </c>
      <c r="T200" s="78">
        <f t="shared" ca="1" si="170"/>
        <v>0</v>
      </c>
      <c r="U200" s="4">
        <f ca="1">-SUMIFS(INDIRECT("Tab_00.Trial["&amp;U$4&amp;"]"),Tab_00.Trial[CONTA],$B200)</f>
        <v>0</v>
      </c>
      <c r="V200" s="78">
        <f t="shared" ca="1" si="171"/>
        <v>0</v>
      </c>
      <c r="W200" s="78">
        <f t="shared" ca="1" si="172"/>
        <v>0</v>
      </c>
      <c r="X200" s="4">
        <f ca="1">-SUMIFS(INDIRECT("Tab_00.Trial["&amp;X$4&amp;"]"),Tab_00.Trial[CONTA],$B200)</f>
        <v>0</v>
      </c>
      <c r="Y200" s="78">
        <f t="shared" ca="1" si="173"/>
        <v>0</v>
      </c>
      <c r="Z200" s="78">
        <f t="shared" ca="1" si="174"/>
        <v>0</v>
      </c>
      <c r="AA200" s="4">
        <f ca="1">-SUMIFS(INDIRECT("Tab_00.Trial["&amp;AA$4&amp;"]"),Tab_00.Trial[CONTA],$B200)</f>
        <v>0</v>
      </c>
      <c r="AB200" s="78">
        <f t="shared" ca="1" si="175"/>
        <v>0</v>
      </c>
      <c r="AC200" s="78">
        <f t="shared" ca="1" si="176"/>
        <v>0</v>
      </c>
      <c r="AD200" s="4">
        <f ca="1">-SUMIFS(INDIRECT("Tab_00.Trial["&amp;AD$4&amp;"]"),Tab_00.Trial[CONTA],$B200)</f>
        <v>0</v>
      </c>
      <c r="AE200" s="78">
        <f t="shared" ca="1" si="177"/>
        <v>0</v>
      </c>
      <c r="AF200" s="78">
        <f t="shared" ca="1" si="178"/>
        <v>0</v>
      </c>
      <c r="AG200" s="4">
        <f ca="1">-SUMIFS(INDIRECT("Tab_00.Trial["&amp;AG$4&amp;"]"),Tab_00.Trial[CONTA],$B200)</f>
        <v>0</v>
      </c>
      <c r="AH200" s="78">
        <f t="shared" ca="1" si="179"/>
        <v>0</v>
      </c>
      <c r="AI200" s="78">
        <f t="shared" ca="1" si="180"/>
        <v>0</v>
      </c>
      <c r="AJ200" s="4">
        <f ca="1">-SUMIFS(INDIRECT("Tab_00.Trial["&amp;AJ$4&amp;"]"),Tab_00.Trial[CONTA],$B200)</f>
        <v>0</v>
      </c>
      <c r="AK200" s="78">
        <f t="shared" ca="1" si="181"/>
        <v>0</v>
      </c>
      <c r="AL200" s="78">
        <f t="shared" ca="1" si="182"/>
        <v>0</v>
      </c>
    </row>
    <row r="201" spans="2:38" ht="5.0999999999999996" customHeight="1" outlineLevel="1" x14ac:dyDescent="0.3">
      <c r="B201" s="74"/>
      <c r="C201" s="75"/>
      <c r="D201" s="76"/>
      <c r="E201" s="77"/>
      <c r="F201" s="76"/>
      <c r="G201" s="77"/>
      <c r="H201" s="77"/>
      <c r="I201" s="76"/>
      <c r="J201" s="77"/>
      <c r="K201" s="77"/>
      <c r="L201" s="76"/>
      <c r="M201" s="77"/>
      <c r="N201" s="77"/>
      <c r="O201" s="76"/>
      <c r="P201" s="77"/>
      <c r="Q201" s="77"/>
      <c r="R201" s="76"/>
      <c r="S201" s="77"/>
      <c r="T201" s="77"/>
      <c r="U201" s="76"/>
      <c r="V201" s="77"/>
      <c r="W201" s="77"/>
      <c r="X201" s="76"/>
      <c r="Y201" s="77"/>
      <c r="Z201" s="77"/>
      <c r="AA201" s="76"/>
      <c r="AB201" s="77"/>
      <c r="AC201" s="77"/>
      <c r="AD201" s="76"/>
      <c r="AE201" s="77"/>
      <c r="AF201" s="77"/>
      <c r="AG201" s="76"/>
      <c r="AH201" s="77"/>
      <c r="AI201" s="77"/>
      <c r="AJ201" s="76"/>
      <c r="AK201" s="77"/>
      <c r="AL201" s="77"/>
    </row>
    <row r="202" spans="2:38" ht="15" customHeight="1" x14ac:dyDescent="0.3">
      <c r="B202" s="3" t="s">
        <v>71</v>
      </c>
      <c r="C202" s="3" t="s">
        <v>69</v>
      </c>
      <c r="D202" s="4">
        <f ca="1">SUBTOTAL(9,D$203:D$209)</f>
        <v>203029.53</v>
      </c>
      <c r="E202" s="78">
        <f t="shared" ref="E202:E208" ca="1" si="183">IFERROR($D202/$D$6,0)</f>
        <v>0.2137</v>
      </c>
      <c r="F202" s="4">
        <f ca="1">SUBTOTAL(9,F$203:F$209)</f>
        <v>421630.45</v>
      </c>
      <c r="G202" s="78">
        <f ca="1">IFERROR($F202/$F$6,0)</f>
        <v>0.219</v>
      </c>
      <c r="H202" s="78">
        <f t="shared" ref="H202:H208" ca="1" si="184">IFERROR(($F202-$D202)/ABS($D202),0)</f>
        <v>1.0767</v>
      </c>
      <c r="I202" s="4">
        <f ca="1">SUBTOTAL(9,I$203:I$209)</f>
        <v>728285.16</v>
      </c>
      <c r="J202" s="78">
        <f ca="1">IFERROR($I202/$I$6,0)</f>
        <v>0.2447</v>
      </c>
      <c r="K202" s="78">
        <f ca="1">IFERROR(($I202-$F202)/ABS($F202),0)</f>
        <v>0.72729999999999995</v>
      </c>
      <c r="L202" s="4">
        <f ca="1">SUBTOTAL(9,L$203:L$209)</f>
        <v>703557.92</v>
      </c>
      <c r="M202" s="78">
        <f ca="1">IFERROR($L202/$L$6,0)</f>
        <v>0.17230000000000001</v>
      </c>
      <c r="N202" s="78">
        <f ca="1">IFERROR(($L202-$I202)/ABS($I202),0)</f>
        <v>-3.4000000000000002E-2</v>
      </c>
      <c r="O202" s="4">
        <f ca="1">SUBTOTAL(9,O$203:O$209)</f>
        <v>1029792.96</v>
      </c>
      <c r="P202" s="78">
        <f ca="1">IFERROR($O202/$O$6,0)</f>
        <v>0.19450000000000001</v>
      </c>
      <c r="Q202" s="78">
        <f ca="1">IFERROR(($O202-$L202)/ABS($L202),0)</f>
        <v>0.4637</v>
      </c>
      <c r="R202" s="4">
        <f ca="1">SUBTOTAL(9,R$203:R$209)</f>
        <v>1232949.8999999999</v>
      </c>
      <c r="S202" s="78">
        <f ca="1">IFERROR($R202/$R$6,0)</f>
        <v>0.1956</v>
      </c>
      <c r="T202" s="78">
        <f ca="1">IFERROR(($R202-$O202)/ABS($O202),0)</f>
        <v>0.1973</v>
      </c>
      <c r="U202" s="4">
        <f ca="1">SUBTOTAL(9,U$203:U$209)</f>
        <v>1668493.84</v>
      </c>
      <c r="V202" s="78">
        <f ca="1">IFERROR($U202/$U$6,0)</f>
        <v>0.2261</v>
      </c>
      <c r="W202" s="78">
        <f ca="1">IFERROR(($U202-$R202)/ABS($R202),0)</f>
        <v>0.3533</v>
      </c>
      <c r="X202" s="4">
        <f ca="1">SUBTOTAL(9,X$203:X$209)</f>
        <v>2046455.27</v>
      </c>
      <c r="Y202" s="78">
        <f ca="1">IFERROR($X202/$X$6,0)</f>
        <v>0.24299999999999999</v>
      </c>
      <c r="Z202" s="78">
        <f ca="1">IFERROR(($X202-$U202)/ABS($U202),0)</f>
        <v>0.22650000000000001</v>
      </c>
      <c r="AA202" s="4">
        <f ca="1">SUBTOTAL(9,AA$203:AA$209)</f>
        <v>2201301.2200000002</v>
      </c>
      <c r="AB202" s="78">
        <f ca="1">IFERROR($AA202/$AA$6,0)</f>
        <v>0.23430000000000001</v>
      </c>
      <c r="AC202" s="78">
        <f ca="1">IFERROR(($AA202-$X202)/ABS($X202),0)</f>
        <v>7.5700000000000003E-2</v>
      </c>
      <c r="AD202" s="4">
        <f ca="1">SUBTOTAL(9,AD$203:AD$209)</f>
        <v>2414927.98</v>
      </c>
      <c r="AE202" s="78">
        <f ca="1">IFERROR($AD202/$AD$6,0)</f>
        <v>0.22700000000000001</v>
      </c>
      <c r="AF202" s="78">
        <f ca="1">IFERROR(($AD202-$AA202)/ABS($AA202),0)</f>
        <v>9.7000000000000003E-2</v>
      </c>
      <c r="AG202" s="4">
        <f ca="1">SUBTOTAL(9,AG$203:AG$209)</f>
        <v>2748291.79</v>
      </c>
      <c r="AH202" s="78">
        <f ca="1">IFERROR($AG202/$AG$6,0)</f>
        <v>0.23780000000000001</v>
      </c>
      <c r="AI202" s="78">
        <f ca="1">IFERROR(($AG202-$AD202)/ABS($AD202),0)</f>
        <v>0.13800000000000001</v>
      </c>
      <c r="AJ202" s="4">
        <f ca="1">SUBTOTAL(9,AJ$203:AJ$209)</f>
        <v>2654904.5299999998</v>
      </c>
      <c r="AK202" s="78">
        <f ca="1">IFERROR($AJ202/$AJ$6,0)</f>
        <v>0.2036</v>
      </c>
      <c r="AL202" s="78">
        <f ca="1">IFERROR(($AJ202-$AG202)/ABS($AG202),0)</f>
        <v>-3.4000000000000002E-2</v>
      </c>
    </row>
    <row r="203" spans="2:38" ht="15" customHeight="1" outlineLevel="1" x14ac:dyDescent="0.3">
      <c r="B203" s="14" t="s">
        <v>391</v>
      </c>
      <c r="C203" s="14" t="s">
        <v>392</v>
      </c>
      <c r="D203" s="4">
        <f ca="1">-SUMIFS(INDIRECT("Tab_00.Trial["&amp;D$4&amp;"]"),Tab_00.Trial[CONTA],$B203)</f>
        <v>0.05</v>
      </c>
      <c r="E203" s="78">
        <f t="shared" ca="1" si="183"/>
        <v>0</v>
      </c>
      <c r="F203" s="4">
        <f ca="1">-SUMIFS(INDIRECT("Tab_00.Trial["&amp;F$4&amp;"]"),Tab_00.Trial[CONTA],$B203)</f>
        <v>73.27</v>
      </c>
      <c r="G203" s="78">
        <f t="shared" ref="G203:G208" ca="1" si="185">IFERROR($F203/$F$6,0)</f>
        <v>0</v>
      </c>
      <c r="H203" s="78">
        <f t="shared" ca="1" si="184"/>
        <v>1464.4</v>
      </c>
      <c r="I203" s="4">
        <f ca="1">-SUMIFS(INDIRECT("Tab_00.Trial["&amp;I$4&amp;"]"),Tab_00.Trial[CONTA],$B203)</f>
        <v>73.3</v>
      </c>
      <c r="J203" s="78">
        <f t="shared" ref="J203:J208" ca="1" si="186">IFERROR($I203/$I$6,0)</f>
        <v>0</v>
      </c>
      <c r="K203" s="78">
        <f t="shared" ref="K203:K208" ca="1" si="187">IFERROR(($I203-$F203)/ABS($F203),0)</f>
        <v>4.0000000000000002E-4</v>
      </c>
      <c r="L203" s="4">
        <f ca="1">-SUMIFS(INDIRECT("Tab_00.Trial["&amp;L$4&amp;"]"),Tab_00.Trial[CONTA],$B203)</f>
        <v>73.349999999999994</v>
      </c>
      <c r="M203" s="78">
        <f t="shared" ref="M203:M208" ca="1" si="188">IFERROR($L203/$L$6,0)</f>
        <v>0</v>
      </c>
      <c r="N203" s="78">
        <f t="shared" ref="N203:N208" ca="1" si="189">IFERROR(($L203-$I203)/ABS($I203),0)</f>
        <v>6.9999999999999999E-4</v>
      </c>
      <c r="O203" s="4">
        <f ca="1">-SUMIFS(INDIRECT("Tab_00.Trial["&amp;O$4&amp;"]"),Tab_00.Trial[CONTA],$B203)</f>
        <v>73.42</v>
      </c>
      <c r="P203" s="78">
        <f t="shared" ref="P203:P208" ca="1" si="190">IFERROR($O203/$O$6,0)</f>
        <v>0</v>
      </c>
      <c r="Q203" s="78">
        <f t="shared" ref="Q203:Q208" ca="1" si="191">IFERROR(($O203-$L203)/ABS($L203),0)</f>
        <v>1E-3</v>
      </c>
      <c r="R203" s="4">
        <f ca="1">-SUMIFS(INDIRECT("Tab_00.Trial["&amp;R$4&amp;"]"),Tab_00.Trial[CONTA],$B203)</f>
        <v>73.430000000000007</v>
      </c>
      <c r="S203" s="78">
        <f t="shared" ref="S203:S208" ca="1" si="192">IFERROR($R203/$R$6,0)</f>
        <v>0</v>
      </c>
      <c r="T203" s="78">
        <f t="shared" ref="T203:T208" ca="1" si="193">IFERROR(($R203-$O203)/ABS($O203),0)</f>
        <v>1E-4</v>
      </c>
      <c r="U203" s="4">
        <f ca="1">-SUMIFS(INDIRECT("Tab_00.Trial["&amp;U$4&amp;"]"),Tab_00.Trial[CONTA],$B203)</f>
        <v>73.459999999999994</v>
      </c>
      <c r="V203" s="78">
        <f t="shared" ref="V203:V208" ca="1" si="194">IFERROR($U203/$U$6,0)</f>
        <v>0</v>
      </c>
      <c r="W203" s="78">
        <f t="shared" ref="W203:W208" ca="1" si="195">IFERROR(($U203-$R203)/ABS($R203),0)</f>
        <v>4.0000000000000002E-4</v>
      </c>
      <c r="X203" s="4">
        <f ca="1">-SUMIFS(INDIRECT("Tab_00.Trial["&amp;X$4&amp;"]"),Tab_00.Trial[CONTA],$B203)</f>
        <v>373.52</v>
      </c>
      <c r="Y203" s="78">
        <f t="shared" ref="Y203:Y208" ca="1" si="196">IFERROR($X203/$X$6,0)</f>
        <v>0</v>
      </c>
      <c r="Z203" s="78">
        <f t="shared" ref="Z203:Z208" ca="1" si="197">IFERROR(($X203-$U203)/ABS($U203),0)</f>
        <v>4.0846999999999998</v>
      </c>
      <c r="AA203" s="4">
        <f ca="1">-SUMIFS(INDIRECT("Tab_00.Trial["&amp;AA$4&amp;"]"),Tab_00.Trial[CONTA],$B203)</f>
        <v>673.54</v>
      </c>
      <c r="AB203" s="78">
        <f t="shared" ref="AB203:AB208" ca="1" si="198">IFERROR($AA203/$AA$6,0)</f>
        <v>1E-4</v>
      </c>
      <c r="AC203" s="78">
        <f t="shared" ref="AC203:AC208" ca="1" si="199">IFERROR(($AA203-$X203)/ABS($X203),0)</f>
        <v>0.80320000000000003</v>
      </c>
      <c r="AD203" s="4">
        <f ca="1">-SUMIFS(INDIRECT("Tab_00.Trial["&amp;AD$4&amp;"]"),Tab_00.Trial[CONTA],$B203)</f>
        <v>673.54</v>
      </c>
      <c r="AE203" s="78">
        <f t="shared" ref="AE203:AE208" ca="1" si="200">IFERROR($AD203/$AD$6,0)</f>
        <v>1E-4</v>
      </c>
      <c r="AF203" s="78">
        <f t="shared" ref="AF203:AF208" ca="1" si="201">IFERROR(($AD203-$AA203)/ABS($AA203),0)</f>
        <v>0</v>
      </c>
      <c r="AG203" s="4">
        <f ca="1">-SUMIFS(INDIRECT("Tab_00.Trial["&amp;AG$4&amp;"]"),Tab_00.Trial[CONTA],$B203)</f>
        <v>2008.76</v>
      </c>
      <c r="AH203" s="78">
        <f t="shared" ref="AH203:AH208" ca="1" si="202">IFERROR($AG203/$AG$6,0)</f>
        <v>2.0000000000000001E-4</v>
      </c>
      <c r="AI203" s="78">
        <f t="shared" ref="AI203:AI208" ca="1" si="203">IFERROR(($AG203-$AD203)/ABS($AD203),0)</f>
        <v>1.9823999999999999</v>
      </c>
      <c r="AJ203" s="4">
        <f ca="1">-SUMIFS(INDIRECT("Tab_00.Trial["&amp;AJ$4&amp;"]"),Tab_00.Trial[CONTA],$B203)</f>
        <v>2008.77</v>
      </c>
      <c r="AK203" s="78">
        <f t="shared" ref="AK203:AK208" ca="1" si="204">IFERROR($AJ203/$AJ$6,0)</f>
        <v>2.0000000000000001E-4</v>
      </c>
      <c r="AL203" s="78">
        <f t="shared" ref="AL203:AL208" ca="1" si="205">IFERROR(($AJ203-$AG203)/ABS($AG203),0)</f>
        <v>0</v>
      </c>
    </row>
    <row r="204" spans="2:38" ht="15" customHeight="1" outlineLevel="1" x14ac:dyDescent="0.3">
      <c r="B204" s="14" t="s">
        <v>393</v>
      </c>
      <c r="C204" s="14" t="s">
        <v>394</v>
      </c>
      <c r="D204" s="4">
        <f ca="1">-SUMIFS(INDIRECT("Tab_00.Trial["&amp;D$4&amp;"]"),Tab_00.Trial[CONTA],$B204)</f>
        <v>203029.48</v>
      </c>
      <c r="E204" s="78">
        <f t="shared" ca="1" si="183"/>
        <v>0.2137</v>
      </c>
      <c r="F204" s="4">
        <f ca="1">-SUMIFS(INDIRECT("Tab_00.Trial["&amp;F$4&amp;"]"),Tab_00.Trial[CONTA],$B204)</f>
        <v>421557.18</v>
      </c>
      <c r="G204" s="78">
        <f t="shared" ca="1" si="185"/>
        <v>0.219</v>
      </c>
      <c r="H204" s="78">
        <f t="shared" ca="1" si="184"/>
        <v>1.0763</v>
      </c>
      <c r="I204" s="4">
        <f ca="1">-SUMIFS(INDIRECT("Tab_00.Trial["&amp;I$4&amp;"]"),Tab_00.Trial[CONTA],$B204)</f>
        <v>728211.86</v>
      </c>
      <c r="J204" s="78">
        <f t="shared" ca="1" si="186"/>
        <v>0.2447</v>
      </c>
      <c r="K204" s="78">
        <f t="shared" ca="1" si="187"/>
        <v>0.72740000000000005</v>
      </c>
      <c r="L204" s="4">
        <f ca="1">-SUMIFS(INDIRECT("Tab_00.Trial["&amp;L$4&amp;"]"),Tab_00.Trial[CONTA],$B204)</f>
        <v>703484.57</v>
      </c>
      <c r="M204" s="78">
        <f t="shared" ca="1" si="188"/>
        <v>0.17230000000000001</v>
      </c>
      <c r="N204" s="78">
        <f t="shared" ca="1" si="189"/>
        <v>-3.4000000000000002E-2</v>
      </c>
      <c r="O204" s="4">
        <f ca="1">-SUMIFS(INDIRECT("Tab_00.Trial["&amp;O$4&amp;"]"),Tab_00.Trial[CONTA],$B204)</f>
        <v>1029719.54</v>
      </c>
      <c r="P204" s="78">
        <f t="shared" ca="1" si="190"/>
        <v>0.19450000000000001</v>
      </c>
      <c r="Q204" s="78">
        <f t="shared" ca="1" si="191"/>
        <v>0.4637</v>
      </c>
      <c r="R204" s="4">
        <f ca="1">-SUMIFS(INDIRECT("Tab_00.Trial["&amp;R$4&amp;"]"),Tab_00.Trial[CONTA],$B204)</f>
        <v>1232876.47</v>
      </c>
      <c r="S204" s="78">
        <f t="shared" ca="1" si="192"/>
        <v>0.1956</v>
      </c>
      <c r="T204" s="78">
        <f t="shared" ca="1" si="193"/>
        <v>0.1973</v>
      </c>
      <c r="U204" s="4">
        <f ca="1">-SUMIFS(INDIRECT("Tab_00.Trial["&amp;U$4&amp;"]"),Tab_00.Trial[CONTA],$B204)</f>
        <v>1668420.38</v>
      </c>
      <c r="V204" s="78">
        <f t="shared" ca="1" si="194"/>
        <v>0.2261</v>
      </c>
      <c r="W204" s="78">
        <f t="shared" ca="1" si="195"/>
        <v>0.3533</v>
      </c>
      <c r="X204" s="4">
        <f ca="1">-SUMIFS(INDIRECT("Tab_00.Trial["&amp;X$4&amp;"]"),Tab_00.Trial[CONTA],$B204)</f>
        <v>2046081.75</v>
      </c>
      <c r="Y204" s="78">
        <f t="shared" ca="1" si="196"/>
        <v>0.24299999999999999</v>
      </c>
      <c r="Z204" s="78">
        <f t="shared" ca="1" si="197"/>
        <v>0.22639999999999999</v>
      </c>
      <c r="AA204" s="4">
        <f ca="1">-SUMIFS(INDIRECT("Tab_00.Trial["&amp;AA$4&amp;"]"),Tab_00.Trial[CONTA],$B204)</f>
        <v>2200627.6800000002</v>
      </c>
      <c r="AB204" s="78">
        <f t="shared" ca="1" si="198"/>
        <v>0.23419999999999999</v>
      </c>
      <c r="AC204" s="78">
        <f t="shared" ca="1" si="199"/>
        <v>7.5499999999999998E-2</v>
      </c>
      <c r="AD204" s="4">
        <f ca="1">-SUMIFS(INDIRECT("Tab_00.Trial["&amp;AD$4&amp;"]"),Tab_00.Trial[CONTA],$B204)</f>
        <v>2414254.44</v>
      </c>
      <c r="AE204" s="78">
        <f t="shared" ca="1" si="200"/>
        <v>0.22689999999999999</v>
      </c>
      <c r="AF204" s="78">
        <f t="shared" ca="1" si="201"/>
        <v>9.7100000000000006E-2</v>
      </c>
      <c r="AG204" s="4">
        <f ca="1">-SUMIFS(INDIRECT("Tab_00.Trial["&amp;AG$4&amp;"]"),Tab_00.Trial[CONTA],$B204)</f>
        <v>2746283.03</v>
      </c>
      <c r="AH204" s="78">
        <f t="shared" ca="1" si="202"/>
        <v>0.23769999999999999</v>
      </c>
      <c r="AI204" s="78">
        <f t="shared" ca="1" si="203"/>
        <v>0.13750000000000001</v>
      </c>
      <c r="AJ204" s="4">
        <f ca="1">-SUMIFS(INDIRECT("Tab_00.Trial["&amp;AJ$4&amp;"]"),Tab_00.Trial[CONTA],$B204)</f>
        <v>2652895.7599999998</v>
      </c>
      <c r="AK204" s="78">
        <f t="shared" ca="1" si="204"/>
        <v>0.2034</v>
      </c>
      <c r="AL204" s="78">
        <f t="shared" ca="1" si="205"/>
        <v>-3.4000000000000002E-2</v>
      </c>
    </row>
    <row r="205" spans="2:38" ht="15" customHeight="1" outlineLevel="1" x14ac:dyDescent="0.3">
      <c r="B205" s="14"/>
      <c r="C205" s="14"/>
      <c r="D205" s="4">
        <f ca="1">-SUMIFS(INDIRECT("Tab_00.Trial["&amp;D$4&amp;"]"),Tab_00.Trial[CONTA],$B205)</f>
        <v>0</v>
      </c>
      <c r="E205" s="78">
        <f t="shared" ca="1" si="183"/>
        <v>0</v>
      </c>
      <c r="F205" s="4">
        <f ca="1">-SUMIFS(INDIRECT("Tab_00.Trial["&amp;F$4&amp;"]"),Tab_00.Trial[CONTA],$B205)</f>
        <v>0</v>
      </c>
      <c r="G205" s="78">
        <f t="shared" ca="1" si="185"/>
        <v>0</v>
      </c>
      <c r="H205" s="78">
        <f t="shared" ca="1" si="184"/>
        <v>0</v>
      </c>
      <c r="I205" s="4">
        <f ca="1">-SUMIFS(INDIRECT("Tab_00.Trial["&amp;I$4&amp;"]"),Tab_00.Trial[CONTA],$B205)</f>
        <v>0</v>
      </c>
      <c r="J205" s="78">
        <f t="shared" ca="1" si="186"/>
        <v>0</v>
      </c>
      <c r="K205" s="78">
        <f t="shared" ca="1" si="187"/>
        <v>0</v>
      </c>
      <c r="L205" s="4">
        <f ca="1">-SUMIFS(INDIRECT("Tab_00.Trial["&amp;L$4&amp;"]"),Tab_00.Trial[CONTA],$B205)</f>
        <v>0</v>
      </c>
      <c r="M205" s="78">
        <f t="shared" ca="1" si="188"/>
        <v>0</v>
      </c>
      <c r="N205" s="78">
        <f t="shared" ca="1" si="189"/>
        <v>0</v>
      </c>
      <c r="O205" s="4">
        <f ca="1">-SUMIFS(INDIRECT("Tab_00.Trial["&amp;O$4&amp;"]"),Tab_00.Trial[CONTA],$B205)</f>
        <v>0</v>
      </c>
      <c r="P205" s="78">
        <f t="shared" ca="1" si="190"/>
        <v>0</v>
      </c>
      <c r="Q205" s="78">
        <f t="shared" ca="1" si="191"/>
        <v>0</v>
      </c>
      <c r="R205" s="4">
        <f ca="1">-SUMIFS(INDIRECT("Tab_00.Trial["&amp;R$4&amp;"]"),Tab_00.Trial[CONTA],$B205)</f>
        <v>0</v>
      </c>
      <c r="S205" s="78">
        <f t="shared" ca="1" si="192"/>
        <v>0</v>
      </c>
      <c r="T205" s="78">
        <f t="shared" ca="1" si="193"/>
        <v>0</v>
      </c>
      <c r="U205" s="4">
        <f ca="1">-SUMIFS(INDIRECT("Tab_00.Trial["&amp;U$4&amp;"]"),Tab_00.Trial[CONTA],$B205)</f>
        <v>0</v>
      </c>
      <c r="V205" s="78">
        <f t="shared" ca="1" si="194"/>
        <v>0</v>
      </c>
      <c r="W205" s="78">
        <f t="shared" ca="1" si="195"/>
        <v>0</v>
      </c>
      <c r="X205" s="4">
        <f ca="1">-SUMIFS(INDIRECT("Tab_00.Trial["&amp;X$4&amp;"]"),Tab_00.Trial[CONTA],$B205)</f>
        <v>0</v>
      </c>
      <c r="Y205" s="78">
        <f t="shared" ca="1" si="196"/>
        <v>0</v>
      </c>
      <c r="Z205" s="78">
        <f t="shared" ca="1" si="197"/>
        <v>0</v>
      </c>
      <c r="AA205" s="4">
        <f ca="1">-SUMIFS(INDIRECT("Tab_00.Trial["&amp;AA$4&amp;"]"),Tab_00.Trial[CONTA],$B205)</f>
        <v>0</v>
      </c>
      <c r="AB205" s="78">
        <f t="shared" ca="1" si="198"/>
        <v>0</v>
      </c>
      <c r="AC205" s="78">
        <f t="shared" ca="1" si="199"/>
        <v>0</v>
      </c>
      <c r="AD205" s="4">
        <f ca="1">-SUMIFS(INDIRECT("Tab_00.Trial["&amp;AD$4&amp;"]"),Tab_00.Trial[CONTA],$B205)</f>
        <v>0</v>
      </c>
      <c r="AE205" s="78">
        <f t="shared" ca="1" si="200"/>
        <v>0</v>
      </c>
      <c r="AF205" s="78">
        <f t="shared" ca="1" si="201"/>
        <v>0</v>
      </c>
      <c r="AG205" s="4">
        <f ca="1">-SUMIFS(INDIRECT("Tab_00.Trial["&amp;AG$4&amp;"]"),Tab_00.Trial[CONTA],$B205)</f>
        <v>0</v>
      </c>
      <c r="AH205" s="78">
        <f t="shared" ca="1" si="202"/>
        <v>0</v>
      </c>
      <c r="AI205" s="78">
        <f t="shared" ca="1" si="203"/>
        <v>0</v>
      </c>
      <c r="AJ205" s="4">
        <f ca="1">-SUMIFS(INDIRECT("Tab_00.Trial["&amp;AJ$4&amp;"]"),Tab_00.Trial[CONTA],$B205)</f>
        <v>0</v>
      </c>
      <c r="AK205" s="78">
        <f t="shared" ca="1" si="204"/>
        <v>0</v>
      </c>
      <c r="AL205" s="78">
        <f t="shared" ca="1" si="205"/>
        <v>0</v>
      </c>
    </row>
    <row r="206" spans="2:38" ht="15" customHeight="1" outlineLevel="1" x14ac:dyDescent="0.3">
      <c r="B206" s="14"/>
      <c r="C206" s="14"/>
      <c r="D206" s="4">
        <f ca="1">-SUMIFS(INDIRECT("Tab_00.Trial["&amp;D$4&amp;"]"),Tab_00.Trial[CONTA],$B206)</f>
        <v>0</v>
      </c>
      <c r="E206" s="78">
        <f t="shared" ca="1" si="183"/>
        <v>0</v>
      </c>
      <c r="F206" s="4">
        <f ca="1">-SUMIFS(INDIRECT("Tab_00.Trial["&amp;F$4&amp;"]"),Tab_00.Trial[CONTA],$B206)</f>
        <v>0</v>
      </c>
      <c r="G206" s="78">
        <f t="shared" ca="1" si="185"/>
        <v>0</v>
      </c>
      <c r="H206" s="78">
        <f t="shared" ca="1" si="184"/>
        <v>0</v>
      </c>
      <c r="I206" s="4">
        <f ca="1">-SUMIFS(INDIRECT("Tab_00.Trial["&amp;I$4&amp;"]"),Tab_00.Trial[CONTA],$B206)</f>
        <v>0</v>
      </c>
      <c r="J206" s="78">
        <f t="shared" ca="1" si="186"/>
        <v>0</v>
      </c>
      <c r="K206" s="78">
        <f t="shared" ca="1" si="187"/>
        <v>0</v>
      </c>
      <c r="L206" s="4">
        <f ca="1">-SUMIFS(INDIRECT("Tab_00.Trial["&amp;L$4&amp;"]"),Tab_00.Trial[CONTA],$B206)</f>
        <v>0</v>
      </c>
      <c r="M206" s="78">
        <f t="shared" ca="1" si="188"/>
        <v>0</v>
      </c>
      <c r="N206" s="78">
        <f t="shared" ca="1" si="189"/>
        <v>0</v>
      </c>
      <c r="O206" s="4">
        <f ca="1">-SUMIFS(INDIRECT("Tab_00.Trial["&amp;O$4&amp;"]"),Tab_00.Trial[CONTA],$B206)</f>
        <v>0</v>
      </c>
      <c r="P206" s="78">
        <f t="shared" ca="1" si="190"/>
        <v>0</v>
      </c>
      <c r="Q206" s="78">
        <f t="shared" ca="1" si="191"/>
        <v>0</v>
      </c>
      <c r="R206" s="4">
        <f ca="1">-SUMIFS(INDIRECT("Tab_00.Trial["&amp;R$4&amp;"]"),Tab_00.Trial[CONTA],$B206)</f>
        <v>0</v>
      </c>
      <c r="S206" s="78">
        <f t="shared" ca="1" si="192"/>
        <v>0</v>
      </c>
      <c r="T206" s="78">
        <f t="shared" ca="1" si="193"/>
        <v>0</v>
      </c>
      <c r="U206" s="4">
        <f ca="1">-SUMIFS(INDIRECT("Tab_00.Trial["&amp;U$4&amp;"]"),Tab_00.Trial[CONTA],$B206)</f>
        <v>0</v>
      </c>
      <c r="V206" s="78">
        <f t="shared" ca="1" si="194"/>
        <v>0</v>
      </c>
      <c r="W206" s="78">
        <f t="shared" ca="1" si="195"/>
        <v>0</v>
      </c>
      <c r="X206" s="4">
        <f ca="1">-SUMIFS(INDIRECT("Tab_00.Trial["&amp;X$4&amp;"]"),Tab_00.Trial[CONTA],$B206)</f>
        <v>0</v>
      </c>
      <c r="Y206" s="78">
        <f t="shared" ca="1" si="196"/>
        <v>0</v>
      </c>
      <c r="Z206" s="78">
        <f t="shared" ca="1" si="197"/>
        <v>0</v>
      </c>
      <c r="AA206" s="4">
        <f ca="1">-SUMIFS(INDIRECT("Tab_00.Trial["&amp;AA$4&amp;"]"),Tab_00.Trial[CONTA],$B206)</f>
        <v>0</v>
      </c>
      <c r="AB206" s="78">
        <f t="shared" ca="1" si="198"/>
        <v>0</v>
      </c>
      <c r="AC206" s="78">
        <f t="shared" ca="1" si="199"/>
        <v>0</v>
      </c>
      <c r="AD206" s="4">
        <f ca="1">-SUMIFS(INDIRECT("Tab_00.Trial["&amp;AD$4&amp;"]"),Tab_00.Trial[CONTA],$B206)</f>
        <v>0</v>
      </c>
      <c r="AE206" s="78">
        <f t="shared" ca="1" si="200"/>
        <v>0</v>
      </c>
      <c r="AF206" s="78">
        <f t="shared" ca="1" si="201"/>
        <v>0</v>
      </c>
      <c r="AG206" s="4">
        <f ca="1">-SUMIFS(INDIRECT("Tab_00.Trial["&amp;AG$4&amp;"]"),Tab_00.Trial[CONTA],$B206)</f>
        <v>0</v>
      </c>
      <c r="AH206" s="78">
        <f t="shared" ca="1" si="202"/>
        <v>0</v>
      </c>
      <c r="AI206" s="78">
        <f t="shared" ca="1" si="203"/>
        <v>0</v>
      </c>
      <c r="AJ206" s="4">
        <f ca="1">-SUMIFS(INDIRECT("Tab_00.Trial["&amp;AJ$4&amp;"]"),Tab_00.Trial[CONTA],$B206)</f>
        <v>0</v>
      </c>
      <c r="AK206" s="78">
        <f t="shared" ca="1" si="204"/>
        <v>0</v>
      </c>
      <c r="AL206" s="78">
        <f t="shared" ca="1" si="205"/>
        <v>0</v>
      </c>
    </row>
    <row r="207" spans="2:38" ht="15" customHeight="1" outlineLevel="1" x14ac:dyDescent="0.3">
      <c r="B207" s="14"/>
      <c r="C207" s="14"/>
      <c r="D207" s="4">
        <f ca="1">-SUMIFS(INDIRECT("Tab_00.Trial["&amp;D$4&amp;"]"),Tab_00.Trial[CONTA],$B207)</f>
        <v>0</v>
      </c>
      <c r="E207" s="78">
        <f t="shared" ca="1" si="183"/>
        <v>0</v>
      </c>
      <c r="F207" s="4">
        <f ca="1">-SUMIFS(INDIRECT("Tab_00.Trial["&amp;F$4&amp;"]"),Tab_00.Trial[CONTA],$B207)</f>
        <v>0</v>
      </c>
      <c r="G207" s="78">
        <f t="shared" ca="1" si="185"/>
        <v>0</v>
      </c>
      <c r="H207" s="78">
        <f t="shared" ca="1" si="184"/>
        <v>0</v>
      </c>
      <c r="I207" s="4">
        <f ca="1">-SUMIFS(INDIRECT("Tab_00.Trial["&amp;I$4&amp;"]"),Tab_00.Trial[CONTA],$B207)</f>
        <v>0</v>
      </c>
      <c r="J207" s="78">
        <f t="shared" ca="1" si="186"/>
        <v>0</v>
      </c>
      <c r="K207" s="78">
        <f t="shared" ca="1" si="187"/>
        <v>0</v>
      </c>
      <c r="L207" s="4">
        <f ca="1">-SUMIFS(INDIRECT("Tab_00.Trial["&amp;L$4&amp;"]"),Tab_00.Trial[CONTA],$B207)</f>
        <v>0</v>
      </c>
      <c r="M207" s="78">
        <f t="shared" ca="1" si="188"/>
        <v>0</v>
      </c>
      <c r="N207" s="78">
        <f t="shared" ca="1" si="189"/>
        <v>0</v>
      </c>
      <c r="O207" s="4">
        <f ca="1">-SUMIFS(INDIRECT("Tab_00.Trial["&amp;O$4&amp;"]"),Tab_00.Trial[CONTA],$B207)</f>
        <v>0</v>
      </c>
      <c r="P207" s="78">
        <f t="shared" ca="1" si="190"/>
        <v>0</v>
      </c>
      <c r="Q207" s="78">
        <f t="shared" ca="1" si="191"/>
        <v>0</v>
      </c>
      <c r="R207" s="4">
        <f ca="1">-SUMIFS(INDIRECT("Tab_00.Trial["&amp;R$4&amp;"]"),Tab_00.Trial[CONTA],$B207)</f>
        <v>0</v>
      </c>
      <c r="S207" s="78">
        <f t="shared" ca="1" si="192"/>
        <v>0</v>
      </c>
      <c r="T207" s="78">
        <f t="shared" ca="1" si="193"/>
        <v>0</v>
      </c>
      <c r="U207" s="4">
        <f ca="1">-SUMIFS(INDIRECT("Tab_00.Trial["&amp;U$4&amp;"]"),Tab_00.Trial[CONTA],$B207)</f>
        <v>0</v>
      </c>
      <c r="V207" s="78">
        <f t="shared" ca="1" si="194"/>
        <v>0</v>
      </c>
      <c r="W207" s="78">
        <f t="shared" ca="1" si="195"/>
        <v>0</v>
      </c>
      <c r="X207" s="4">
        <f ca="1">-SUMIFS(INDIRECT("Tab_00.Trial["&amp;X$4&amp;"]"),Tab_00.Trial[CONTA],$B207)</f>
        <v>0</v>
      </c>
      <c r="Y207" s="78">
        <f t="shared" ca="1" si="196"/>
        <v>0</v>
      </c>
      <c r="Z207" s="78">
        <f t="shared" ca="1" si="197"/>
        <v>0</v>
      </c>
      <c r="AA207" s="4">
        <f ca="1">-SUMIFS(INDIRECT("Tab_00.Trial["&amp;AA$4&amp;"]"),Tab_00.Trial[CONTA],$B207)</f>
        <v>0</v>
      </c>
      <c r="AB207" s="78">
        <f t="shared" ca="1" si="198"/>
        <v>0</v>
      </c>
      <c r="AC207" s="78">
        <f t="shared" ca="1" si="199"/>
        <v>0</v>
      </c>
      <c r="AD207" s="4">
        <f ca="1">-SUMIFS(INDIRECT("Tab_00.Trial["&amp;AD$4&amp;"]"),Tab_00.Trial[CONTA],$B207)</f>
        <v>0</v>
      </c>
      <c r="AE207" s="78">
        <f t="shared" ca="1" si="200"/>
        <v>0</v>
      </c>
      <c r="AF207" s="78">
        <f t="shared" ca="1" si="201"/>
        <v>0</v>
      </c>
      <c r="AG207" s="4">
        <f ca="1">-SUMIFS(INDIRECT("Tab_00.Trial["&amp;AG$4&amp;"]"),Tab_00.Trial[CONTA],$B207)</f>
        <v>0</v>
      </c>
      <c r="AH207" s="78">
        <f t="shared" ca="1" si="202"/>
        <v>0</v>
      </c>
      <c r="AI207" s="78">
        <f t="shared" ca="1" si="203"/>
        <v>0</v>
      </c>
      <c r="AJ207" s="4">
        <f ca="1">-SUMIFS(INDIRECT("Tab_00.Trial["&amp;AJ$4&amp;"]"),Tab_00.Trial[CONTA],$B207)</f>
        <v>0</v>
      </c>
      <c r="AK207" s="78">
        <f t="shared" ca="1" si="204"/>
        <v>0</v>
      </c>
      <c r="AL207" s="78">
        <f t="shared" ca="1" si="205"/>
        <v>0</v>
      </c>
    </row>
    <row r="208" spans="2:38" ht="15" customHeight="1" outlineLevel="1" x14ac:dyDescent="0.3">
      <c r="B208" s="14"/>
      <c r="C208" s="14"/>
      <c r="D208" s="4">
        <f ca="1">-SUMIFS(INDIRECT("Tab_00.Trial["&amp;D$4&amp;"]"),Tab_00.Trial[CONTA],$B208)</f>
        <v>0</v>
      </c>
      <c r="E208" s="78">
        <f t="shared" ca="1" si="183"/>
        <v>0</v>
      </c>
      <c r="F208" s="4">
        <f ca="1">-SUMIFS(INDIRECT("Tab_00.Trial["&amp;F$4&amp;"]"),Tab_00.Trial[CONTA],$B208)</f>
        <v>0</v>
      </c>
      <c r="G208" s="78">
        <f t="shared" ca="1" si="185"/>
        <v>0</v>
      </c>
      <c r="H208" s="78">
        <f t="shared" ca="1" si="184"/>
        <v>0</v>
      </c>
      <c r="I208" s="4">
        <f ca="1">-SUMIFS(INDIRECT("Tab_00.Trial["&amp;I$4&amp;"]"),Tab_00.Trial[CONTA],$B208)</f>
        <v>0</v>
      </c>
      <c r="J208" s="78">
        <f t="shared" ca="1" si="186"/>
        <v>0</v>
      </c>
      <c r="K208" s="78">
        <f t="shared" ca="1" si="187"/>
        <v>0</v>
      </c>
      <c r="L208" s="4">
        <f ca="1">-SUMIFS(INDIRECT("Tab_00.Trial["&amp;L$4&amp;"]"),Tab_00.Trial[CONTA],$B208)</f>
        <v>0</v>
      </c>
      <c r="M208" s="78">
        <f t="shared" ca="1" si="188"/>
        <v>0</v>
      </c>
      <c r="N208" s="78">
        <f t="shared" ca="1" si="189"/>
        <v>0</v>
      </c>
      <c r="O208" s="4">
        <f ca="1">-SUMIFS(INDIRECT("Tab_00.Trial["&amp;O$4&amp;"]"),Tab_00.Trial[CONTA],$B208)</f>
        <v>0</v>
      </c>
      <c r="P208" s="78">
        <f t="shared" ca="1" si="190"/>
        <v>0</v>
      </c>
      <c r="Q208" s="78">
        <f t="shared" ca="1" si="191"/>
        <v>0</v>
      </c>
      <c r="R208" s="4">
        <f ca="1">-SUMIFS(INDIRECT("Tab_00.Trial["&amp;R$4&amp;"]"),Tab_00.Trial[CONTA],$B208)</f>
        <v>0</v>
      </c>
      <c r="S208" s="78">
        <f t="shared" ca="1" si="192"/>
        <v>0</v>
      </c>
      <c r="T208" s="78">
        <f t="shared" ca="1" si="193"/>
        <v>0</v>
      </c>
      <c r="U208" s="4">
        <f ca="1">-SUMIFS(INDIRECT("Tab_00.Trial["&amp;U$4&amp;"]"),Tab_00.Trial[CONTA],$B208)</f>
        <v>0</v>
      </c>
      <c r="V208" s="78">
        <f t="shared" ca="1" si="194"/>
        <v>0</v>
      </c>
      <c r="W208" s="78">
        <f t="shared" ca="1" si="195"/>
        <v>0</v>
      </c>
      <c r="X208" s="4">
        <f ca="1">-SUMIFS(INDIRECT("Tab_00.Trial["&amp;X$4&amp;"]"),Tab_00.Trial[CONTA],$B208)</f>
        <v>0</v>
      </c>
      <c r="Y208" s="78">
        <f t="shared" ca="1" si="196"/>
        <v>0</v>
      </c>
      <c r="Z208" s="78">
        <f t="shared" ca="1" si="197"/>
        <v>0</v>
      </c>
      <c r="AA208" s="4">
        <f ca="1">-SUMIFS(INDIRECT("Tab_00.Trial["&amp;AA$4&amp;"]"),Tab_00.Trial[CONTA],$B208)</f>
        <v>0</v>
      </c>
      <c r="AB208" s="78">
        <f t="shared" ca="1" si="198"/>
        <v>0</v>
      </c>
      <c r="AC208" s="78">
        <f t="shared" ca="1" si="199"/>
        <v>0</v>
      </c>
      <c r="AD208" s="4">
        <f ca="1">-SUMIFS(INDIRECT("Tab_00.Trial["&amp;AD$4&amp;"]"),Tab_00.Trial[CONTA],$B208)</f>
        <v>0</v>
      </c>
      <c r="AE208" s="78">
        <f t="shared" ca="1" si="200"/>
        <v>0</v>
      </c>
      <c r="AF208" s="78">
        <f t="shared" ca="1" si="201"/>
        <v>0</v>
      </c>
      <c r="AG208" s="4">
        <f ca="1">-SUMIFS(INDIRECT("Tab_00.Trial["&amp;AG$4&amp;"]"),Tab_00.Trial[CONTA],$B208)</f>
        <v>0</v>
      </c>
      <c r="AH208" s="78">
        <f t="shared" ca="1" si="202"/>
        <v>0</v>
      </c>
      <c r="AI208" s="78">
        <f t="shared" ca="1" si="203"/>
        <v>0</v>
      </c>
      <c r="AJ208" s="4">
        <f ca="1">-SUMIFS(INDIRECT("Tab_00.Trial["&amp;AJ$4&amp;"]"),Tab_00.Trial[CONTA],$B208)</f>
        <v>0</v>
      </c>
      <c r="AK208" s="78">
        <f t="shared" ca="1" si="204"/>
        <v>0</v>
      </c>
      <c r="AL208" s="78">
        <f t="shared" ca="1" si="205"/>
        <v>0</v>
      </c>
    </row>
    <row r="209" spans="2:38" ht="5.0999999999999996" customHeight="1" outlineLevel="1" x14ac:dyDescent="0.3">
      <c r="B209" s="74"/>
      <c r="C209" s="75"/>
      <c r="D209" s="76"/>
      <c r="E209" s="77"/>
      <c r="F209" s="76"/>
      <c r="G209" s="77"/>
      <c r="H209" s="77"/>
      <c r="I209" s="76"/>
      <c r="J209" s="77"/>
      <c r="K209" s="77"/>
      <c r="L209" s="76"/>
      <c r="M209" s="77"/>
      <c r="N209" s="77"/>
      <c r="O209" s="76"/>
      <c r="P209" s="77"/>
      <c r="Q209" s="77"/>
      <c r="R209" s="76"/>
      <c r="S209" s="77"/>
      <c r="T209" s="77"/>
      <c r="U209" s="76"/>
      <c r="V209" s="77"/>
      <c r="W209" s="77"/>
      <c r="X209" s="76"/>
      <c r="Y209" s="77"/>
      <c r="Z209" s="77"/>
      <c r="AA209" s="76"/>
      <c r="AB209" s="77"/>
      <c r="AC209" s="77"/>
      <c r="AD209" s="76"/>
      <c r="AE209" s="77"/>
      <c r="AF209" s="77"/>
      <c r="AG209" s="76"/>
      <c r="AH209" s="77"/>
      <c r="AI209" s="77"/>
      <c r="AJ209" s="76"/>
      <c r="AK209" s="77"/>
      <c r="AL209" s="77"/>
    </row>
    <row r="210" spans="2:38" ht="15" customHeight="1" collapsed="1" x14ac:dyDescent="0.3">
      <c r="D210" s="8">
        <f ca="1">SUBTOTAL(9,D$194:D$209)</f>
        <v>202366.66</v>
      </c>
      <c r="E210" s="83">
        <f ca="1">IFERROR($D210/$D$6,0)</f>
        <v>0.21299999999999999</v>
      </c>
      <c r="F210" s="8">
        <f ca="1">SUBTOTAL(9,F$194:F$209)</f>
        <v>420337.61</v>
      </c>
      <c r="G210" s="83">
        <f ca="1">IFERROR($F210/$F$6,0)</f>
        <v>0.21829999999999999</v>
      </c>
      <c r="H210" s="83">
        <f ca="1">IFERROR(($F210-$D210)/ABS($D210),0)</f>
        <v>1.0770999999999999</v>
      </c>
      <c r="I210" s="8">
        <f ca="1">SUBTOTAL(9,I$194:I$209)</f>
        <v>726387.98</v>
      </c>
      <c r="J210" s="83">
        <f ca="1">IFERROR($I210/$I$6,0)</f>
        <v>0.24410000000000001</v>
      </c>
      <c r="K210" s="83">
        <f ca="1">IFERROR(($I210-$F210)/ABS($F210),0)</f>
        <v>0.72809999999999997</v>
      </c>
      <c r="L210" s="8">
        <f ca="1">SUBTOTAL(9,L$194:L$209)</f>
        <v>700594.18</v>
      </c>
      <c r="M210" s="83">
        <f ca="1">IFERROR($L210/$L$6,0)</f>
        <v>0.1716</v>
      </c>
      <c r="N210" s="83">
        <f ca="1">IFERROR(($L210-$I210)/ABS($I210),0)</f>
        <v>-3.5499999999999997E-2</v>
      </c>
      <c r="O210" s="8">
        <f ca="1">SUBTOTAL(9,O$194:O$209)</f>
        <v>1026372.61</v>
      </c>
      <c r="P210" s="83">
        <f ca="1">IFERROR($O210/$O$6,0)</f>
        <v>0.1938</v>
      </c>
      <c r="Q210" s="83">
        <f ca="1">IFERROR(($O210-$L210)/ABS($L210),0)</f>
        <v>0.46500000000000002</v>
      </c>
      <c r="R210" s="8">
        <f ca="1">SUBTOTAL(9,R$194:R$209)</f>
        <v>1229172.51</v>
      </c>
      <c r="S210" s="83">
        <f ca="1">IFERROR($R210/$R$6,0)</f>
        <v>0.19500000000000001</v>
      </c>
      <c r="T210" s="83">
        <f ca="1">IFERROR(($R210-$O210)/ABS($O210),0)</f>
        <v>0.1976</v>
      </c>
      <c r="U210" s="8">
        <f ca="1">SUBTOTAL(9,U$194:U$209)</f>
        <v>1664240.84</v>
      </c>
      <c r="V210" s="83">
        <f ca="1">IFERROR($U210/$U$6,0)</f>
        <v>0.22559999999999999</v>
      </c>
      <c r="W210" s="83">
        <f ca="1">IFERROR(($U210-$R210)/ABS($R210),0)</f>
        <v>0.35399999999999998</v>
      </c>
      <c r="X210" s="8">
        <f ca="1">SUBTOTAL(9,X$194:X$209)</f>
        <v>2039134.89</v>
      </c>
      <c r="Y210" s="83">
        <f ca="1">IFERROR($X210/$X$6,0)</f>
        <v>0.2422</v>
      </c>
      <c r="Z210" s="83">
        <f ca="1">IFERROR(($X210-$U210)/ABS($U210),0)</f>
        <v>0.2253</v>
      </c>
      <c r="AA210" s="8">
        <f ca="1">SUBTOTAL(9,AA$194:AA$209)</f>
        <v>2191081.11</v>
      </c>
      <c r="AB210" s="83">
        <f ca="1">IFERROR($AA210/$AA$6,0)</f>
        <v>0.23319999999999999</v>
      </c>
      <c r="AC210" s="83">
        <f ca="1">IFERROR(($AA210-$X210)/ABS($X210),0)</f>
        <v>7.4499999999999997E-2</v>
      </c>
      <c r="AD210" s="8">
        <f ca="1">SUBTOTAL(9,AD$194:AD$209)</f>
        <v>2401691.19</v>
      </c>
      <c r="AE210" s="83">
        <f ca="1">IFERROR($AD210/$AD$6,0)</f>
        <v>0.2258</v>
      </c>
      <c r="AF210" s="83">
        <f ca="1">IFERROR(($AD210-$AA210)/ABS($AA210),0)</f>
        <v>9.6100000000000005E-2</v>
      </c>
      <c r="AG210" s="8">
        <f ca="1">SUBTOTAL(9,AG$194:AG$209)</f>
        <v>2732131.91</v>
      </c>
      <c r="AH210" s="83">
        <f ca="1">IFERROR($AG210/$AG$6,0)</f>
        <v>0.2364</v>
      </c>
      <c r="AI210" s="83">
        <f ca="1">IFERROR(($AG210-$AD210)/ABS($AD210),0)</f>
        <v>0.1376</v>
      </c>
      <c r="AJ210" s="8">
        <f ca="1">SUBTOTAL(9,AJ$194:AJ$209)</f>
        <v>2635927.7599999998</v>
      </c>
      <c r="AK210" s="83">
        <f ca="1">IFERROR($AJ210/$AJ$6,0)</f>
        <v>0.2021</v>
      </c>
      <c r="AL210" s="83">
        <f ca="1">IFERROR(($AJ210-$AG210)/ABS($AG210),0)</f>
        <v>-3.5200000000000002E-2</v>
      </c>
    </row>
    <row r="211" spans="2:38" ht="5.0999999999999996" customHeight="1" x14ac:dyDescent="0.3"/>
    <row r="212" spans="2:38" ht="5.0999999999999996" customHeight="1" x14ac:dyDescent="0.3"/>
    <row r="213" spans="2:38" ht="5.0999999999999996" customHeight="1" x14ac:dyDescent="0.3"/>
    <row r="214" spans="2:38" ht="5.0999999999999996" customHeight="1" x14ac:dyDescent="0.3"/>
    <row r="215" spans="2:38" ht="15" customHeight="1" x14ac:dyDescent="0.3">
      <c r="C215" s="17" t="s">
        <v>157</v>
      </c>
    </row>
    <row r="216" spans="2:38" ht="15" customHeight="1" x14ac:dyDescent="0.3">
      <c r="B216" s="3" t="s">
        <v>72</v>
      </c>
      <c r="C216" s="3" t="s">
        <v>158</v>
      </c>
      <c r="D216" s="4">
        <f ca="1">SUBTOTAL(9,D$217:D$219)</f>
        <v>0</v>
      </c>
      <c r="E216" s="78">
        <f t="shared" ref="E216:E218" ca="1" si="206">IFERROR($D216/$D$6,0)</f>
        <v>0</v>
      </c>
      <c r="F216" s="4">
        <f ca="1">SUBTOTAL(9,F$217:F$219)</f>
        <v>0</v>
      </c>
      <c r="G216" s="78">
        <f t="shared" ref="G216:G218" ca="1" si="207">IFERROR($F216/$F$6,0)</f>
        <v>0</v>
      </c>
      <c r="H216" s="78">
        <f t="shared" ref="H216:H218" ca="1" si="208">IFERROR(($F216-$D216)/ABS($D216),0)</f>
        <v>0</v>
      </c>
      <c r="I216" s="4">
        <f ca="1">SUBTOTAL(9,I$217:I$219)</f>
        <v>0</v>
      </c>
      <c r="J216" s="78">
        <f t="shared" ref="J216:J218" ca="1" si="209">IFERROR($I216/$I$6,0)</f>
        <v>0</v>
      </c>
      <c r="K216" s="78">
        <f t="shared" ref="K216:K218" ca="1" si="210">IFERROR(($I216-$F216)/ABS($F216),0)</f>
        <v>0</v>
      </c>
      <c r="L216" s="4">
        <f ca="1">SUBTOTAL(9,L$217:L$219)</f>
        <v>0</v>
      </c>
      <c r="M216" s="78">
        <f t="shared" ref="M216:M218" ca="1" si="211">IFERROR($L216/$L$6,0)</f>
        <v>0</v>
      </c>
      <c r="N216" s="78">
        <f t="shared" ref="N216:N218" ca="1" si="212">IFERROR(($L216-$I216)/ABS($I216),0)</f>
        <v>0</v>
      </c>
      <c r="O216" s="4">
        <f ca="1">SUBTOTAL(9,O$217:O$219)</f>
        <v>0</v>
      </c>
      <c r="P216" s="78">
        <f t="shared" ref="P216:P218" ca="1" si="213">IFERROR($O216/$O$6,0)</f>
        <v>0</v>
      </c>
      <c r="Q216" s="78">
        <f t="shared" ref="Q216:Q218" ca="1" si="214">IFERROR(($O216-$L216)/ABS($L216),0)</f>
        <v>0</v>
      </c>
      <c r="R216" s="4">
        <f ca="1">SUBTOTAL(9,R$217:R$219)</f>
        <v>0</v>
      </c>
      <c r="S216" s="78">
        <f t="shared" ref="S216:S218" ca="1" si="215">IFERROR($R216/$R$6,0)</f>
        <v>0</v>
      </c>
      <c r="T216" s="78">
        <f t="shared" ref="T216:T218" ca="1" si="216">IFERROR(($R216-$O216)/ABS($O216),0)</f>
        <v>0</v>
      </c>
      <c r="U216" s="4">
        <f ca="1">SUBTOTAL(9,U$217:U$219)</f>
        <v>0</v>
      </c>
      <c r="V216" s="78">
        <f t="shared" ref="V216:V218" ca="1" si="217">IFERROR($U216/$U$6,0)</f>
        <v>0</v>
      </c>
      <c r="W216" s="78">
        <f t="shared" ref="W216:W218" ca="1" si="218">IFERROR(($U216-$R216)/ABS($R216),0)</f>
        <v>0</v>
      </c>
      <c r="X216" s="4">
        <f ca="1">SUBTOTAL(9,X$217:X$219)</f>
        <v>0</v>
      </c>
      <c r="Y216" s="78">
        <f t="shared" ref="Y216:Y218" ca="1" si="219">IFERROR($X216/$X$6,0)</f>
        <v>0</v>
      </c>
      <c r="Z216" s="78">
        <f t="shared" ref="Z216:Z218" ca="1" si="220">IFERROR(($X216-$U216)/ABS($U216),0)</f>
        <v>0</v>
      </c>
      <c r="AA216" s="4">
        <f ca="1">SUBTOTAL(9,AA$217:AA$219)</f>
        <v>0</v>
      </c>
      <c r="AB216" s="78">
        <f t="shared" ref="AB216:AB218" ca="1" si="221">IFERROR($AA216/$AA$6,0)</f>
        <v>0</v>
      </c>
      <c r="AC216" s="78">
        <f t="shared" ref="AC216:AC218" ca="1" si="222">IFERROR(($AA216-$X216)/ABS($X216),0)</f>
        <v>0</v>
      </c>
      <c r="AD216" s="4">
        <f ca="1">SUBTOTAL(9,AD$217:AD$219)</f>
        <v>0</v>
      </c>
      <c r="AE216" s="78">
        <f t="shared" ref="AE216:AE218" ca="1" si="223">IFERROR($AD216/$AD$6,0)</f>
        <v>0</v>
      </c>
      <c r="AF216" s="78">
        <f t="shared" ref="AF216:AF218" ca="1" si="224">IFERROR(($AD216-$AA216)/ABS($AA216),0)</f>
        <v>0</v>
      </c>
      <c r="AG216" s="4">
        <f ca="1">SUBTOTAL(9,AG$217:AG$219)</f>
        <v>0</v>
      </c>
      <c r="AH216" s="78">
        <f t="shared" ref="AH216:AH218" ca="1" si="225">IFERROR($AG216/$AG$6,0)</f>
        <v>0</v>
      </c>
      <c r="AI216" s="78">
        <f t="shared" ref="AI216:AI218" ca="1" si="226">IFERROR(($AG216-$AD216)/ABS($AD216),0)</f>
        <v>0</v>
      </c>
      <c r="AJ216" s="4">
        <f ca="1">SUBTOTAL(9,AJ$217:AJ$219)</f>
        <v>0</v>
      </c>
      <c r="AK216" s="78">
        <f t="shared" ref="AK216:AK218" ca="1" si="227">IFERROR($AJ216/$AJ$6,0)</f>
        <v>0</v>
      </c>
      <c r="AL216" s="78">
        <f t="shared" ref="AL216:AL218" ca="1" si="228">IFERROR(($AJ216-$AG216)/ABS($AG216),0)</f>
        <v>0</v>
      </c>
    </row>
    <row r="217" spans="2:38" ht="15" customHeight="1" outlineLevel="1" x14ac:dyDescent="0.3">
      <c r="B217" s="14"/>
      <c r="C217" s="14"/>
      <c r="D217" s="4">
        <f ca="1">-SUMIFS(INDIRECT("Tab_00.Trial["&amp;D$4&amp;"]"),Tab_00.Trial[CONTA],$B217)</f>
        <v>0</v>
      </c>
      <c r="E217" s="78">
        <f t="shared" ca="1" si="206"/>
        <v>0</v>
      </c>
      <c r="F217" s="4">
        <f ca="1">-SUMIFS(INDIRECT("Tab_00.Trial["&amp;F$4&amp;"]"),Tab_00.Trial[CONTA],$B217)</f>
        <v>0</v>
      </c>
      <c r="G217" s="78">
        <f t="shared" ca="1" si="207"/>
        <v>0</v>
      </c>
      <c r="H217" s="78">
        <f t="shared" ca="1" si="208"/>
        <v>0</v>
      </c>
      <c r="I217" s="4">
        <f ca="1">-SUMIFS(INDIRECT("Tab_00.Trial["&amp;I$4&amp;"]"),Tab_00.Trial[CONTA],$B217)</f>
        <v>0</v>
      </c>
      <c r="J217" s="78">
        <f t="shared" ca="1" si="209"/>
        <v>0</v>
      </c>
      <c r="K217" s="78">
        <f t="shared" ca="1" si="210"/>
        <v>0</v>
      </c>
      <c r="L217" s="4">
        <f ca="1">-SUMIFS(INDIRECT("Tab_00.Trial["&amp;L$4&amp;"]"),Tab_00.Trial[CONTA],$B217)</f>
        <v>0</v>
      </c>
      <c r="M217" s="78">
        <f t="shared" ca="1" si="211"/>
        <v>0</v>
      </c>
      <c r="N217" s="78">
        <f t="shared" ca="1" si="212"/>
        <v>0</v>
      </c>
      <c r="O217" s="4">
        <f ca="1">-SUMIFS(INDIRECT("Tab_00.Trial["&amp;O$4&amp;"]"),Tab_00.Trial[CONTA],$B217)</f>
        <v>0</v>
      </c>
      <c r="P217" s="78">
        <f t="shared" ca="1" si="213"/>
        <v>0</v>
      </c>
      <c r="Q217" s="78">
        <f t="shared" ca="1" si="214"/>
        <v>0</v>
      </c>
      <c r="R217" s="4">
        <f ca="1">-SUMIFS(INDIRECT("Tab_00.Trial["&amp;R$4&amp;"]"),Tab_00.Trial[CONTA],$B217)</f>
        <v>0</v>
      </c>
      <c r="S217" s="78">
        <f t="shared" ca="1" si="215"/>
        <v>0</v>
      </c>
      <c r="T217" s="78">
        <f t="shared" ca="1" si="216"/>
        <v>0</v>
      </c>
      <c r="U217" s="4">
        <f ca="1">-SUMIFS(INDIRECT("Tab_00.Trial["&amp;U$4&amp;"]"),Tab_00.Trial[CONTA],$B217)</f>
        <v>0</v>
      </c>
      <c r="V217" s="78">
        <f t="shared" ca="1" si="217"/>
        <v>0</v>
      </c>
      <c r="W217" s="78">
        <f t="shared" ca="1" si="218"/>
        <v>0</v>
      </c>
      <c r="X217" s="4">
        <f ca="1">-SUMIFS(INDIRECT("Tab_00.Trial["&amp;X$4&amp;"]"),Tab_00.Trial[CONTA],$B217)</f>
        <v>0</v>
      </c>
      <c r="Y217" s="78">
        <f t="shared" ca="1" si="219"/>
        <v>0</v>
      </c>
      <c r="Z217" s="78">
        <f t="shared" ca="1" si="220"/>
        <v>0</v>
      </c>
      <c r="AA217" s="4">
        <f ca="1">-SUMIFS(INDIRECT("Tab_00.Trial["&amp;AA$4&amp;"]"),Tab_00.Trial[CONTA],$B217)</f>
        <v>0</v>
      </c>
      <c r="AB217" s="78">
        <f t="shared" ca="1" si="221"/>
        <v>0</v>
      </c>
      <c r="AC217" s="78">
        <f t="shared" ca="1" si="222"/>
        <v>0</v>
      </c>
      <c r="AD217" s="4">
        <f ca="1">-SUMIFS(INDIRECT("Tab_00.Trial["&amp;AD$4&amp;"]"),Tab_00.Trial[CONTA],$B217)</f>
        <v>0</v>
      </c>
      <c r="AE217" s="78">
        <f t="shared" ca="1" si="223"/>
        <v>0</v>
      </c>
      <c r="AF217" s="78">
        <f t="shared" ca="1" si="224"/>
        <v>0</v>
      </c>
      <c r="AG217" s="4">
        <f ca="1">-SUMIFS(INDIRECT("Tab_00.Trial["&amp;AG$4&amp;"]"),Tab_00.Trial[CONTA],$B217)</f>
        <v>0</v>
      </c>
      <c r="AH217" s="78">
        <f t="shared" ca="1" si="225"/>
        <v>0</v>
      </c>
      <c r="AI217" s="78">
        <f t="shared" ca="1" si="226"/>
        <v>0</v>
      </c>
      <c r="AJ217" s="4">
        <f ca="1">-SUMIFS(INDIRECT("Tab_00.Trial["&amp;AJ$4&amp;"]"),Tab_00.Trial[CONTA],$B217)</f>
        <v>0</v>
      </c>
      <c r="AK217" s="78">
        <f t="shared" ca="1" si="227"/>
        <v>0</v>
      </c>
      <c r="AL217" s="78">
        <f t="shared" ca="1" si="228"/>
        <v>0</v>
      </c>
    </row>
    <row r="218" spans="2:38" ht="15" customHeight="1" outlineLevel="1" x14ac:dyDescent="0.3">
      <c r="B218" s="14"/>
      <c r="C218" s="14"/>
      <c r="D218" s="4">
        <f ca="1">-SUMIFS(INDIRECT("Tab_00.Trial["&amp;D$4&amp;"]"),Tab_00.Trial[CONTA],$B218)</f>
        <v>0</v>
      </c>
      <c r="E218" s="78">
        <f t="shared" ca="1" si="206"/>
        <v>0</v>
      </c>
      <c r="F218" s="4">
        <f ca="1">-SUMIFS(INDIRECT("Tab_00.Trial["&amp;F$4&amp;"]"),Tab_00.Trial[CONTA],$B218)</f>
        <v>0</v>
      </c>
      <c r="G218" s="78">
        <f t="shared" ca="1" si="207"/>
        <v>0</v>
      </c>
      <c r="H218" s="78">
        <f t="shared" ca="1" si="208"/>
        <v>0</v>
      </c>
      <c r="I218" s="4">
        <f ca="1">-SUMIFS(INDIRECT("Tab_00.Trial["&amp;I$4&amp;"]"),Tab_00.Trial[CONTA],$B218)</f>
        <v>0</v>
      </c>
      <c r="J218" s="78">
        <f t="shared" ca="1" si="209"/>
        <v>0</v>
      </c>
      <c r="K218" s="78">
        <f t="shared" ca="1" si="210"/>
        <v>0</v>
      </c>
      <c r="L218" s="4">
        <f ca="1">-SUMIFS(INDIRECT("Tab_00.Trial["&amp;L$4&amp;"]"),Tab_00.Trial[CONTA],$B218)</f>
        <v>0</v>
      </c>
      <c r="M218" s="78">
        <f t="shared" ca="1" si="211"/>
        <v>0</v>
      </c>
      <c r="N218" s="78">
        <f t="shared" ca="1" si="212"/>
        <v>0</v>
      </c>
      <c r="O218" s="4">
        <f ca="1">-SUMIFS(INDIRECT("Tab_00.Trial["&amp;O$4&amp;"]"),Tab_00.Trial[CONTA],$B218)</f>
        <v>0</v>
      </c>
      <c r="P218" s="78">
        <f t="shared" ca="1" si="213"/>
        <v>0</v>
      </c>
      <c r="Q218" s="78">
        <f t="shared" ca="1" si="214"/>
        <v>0</v>
      </c>
      <c r="R218" s="4">
        <f ca="1">-SUMIFS(INDIRECT("Tab_00.Trial["&amp;R$4&amp;"]"),Tab_00.Trial[CONTA],$B218)</f>
        <v>0</v>
      </c>
      <c r="S218" s="78">
        <f t="shared" ca="1" si="215"/>
        <v>0</v>
      </c>
      <c r="T218" s="78">
        <f t="shared" ca="1" si="216"/>
        <v>0</v>
      </c>
      <c r="U218" s="4">
        <f ca="1">-SUMIFS(INDIRECT("Tab_00.Trial["&amp;U$4&amp;"]"),Tab_00.Trial[CONTA],$B218)</f>
        <v>0</v>
      </c>
      <c r="V218" s="78">
        <f t="shared" ca="1" si="217"/>
        <v>0</v>
      </c>
      <c r="W218" s="78">
        <f t="shared" ca="1" si="218"/>
        <v>0</v>
      </c>
      <c r="X218" s="4">
        <f ca="1">-SUMIFS(INDIRECT("Tab_00.Trial["&amp;X$4&amp;"]"),Tab_00.Trial[CONTA],$B218)</f>
        <v>0</v>
      </c>
      <c r="Y218" s="78">
        <f t="shared" ca="1" si="219"/>
        <v>0</v>
      </c>
      <c r="Z218" s="78">
        <f t="shared" ca="1" si="220"/>
        <v>0</v>
      </c>
      <c r="AA218" s="4">
        <f ca="1">-SUMIFS(INDIRECT("Tab_00.Trial["&amp;AA$4&amp;"]"),Tab_00.Trial[CONTA],$B218)</f>
        <v>0</v>
      </c>
      <c r="AB218" s="78">
        <f t="shared" ca="1" si="221"/>
        <v>0</v>
      </c>
      <c r="AC218" s="78">
        <f t="shared" ca="1" si="222"/>
        <v>0</v>
      </c>
      <c r="AD218" s="4">
        <f ca="1">-SUMIFS(INDIRECT("Tab_00.Trial["&amp;AD$4&amp;"]"),Tab_00.Trial[CONTA],$B218)</f>
        <v>0</v>
      </c>
      <c r="AE218" s="78">
        <f t="shared" ca="1" si="223"/>
        <v>0</v>
      </c>
      <c r="AF218" s="78">
        <f t="shared" ca="1" si="224"/>
        <v>0</v>
      </c>
      <c r="AG218" s="4">
        <f ca="1">-SUMIFS(INDIRECT("Tab_00.Trial["&amp;AG$4&amp;"]"),Tab_00.Trial[CONTA],$B218)</f>
        <v>0</v>
      </c>
      <c r="AH218" s="78">
        <f t="shared" ca="1" si="225"/>
        <v>0</v>
      </c>
      <c r="AI218" s="78">
        <f t="shared" ca="1" si="226"/>
        <v>0</v>
      </c>
      <c r="AJ218" s="4">
        <f ca="1">-SUMIFS(INDIRECT("Tab_00.Trial["&amp;AJ$4&amp;"]"),Tab_00.Trial[CONTA],$B218)</f>
        <v>0</v>
      </c>
      <c r="AK218" s="78">
        <f t="shared" ca="1" si="227"/>
        <v>0</v>
      </c>
      <c r="AL218" s="78">
        <f t="shared" ca="1" si="228"/>
        <v>0</v>
      </c>
    </row>
    <row r="219" spans="2:38" ht="5.0999999999999996" customHeight="1" outlineLevel="1" x14ac:dyDescent="0.3">
      <c r="B219" s="74"/>
      <c r="C219" s="75"/>
      <c r="D219" s="76"/>
      <c r="E219" s="77"/>
      <c r="F219" s="76"/>
      <c r="G219" s="77"/>
      <c r="H219" s="77"/>
      <c r="I219" s="76"/>
      <c r="J219" s="77"/>
      <c r="K219" s="77"/>
      <c r="L219" s="76"/>
      <c r="M219" s="77"/>
      <c r="N219" s="77"/>
      <c r="O219" s="76"/>
      <c r="P219" s="77"/>
      <c r="Q219" s="77"/>
      <c r="R219" s="76"/>
      <c r="S219" s="77"/>
      <c r="T219" s="77"/>
      <c r="U219" s="76"/>
      <c r="V219" s="77"/>
      <c r="W219" s="77"/>
      <c r="X219" s="76"/>
      <c r="Y219" s="77"/>
      <c r="Z219" s="77"/>
      <c r="AA219" s="76"/>
      <c r="AB219" s="77"/>
      <c r="AC219" s="77"/>
      <c r="AD219" s="76"/>
      <c r="AE219" s="77"/>
      <c r="AF219" s="77"/>
      <c r="AG219" s="76"/>
      <c r="AH219" s="77"/>
      <c r="AI219" s="77"/>
      <c r="AJ219" s="76"/>
      <c r="AK219" s="77"/>
      <c r="AL219" s="77"/>
    </row>
    <row r="220" spans="2:38" ht="15" customHeight="1" x14ac:dyDescent="0.3">
      <c r="B220" s="3" t="s">
        <v>160</v>
      </c>
      <c r="C220" s="3" t="s">
        <v>159</v>
      </c>
      <c r="D220" s="4">
        <f ca="1">SUBTOTAL(9,D$221:D$223)</f>
        <v>0</v>
      </c>
      <c r="E220" s="78">
        <f t="shared" ref="E220:E222" ca="1" si="229">IFERROR($D220/$D$6,0)</f>
        <v>0</v>
      </c>
      <c r="F220" s="4">
        <f ca="1">SUBTOTAL(9,F$221:F$223)</f>
        <v>0</v>
      </c>
      <c r="G220" s="78">
        <f ca="1">IFERROR($F220/$F$6,0)</f>
        <v>0</v>
      </c>
      <c r="H220" s="78">
        <f t="shared" ref="H220:H222" ca="1" si="230">IFERROR(($F220-$D220)/ABS($D220),0)</f>
        <v>0</v>
      </c>
      <c r="I220" s="4">
        <f ca="1">SUBTOTAL(9,I$221:I$223)</f>
        <v>0</v>
      </c>
      <c r="J220" s="78">
        <f ca="1">IFERROR($I220/$I$6,0)</f>
        <v>0</v>
      </c>
      <c r="K220" s="78">
        <f ca="1">IFERROR(($I220-$F220)/ABS($F220),0)</f>
        <v>0</v>
      </c>
      <c r="L220" s="4">
        <f ca="1">SUBTOTAL(9,L$221:L$223)</f>
        <v>0</v>
      </c>
      <c r="M220" s="78">
        <f ca="1">IFERROR($L220/$L$6,0)</f>
        <v>0</v>
      </c>
      <c r="N220" s="78">
        <f ca="1">IFERROR(($L220-$I220)/ABS($I220),0)</f>
        <v>0</v>
      </c>
      <c r="O220" s="4">
        <f ca="1">SUBTOTAL(9,O$221:O$223)</f>
        <v>0</v>
      </c>
      <c r="P220" s="78">
        <f ca="1">IFERROR($O220/$O$6,0)</f>
        <v>0</v>
      </c>
      <c r="Q220" s="78">
        <f ca="1">IFERROR(($O220-$L220)/ABS($L220),0)</f>
        <v>0</v>
      </c>
      <c r="R220" s="4">
        <f ca="1">SUBTOTAL(9,R$221:R$223)</f>
        <v>0</v>
      </c>
      <c r="S220" s="78">
        <f ca="1">IFERROR($R220/$R$6,0)</f>
        <v>0</v>
      </c>
      <c r="T220" s="78">
        <f ca="1">IFERROR(($R220-$O220)/ABS($O220),0)</f>
        <v>0</v>
      </c>
      <c r="U220" s="4">
        <f ca="1">SUBTOTAL(9,U$221:U$223)</f>
        <v>0</v>
      </c>
      <c r="V220" s="78">
        <f ca="1">IFERROR($U220/$U$6,0)</f>
        <v>0</v>
      </c>
      <c r="W220" s="78">
        <f ca="1">IFERROR(($U220-$R220)/ABS($R220),0)</f>
        <v>0</v>
      </c>
      <c r="X220" s="4">
        <f ca="1">SUBTOTAL(9,X$221:X$223)</f>
        <v>0</v>
      </c>
      <c r="Y220" s="78">
        <f ca="1">IFERROR($X220/$X$6,0)</f>
        <v>0</v>
      </c>
      <c r="Z220" s="78">
        <f ca="1">IFERROR(($X220-$U220)/ABS($U220),0)</f>
        <v>0</v>
      </c>
      <c r="AA220" s="4">
        <f ca="1">SUBTOTAL(9,AA$221:AA$223)</f>
        <v>0</v>
      </c>
      <c r="AB220" s="78">
        <f ca="1">IFERROR($AA220/$AA$6,0)</f>
        <v>0</v>
      </c>
      <c r="AC220" s="78">
        <f ca="1">IFERROR(($AA220-$X220)/ABS($X220),0)</f>
        <v>0</v>
      </c>
      <c r="AD220" s="4">
        <f ca="1">SUBTOTAL(9,AD$221:AD$223)</f>
        <v>0</v>
      </c>
      <c r="AE220" s="78">
        <f ca="1">IFERROR($AD220/$AD$6,0)</f>
        <v>0</v>
      </c>
      <c r="AF220" s="78">
        <f ca="1">IFERROR(($AD220-$AA220)/ABS($AA220),0)</f>
        <v>0</v>
      </c>
      <c r="AG220" s="4">
        <f ca="1">SUBTOTAL(9,AG$221:AG$223)</f>
        <v>0</v>
      </c>
      <c r="AH220" s="78">
        <f ca="1">IFERROR($AG220/$AG$6,0)</f>
        <v>0</v>
      </c>
      <c r="AI220" s="78">
        <f ca="1">IFERROR(($AG220-$AD220)/ABS($AD220),0)</f>
        <v>0</v>
      </c>
      <c r="AJ220" s="4">
        <f ca="1">SUBTOTAL(9,AJ$221:AJ$223)</f>
        <v>0</v>
      </c>
      <c r="AK220" s="78">
        <f ca="1">IFERROR($AJ220/$AJ$6,0)</f>
        <v>0</v>
      </c>
      <c r="AL220" s="78">
        <f ca="1">IFERROR(($AJ220-$AG220)/ABS($AG220),0)</f>
        <v>0</v>
      </c>
    </row>
    <row r="221" spans="2:38" ht="15" customHeight="1" outlineLevel="1" x14ac:dyDescent="0.3">
      <c r="B221" s="14"/>
      <c r="C221" s="14"/>
      <c r="D221" s="4">
        <f ca="1">-SUMIFS(INDIRECT("Tab_00.Trial["&amp;D$4&amp;"]"),Tab_00.Trial[CONTA],$B221)</f>
        <v>0</v>
      </c>
      <c r="E221" s="78">
        <f t="shared" ca="1" si="229"/>
        <v>0</v>
      </c>
      <c r="F221" s="4">
        <f ca="1">-SUMIFS(INDIRECT("Tab_00.Trial["&amp;F$4&amp;"]"),Tab_00.Trial[CONTA],$B221)</f>
        <v>0</v>
      </c>
      <c r="G221" s="78">
        <f t="shared" ref="G221:G222" ca="1" si="231">IFERROR($F221/$F$6,0)</f>
        <v>0</v>
      </c>
      <c r="H221" s="78">
        <f t="shared" ca="1" si="230"/>
        <v>0</v>
      </c>
      <c r="I221" s="4">
        <f ca="1">-SUMIFS(INDIRECT("Tab_00.Trial["&amp;I$4&amp;"]"),Tab_00.Trial[CONTA],$B221)</f>
        <v>0</v>
      </c>
      <c r="J221" s="78">
        <f t="shared" ref="J221:J222" ca="1" si="232">IFERROR($I221/$I$6,0)</f>
        <v>0</v>
      </c>
      <c r="K221" s="78">
        <f t="shared" ref="K221:K222" ca="1" si="233">IFERROR(($I221-$F221)/ABS($F221),0)</f>
        <v>0</v>
      </c>
      <c r="L221" s="4">
        <f ca="1">-SUMIFS(INDIRECT("Tab_00.Trial["&amp;L$4&amp;"]"),Tab_00.Trial[CONTA],$B221)</f>
        <v>0</v>
      </c>
      <c r="M221" s="78">
        <f t="shared" ref="M221:M222" ca="1" si="234">IFERROR($L221/$L$6,0)</f>
        <v>0</v>
      </c>
      <c r="N221" s="78">
        <f t="shared" ref="N221:N222" ca="1" si="235">IFERROR(($L221-$I221)/ABS($I221),0)</f>
        <v>0</v>
      </c>
      <c r="O221" s="4">
        <f ca="1">-SUMIFS(INDIRECT("Tab_00.Trial["&amp;O$4&amp;"]"),Tab_00.Trial[CONTA],$B221)</f>
        <v>0</v>
      </c>
      <c r="P221" s="78">
        <f t="shared" ref="P221:P222" ca="1" si="236">IFERROR($O221/$O$6,0)</f>
        <v>0</v>
      </c>
      <c r="Q221" s="78">
        <f t="shared" ref="Q221:Q222" ca="1" si="237">IFERROR(($O221-$L221)/ABS($L221),0)</f>
        <v>0</v>
      </c>
      <c r="R221" s="4">
        <f ca="1">-SUMIFS(INDIRECT("Tab_00.Trial["&amp;R$4&amp;"]"),Tab_00.Trial[CONTA],$B221)</f>
        <v>0</v>
      </c>
      <c r="S221" s="78">
        <f t="shared" ref="S221:S222" ca="1" si="238">IFERROR($R221/$R$6,0)</f>
        <v>0</v>
      </c>
      <c r="T221" s="78">
        <f t="shared" ref="T221:T222" ca="1" si="239">IFERROR(($R221-$O221)/ABS($O221),0)</f>
        <v>0</v>
      </c>
      <c r="U221" s="4">
        <f ca="1">-SUMIFS(INDIRECT("Tab_00.Trial["&amp;U$4&amp;"]"),Tab_00.Trial[CONTA],$B221)</f>
        <v>0</v>
      </c>
      <c r="V221" s="78">
        <f t="shared" ref="V221:V222" ca="1" si="240">IFERROR($U221/$U$6,0)</f>
        <v>0</v>
      </c>
      <c r="W221" s="78">
        <f t="shared" ref="W221:W222" ca="1" si="241">IFERROR(($U221-$R221)/ABS($R221),0)</f>
        <v>0</v>
      </c>
      <c r="X221" s="4">
        <f ca="1">-SUMIFS(INDIRECT("Tab_00.Trial["&amp;X$4&amp;"]"),Tab_00.Trial[CONTA],$B221)</f>
        <v>0</v>
      </c>
      <c r="Y221" s="78">
        <f t="shared" ref="Y221:Y222" ca="1" si="242">IFERROR($X221/$X$6,0)</f>
        <v>0</v>
      </c>
      <c r="Z221" s="78">
        <f t="shared" ref="Z221:Z222" ca="1" si="243">IFERROR(($X221-$U221)/ABS($U221),0)</f>
        <v>0</v>
      </c>
      <c r="AA221" s="4">
        <f ca="1">-SUMIFS(INDIRECT("Tab_00.Trial["&amp;AA$4&amp;"]"),Tab_00.Trial[CONTA],$B221)</f>
        <v>0</v>
      </c>
      <c r="AB221" s="78">
        <f t="shared" ref="AB221:AB222" ca="1" si="244">IFERROR($AA221/$AA$6,0)</f>
        <v>0</v>
      </c>
      <c r="AC221" s="78">
        <f t="shared" ref="AC221:AC222" ca="1" si="245">IFERROR(($AA221-$X221)/ABS($X221),0)</f>
        <v>0</v>
      </c>
      <c r="AD221" s="4">
        <f ca="1">-SUMIFS(INDIRECT("Tab_00.Trial["&amp;AD$4&amp;"]"),Tab_00.Trial[CONTA],$B221)</f>
        <v>0</v>
      </c>
      <c r="AE221" s="78">
        <f t="shared" ref="AE221:AE222" ca="1" si="246">IFERROR($AD221/$AD$6,0)</f>
        <v>0</v>
      </c>
      <c r="AF221" s="78">
        <f t="shared" ref="AF221:AF222" ca="1" si="247">IFERROR(($AD221-$AA221)/ABS($AA221),0)</f>
        <v>0</v>
      </c>
      <c r="AG221" s="4">
        <f ca="1">-SUMIFS(INDIRECT("Tab_00.Trial["&amp;AG$4&amp;"]"),Tab_00.Trial[CONTA],$B221)</f>
        <v>0</v>
      </c>
      <c r="AH221" s="78">
        <f t="shared" ref="AH221:AH222" ca="1" si="248">IFERROR($AG221/$AG$6,0)</f>
        <v>0</v>
      </c>
      <c r="AI221" s="78">
        <f t="shared" ref="AI221:AI222" ca="1" si="249">IFERROR(($AG221-$AD221)/ABS($AD221),0)</f>
        <v>0</v>
      </c>
      <c r="AJ221" s="4">
        <f ca="1">-SUMIFS(INDIRECT("Tab_00.Trial["&amp;AJ$4&amp;"]"),Tab_00.Trial[CONTA],$B221)</f>
        <v>0</v>
      </c>
      <c r="AK221" s="78">
        <f t="shared" ref="AK221:AK222" ca="1" si="250">IFERROR($AJ221/$AJ$6,0)</f>
        <v>0</v>
      </c>
      <c r="AL221" s="78">
        <f t="shared" ref="AL221:AL222" ca="1" si="251">IFERROR(($AJ221-$AG221)/ABS($AG221),0)</f>
        <v>0</v>
      </c>
    </row>
    <row r="222" spans="2:38" ht="15" customHeight="1" outlineLevel="1" x14ac:dyDescent="0.3">
      <c r="B222" s="14"/>
      <c r="C222" s="14"/>
      <c r="D222" s="4">
        <f ca="1">-SUMIFS(INDIRECT("Tab_00.Trial["&amp;D$4&amp;"]"),Tab_00.Trial[CONTA],$B222)</f>
        <v>0</v>
      </c>
      <c r="E222" s="78">
        <f t="shared" ca="1" si="229"/>
        <v>0</v>
      </c>
      <c r="F222" s="4">
        <f ca="1">-SUMIFS(INDIRECT("Tab_00.Trial["&amp;F$4&amp;"]"),Tab_00.Trial[CONTA],$B222)</f>
        <v>0</v>
      </c>
      <c r="G222" s="78">
        <f t="shared" ca="1" si="231"/>
        <v>0</v>
      </c>
      <c r="H222" s="78">
        <f t="shared" ca="1" si="230"/>
        <v>0</v>
      </c>
      <c r="I222" s="4">
        <f ca="1">-SUMIFS(INDIRECT("Tab_00.Trial["&amp;I$4&amp;"]"),Tab_00.Trial[CONTA],$B222)</f>
        <v>0</v>
      </c>
      <c r="J222" s="78">
        <f t="shared" ca="1" si="232"/>
        <v>0</v>
      </c>
      <c r="K222" s="78">
        <f t="shared" ca="1" si="233"/>
        <v>0</v>
      </c>
      <c r="L222" s="4">
        <f ca="1">-SUMIFS(INDIRECT("Tab_00.Trial["&amp;L$4&amp;"]"),Tab_00.Trial[CONTA],$B222)</f>
        <v>0</v>
      </c>
      <c r="M222" s="78">
        <f t="shared" ca="1" si="234"/>
        <v>0</v>
      </c>
      <c r="N222" s="78">
        <f t="shared" ca="1" si="235"/>
        <v>0</v>
      </c>
      <c r="O222" s="4">
        <f ca="1">-SUMIFS(INDIRECT("Tab_00.Trial["&amp;O$4&amp;"]"),Tab_00.Trial[CONTA],$B222)</f>
        <v>0</v>
      </c>
      <c r="P222" s="78">
        <f t="shared" ca="1" si="236"/>
        <v>0</v>
      </c>
      <c r="Q222" s="78">
        <f t="shared" ca="1" si="237"/>
        <v>0</v>
      </c>
      <c r="R222" s="4">
        <f ca="1">-SUMIFS(INDIRECT("Tab_00.Trial["&amp;R$4&amp;"]"),Tab_00.Trial[CONTA],$B222)</f>
        <v>0</v>
      </c>
      <c r="S222" s="78">
        <f t="shared" ca="1" si="238"/>
        <v>0</v>
      </c>
      <c r="T222" s="78">
        <f t="shared" ca="1" si="239"/>
        <v>0</v>
      </c>
      <c r="U222" s="4">
        <f ca="1">-SUMIFS(INDIRECT("Tab_00.Trial["&amp;U$4&amp;"]"),Tab_00.Trial[CONTA],$B222)</f>
        <v>0</v>
      </c>
      <c r="V222" s="78">
        <f t="shared" ca="1" si="240"/>
        <v>0</v>
      </c>
      <c r="W222" s="78">
        <f t="shared" ca="1" si="241"/>
        <v>0</v>
      </c>
      <c r="X222" s="4">
        <f ca="1">-SUMIFS(INDIRECT("Tab_00.Trial["&amp;X$4&amp;"]"),Tab_00.Trial[CONTA],$B222)</f>
        <v>0</v>
      </c>
      <c r="Y222" s="78">
        <f t="shared" ca="1" si="242"/>
        <v>0</v>
      </c>
      <c r="Z222" s="78">
        <f t="shared" ca="1" si="243"/>
        <v>0</v>
      </c>
      <c r="AA222" s="4">
        <f ca="1">-SUMIFS(INDIRECT("Tab_00.Trial["&amp;AA$4&amp;"]"),Tab_00.Trial[CONTA],$B222)</f>
        <v>0</v>
      </c>
      <c r="AB222" s="78">
        <f t="shared" ca="1" si="244"/>
        <v>0</v>
      </c>
      <c r="AC222" s="78">
        <f t="shared" ca="1" si="245"/>
        <v>0</v>
      </c>
      <c r="AD222" s="4">
        <f ca="1">-SUMIFS(INDIRECT("Tab_00.Trial["&amp;AD$4&amp;"]"),Tab_00.Trial[CONTA],$B222)</f>
        <v>0</v>
      </c>
      <c r="AE222" s="78">
        <f t="shared" ca="1" si="246"/>
        <v>0</v>
      </c>
      <c r="AF222" s="78">
        <f t="shared" ca="1" si="247"/>
        <v>0</v>
      </c>
      <c r="AG222" s="4">
        <f ca="1">-SUMIFS(INDIRECT("Tab_00.Trial["&amp;AG$4&amp;"]"),Tab_00.Trial[CONTA],$B222)</f>
        <v>0</v>
      </c>
      <c r="AH222" s="78">
        <f t="shared" ca="1" si="248"/>
        <v>0</v>
      </c>
      <c r="AI222" s="78">
        <f t="shared" ca="1" si="249"/>
        <v>0</v>
      </c>
      <c r="AJ222" s="4">
        <f ca="1">-SUMIFS(INDIRECT("Tab_00.Trial["&amp;AJ$4&amp;"]"),Tab_00.Trial[CONTA],$B222)</f>
        <v>0</v>
      </c>
      <c r="AK222" s="78">
        <f t="shared" ca="1" si="250"/>
        <v>0</v>
      </c>
      <c r="AL222" s="78">
        <f t="shared" ca="1" si="251"/>
        <v>0</v>
      </c>
    </row>
    <row r="223" spans="2:38" ht="5.0999999999999996" customHeight="1" outlineLevel="1" x14ac:dyDescent="0.3">
      <c r="B223" s="74"/>
      <c r="C223" s="75"/>
      <c r="D223" s="76"/>
      <c r="E223" s="77"/>
      <c r="F223" s="76"/>
      <c r="G223" s="77"/>
      <c r="H223" s="77"/>
      <c r="I223" s="76"/>
      <c r="J223" s="77"/>
      <c r="K223" s="77"/>
      <c r="L223" s="76"/>
      <c r="M223" s="77"/>
      <c r="N223" s="77"/>
      <c r="O223" s="76"/>
      <c r="P223" s="77"/>
      <c r="Q223" s="77"/>
      <c r="R223" s="76"/>
      <c r="S223" s="77"/>
      <c r="T223" s="77"/>
      <c r="U223" s="76"/>
      <c r="V223" s="77"/>
      <c r="W223" s="77"/>
      <c r="X223" s="76"/>
      <c r="Y223" s="77"/>
      <c r="Z223" s="77"/>
      <c r="AA223" s="76"/>
      <c r="AB223" s="77"/>
      <c r="AC223" s="77"/>
      <c r="AD223" s="76"/>
      <c r="AE223" s="77"/>
      <c r="AF223" s="77"/>
      <c r="AG223" s="76"/>
      <c r="AH223" s="77"/>
      <c r="AI223" s="77"/>
      <c r="AJ223" s="76"/>
      <c r="AK223" s="77"/>
      <c r="AL223" s="77"/>
    </row>
    <row r="224" spans="2:38" ht="5.0999999999999996" customHeight="1" x14ac:dyDescent="0.3"/>
    <row r="225" spans="3:38" ht="20.100000000000001" customHeight="1" thickBot="1" x14ac:dyDescent="0.35">
      <c r="C225" s="17" t="s">
        <v>137</v>
      </c>
      <c r="D225" s="18">
        <f ca="1">SUBTOTAL(9,D$5:D$224)</f>
        <v>-111264.76</v>
      </c>
      <c r="E225" s="81">
        <f ca="1">IFERROR($D225/$D$6,0)</f>
        <v>-0.1171</v>
      </c>
      <c r="F225" s="18">
        <f ca="1">SUBTOTAL(9,F$5:F$224)</f>
        <v>-607664.65</v>
      </c>
      <c r="G225" s="81">
        <f ca="1">IFERROR($F225/$F$6,0)</f>
        <v>-0.31559999999999999</v>
      </c>
      <c r="H225" s="81">
        <f ca="1">IFERROR(($F225-$D225)/ABS($D225),0)</f>
        <v>-4.4614000000000003</v>
      </c>
      <c r="I225" s="18">
        <f ca="1">SUBTOTAL(9,I$5:I$224)</f>
        <v>-72348.78</v>
      </c>
      <c r="J225" s="81">
        <f ca="1">IFERROR($I225/$I$6,0)</f>
        <v>-2.4299999999999999E-2</v>
      </c>
      <c r="K225" s="81">
        <f ca="1">IFERROR(($I225-$F225)/ABS($F225),0)</f>
        <v>0.88090000000000002</v>
      </c>
      <c r="L225" s="18">
        <f ca="1">SUBTOTAL(9,L$5:L$224)</f>
        <v>-70070.58</v>
      </c>
      <c r="M225" s="81">
        <f ca="1">IFERROR($L225/$L$6,0)</f>
        <v>-1.72E-2</v>
      </c>
      <c r="N225" s="81">
        <f ca="1">IFERROR(($L225-$I225)/ABS($I225),0)</f>
        <v>3.15E-2</v>
      </c>
      <c r="O225" s="18">
        <f ca="1">SUBTOTAL(9,O$5:O$224)</f>
        <v>392435.31</v>
      </c>
      <c r="P225" s="81">
        <f ca="1">IFERROR($O225/$O$6,0)</f>
        <v>7.4099999999999999E-2</v>
      </c>
      <c r="Q225" s="81">
        <f ca="1">IFERROR(($O225-$L225)/ABS($L225),0)</f>
        <v>6.6006</v>
      </c>
      <c r="R225" s="18">
        <f ca="1">SUBTOTAL(9,R$5:R$224)</f>
        <v>743999.31</v>
      </c>
      <c r="S225" s="81">
        <f ca="1">IFERROR($R225/$R$6,0)</f>
        <v>0.11799999999999999</v>
      </c>
      <c r="T225" s="81">
        <f ca="1">IFERROR(($R225-$O225)/ABS($O225),0)</f>
        <v>0.89590000000000003</v>
      </c>
      <c r="U225" s="18">
        <f ca="1">SUBTOTAL(9,U$5:U$224)</f>
        <v>1153079.26</v>
      </c>
      <c r="V225" s="81">
        <f ca="1">IFERROR($U225/$U$6,0)</f>
        <v>0.15629999999999999</v>
      </c>
      <c r="W225" s="81">
        <f ca="1">IFERROR(($U225-$R225)/ABS($R225),0)</f>
        <v>0.54979999999999996</v>
      </c>
      <c r="X225" s="18">
        <f ca="1">SUBTOTAL(9,X$5:X$224)</f>
        <v>1489465.21</v>
      </c>
      <c r="Y225" s="81">
        <f ca="1">IFERROR($X225/$X$6,0)</f>
        <v>0.1769</v>
      </c>
      <c r="Z225" s="81">
        <f ca="1">IFERROR(($X225-$U225)/ABS($U225),0)</f>
        <v>0.29170000000000001</v>
      </c>
      <c r="AA225" s="18">
        <f ca="1">SUBTOTAL(9,AA$5:AA$224)</f>
        <v>1552093.27</v>
      </c>
      <c r="AB225" s="81">
        <f ca="1">IFERROR($AA225/$AA$6,0)</f>
        <v>0.16520000000000001</v>
      </c>
      <c r="AC225" s="81">
        <f ca="1">IFERROR(($AA225-$X225)/ABS($X225),0)</f>
        <v>4.2000000000000003E-2</v>
      </c>
      <c r="AD225" s="18">
        <f ca="1">SUBTOTAL(9,AD$5:AD$224)</f>
        <v>1779024.45</v>
      </c>
      <c r="AE225" s="81">
        <f ca="1">IFERROR($AD225/$AD$6,0)</f>
        <v>0.16719999999999999</v>
      </c>
      <c r="AF225" s="81">
        <f ca="1">IFERROR(($AD225-$AA225)/ABS($AA225),0)</f>
        <v>0.1462</v>
      </c>
      <c r="AG225" s="18">
        <f ca="1">SUBTOTAL(9,AG$5:AG$224)</f>
        <v>2280383.38</v>
      </c>
      <c r="AH225" s="81">
        <f ca="1">IFERROR($AG225/$AG$6,0)</f>
        <v>0.1973</v>
      </c>
      <c r="AI225" s="81">
        <f ca="1">IFERROR(($AG225-$AD225)/ABS($AD225),0)</f>
        <v>0.28179999999999999</v>
      </c>
      <c r="AJ225" s="18">
        <f ca="1">SUBTOTAL(9,AJ$5:AJ$224)</f>
        <v>1789341.58</v>
      </c>
      <c r="AK225" s="81">
        <f ca="1">IFERROR($AJ225/$AJ$6,0)</f>
        <v>0.13719999999999999</v>
      </c>
      <c r="AL225" s="81">
        <f ca="1">IFERROR(($AJ225-$AG225)/ABS($AG225),0)</f>
        <v>-0.21529999999999999</v>
      </c>
    </row>
    <row r="226" spans="3:38" ht="14.4" thickTop="1" x14ac:dyDescent="0.3"/>
    <row r="228" spans="3:38" x14ac:dyDescent="0.3">
      <c r="AG228" s="4">
        <f ca="1">par_11.LL+'2024'!R8</f>
        <v>0</v>
      </c>
    </row>
    <row r="242" spans="3:3" x14ac:dyDescent="0.3">
      <c r="C242" s="140"/>
    </row>
  </sheetData>
  <sheetProtection autoFilter="0"/>
  <dataValidations disablePrompts="1" count="1">
    <dataValidation type="custom" allowBlank="1" showInputMessage="1" showErrorMessage="1" error="Inserir linhas acima!!!" sqref="B172:AL172 B189:AL189 B209:AL209 B201:AL201 B142:AL142 B155:AL155 B100:AL100 B181:AL181 B165:AL165 B24:AL24 B34:AL34 B58:AL58 B223:AL223 B219:AL219" xr:uid="{E553BE3E-F8AB-43B3-9F85-33BE05261662}">
      <formula1>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30EAC-045E-4282-9FEC-399AA5A934FE}">
  <sheetPr codeName="Planilha7">
    <outlinePr summaryBelow="0" summaryRight="0"/>
  </sheetPr>
  <dimension ref="A2:AN216"/>
  <sheetViews>
    <sheetView showGridLines="0" zoomScaleNormal="100" workbookViewId="0">
      <pane xSplit="3" ySplit="4" topLeftCell="AC189" activePane="bottomRight" state="frozen"/>
      <selection activeCell="D5" sqref="D5"/>
      <selection pane="topRight" activeCell="D5" sqref="D5"/>
      <selection pane="bottomLeft" activeCell="D5" sqref="D5"/>
      <selection pane="bottomRight" activeCell="AJ212" sqref="AJ212"/>
    </sheetView>
  </sheetViews>
  <sheetFormatPr defaultColWidth="8.88671875" defaultRowHeight="13.8" outlineLevelRow="1" x14ac:dyDescent="0.3"/>
  <cols>
    <col min="1" max="1" width="2.6640625" style="1" hidden="1" customWidth="1"/>
    <col min="2" max="2" width="17" style="3" customWidth="1"/>
    <col min="3" max="3" width="32.109375" style="1" customWidth="1"/>
    <col min="4" max="4" width="13.109375" style="4" bestFit="1" customWidth="1"/>
    <col min="5" max="5" width="6.88671875" style="78" bestFit="1" customWidth="1"/>
    <col min="6" max="6" width="13.109375" style="4" bestFit="1" customWidth="1"/>
    <col min="7" max="7" width="7.33203125" style="78" bestFit="1" customWidth="1"/>
    <col min="8" max="8" width="11.109375" style="78" bestFit="1" customWidth="1"/>
    <col min="9" max="9" width="13.33203125" style="4" bestFit="1" customWidth="1"/>
    <col min="10" max="10" width="7.33203125" style="78" bestFit="1" customWidth="1"/>
    <col min="11" max="11" width="10" style="78" bestFit="1" customWidth="1"/>
    <col min="12" max="12" width="13.5546875" style="4" bestFit="1" customWidth="1"/>
    <col min="13" max="13" width="6.88671875" style="78" bestFit="1" customWidth="1"/>
    <col min="14" max="14" width="9.21875" style="78" bestFit="1" customWidth="1"/>
    <col min="15" max="15" width="13.5546875" style="4" bestFit="1" customWidth="1"/>
    <col min="16" max="16" width="6.88671875" style="78" bestFit="1" customWidth="1"/>
    <col min="17" max="17" width="9.5546875" style="78" bestFit="1" customWidth="1"/>
    <col min="18" max="18" width="13.109375" style="4" bestFit="1" customWidth="1"/>
    <col min="19" max="19" width="6.88671875" style="78" bestFit="1" customWidth="1"/>
    <col min="20" max="20" width="8.44140625" style="78" bestFit="1" customWidth="1"/>
    <col min="21" max="21" width="15.6640625" style="4" customWidth="1"/>
    <col min="22" max="23" width="8.6640625" style="78" customWidth="1"/>
    <col min="24" max="24" width="15.6640625" style="4" customWidth="1"/>
    <col min="25" max="26" width="8.6640625" style="78" customWidth="1"/>
    <col min="27" max="27" width="15.6640625" style="4" customWidth="1"/>
    <col min="28" max="29" width="8.6640625" style="78" customWidth="1"/>
    <col min="30" max="30" width="15.6640625" style="4" customWidth="1"/>
    <col min="31" max="32" width="8.6640625" style="78" customWidth="1"/>
    <col min="33" max="33" width="15.6640625" style="4" customWidth="1"/>
    <col min="34" max="35" width="8.6640625" style="78" customWidth="1"/>
    <col min="36" max="36" width="15.6640625" style="4" customWidth="1" collapsed="1"/>
    <col min="37" max="38" width="8.6640625" style="78" customWidth="1"/>
    <col min="39" max="39" width="27" style="1" customWidth="1"/>
    <col min="40" max="40" width="10" style="1" bestFit="1" customWidth="1"/>
    <col min="41" max="16384" width="8.88671875" style="1"/>
  </cols>
  <sheetData>
    <row r="2" spans="2:38" x14ac:dyDescent="0.3">
      <c r="C2" s="17" t="s">
        <v>64</v>
      </c>
    </row>
    <row r="4" spans="2:38" ht="24.9" customHeight="1" x14ac:dyDescent="0.3">
      <c r="D4" s="20" t="s">
        <v>3</v>
      </c>
      <c r="E4" s="84" t="s">
        <v>47</v>
      </c>
      <c r="F4" s="20" t="s">
        <v>4</v>
      </c>
      <c r="G4" s="84" t="s">
        <v>47</v>
      </c>
      <c r="H4" s="84" t="s">
        <v>48</v>
      </c>
      <c r="I4" s="20" t="s">
        <v>5</v>
      </c>
      <c r="J4" s="84" t="s">
        <v>47</v>
      </c>
      <c r="K4" s="84" t="s">
        <v>48</v>
      </c>
      <c r="L4" s="20" t="s">
        <v>6</v>
      </c>
      <c r="M4" s="84" t="s">
        <v>47</v>
      </c>
      <c r="N4" s="84" t="s">
        <v>48</v>
      </c>
      <c r="O4" s="20" t="s">
        <v>7</v>
      </c>
      <c r="P4" s="84" t="s">
        <v>47</v>
      </c>
      <c r="Q4" s="84" t="s">
        <v>48</v>
      </c>
      <c r="R4" s="20" t="s">
        <v>8</v>
      </c>
      <c r="S4" s="84" t="s">
        <v>47</v>
      </c>
      <c r="T4" s="84" t="s">
        <v>48</v>
      </c>
      <c r="U4" s="20" t="s">
        <v>9</v>
      </c>
      <c r="V4" s="84" t="s">
        <v>47</v>
      </c>
      <c r="W4" s="84" t="s">
        <v>48</v>
      </c>
      <c r="X4" s="20" t="s">
        <v>10</v>
      </c>
      <c r="Y4" s="84" t="s">
        <v>47</v>
      </c>
      <c r="Z4" s="84" t="s">
        <v>48</v>
      </c>
      <c r="AA4" s="20" t="s">
        <v>11</v>
      </c>
      <c r="AB4" s="84" t="s">
        <v>47</v>
      </c>
      <c r="AC4" s="84" t="s">
        <v>48</v>
      </c>
      <c r="AD4" s="20" t="s">
        <v>12</v>
      </c>
      <c r="AE4" s="84" t="s">
        <v>47</v>
      </c>
      <c r="AF4" s="84" t="s">
        <v>48</v>
      </c>
      <c r="AG4" s="20" t="s">
        <v>13</v>
      </c>
      <c r="AH4" s="84" t="s">
        <v>47</v>
      </c>
      <c r="AI4" s="84" t="s">
        <v>48</v>
      </c>
      <c r="AJ4" s="20" t="s">
        <v>14</v>
      </c>
      <c r="AK4" s="84" t="s">
        <v>47</v>
      </c>
      <c r="AL4" s="84" t="s">
        <v>48</v>
      </c>
    </row>
    <row r="5" spans="2:38" ht="10.8" customHeight="1" x14ac:dyDescent="0.3">
      <c r="C5" s="17"/>
      <c r="D5" s="7"/>
      <c r="E5" s="79"/>
      <c r="F5" s="7"/>
      <c r="G5" s="79"/>
      <c r="H5" s="79"/>
      <c r="I5" s="7"/>
      <c r="J5" s="79"/>
      <c r="K5" s="79"/>
      <c r="L5" s="7"/>
      <c r="M5" s="79"/>
      <c r="N5" s="79"/>
      <c r="O5" s="7"/>
      <c r="P5" s="79"/>
      <c r="Q5" s="79"/>
      <c r="R5" s="7"/>
      <c r="S5" s="79"/>
      <c r="T5" s="79"/>
      <c r="U5" s="7"/>
      <c r="V5" s="79"/>
      <c r="W5" s="79"/>
      <c r="X5" s="7"/>
      <c r="Y5" s="79"/>
      <c r="Z5" s="79"/>
      <c r="AA5" s="7"/>
      <c r="AB5" s="79"/>
      <c r="AC5" s="79"/>
      <c r="AD5" s="7"/>
      <c r="AE5" s="79"/>
      <c r="AF5" s="79"/>
      <c r="AG5" s="7"/>
      <c r="AH5" s="79"/>
      <c r="AI5" s="79"/>
      <c r="AJ5" s="7"/>
      <c r="AK5" s="79"/>
      <c r="AL5" s="79"/>
    </row>
    <row r="6" spans="2:38" ht="15" customHeight="1" x14ac:dyDescent="0.3">
      <c r="B6" s="3" t="s">
        <v>101</v>
      </c>
      <c r="C6" s="1" t="s">
        <v>145</v>
      </c>
      <c r="D6" s="4">
        <f ca="1">SUBTOTAL(9,D$7:D$26)</f>
        <v>949895.11</v>
      </c>
      <c r="E6" s="78">
        <f ca="1">IFERROR($D6/$D$6,0)</f>
        <v>1</v>
      </c>
      <c r="F6" s="4">
        <f ca="1">SUBTOTAL(9,F$7:F$26)</f>
        <v>975336.03</v>
      </c>
      <c r="G6" s="78">
        <f ca="1">IFERROR($F6/$F$6,0)</f>
        <v>1</v>
      </c>
      <c r="H6" s="78">
        <f ca="1">IFERROR(($F6-$D6)/ABS($D6),0)</f>
        <v>2.6800000000000001E-2</v>
      </c>
      <c r="I6" s="4">
        <f ca="1">SUBTOTAL(9,I$7:I$26)</f>
        <v>1050829.07</v>
      </c>
      <c r="J6" s="78">
        <f ca="1">IFERROR($I6/$I$6,0)</f>
        <v>1</v>
      </c>
      <c r="K6" s="78">
        <f ca="1">IFERROR(($I6-$F6)/ABS($F6),0)</f>
        <v>7.7399999999999997E-2</v>
      </c>
      <c r="L6" s="4">
        <f ca="1">SUBTOTAL(9,L$7:L$26)</f>
        <v>1106727.18</v>
      </c>
      <c r="M6" s="78">
        <f ca="1">IFERROR($L6/$L$6,0)</f>
        <v>1</v>
      </c>
      <c r="N6" s="78">
        <f ca="1">IFERROR(($L6-$I6)/ABS($I6),0)</f>
        <v>5.3199999999999997E-2</v>
      </c>
      <c r="O6" s="4">
        <f ca="1">SUBTOTAL(9,O$7:O$26)</f>
        <v>1212292.3600000001</v>
      </c>
      <c r="P6" s="78">
        <f ca="1">IFERROR($O6/$O$6,0)</f>
        <v>1</v>
      </c>
      <c r="Q6" s="78">
        <f ca="1">IFERROR(($O6-$L6)/ABS($L6),0)</f>
        <v>9.5399999999999999E-2</v>
      </c>
      <c r="R6" s="4">
        <f ca="1">SUBTOTAL(9,R$7:R$26)</f>
        <v>1008257.62</v>
      </c>
      <c r="S6" s="78">
        <f ca="1">IFERROR($R6/$R$6,0)</f>
        <v>1</v>
      </c>
      <c r="T6" s="78">
        <f ca="1">IFERROR(($R6-$O6)/ABS($O6),0)</f>
        <v>-0.16830000000000001</v>
      </c>
      <c r="U6" s="4">
        <f ca="1">SUBTOTAL(9,U$7:U$26)</f>
        <v>1075033.8999999999</v>
      </c>
      <c r="V6" s="78">
        <f ca="1">IFERROR($U6/$U$6,0)</f>
        <v>1</v>
      </c>
      <c r="W6" s="78">
        <f ca="1">IFERROR(($U6-$R6)/ABS($R6),0)</f>
        <v>6.6199999999999995E-2</v>
      </c>
      <c r="X6" s="4">
        <f ca="1">SUBTOTAL(9,X$7:X$26)</f>
        <v>1041896.74</v>
      </c>
      <c r="Y6" s="78">
        <f ca="1">IFERROR($X6/$X$6,0)</f>
        <v>1</v>
      </c>
      <c r="Z6" s="78">
        <f ca="1">IFERROR(($X6-$U6)/ABS($U6),0)</f>
        <v>-3.0800000000000001E-2</v>
      </c>
      <c r="AA6" s="4">
        <f ca="1">SUBTOTAL(9,AA$7:AA$26)</f>
        <v>974149.05</v>
      </c>
      <c r="AB6" s="78">
        <f ca="1">IFERROR($AA6/$AA$6,0)</f>
        <v>1</v>
      </c>
      <c r="AC6" s="78">
        <f ca="1">IFERROR(($AA6-$X6)/ABS($X6),0)</f>
        <v>-6.5000000000000002E-2</v>
      </c>
      <c r="AD6" s="4">
        <f ca="1">SUBTOTAL(9,AD$7:AD$26)</f>
        <v>1243446.46</v>
      </c>
      <c r="AE6" s="78">
        <f ca="1">IFERROR($AD6/$AD$6,0)</f>
        <v>1</v>
      </c>
      <c r="AF6" s="78">
        <f ca="1">IFERROR(($AD6-$AA6)/ABS($AA6),0)</f>
        <v>0.27639999999999998</v>
      </c>
      <c r="AG6" s="4">
        <f ca="1">SUBTOTAL(9,AG$7:AG$26)</f>
        <v>917773.37</v>
      </c>
      <c r="AH6" s="78">
        <f ca="1">IFERROR($AG6/$AG$6,0)</f>
        <v>1</v>
      </c>
      <c r="AI6" s="78">
        <f ca="1">IFERROR(($AG6-$AD6)/ABS($AD6),0)</f>
        <v>-0.26190000000000002</v>
      </c>
      <c r="AJ6" s="4">
        <f ca="1">SUBTOTAL(9,AJ$7:AJ$26)</f>
        <v>1483970.44</v>
      </c>
      <c r="AK6" s="78">
        <f ca="1">IFERROR($AJ6/$AJ$6,0)</f>
        <v>1</v>
      </c>
      <c r="AL6" s="78">
        <f ca="1">IFERROR(($AJ6-$AG6)/ABS($AG6),0)</f>
        <v>0.6169</v>
      </c>
    </row>
    <row r="7" spans="2:38" ht="15" customHeight="1" outlineLevel="1" x14ac:dyDescent="0.3">
      <c r="B7" s="14" t="s">
        <v>194</v>
      </c>
      <c r="C7" s="15" t="s">
        <v>367</v>
      </c>
      <c r="D7" s="4">
        <f ca="1">-SUMIFS(INDIRECT("Tab_000.Trial["&amp;D$4&amp;"]"),Tab_000.Trial[CONTA],$B7)</f>
        <v>122569.24</v>
      </c>
      <c r="E7" s="78">
        <f ca="1">IFERROR($D7/$D$6,0)</f>
        <v>0.129</v>
      </c>
      <c r="F7" s="4">
        <f ca="1">-SUMIFS(INDIRECT("Tab_000.Trial["&amp;F$4&amp;"]"),Tab_000.Trial[CONTA],$B7)</f>
        <v>105237.96</v>
      </c>
      <c r="G7" s="78">
        <f t="shared" ref="G7:G23" ca="1" si="0">IFERROR($F7/$F$6,0)</f>
        <v>0.1079</v>
      </c>
      <c r="H7" s="78">
        <f ca="1">IFERROR(($F7-$D7)/ABS($D7),0)</f>
        <v>-0.1414</v>
      </c>
      <c r="I7" s="4">
        <f ca="1">-SUMIFS(INDIRECT("Tab_000.Trial["&amp;I$4&amp;"]"),Tab_000.Trial[CONTA],$B7)</f>
        <v>154690.84</v>
      </c>
      <c r="J7" s="78">
        <f t="shared" ref="J7:J23" ca="1" si="1">IFERROR($I7/$I$6,0)</f>
        <v>0.1472</v>
      </c>
      <c r="K7" s="78">
        <f t="shared" ref="K7:K23" ca="1" si="2">IFERROR(($I7-$F7)/ABS($F7),0)</f>
        <v>0.46989999999999998</v>
      </c>
      <c r="L7" s="4">
        <f ca="1">-SUMIFS(INDIRECT("Tab_000.Trial["&amp;L$4&amp;"]"),Tab_000.Trial[CONTA],$B7)</f>
        <v>132289.44</v>
      </c>
      <c r="M7" s="78">
        <f t="shared" ref="M7:M23" ca="1" si="3">IFERROR($L7/$L$6,0)</f>
        <v>0.1195</v>
      </c>
      <c r="N7" s="78">
        <f t="shared" ref="N7:N23" ca="1" si="4">IFERROR(($L7-$I7)/ABS($I7),0)</f>
        <v>-0.14480000000000001</v>
      </c>
      <c r="O7" s="4">
        <f ca="1">-SUMIFS(INDIRECT("Tab_000.Trial["&amp;O$4&amp;"]"),Tab_000.Trial[CONTA],$B7)</f>
        <v>137859.68</v>
      </c>
      <c r="P7" s="78">
        <f t="shared" ref="P7:P23" ca="1" si="5">IFERROR($O7/$O$6,0)</f>
        <v>0.1137</v>
      </c>
      <c r="Q7" s="78">
        <f t="shared" ref="Q7:Q23" ca="1" si="6">IFERROR(($O7-$L7)/ABS($L7),0)</f>
        <v>4.2099999999999999E-2</v>
      </c>
      <c r="R7" s="4">
        <f ca="1">-SUMIFS(INDIRECT("Tab_000.Trial["&amp;R$4&amp;"]"),Tab_000.Trial[CONTA],$B7)</f>
        <v>129579.24</v>
      </c>
      <c r="S7" s="78">
        <f t="shared" ref="S7:S23" ca="1" si="7">IFERROR($R7/$R$6,0)</f>
        <v>0.1285</v>
      </c>
      <c r="T7" s="78">
        <f t="shared" ref="T7:T23" ca="1" si="8">IFERROR(($R7-$O7)/ABS($O7),0)</f>
        <v>-6.0100000000000001E-2</v>
      </c>
      <c r="U7" s="4">
        <f ca="1">-SUMIFS(INDIRECT("Tab_000.Trial["&amp;U$4&amp;"]"),Tab_000.Trial[CONTA],$B7)</f>
        <v>133881.88</v>
      </c>
      <c r="V7" s="78">
        <f t="shared" ref="V7:V23" ca="1" si="9">IFERROR($U7/$U$6,0)</f>
        <v>0.1245</v>
      </c>
      <c r="W7" s="78">
        <f t="shared" ref="W7:W23" ca="1" si="10">IFERROR(($U7-$R7)/ABS($R7),0)</f>
        <v>3.32E-2</v>
      </c>
      <c r="X7" s="4">
        <f ca="1">-SUMIFS(INDIRECT("Tab_000.Trial["&amp;X$4&amp;"]"),Tab_000.Trial[CONTA],$B7)</f>
        <v>140098.56</v>
      </c>
      <c r="Y7" s="78">
        <f ca="1">IFERROR($X7/$X$6,0)</f>
        <v>0.13450000000000001</v>
      </c>
      <c r="Z7" s="78">
        <f ca="1">IFERROR(($X7-$U7)/ABS($U7),0)</f>
        <v>4.6399999999999997E-2</v>
      </c>
      <c r="AA7" s="4">
        <f ca="1">-SUMIFS(INDIRECT("Tab_000.Trial["&amp;AA$4&amp;"]"),Tab_000.Trial[CONTA],$B7)</f>
        <v>128578.44</v>
      </c>
      <c r="AB7" s="78">
        <f t="shared" ref="AB7:AB23" ca="1" si="11">IFERROR($AA7/$AA$6,0)</f>
        <v>0.13200000000000001</v>
      </c>
      <c r="AC7" s="78">
        <f t="shared" ref="AC7:AC23" ca="1" si="12">IFERROR(($AA7-$X7)/ABS($X7),0)</f>
        <v>-8.2199999999999995E-2</v>
      </c>
      <c r="AD7" s="4">
        <f ca="1">-SUMIFS(INDIRECT("Tab_000.Trial["&amp;AD$4&amp;"]"),Tab_000.Trial[CONTA],$B7)</f>
        <v>148911.84</v>
      </c>
      <c r="AE7" s="78">
        <f t="shared" ref="AE7:AE23" ca="1" si="13">IFERROR($AD7/$AD$6,0)</f>
        <v>0.1198</v>
      </c>
      <c r="AF7" s="78">
        <f t="shared" ref="AF7:AF23" ca="1" si="14">IFERROR(($AD7-$AA7)/ABS($AA7),0)</f>
        <v>0.15809999999999999</v>
      </c>
      <c r="AG7" s="4">
        <f ca="1">-SUMIFS(INDIRECT("Tab_000.Trial["&amp;AG$4&amp;"]"),Tab_000.Trial[CONTA],$B7)</f>
        <v>109417.12</v>
      </c>
      <c r="AH7" s="78">
        <f t="shared" ref="AH7:AH23" ca="1" si="15">IFERROR($AG7/$AG$6,0)</f>
        <v>0.1192</v>
      </c>
      <c r="AI7" s="78">
        <f t="shared" ref="AI7:AI23" ca="1" si="16">IFERROR(($AG7-$AD7)/ABS($AD7),0)</f>
        <v>-0.26519999999999999</v>
      </c>
      <c r="AJ7" s="4">
        <f ca="1">-SUMIFS(INDIRECT("Tab_000.Trial["&amp;AJ$4&amp;"]"),Tab_000.Trial[CONTA],$B7)</f>
        <v>112795.04</v>
      </c>
      <c r="AK7" s="78">
        <f t="shared" ref="AK7:AK23" ca="1" si="17">IFERROR($AJ7/$AJ$6,0)</f>
        <v>7.5999999999999998E-2</v>
      </c>
      <c r="AL7" s="78">
        <f t="shared" ref="AL7:AL23" ca="1" si="18">IFERROR(($AJ7-$AG7)/ABS($AG7),0)</f>
        <v>3.09E-2</v>
      </c>
    </row>
    <row r="8" spans="2:38" ht="15" customHeight="1" outlineLevel="1" x14ac:dyDescent="0.3">
      <c r="B8" s="14" t="s">
        <v>737</v>
      </c>
      <c r="C8" s="15" t="s">
        <v>422</v>
      </c>
      <c r="D8" s="4">
        <f ca="1">-SUMIFS(INDIRECT("Tab_000.Trial["&amp;D$4&amp;"]"),Tab_000.Trial[CONTA],$B8)</f>
        <v>187419.37</v>
      </c>
      <c r="E8" s="78">
        <f t="shared" ref="E8:E23" ca="1" si="19">IFERROR($D8/$D$6,0)</f>
        <v>0.1973</v>
      </c>
      <c r="F8" s="4">
        <f ca="1">-SUMIFS(INDIRECT("Tab_000.Trial["&amp;F$4&amp;"]"),Tab_000.Trial[CONTA],$B8)</f>
        <v>247534.56</v>
      </c>
      <c r="G8" s="78">
        <f t="shared" ca="1" si="0"/>
        <v>0.25380000000000003</v>
      </c>
      <c r="H8" s="78">
        <f t="shared" ref="H8:H23" ca="1" si="20">IFERROR(($F8-$D8)/ABS($D8),0)</f>
        <v>0.32079999999999997</v>
      </c>
      <c r="I8" s="4">
        <f ca="1">-SUMIFS(INDIRECT("Tab_000.Trial["&amp;I$4&amp;"]"),Tab_000.Trial[CONTA],$B8)</f>
        <v>247414.93</v>
      </c>
      <c r="J8" s="78">
        <f t="shared" ca="1" si="1"/>
        <v>0.2354</v>
      </c>
      <c r="K8" s="78">
        <f t="shared" ca="1" si="2"/>
        <v>-5.0000000000000001E-4</v>
      </c>
      <c r="L8" s="4">
        <f ca="1">-SUMIFS(INDIRECT("Tab_000.Trial["&amp;L$4&amp;"]"),Tab_000.Trial[CONTA],$B8)</f>
        <v>180215.42</v>
      </c>
      <c r="M8" s="78">
        <f t="shared" ca="1" si="3"/>
        <v>0.1628</v>
      </c>
      <c r="N8" s="78">
        <f t="shared" ca="1" si="4"/>
        <v>-0.27160000000000001</v>
      </c>
      <c r="O8" s="4">
        <f ca="1">-SUMIFS(INDIRECT("Tab_000.Trial["&amp;O$4&amp;"]"),Tab_000.Trial[CONTA],$B8)</f>
        <v>332680.82</v>
      </c>
      <c r="P8" s="78">
        <f t="shared" ca="1" si="5"/>
        <v>0.27439999999999998</v>
      </c>
      <c r="Q8" s="78">
        <f t="shared" ca="1" si="6"/>
        <v>0.84599999999999997</v>
      </c>
      <c r="R8" s="4">
        <f ca="1">-SUMIFS(INDIRECT("Tab_000.Trial["&amp;R$4&amp;"]"),Tab_000.Trial[CONTA],$B8)</f>
        <v>184021.85</v>
      </c>
      <c r="S8" s="78">
        <f t="shared" ca="1" si="7"/>
        <v>0.1825</v>
      </c>
      <c r="T8" s="78">
        <f t="shared" ca="1" si="8"/>
        <v>-0.44690000000000002</v>
      </c>
      <c r="U8" s="4">
        <f ca="1">-SUMIFS(INDIRECT("Tab_000.Trial["&amp;U$4&amp;"]"),Tab_000.Trial[CONTA],$B8)</f>
        <v>323149.34999999998</v>
      </c>
      <c r="V8" s="78">
        <f t="shared" ca="1" si="9"/>
        <v>0.30059999999999998</v>
      </c>
      <c r="W8" s="78">
        <f t="shared" ca="1" si="10"/>
        <v>0.75600000000000001</v>
      </c>
      <c r="X8" s="4">
        <f ca="1">-SUMIFS(INDIRECT("Tab_000.Trial["&amp;X$4&amp;"]"),Tab_000.Trial[CONTA],$B8)</f>
        <v>224690.95</v>
      </c>
      <c r="Y8" s="78">
        <f t="shared" ref="Y8:Y23" ca="1" si="21">IFERROR($X8/$X$6,0)</f>
        <v>0.2157</v>
      </c>
      <c r="Z8" s="78">
        <f t="shared" ref="Z8:Z23" ca="1" si="22">IFERROR(($X8-$U8)/ABS($U8),0)</f>
        <v>-0.30470000000000003</v>
      </c>
      <c r="AA8" s="4">
        <f ca="1">-SUMIFS(INDIRECT("Tab_000.Trial["&amp;AA$4&amp;"]"),Tab_000.Trial[CONTA],$B8)</f>
        <v>198337.07</v>
      </c>
      <c r="AB8" s="78">
        <f t="shared" ca="1" si="11"/>
        <v>0.2036</v>
      </c>
      <c r="AC8" s="78">
        <f t="shared" ca="1" si="12"/>
        <v>-0.1173</v>
      </c>
      <c r="AD8" s="4">
        <f ca="1">-SUMIFS(INDIRECT("Tab_000.Trial["&amp;AD$4&amp;"]"),Tab_000.Trial[CONTA],$B8)</f>
        <v>429781.84</v>
      </c>
      <c r="AE8" s="78">
        <f t="shared" ca="1" si="13"/>
        <v>0.34560000000000002</v>
      </c>
      <c r="AF8" s="78">
        <f t="shared" ca="1" si="14"/>
        <v>1.1669</v>
      </c>
      <c r="AG8" s="4">
        <f ca="1">-SUMIFS(INDIRECT("Tab_000.Trial["&amp;AG$4&amp;"]"),Tab_000.Trial[CONTA],$B8)</f>
        <v>188073.31</v>
      </c>
      <c r="AH8" s="78">
        <f t="shared" ca="1" si="15"/>
        <v>0.2049</v>
      </c>
      <c r="AI8" s="78">
        <f t="shared" ca="1" si="16"/>
        <v>-0.56240000000000001</v>
      </c>
      <c r="AJ8" s="4">
        <f ca="1">-SUMIFS(INDIRECT("Tab_000.Trial["&amp;AJ$4&amp;"]"),Tab_000.Trial[CONTA],$B8)</f>
        <v>442629.02</v>
      </c>
      <c r="AK8" s="78">
        <f t="shared" ca="1" si="17"/>
        <v>0.29830000000000001</v>
      </c>
      <c r="AL8" s="78">
        <f t="shared" ca="1" si="18"/>
        <v>1.3534999999999999</v>
      </c>
    </row>
    <row r="9" spans="2:38" ht="15" customHeight="1" outlineLevel="1" x14ac:dyDescent="0.3">
      <c r="B9" s="14" t="s">
        <v>368</v>
      </c>
      <c r="C9" s="15" t="s">
        <v>369</v>
      </c>
      <c r="D9" s="4">
        <f ca="1">-SUMIFS(INDIRECT("Tab_000.Trial["&amp;D$4&amp;"]"),Tab_000.Trial[CONTA],$B9)</f>
        <v>52200</v>
      </c>
      <c r="E9" s="78">
        <f t="shared" ca="1" si="19"/>
        <v>5.5E-2</v>
      </c>
      <c r="F9" s="4">
        <f ca="1">-SUMIFS(INDIRECT("Tab_000.Trial["&amp;F$4&amp;"]"),Tab_000.Trial[CONTA],$B9)</f>
        <v>32400.240000000002</v>
      </c>
      <c r="G9" s="78">
        <f t="shared" ca="1" si="0"/>
        <v>3.32E-2</v>
      </c>
      <c r="H9" s="78">
        <f t="shared" ca="1" si="20"/>
        <v>-0.37930000000000003</v>
      </c>
      <c r="I9" s="4">
        <f ca="1">-SUMIFS(INDIRECT("Tab_000.Trial["&amp;I$4&amp;"]"),Tab_000.Trial[CONTA],$B9)</f>
        <v>31162.82</v>
      </c>
      <c r="J9" s="78">
        <f t="shared" ca="1" si="1"/>
        <v>2.9700000000000001E-2</v>
      </c>
      <c r="K9" s="78">
        <f t="shared" ca="1" si="2"/>
        <v>-3.8199999999999998E-2</v>
      </c>
      <c r="L9" s="4">
        <f ca="1">-SUMIFS(INDIRECT("Tab_000.Trial["&amp;L$4&amp;"]"),Tab_000.Trial[CONTA],$B9)</f>
        <v>126167.7</v>
      </c>
      <c r="M9" s="78">
        <f t="shared" ca="1" si="3"/>
        <v>0.114</v>
      </c>
      <c r="N9" s="78">
        <f t="shared" ca="1" si="4"/>
        <v>3.0487000000000002</v>
      </c>
      <c r="O9" s="4">
        <f ca="1">-SUMIFS(INDIRECT("Tab_000.Trial["&amp;O$4&amp;"]"),Tab_000.Trial[CONTA],$B9)</f>
        <v>159244</v>
      </c>
      <c r="P9" s="78">
        <f t="shared" ca="1" si="5"/>
        <v>0.13139999999999999</v>
      </c>
      <c r="Q9" s="78">
        <f t="shared" ca="1" si="6"/>
        <v>0.26219999999999999</v>
      </c>
      <c r="R9" s="4">
        <f ca="1">-SUMIFS(INDIRECT("Tab_000.Trial["&amp;R$4&amp;"]"),Tab_000.Trial[CONTA],$B9)</f>
        <v>51971.14</v>
      </c>
      <c r="S9" s="78">
        <f t="shared" ca="1" si="7"/>
        <v>5.1499999999999997E-2</v>
      </c>
      <c r="T9" s="78">
        <f t="shared" ca="1" si="8"/>
        <v>-0.67359999999999998</v>
      </c>
      <c r="U9" s="4">
        <f ca="1">-SUMIFS(INDIRECT("Tab_000.Trial["&amp;U$4&amp;"]"),Tab_000.Trial[CONTA],$B9)</f>
        <v>35652.550000000003</v>
      </c>
      <c r="V9" s="78">
        <f t="shared" ca="1" si="9"/>
        <v>3.32E-2</v>
      </c>
      <c r="W9" s="78">
        <f t="shared" ca="1" si="10"/>
        <v>-0.314</v>
      </c>
      <c r="X9" s="4">
        <f ca="1">-SUMIFS(INDIRECT("Tab_000.Trial["&amp;X$4&amp;"]"),Tab_000.Trial[CONTA],$B9)</f>
        <v>3900</v>
      </c>
      <c r="Y9" s="78">
        <f t="shared" ca="1" si="21"/>
        <v>3.7000000000000002E-3</v>
      </c>
      <c r="Z9" s="78">
        <f t="shared" ca="1" si="22"/>
        <v>-0.89059999999999995</v>
      </c>
      <c r="AA9" s="4">
        <f ca="1">-SUMIFS(INDIRECT("Tab_000.Trial["&amp;AA$4&amp;"]"),Tab_000.Trial[CONTA],$B9)</f>
        <v>3800</v>
      </c>
      <c r="AB9" s="78">
        <f t="shared" ca="1" si="11"/>
        <v>3.8999999999999998E-3</v>
      </c>
      <c r="AC9" s="78">
        <f t="shared" ca="1" si="12"/>
        <v>-2.5600000000000001E-2</v>
      </c>
      <c r="AD9" s="4">
        <f ca="1">-SUMIFS(INDIRECT("Tab_000.Trial["&amp;AD$4&amp;"]"),Tab_000.Trial[CONTA],$B9)</f>
        <v>4000</v>
      </c>
      <c r="AE9" s="78">
        <f t="shared" ca="1" si="13"/>
        <v>3.2000000000000002E-3</v>
      </c>
      <c r="AF9" s="78">
        <f t="shared" ca="1" si="14"/>
        <v>5.2600000000000001E-2</v>
      </c>
      <c r="AG9" s="4">
        <f ca="1">-SUMIFS(INDIRECT("Tab_000.Trial["&amp;AG$4&amp;"]"),Tab_000.Trial[CONTA],$B9)</f>
        <v>3900</v>
      </c>
      <c r="AH9" s="78">
        <f t="shared" ca="1" si="15"/>
        <v>4.1999999999999997E-3</v>
      </c>
      <c r="AI9" s="78">
        <f t="shared" ca="1" si="16"/>
        <v>-2.5000000000000001E-2</v>
      </c>
      <c r="AJ9" s="4">
        <f ca="1">-SUMIFS(INDIRECT("Tab_000.Trial["&amp;AJ$4&amp;"]"),Tab_000.Trial[CONTA],$B9)</f>
        <v>3900</v>
      </c>
      <c r="AK9" s="78">
        <f t="shared" ca="1" si="17"/>
        <v>2.5999999999999999E-3</v>
      </c>
      <c r="AL9" s="78">
        <f t="shared" ca="1" si="18"/>
        <v>0</v>
      </c>
    </row>
    <row r="10" spans="2:38" ht="15" customHeight="1" outlineLevel="1" x14ac:dyDescent="0.3">
      <c r="B10" s="14" t="s">
        <v>370</v>
      </c>
      <c r="C10" s="15" t="s">
        <v>371</v>
      </c>
      <c r="D10" s="4">
        <f ca="1">-SUMIFS(INDIRECT("Tab_000.Trial["&amp;D$4&amp;"]"),Tab_000.Trial[CONTA],$B10)</f>
        <v>66574.53</v>
      </c>
      <c r="E10" s="78">
        <f t="shared" ca="1" si="19"/>
        <v>7.0099999999999996E-2</v>
      </c>
      <c r="F10" s="4">
        <f ca="1">-SUMIFS(INDIRECT("Tab_000.Trial["&amp;F$4&amp;"]"),Tab_000.Trial[CONTA],$B10)</f>
        <v>54961.84</v>
      </c>
      <c r="G10" s="78">
        <f t="shared" ca="1" si="0"/>
        <v>5.6399999999999999E-2</v>
      </c>
      <c r="H10" s="78">
        <f t="shared" ca="1" si="20"/>
        <v>-0.1744</v>
      </c>
      <c r="I10" s="4">
        <f ca="1">-SUMIFS(INDIRECT("Tab_000.Trial["&amp;I$4&amp;"]"),Tab_000.Trial[CONTA],$B10)</f>
        <v>77885.41</v>
      </c>
      <c r="J10" s="78">
        <f t="shared" ca="1" si="1"/>
        <v>7.4099999999999999E-2</v>
      </c>
      <c r="K10" s="78">
        <f t="shared" ca="1" si="2"/>
        <v>0.41710000000000003</v>
      </c>
      <c r="L10" s="4">
        <f ca="1">-SUMIFS(INDIRECT("Tab_000.Trial["&amp;L$4&amp;"]"),Tab_000.Trial[CONTA],$B10)</f>
        <v>36809.230000000003</v>
      </c>
      <c r="M10" s="78">
        <f t="shared" ca="1" si="3"/>
        <v>3.3300000000000003E-2</v>
      </c>
      <c r="N10" s="78">
        <f t="shared" ca="1" si="4"/>
        <v>-0.52739999999999998</v>
      </c>
      <c r="O10" s="4">
        <f ca="1">-SUMIFS(INDIRECT("Tab_000.Trial["&amp;O$4&amp;"]"),Tab_000.Trial[CONTA],$B10)</f>
        <v>34850.67</v>
      </c>
      <c r="P10" s="78">
        <f t="shared" ca="1" si="5"/>
        <v>2.87E-2</v>
      </c>
      <c r="Q10" s="78">
        <f t="shared" ca="1" si="6"/>
        <v>-5.3199999999999997E-2</v>
      </c>
      <c r="R10" s="4">
        <f ca="1">-SUMIFS(INDIRECT("Tab_000.Trial["&amp;R$4&amp;"]"),Tab_000.Trial[CONTA],$B10)</f>
        <v>100331.36</v>
      </c>
      <c r="S10" s="78">
        <f t="shared" ca="1" si="7"/>
        <v>9.9500000000000005E-2</v>
      </c>
      <c r="T10" s="78">
        <f t="shared" ca="1" si="8"/>
        <v>1.8789</v>
      </c>
      <c r="U10" s="4">
        <f ca="1">-SUMIFS(INDIRECT("Tab_000.Trial["&amp;U$4&amp;"]"),Tab_000.Trial[CONTA],$B10)</f>
        <v>35465.660000000003</v>
      </c>
      <c r="V10" s="78">
        <f t="shared" ca="1" si="9"/>
        <v>3.3000000000000002E-2</v>
      </c>
      <c r="W10" s="78">
        <f t="shared" ca="1" si="10"/>
        <v>-0.64649999999999996</v>
      </c>
      <c r="X10" s="4">
        <f ca="1">-SUMIFS(INDIRECT("Tab_000.Trial["&amp;X$4&amp;"]"),Tab_000.Trial[CONTA],$B10)</f>
        <v>131778.32999999999</v>
      </c>
      <c r="Y10" s="78">
        <f t="shared" ca="1" si="21"/>
        <v>0.1265</v>
      </c>
      <c r="Z10" s="78">
        <f t="shared" ca="1" si="22"/>
        <v>2.7157</v>
      </c>
      <c r="AA10" s="4">
        <f ca="1">-SUMIFS(INDIRECT("Tab_000.Trial["&amp;AA$4&amp;"]"),Tab_000.Trial[CONTA],$B10)</f>
        <v>95773.87</v>
      </c>
      <c r="AB10" s="78">
        <f t="shared" ca="1" si="11"/>
        <v>9.8299999999999998E-2</v>
      </c>
      <c r="AC10" s="78">
        <f t="shared" ca="1" si="12"/>
        <v>-0.2732</v>
      </c>
      <c r="AD10" s="4">
        <f ca="1">-SUMIFS(INDIRECT("Tab_000.Trial["&amp;AD$4&amp;"]"),Tab_000.Trial[CONTA],$B10)</f>
        <v>91462.93</v>
      </c>
      <c r="AE10" s="78">
        <f t="shared" ca="1" si="13"/>
        <v>7.3599999999999999E-2</v>
      </c>
      <c r="AF10" s="78">
        <f t="shared" ca="1" si="14"/>
        <v>-4.4999999999999998E-2</v>
      </c>
      <c r="AG10" s="4">
        <f ca="1">-SUMIFS(INDIRECT("Tab_000.Trial["&amp;AG$4&amp;"]"),Tab_000.Trial[CONTA],$B10)</f>
        <v>72404.36</v>
      </c>
      <c r="AH10" s="78">
        <f t="shared" ca="1" si="15"/>
        <v>7.8899999999999998E-2</v>
      </c>
      <c r="AI10" s="78">
        <f t="shared" ca="1" si="16"/>
        <v>-0.2084</v>
      </c>
      <c r="AJ10" s="4">
        <f ca="1">-SUMIFS(INDIRECT("Tab_000.Trial["&amp;AJ$4&amp;"]"),Tab_000.Trial[CONTA],$B10)</f>
        <v>389841.15</v>
      </c>
      <c r="AK10" s="78">
        <f t="shared" ca="1" si="17"/>
        <v>0.26269999999999999</v>
      </c>
      <c r="AL10" s="78">
        <f t="shared" ca="1" si="18"/>
        <v>4.3841999999999999</v>
      </c>
    </row>
    <row r="11" spans="2:38" ht="15" customHeight="1" outlineLevel="1" x14ac:dyDescent="0.3">
      <c r="B11" s="14" t="s">
        <v>372</v>
      </c>
      <c r="C11" s="15" t="s">
        <v>373</v>
      </c>
      <c r="D11" s="4">
        <f ca="1">-SUMIFS(INDIRECT("Tab_000.Trial["&amp;D$4&amp;"]"),Tab_000.Trial[CONTA],$B11)</f>
        <v>0</v>
      </c>
      <c r="E11" s="78">
        <f t="shared" ca="1" si="19"/>
        <v>0</v>
      </c>
      <c r="F11" s="4">
        <f ca="1">-SUMIFS(INDIRECT("Tab_000.Trial["&amp;F$4&amp;"]"),Tab_000.Trial[CONTA],$B11)</f>
        <v>5670.16</v>
      </c>
      <c r="G11" s="78">
        <f t="shared" ca="1" si="0"/>
        <v>5.7999999999999996E-3</v>
      </c>
      <c r="H11" s="78">
        <f t="shared" ca="1" si="20"/>
        <v>0</v>
      </c>
      <c r="I11" s="4">
        <f ca="1">-SUMIFS(INDIRECT("Tab_000.Trial["&amp;I$4&amp;"]"),Tab_000.Trial[CONTA],$B11)</f>
        <v>0</v>
      </c>
      <c r="J11" s="78">
        <f t="shared" ca="1" si="1"/>
        <v>0</v>
      </c>
      <c r="K11" s="78">
        <f t="shared" ca="1" si="2"/>
        <v>-1</v>
      </c>
      <c r="L11" s="4">
        <f ca="1">-SUMIFS(INDIRECT("Tab_000.Trial["&amp;L$4&amp;"]"),Tab_000.Trial[CONTA],$B11)</f>
        <v>0</v>
      </c>
      <c r="M11" s="78">
        <f t="shared" ca="1" si="3"/>
        <v>0</v>
      </c>
      <c r="N11" s="78">
        <f t="shared" ca="1" si="4"/>
        <v>0</v>
      </c>
      <c r="O11" s="4">
        <f ca="1">-SUMIFS(INDIRECT("Tab_000.Trial["&amp;O$4&amp;"]"),Tab_000.Trial[CONTA],$B11)</f>
        <v>0</v>
      </c>
      <c r="P11" s="78">
        <f t="shared" ca="1" si="5"/>
        <v>0</v>
      </c>
      <c r="Q11" s="78">
        <f t="shared" ca="1" si="6"/>
        <v>0</v>
      </c>
      <c r="R11" s="4">
        <f ca="1">-SUMIFS(INDIRECT("Tab_000.Trial["&amp;R$4&amp;"]"),Tab_000.Trial[CONTA],$B11)</f>
        <v>877.2</v>
      </c>
      <c r="S11" s="78">
        <f t="shared" ca="1" si="7"/>
        <v>8.9999999999999998E-4</v>
      </c>
      <c r="T11" s="78">
        <f t="shared" ca="1" si="8"/>
        <v>0</v>
      </c>
      <c r="U11" s="4">
        <f ca="1">-SUMIFS(INDIRECT("Tab_000.Trial["&amp;U$4&amp;"]"),Tab_000.Trial[CONTA],$B11)</f>
        <v>0</v>
      </c>
      <c r="V11" s="78">
        <f t="shared" ca="1" si="9"/>
        <v>0</v>
      </c>
      <c r="W11" s="78">
        <f t="shared" ca="1" si="10"/>
        <v>-1</v>
      </c>
      <c r="X11" s="4">
        <f ca="1">-SUMIFS(INDIRECT("Tab_000.Trial["&amp;X$4&amp;"]"),Tab_000.Trial[CONTA],$B11)</f>
        <v>0</v>
      </c>
      <c r="Y11" s="78">
        <f t="shared" ca="1" si="21"/>
        <v>0</v>
      </c>
      <c r="Z11" s="78">
        <f t="shared" ca="1" si="22"/>
        <v>0</v>
      </c>
      <c r="AA11" s="4">
        <f ca="1">-SUMIFS(INDIRECT("Tab_000.Trial["&amp;AA$4&amp;"]"),Tab_000.Trial[CONTA],$B11)</f>
        <v>0</v>
      </c>
      <c r="AB11" s="78">
        <f t="shared" ca="1" si="11"/>
        <v>0</v>
      </c>
      <c r="AC11" s="78">
        <f t="shared" ca="1" si="12"/>
        <v>0</v>
      </c>
      <c r="AD11" s="4">
        <f ca="1">-SUMIFS(INDIRECT("Tab_000.Trial["&amp;AD$4&amp;"]"),Tab_000.Trial[CONTA],$B11)</f>
        <v>0</v>
      </c>
      <c r="AE11" s="78">
        <f t="shared" ca="1" si="13"/>
        <v>0</v>
      </c>
      <c r="AF11" s="78">
        <f t="shared" ca="1" si="14"/>
        <v>0</v>
      </c>
      <c r="AG11" s="4">
        <f ca="1">-SUMIFS(INDIRECT("Tab_000.Trial["&amp;AG$4&amp;"]"),Tab_000.Trial[CONTA],$B11)</f>
        <v>0</v>
      </c>
      <c r="AH11" s="78">
        <f t="shared" ca="1" si="15"/>
        <v>0</v>
      </c>
      <c r="AI11" s="78">
        <f t="shared" ca="1" si="16"/>
        <v>0</v>
      </c>
      <c r="AJ11" s="4">
        <f ca="1">-SUMIFS(INDIRECT("Tab_000.Trial["&amp;AJ$4&amp;"]"),Tab_000.Trial[CONTA],$B11)</f>
        <v>0</v>
      </c>
      <c r="AK11" s="78">
        <f t="shared" ca="1" si="17"/>
        <v>0</v>
      </c>
      <c r="AL11" s="78">
        <f t="shared" ca="1" si="18"/>
        <v>0</v>
      </c>
    </row>
    <row r="12" spans="2:38" ht="15" customHeight="1" outlineLevel="1" x14ac:dyDescent="0.3">
      <c r="B12" s="14" t="s">
        <v>845</v>
      </c>
      <c r="C12" s="15" t="s">
        <v>846</v>
      </c>
      <c r="D12" s="4">
        <f ca="1">-SUMIFS(INDIRECT("Tab_000.Trial["&amp;D$4&amp;"]"),Tab_000.Trial[CONTA],$B12)</f>
        <v>0</v>
      </c>
      <c r="E12" s="78">
        <f t="shared" ca="1" si="19"/>
        <v>0</v>
      </c>
      <c r="F12" s="4">
        <f ca="1">-SUMIFS(INDIRECT("Tab_000.Trial["&amp;F$4&amp;"]"),Tab_000.Trial[CONTA],$B12)</f>
        <v>0</v>
      </c>
      <c r="G12" s="78">
        <f t="shared" ca="1" si="0"/>
        <v>0</v>
      </c>
      <c r="H12" s="78">
        <f t="shared" ca="1" si="20"/>
        <v>0</v>
      </c>
      <c r="I12" s="4">
        <f ca="1">-SUMIFS(INDIRECT("Tab_000.Trial["&amp;I$4&amp;"]"),Tab_000.Trial[CONTA],$B12)</f>
        <v>0</v>
      </c>
      <c r="J12" s="78">
        <f t="shared" ca="1" si="1"/>
        <v>0</v>
      </c>
      <c r="K12" s="78">
        <f t="shared" ca="1" si="2"/>
        <v>0</v>
      </c>
      <c r="L12" s="4">
        <f ca="1">-SUMIFS(INDIRECT("Tab_000.Trial["&amp;L$4&amp;"]"),Tab_000.Trial[CONTA],$B12)</f>
        <v>89524.57</v>
      </c>
      <c r="M12" s="78">
        <f t="shared" ca="1" si="3"/>
        <v>8.09E-2</v>
      </c>
      <c r="N12" s="78">
        <f t="shared" ca="1" si="4"/>
        <v>0</v>
      </c>
      <c r="O12" s="4">
        <f ca="1">-SUMIFS(INDIRECT("Tab_000.Trial["&amp;O$4&amp;"]"),Tab_000.Trial[CONTA],$B12)</f>
        <v>0</v>
      </c>
      <c r="P12" s="78">
        <f t="shared" ca="1" si="5"/>
        <v>0</v>
      </c>
      <c r="Q12" s="78">
        <f t="shared" ca="1" si="6"/>
        <v>-1</v>
      </c>
      <c r="R12" s="4">
        <f ca="1">-SUMIFS(INDIRECT("Tab_000.Trial["&amp;R$4&amp;"]"),Tab_000.Trial[CONTA],$B12)</f>
        <v>0</v>
      </c>
      <c r="S12" s="78">
        <f t="shared" ca="1" si="7"/>
        <v>0</v>
      </c>
      <c r="T12" s="78">
        <f t="shared" ca="1" si="8"/>
        <v>0</v>
      </c>
      <c r="U12" s="4">
        <f ca="1">-SUMIFS(INDIRECT("Tab_000.Trial["&amp;U$4&amp;"]"),Tab_000.Trial[CONTA],$B12)</f>
        <v>0</v>
      </c>
      <c r="V12" s="78">
        <f t="shared" ca="1" si="9"/>
        <v>0</v>
      </c>
      <c r="W12" s="78">
        <f t="shared" ca="1" si="10"/>
        <v>0</v>
      </c>
      <c r="X12" s="4">
        <f ca="1">-SUMIFS(INDIRECT("Tab_000.Trial["&amp;X$4&amp;"]"),Tab_000.Trial[CONTA],$B12)</f>
        <v>92.49</v>
      </c>
      <c r="Y12" s="78">
        <f t="shared" ca="1" si="21"/>
        <v>1E-4</v>
      </c>
      <c r="Z12" s="78">
        <f t="shared" ca="1" si="22"/>
        <v>0</v>
      </c>
      <c r="AA12" s="4">
        <f ca="1">-SUMIFS(INDIRECT("Tab_000.Trial["&amp;AA$4&amp;"]"),Tab_000.Trial[CONTA],$B12)</f>
        <v>0</v>
      </c>
      <c r="AB12" s="78">
        <f t="shared" ca="1" si="11"/>
        <v>0</v>
      </c>
      <c r="AC12" s="78">
        <f t="shared" ca="1" si="12"/>
        <v>-1</v>
      </c>
      <c r="AD12" s="4">
        <f ca="1">-SUMIFS(INDIRECT("Tab_000.Trial["&amp;AD$4&amp;"]"),Tab_000.Trial[CONTA],$B12)</f>
        <v>0</v>
      </c>
      <c r="AE12" s="78">
        <f t="shared" ca="1" si="13"/>
        <v>0</v>
      </c>
      <c r="AF12" s="78">
        <f t="shared" ca="1" si="14"/>
        <v>0</v>
      </c>
      <c r="AG12" s="4">
        <f ca="1">-SUMIFS(INDIRECT("Tab_000.Trial["&amp;AG$4&amp;"]"),Tab_000.Trial[CONTA],$B12)</f>
        <v>0</v>
      </c>
      <c r="AH12" s="78">
        <f t="shared" ca="1" si="15"/>
        <v>0</v>
      </c>
      <c r="AI12" s="78">
        <f t="shared" ca="1" si="16"/>
        <v>0</v>
      </c>
      <c r="AJ12" s="4">
        <f ca="1">-SUMIFS(INDIRECT("Tab_000.Trial["&amp;AJ$4&amp;"]"),Tab_000.Trial[CONTA],$B12)</f>
        <v>0</v>
      </c>
      <c r="AK12" s="78">
        <f t="shared" ca="1" si="17"/>
        <v>0</v>
      </c>
      <c r="AL12" s="78">
        <f t="shared" ca="1" si="18"/>
        <v>0</v>
      </c>
    </row>
    <row r="13" spans="2:38" ht="15" customHeight="1" outlineLevel="1" x14ac:dyDescent="0.3">
      <c r="B13" s="14" t="s">
        <v>374</v>
      </c>
      <c r="C13" s="15" t="s">
        <v>375</v>
      </c>
      <c r="D13" s="4">
        <f ca="1">-SUMIFS(INDIRECT("Tab_000.Trial["&amp;D$4&amp;"]"),Tab_000.Trial[CONTA],$B13)</f>
        <v>0</v>
      </c>
      <c r="E13" s="78">
        <f t="shared" ca="1" si="19"/>
        <v>0</v>
      </c>
      <c r="F13" s="4">
        <f ca="1">-SUMIFS(INDIRECT("Tab_000.Trial["&amp;F$4&amp;"]"),Tab_000.Trial[CONTA],$B13)</f>
        <v>0</v>
      </c>
      <c r="G13" s="78">
        <f t="shared" ca="1" si="0"/>
        <v>0</v>
      </c>
      <c r="H13" s="78">
        <f t="shared" ca="1" si="20"/>
        <v>0</v>
      </c>
      <c r="I13" s="4">
        <f ca="1">-SUMIFS(INDIRECT("Tab_000.Trial["&amp;I$4&amp;"]"),Tab_000.Trial[CONTA],$B13)</f>
        <v>0</v>
      </c>
      <c r="J13" s="78">
        <f t="shared" ca="1" si="1"/>
        <v>0</v>
      </c>
      <c r="K13" s="78">
        <f t="shared" ca="1" si="2"/>
        <v>0</v>
      </c>
      <c r="L13" s="4">
        <f ca="1">-SUMIFS(INDIRECT("Tab_000.Trial["&amp;L$4&amp;"]"),Tab_000.Trial[CONTA],$B13)</f>
        <v>0</v>
      </c>
      <c r="M13" s="78">
        <f t="shared" ca="1" si="3"/>
        <v>0</v>
      </c>
      <c r="N13" s="78">
        <f t="shared" ca="1" si="4"/>
        <v>0</v>
      </c>
      <c r="O13" s="4">
        <f ca="1">-SUMIFS(INDIRECT("Tab_000.Trial["&amp;O$4&amp;"]"),Tab_000.Trial[CONTA],$B13)</f>
        <v>0</v>
      </c>
      <c r="P13" s="78">
        <f t="shared" ca="1" si="5"/>
        <v>0</v>
      </c>
      <c r="Q13" s="78">
        <f t="shared" ca="1" si="6"/>
        <v>0</v>
      </c>
      <c r="R13" s="4">
        <f ca="1">-SUMIFS(INDIRECT("Tab_000.Trial["&amp;R$4&amp;"]"),Tab_000.Trial[CONTA],$B13)</f>
        <v>0</v>
      </c>
      <c r="S13" s="78">
        <f t="shared" ca="1" si="7"/>
        <v>0</v>
      </c>
      <c r="T13" s="78">
        <f t="shared" ca="1" si="8"/>
        <v>0</v>
      </c>
      <c r="U13" s="4">
        <f ca="1">-SUMIFS(INDIRECT("Tab_000.Trial["&amp;U$4&amp;"]"),Tab_000.Trial[CONTA],$B13)</f>
        <v>0</v>
      </c>
      <c r="V13" s="78">
        <f t="shared" ca="1" si="9"/>
        <v>0</v>
      </c>
      <c r="W13" s="78">
        <f t="shared" ca="1" si="10"/>
        <v>0</v>
      </c>
      <c r="X13" s="4">
        <f ca="1">-SUMIFS(INDIRECT("Tab_000.Trial["&amp;X$4&amp;"]"),Tab_000.Trial[CONTA],$B13)</f>
        <v>0</v>
      </c>
      <c r="Y13" s="78">
        <f t="shared" ca="1" si="21"/>
        <v>0</v>
      </c>
      <c r="Z13" s="78">
        <f t="shared" ca="1" si="22"/>
        <v>0</v>
      </c>
      <c r="AA13" s="4">
        <f ca="1">-SUMIFS(INDIRECT("Tab_000.Trial["&amp;AA$4&amp;"]"),Tab_000.Trial[CONTA],$B13)</f>
        <v>0</v>
      </c>
      <c r="AB13" s="78">
        <f t="shared" ca="1" si="11"/>
        <v>0</v>
      </c>
      <c r="AC13" s="78">
        <f t="shared" ca="1" si="12"/>
        <v>0</v>
      </c>
      <c r="AD13" s="4">
        <f ca="1">-SUMIFS(INDIRECT("Tab_000.Trial["&amp;AD$4&amp;"]"),Tab_000.Trial[CONTA],$B13)</f>
        <v>0</v>
      </c>
      <c r="AE13" s="78">
        <f t="shared" ca="1" si="13"/>
        <v>0</v>
      </c>
      <c r="AF13" s="78">
        <f t="shared" ca="1" si="14"/>
        <v>0</v>
      </c>
      <c r="AG13" s="4">
        <f ca="1">-SUMIFS(INDIRECT("Tab_000.Trial["&amp;AG$4&amp;"]"),Tab_000.Trial[CONTA],$B13)</f>
        <v>0</v>
      </c>
      <c r="AH13" s="78">
        <f t="shared" ca="1" si="15"/>
        <v>0</v>
      </c>
      <c r="AI13" s="78">
        <f t="shared" ca="1" si="16"/>
        <v>0</v>
      </c>
      <c r="AJ13" s="4">
        <f ca="1">-SUMIFS(INDIRECT("Tab_000.Trial["&amp;AJ$4&amp;"]"),Tab_000.Trial[CONTA],$B13)</f>
        <v>0</v>
      </c>
      <c r="AK13" s="78">
        <f t="shared" ca="1" si="17"/>
        <v>0</v>
      </c>
      <c r="AL13" s="78">
        <f t="shared" ca="1" si="18"/>
        <v>0</v>
      </c>
    </row>
    <row r="14" spans="2:38" ht="15" customHeight="1" outlineLevel="1" x14ac:dyDescent="0.3">
      <c r="B14" s="14" t="s">
        <v>927</v>
      </c>
      <c r="C14" s="15" t="s">
        <v>928</v>
      </c>
      <c r="D14" s="4">
        <f ca="1">-SUMIFS(INDIRECT("Tab_000.Trial["&amp;D$4&amp;"]"),Tab_000.Trial[CONTA],$B14)</f>
        <v>16644.91</v>
      </c>
      <c r="E14" s="78">
        <f t="shared" ca="1" si="19"/>
        <v>1.7500000000000002E-2</v>
      </c>
      <c r="F14" s="4">
        <f ca="1">-SUMIFS(INDIRECT("Tab_000.Trial["&amp;F$4&amp;"]"),Tab_000.Trial[CONTA],$B14)</f>
        <v>11807.35</v>
      </c>
      <c r="G14" s="78">
        <f t="shared" ca="1" si="0"/>
        <v>1.21E-2</v>
      </c>
      <c r="H14" s="78">
        <f t="shared" ca="1" si="20"/>
        <v>-0.29060000000000002</v>
      </c>
      <c r="I14" s="4">
        <f ca="1">-SUMIFS(INDIRECT("Tab_000.Trial["&amp;I$4&amp;"]"),Tab_000.Trial[CONTA],$B14)</f>
        <v>12656.73</v>
      </c>
      <c r="J14" s="78">
        <f t="shared" ca="1" si="1"/>
        <v>1.2E-2</v>
      </c>
      <c r="K14" s="78">
        <f t="shared" ca="1" si="2"/>
        <v>7.1900000000000006E-2</v>
      </c>
      <c r="L14" s="4">
        <f ca="1">-SUMIFS(INDIRECT("Tab_000.Trial["&amp;L$4&amp;"]"),Tab_000.Trial[CONTA],$B14)</f>
        <v>16033.16</v>
      </c>
      <c r="M14" s="78">
        <f t="shared" ca="1" si="3"/>
        <v>1.4500000000000001E-2</v>
      </c>
      <c r="N14" s="78">
        <f t="shared" ca="1" si="4"/>
        <v>0.26679999999999998</v>
      </c>
      <c r="O14" s="4">
        <f ca="1">-SUMIFS(INDIRECT("Tab_000.Trial["&amp;O$4&amp;"]"),Tab_000.Trial[CONTA],$B14)</f>
        <v>11186.69</v>
      </c>
      <c r="P14" s="78">
        <f t="shared" ca="1" si="5"/>
        <v>9.1999999999999998E-3</v>
      </c>
      <c r="Q14" s="78">
        <f t="shared" ca="1" si="6"/>
        <v>-0.30230000000000001</v>
      </c>
      <c r="R14" s="4">
        <f ca="1">-SUMIFS(INDIRECT("Tab_000.Trial["&amp;R$4&amp;"]"),Tab_000.Trial[CONTA],$B14)</f>
        <v>17389.169999999998</v>
      </c>
      <c r="S14" s="78">
        <f t="shared" ca="1" si="7"/>
        <v>1.72E-2</v>
      </c>
      <c r="T14" s="78">
        <f t="shared" ca="1" si="8"/>
        <v>0.55449999999999999</v>
      </c>
      <c r="U14" s="4">
        <f ca="1">-SUMIFS(INDIRECT("Tab_000.Trial["&amp;U$4&amp;"]"),Tab_000.Trial[CONTA],$B14)</f>
        <v>15682.54</v>
      </c>
      <c r="V14" s="78">
        <f t="shared" ca="1" si="9"/>
        <v>1.46E-2</v>
      </c>
      <c r="W14" s="78">
        <f t="shared" ca="1" si="10"/>
        <v>-9.8100000000000007E-2</v>
      </c>
      <c r="X14" s="4">
        <f ca="1">-SUMIFS(INDIRECT("Tab_000.Trial["&amp;X$4&amp;"]"),Tab_000.Trial[CONTA],$B14)</f>
        <v>11434.49</v>
      </c>
      <c r="Y14" s="78">
        <f t="shared" ca="1" si="21"/>
        <v>1.0999999999999999E-2</v>
      </c>
      <c r="Z14" s="78">
        <f t="shared" ca="1" si="22"/>
        <v>-0.27089999999999997</v>
      </c>
      <c r="AA14" s="4">
        <f ca="1">-SUMIFS(INDIRECT("Tab_000.Trial["&amp;AA$4&amp;"]"),Tab_000.Trial[CONTA],$B14)</f>
        <v>6243.48</v>
      </c>
      <c r="AB14" s="78">
        <f t="shared" ca="1" si="11"/>
        <v>6.4000000000000003E-3</v>
      </c>
      <c r="AC14" s="78">
        <f t="shared" ca="1" si="12"/>
        <v>-0.45400000000000001</v>
      </c>
      <c r="AD14" s="4">
        <f ca="1">-SUMIFS(INDIRECT("Tab_000.Trial["&amp;AD$4&amp;"]"),Tab_000.Trial[CONTA],$B14)</f>
        <v>18621.490000000002</v>
      </c>
      <c r="AE14" s="78">
        <f t="shared" ca="1" si="13"/>
        <v>1.4999999999999999E-2</v>
      </c>
      <c r="AF14" s="78">
        <f t="shared" ca="1" si="14"/>
        <v>1.9824999999999999</v>
      </c>
      <c r="AG14" s="4">
        <f ca="1">-SUMIFS(INDIRECT("Tab_000.Trial["&amp;AG$4&amp;"]"),Tab_000.Trial[CONTA],$B14)</f>
        <v>14170.22</v>
      </c>
      <c r="AH14" s="78">
        <f t="shared" ca="1" si="15"/>
        <v>1.54E-2</v>
      </c>
      <c r="AI14" s="78">
        <f t="shared" ca="1" si="16"/>
        <v>-0.23899999999999999</v>
      </c>
      <c r="AJ14" s="4">
        <f ca="1">-SUMIFS(INDIRECT("Tab_000.Trial["&amp;AJ$4&amp;"]"),Tab_000.Trial[CONTA],$B14)</f>
        <v>9873.2800000000007</v>
      </c>
      <c r="AK14" s="78">
        <f t="shared" ca="1" si="17"/>
        <v>6.7000000000000002E-3</v>
      </c>
      <c r="AL14" s="78">
        <f t="shared" ca="1" si="18"/>
        <v>-0.30320000000000003</v>
      </c>
    </row>
    <row r="15" spans="2:38" ht="15" customHeight="1" outlineLevel="1" x14ac:dyDescent="0.3">
      <c r="B15" s="14" t="s">
        <v>376</v>
      </c>
      <c r="C15" s="15" t="s">
        <v>377</v>
      </c>
      <c r="D15" s="4">
        <f ca="1">-SUMIFS(INDIRECT("Tab_000.Trial["&amp;D$4&amp;"]"),Tab_000.Trial[CONTA],$B15)</f>
        <v>82966.080000000002</v>
      </c>
      <c r="E15" s="78">
        <f t="shared" ca="1" si="19"/>
        <v>8.7300000000000003E-2</v>
      </c>
      <c r="F15" s="4">
        <f ca="1">-SUMIFS(INDIRECT("Tab_000.Trial["&amp;F$4&amp;"]"),Tab_000.Trial[CONTA],$B15)</f>
        <v>82966.080000000002</v>
      </c>
      <c r="G15" s="78">
        <f t="shared" ca="1" si="0"/>
        <v>8.5099999999999995E-2</v>
      </c>
      <c r="H15" s="78">
        <f t="shared" ca="1" si="20"/>
        <v>0</v>
      </c>
      <c r="I15" s="4">
        <f ca="1">-SUMIFS(INDIRECT("Tab_000.Trial["&amp;I$4&amp;"]"),Tab_000.Trial[CONTA],$B15)</f>
        <v>82966.080000000002</v>
      </c>
      <c r="J15" s="78">
        <f t="shared" ca="1" si="1"/>
        <v>7.9000000000000001E-2</v>
      </c>
      <c r="K15" s="78">
        <f t="shared" ca="1" si="2"/>
        <v>0</v>
      </c>
      <c r="L15" s="4">
        <f ca="1">-SUMIFS(INDIRECT("Tab_000.Trial["&amp;L$4&amp;"]"),Tab_000.Trial[CONTA],$B15)</f>
        <v>82966.080000000002</v>
      </c>
      <c r="M15" s="78">
        <f t="shared" ca="1" si="3"/>
        <v>7.4999999999999997E-2</v>
      </c>
      <c r="N15" s="78">
        <f t="shared" ca="1" si="4"/>
        <v>0</v>
      </c>
      <c r="O15" s="4">
        <f ca="1">-SUMIFS(INDIRECT("Tab_000.Trial["&amp;O$4&amp;"]"),Tab_000.Trial[CONTA],$B15)</f>
        <v>82966.080000000002</v>
      </c>
      <c r="P15" s="78">
        <f t="shared" ca="1" si="5"/>
        <v>6.8400000000000002E-2</v>
      </c>
      <c r="Q15" s="78">
        <f t="shared" ca="1" si="6"/>
        <v>0</v>
      </c>
      <c r="R15" s="4">
        <f ca="1">-SUMIFS(INDIRECT("Tab_000.Trial["&amp;R$4&amp;"]"),Tab_000.Trial[CONTA],$B15)</f>
        <v>82966.080000000002</v>
      </c>
      <c r="S15" s="78">
        <f t="shared" ca="1" si="7"/>
        <v>8.2299999999999998E-2</v>
      </c>
      <c r="T15" s="78">
        <f t="shared" ca="1" si="8"/>
        <v>0</v>
      </c>
      <c r="U15" s="4">
        <f ca="1">-SUMIFS(INDIRECT("Tab_000.Trial["&amp;U$4&amp;"]"),Tab_000.Trial[CONTA],$B15)</f>
        <v>82966.080000000002</v>
      </c>
      <c r="V15" s="78">
        <f t="shared" ca="1" si="9"/>
        <v>7.7200000000000005E-2</v>
      </c>
      <c r="W15" s="78">
        <f t="shared" ca="1" si="10"/>
        <v>0</v>
      </c>
      <c r="X15" s="4">
        <f ca="1">-SUMIFS(INDIRECT("Tab_000.Trial["&amp;X$4&amp;"]"),Tab_000.Trial[CONTA],$B15)</f>
        <v>82966.080000000002</v>
      </c>
      <c r="Y15" s="78">
        <f t="shared" ca="1" si="21"/>
        <v>7.9600000000000004E-2</v>
      </c>
      <c r="Z15" s="78">
        <f t="shared" ca="1" si="22"/>
        <v>0</v>
      </c>
      <c r="AA15" s="4">
        <f ca="1">-SUMIFS(INDIRECT("Tab_000.Trial["&amp;AA$4&amp;"]"),Tab_000.Trial[CONTA],$B15)</f>
        <v>82966.09</v>
      </c>
      <c r="AB15" s="78">
        <f t="shared" ca="1" si="11"/>
        <v>8.5199999999999998E-2</v>
      </c>
      <c r="AC15" s="78">
        <f t="shared" ca="1" si="12"/>
        <v>0</v>
      </c>
      <c r="AD15" s="4">
        <f ca="1">-SUMIFS(INDIRECT("Tab_000.Trial["&amp;AD$4&amp;"]"),Tab_000.Trial[CONTA],$B15)</f>
        <v>82966.080000000002</v>
      </c>
      <c r="AE15" s="78">
        <f t="shared" ca="1" si="13"/>
        <v>6.6699999999999995E-2</v>
      </c>
      <c r="AF15" s="78">
        <f t="shared" ca="1" si="14"/>
        <v>0</v>
      </c>
      <c r="AG15" s="4">
        <f ca="1">-SUMIFS(INDIRECT("Tab_000.Trial["&amp;AG$4&amp;"]"),Tab_000.Trial[CONTA],$B15)</f>
        <v>82966.080000000002</v>
      </c>
      <c r="AH15" s="78">
        <f t="shared" ca="1" si="15"/>
        <v>9.0399999999999994E-2</v>
      </c>
      <c r="AI15" s="78">
        <f t="shared" ca="1" si="16"/>
        <v>0</v>
      </c>
      <c r="AJ15" s="4">
        <f ca="1">-SUMIFS(INDIRECT("Tab_000.Trial["&amp;AJ$4&amp;"]"),Tab_000.Trial[CONTA],$B15)</f>
        <v>82966.080000000002</v>
      </c>
      <c r="AK15" s="78">
        <f t="shared" ca="1" si="17"/>
        <v>5.5899999999999998E-2</v>
      </c>
      <c r="AL15" s="78">
        <f t="shared" ca="1" si="18"/>
        <v>0</v>
      </c>
    </row>
    <row r="16" spans="2:38" ht="15" customHeight="1" outlineLevel="1" x14ac:dyDescent="0.3">
      <c r="B16" s="14" t="s">
        <v>378</v>
      </c>
      <c r="C16" s="15" t="s">
        <v>379</v>
      </c>
      <c r="D16" s="4">
        <f ca="1">-SUMIFS(INDIRECT("Tab_000.Trial["&amp;D$4&amp;"]"),Tab_000.Trial[CONTA],$B16)</f>
        <v>0</v>
      </c>
      <c r="E16" s="78">
        <f t="shared" ca="1" si="19"/>
        <v>0</v>
      </c>
      <c r="F16" s="4">
        <f ca="1">-SUMIFS(INDIRECT("Tab_000.Trial["&amp;F$4&amp;"]"),Tab_000.Trial[CONTA],$B16)</f>
        <v>0</v>
      </c>
      <c r="G16" s="78">
        <f t="shared" ca="1" si="0"/>
        <v>0</v>
      </c>
      <c r="H16" s="78">
        <f t="shared" ca="1" si="20"/>
        <v>0</v>
      </c>
      <c r="I16" s="4">
        <f ca="1">-SUMIFS(INDIRECT("Tab_000.Trial["&amp;I$4&amp;"]"),Tab_000.Trial[CONTA],$B16)</f>
        <v>0</v>
      </c>
      <c r="J16" s="78">
        <f t="shared" ca="1" si="1"/>
        <v>0</v>
      </c>
      <c r="K16" s="78">
        <f t="shared" ca="1" si="2"/>
        <v>0</v>
      </c>
      <c r="L16" s="4">
        <f ca="1">-SUMIFS(INDIRECT("Tab_000.Trial["&amp;L$4&amp;"]"),Tab_000.Trial[CONTA],$B16)</f>
        <v>0</v>
      </c>
      <c r="M16" s="78">
        <f t="shared" ca="1" si="3"/>
        <v>0</v>
      </c>
      <c r="N16" s="78">
        <f t="shared" ca="1" si="4"/>
        <v>0</v>
      </c>
      <c r="O16" s="4">
        <f ca="1">-SUMIFS(INDIRECT("Tab_000.Trial["&amp;O$4&amp;"]"),Tab_000.Trial[CONTA],$B16)</f>
        <v>0</v>
      </c>
      <c r="P16" s="78">
        <f t="shared" ca="1" si="5"/>
        <v>0</v>
      </c>
      <c r="Q16" s="78">
        <f t="shared" ca="1" si="6"/>
        <v>0</v>
      </c>
      <c r="R16" s="4">
        <f ca="1">-SUMIFS(INDIRECT("Tab_000.Trial["&amp;R$4&amp;"]"),Tab_000.Trial[CONTA],$B16)</f>
        <v>0</v>
      </c>
      <c r="S16" s="78">
        <f t="shared" ca="1" si="7"/>
        <v>0</v>
      </c>
      <c r="T16" s="78">
        <f t="shared" ca="1" si="8"/>
        <v>0</v>
      </c>
      <c r="U16" s="4">
        <f ca="1">-SUMIFS(INDIRECT("Tab_000.Trial["&amp;U$4&amp;"]"),Tab_000.Trial[CONTA],$B16)</f>
        <v>0</v>
      </c>
      <c r="V16" s="78">
        <f t="shared" ca="1" si="9"/>
        <v>0</v>
      </c>
      <c r="W16" s="78">
        <f t="shared" ca="1" si="10"/>
        <v>0</v>
      </c>
      <c r="X16" s="4">
        <f ca="1">-SUMIFS(INDIRECT("Tab_000.Trial["&amp;X$4&amp;"]"),Tab_000.Trial[CONTA],$B16)</f>
        <v>0</v>
      </c>
      <c r="Y16" s="78">
        <f t="shared" ca="1" si="21"/>
        <v>0</v>
      </c>
      <c r="Z16" s="78">
        <f t="shared" ca="1" si="22"/>
        <v>0</v>
      </c>
      <c r="AA16" s="4">
        <f ca="1">-SUMIFS(INDIRECT("Tab_000.Trial["&amp;AA$4&amp;"]"),Tab_000.Trial[CONTA],$B16)</f>
        <v>0</v>
      </c>
      <c r="AB16" s="78">
        <f t="shared" ca="1" si="11"/>
        <v>0</v>
      </c>
      <c r="AC16" s="78">
        <f t="shared" ca="1" si="12"/>
        <v>0</v>
      </c>
      <c r="AD16" s="4">
        <f ca="1">-SUMIFS(INDIRECT("Tab_000.Trial["&amp;AD$4&amp;"]"),Tab_000.Trial[CONTA],$B16)</f>
        <v>0</v>
      </c>
      <c r="AE16" s="78">
        <f t="shared" ca="1" si="13"/>
        <v>0</v>
      </c>
      <c r="AF16" s="78">
        <f t="shared" ca="1" si="14"/>
        <v>0</v>
      </c>
      <c r="AG16" s="4">
        <f ca="1">-SUMIFS(INDIRECT("Tab_000.Trial["&amp;AG$4&amp;"]"),Tab_000.Trial[CONTA],$B16)</f>
        <v>0</v>
      </c>
      <c r="AH16" s="78">
        <f t="shared" ca="1" si="15"/>
        <v>0</v>
      </c>
      <c r="AI16" s="78">
        <f t="shared" ca="1" si="16"/>
        <v>0</v>
      </c>
      <c r="AJ16" s="4">
        <f ca="1">-SUMIFS(INDIRECT("Tab_000.Trial["&amp;AJ$4&amp;"]"),Tab_000.Trial[CONTA],$B16)</f>
        <v>0</v>
      </c>
      <c r="AK16" s="78">
        <f t="shared" ca="1" si="17"/>
        <v>0</v>
      </c>
      <c r="AL16" s="78">
        <f t="shared" ca="1" si="18"/>
        <v>0</v>
      </c>
    </row>
    <row r="17" spans="2:40" ht="15" customHeight="1" outlineLevel="1" x14ac:dyDescent="0.3">
      <c r="B17" s="14" t="s">
        <v>380</v>
      </c>
      <c r="C17" s="15" t="s">
        <v>381</v>
      </c>
      <c r="D17" s="4">
        <f ca="1">-SUMIFS(INDIRECT("Tab_000.Trial["&amp;D$4&amp;"]"),Tab_000.Trial[CONTA],$B17)</f>
        <v>0</v>
      </c>
      <c r="E17" s="78">
        <f t="shared" ca="1" si="19"/>
        <v>0</v>
      </c>
      <c r="F17" s="4">
        <f ca="1">-SUMIFS(INDIRECT("Tab_000.Trial["&amp;F$4&amp;"]"),Tab_000.Trial[CONTA],$B17)</f>
        <v>0</v>
      </c>
      <c r="G17" s="78">
        <f t="shared" ca="1" si="0"/>
        <v>0</v>
      </c>
      <c r="H17" s="78">
        <f t="shared" ca="1" si="20"/>
        <v>0</v>
      </c>
      <c r="I17" s="4">
        <f ca="1">-SUMIFS(INDIRECT("Tab_000.Trial["&amp;I$4&amp;"]"),Tab_000.Trial[CONTA],$B17)</f>
        <v>0</v>
      </c>
      <c r="J17" s="78">
        <f t="shared" ca="1" si="1"/>
        <v>0</v>
      </c>
      <c r="K17" s="78">
        <f t="shared" ca="1" si="2"/>
        <v>0</v>
      </c>
      <c r="L17" s="4">
        <f ca="1">-SUMIFS(INDIRECT("Tab_000.Trial["&amp;L$4&amp;"]"),Tab_000.Trial[CONTA],$B17)</f>
        <v>0</v>
      </c>
      <c r="M17" s="78">
        <f t="shared" ca="1" si="3"/>
        <v>0</v>
      </c>
      <c r="N17" s="78">
        <f t="shared" ca="1" si="4"/>
        <v>0</v>
      </c>
      <c r="O17" s="4">
        <f ca="1">-SUMIFS(INDIRECT("Tab_000.Trial["&amp;O$4&amp;"]"),Tab_000.Trial[CONTA],$B17)</f>
        <v>0</v>
      </c>
      <c r="P17" s="78">
        <f t="shared" ca="1" si="5"/>
        <v>0</v>
      </c>
      <c r="Q17" s="78">
        <f t="shared" ca="1" si="6"/>
        <v>0</v>
      </c>
      <c r="R17" s="4">
        <f ca="1">-SUMIFS(INDIRECT("Tab_000.Trial["&amp;R$4&amp;"]"),Tab_000.Trial[CONTA],$B17)</f>
        <v>0</v>
      </c>
      <c r="S17" s="78">
        <f t="shared" ca="1" si="7"/>
        <v>0</v>
      </c>
      <c r="T17" s="78">
        <f t="shared" ca="1" si="8"/>
        <v>0</v>
      </c>
      <c r="U17" s="4">
        <f ca="1">-SUMIFS(INDIRECT("Tab_000.Trial["&amp;U$4&amp;"]"),Tab_000.Trial[CONTA],$B17)</f>
        <v>0</v>
      </c>
      <c r="V17" s="78">
        <f t="shared" ca="1" si="9"/>
        <v>0</v>
      </c>
      <c r="W17" s="78">
        <f t="shared" ca="1" si="10"/>
        <v>0</v>
      </c>
      <c r="X17" s="4">
        <f ca="1">-SUMIFS(INDIRECT("Tab_000.Trial["&amp;X$4&amp;"]"),Tab_000.Trial[CONTA],$B17)</f>
        <v>0</v>
      </c>
      <c r="Y17" s="78">
        <f t="shared" ca="1" si="21"/>
        <v>0</v>
      </c>
      <c r="Z17" s="78">
        <f t="shared" ca="1" si="22"/>
        <v>0</v>
      </c>
      <c r="AA17" s="4">
        <f ca="1">-SUMIFS(INDIRECT("Tab_000.Trial["&amp;AA$4&amp;"]"),Tab_000.Trial[CONTA],$B17)</f>
        <v>0</v>
      </c>
      <c r="AB17" s="78">
        <f t="shared" ca="1" si="11"/>
        <v>0</v>
      </c>
      <c r="AC17" s="78">
        <f t="shared" ca="1" si="12"/>
        <v>0</v>
      </c>
      <c r="AD17" s="4">
        <f ca="1">-SUMIFS(INDIRECT("Tab_000.Trial["&amp;AD$4&amp;"]"),Tab_000.Trial[CONTA],$B17)</f>
        <v>0</v>
      </c>
      <c r="AE17" s="78">
        <f t="shared" ca="1" si="13"/>
        <v>0</v>
      </c>
      <c r="AF17" s="78">
        <f t="shared" ca="1" si="14"/>
        <v>0</v>
      </c>
      <c r="AG17" s="4">
        <f ca="1">-SUMIFS(INDIRECT("Tab_000.Trial["&amp;AG$4&amp;"]"),Tab_000.Trial[CONTA],$B17)</f>
        <v>0</v>
      </c>
      <c r="AH17" s="78">
        <f t="shared" ca="1" si="15"/>
        <v>0</v>
      </c>
      <c r="AI17" s="78">
        <f t="shared" ca="1" si="16"/>
        <v>0</v>
      </c>
      <c r="AJ17" s="4">
        <f ca="1">-SUMIFS(INDIRECT("Tab_000.Trial["&amp;AJ$4&amp;"]"),Tab_000.Trial[CONTA],$B17)</f>
        <v>0</v>
      </c>
      <c r="AK17" s="78">
        <f t="shared" ca="1" si="17"/>
        <v>0</v>
      </c>
      <c r="AL17" s="78">
        <f t="shared" ca="1" si="18"/>
        <v>0</v>
      </c>
    </row>
    <row r="18" spans="2:40" ht="15" customHeight="1" outlineLevel="1" x14ac:dyDescent="0.3">
      <c r="B18" s="14" t="s">
        <v>382</v>
      </c>
      <c r="C18" s="15" t="s">
        <v>292</v>
      </c>
      <c r="D18" s="4">
        <f ca="1">-SUMIFS(INDIRECT("Tab_000.Trial["&amp;D$4&amp;"]"),Tab_000.Trial[CONTA],$B18)</f>
        <v>0</v>
      </c>
      <c r="E18" s="78">
        <f t="shared" ca="1" si="19"/>
        <v>0</v>
      </c>
      <c r="F18" s="4">
        <f ca="1">-SUMIFS(INDIRECT("Tab_000.Trial["&amp;F$4&amp;"]"),Tab_000.Trial[CONTA],$B18)</f>
        <v>0</v>
      </c>
      <c r="G18" s="78">
        <f t="shared" ca="1" si="0"/>
        <v>0</v>
      </c>
      <c r="H18" s="78">
        <f t="shared" ca="1" si="20"/>
        <v>0</v>
      </c>
      <c r="I18" s="4">
        <f ca="1">-SUMIFS(INDIRECT("Tab_000.Trial["&amp;I$4&amp;"]"),Tab_000.Trial[CONTA],$B18)</f>
        <v>0</v>
      </c>
      <c r="J18" s="78">
        <f t="shared" ca="1" si="1"/>
        <v>0</v>
      </c>
      <c r="K18" s="78">
        <f t="shared" ca="1" si="2"/>
        <v>0</v>
      </c>
      <c r="L18" s="4">
        <f ca="1">-SUMIFS(INDIRECT("Tab_000.Trial["&amp;L$4&amp;"]"),Tab_000.Trial[CONTA],$B18)</f>
        <v>0</v>
      </c>
      <c r="M18" s="78">
        <f t="shared" ca="1" si="3"/>
        <v>0</v>
      </c>
      <c r="N18" s="78">
        <f t="shared" ca="1" si="4"/>
        <v>0</v>
      </c>
      <c r="O18" s="4">
        <f ca="1">-SUMIFS(INDIRECT("Tab_000.Trial["&amp;O$4&amp;"]"),Tab_000.Trial[CONTA],$B18)</f>
        <v>0</v>
      </c>
      <c r="P18" s="78">
        <f t="shared" ca="1" si="5"/>
        <v>0</v>
      </c>
      <c r="Q18" s="78">
        <f t="shared" ca="1" si="6"/>
        <v>0</v>
      </c>
      <c r="R18" s="4">
        <f ca="1">-SUMIFS(INDIRECT("Tab_000.Trial["&amp;R$4&amp;"]"),Tab_000.Trial[CONTA],$B18)</f>
        <v>0</v>
      </c>
      <c r="S18" s="78">
        <f t="shared" ca="1" si="7"/>
        <v>0</v>
      </c>
      <c r="T18" s="78">
        <f t="shared" ca="1" si="8"/>
        <v>0</v>
      </c>
      <c r="U18" s="4">
        <f ca="1">-SUMIFS(INDIRECT("Tab_000.Trial["&amp;U$4&amp;"]"),Tab_000.Trial[CONTA],$B18)</f>
        <v>50</v>
      </c>
      <c r="V18" s="78">
        <f t="shared" ca="1" si="9"/>
        <v>0</v>
      </c>
      <c r="W18" s="78">
        <f t="shared" ca="1" si="10"/>
        <v>0</v>
      </c>
      <c r="X18" s="4">
        <f ca="1">-SUMIFS(INDIRECT("Tab_000.Trial["&amp;X$4&amp;"]"),Tab_000.Trial[CONTA],$B18)</f>
        <v>0</v>
      </c>
      <c r="Y18" s="78">
        <f t="shared" ca="1" si="21"/>
        <v>0</v>
      </c>
      <c r="Z18" s="78">
        <f t="shared" ca="1" si="22"/>
        <v>-1</v>
      </c>
      <c r="AA18" s="4">
        <f ca="1">-SUMIFS(INDIRECT("Tab_000.Trial["&amp;AA$4&amp;"]"),Tab_000.Trial[CONTA],$B18)</f>
        <v>5000</v>
      </c>
      <c r="AB18" s="78">
        <f t="shared" ca="1" si="11"/>
        <v>5.1000000000000004E-3</v>
      </c>
      <c r="AC18" s="78">
        <f t="shared" ca="1" si="12"/>
        <v>0</v>
      </c>
      <c r="AD18" s="4">
        <f ca="1">-SUMIFS(INDIRECT("Tab_000.Trial["&amp;AD$4&amp;"]"),Tab_000.Trial[CONTA],$B18)</f>
        <v>2263.46</v>
      </c>
      <c r="AE18" s="78">
        <f t="shared" ca="1" si="13"/>
        <v>1.8E-3</v>
      </c>
      <c r="AF18" s="78">
        <f t="shared" ca="1" si="14"/>
        <v>-0.54730000000000001</v>
      </c>
      <c r="AG18" s="4">
        <f ca="1">-SUMIFS(INDIRECT("Tab_000.Trial["&amp;AG$4&amp;"]"),Tab_000.Trial[CONTA],$B18)</f>
        <v>6420.7</v>
      </c>
      <c r="AH18" s="78">
        <f t="shared" ca="1" si="15"/>
        <v>7.0000000000000001E-3</v>
      </c>
      <c r="AI18" s="78">
        <f t="shared" ca="1" si="16"/>
        <v>1.8367</v>
      </c>
      <c r="AJ18" s="4">
        <f ca="1">-SUMIFS(INDIRECT("Tab_000.Trial["&amp;AJ$4&amp;"]"),Tab_000.Trial[CONTA],$B18)</f>
        <v>1321.45</v>
      </c>
      <c r="AK18" s="78">
        <f t="shared" ca="1" si="17"/>
        <v>8.9999999999999998E-4</v>
      </c>
      <c r="AL18" s="78">
        <f t="shared" ca="1" si="18"/>
        <v>-0.79420000000000002</v>
      </c>
    </row>
    <row r="19" spans="2:40" ht="15" customHeight="1" outlineLevel="1" x14ac:dyDescent="0.3">
      <c r="B19" s="14" t="s">
        <v>383</v>
      </c>
      <c r="C19" s="15" t="s">
        <v>384</v>
      </c>
      <c r="D19" s="4">
        <f ca="1">-SUMIFS(INDIRECT("Tab_000.Trial["&amp;D$4&amp;"]"),Tab_000.Trial[CONTA],$B19)</f>
        <v>0</v>
      </c>
      <c r="E19" s="78">
        <f t="shared" ca="1" si="19"/>
        <v>0</v>
      </c>
      <c r="F19" s="4">
        <f ca="1">-SUMIFS(INDIRECT("Tab_000.Trial["&amp;F$4&amp;"]"),Tab_000.Trial[CONTA],$B19)</f>
        <v>0</v>
      </c>
      <c r="G19" s="78">
        <f t="shared" ca="1" si="0"/>
        <v>0</v>
      </c>
      <c r="H19" s="78">
        <f t="shared" ca="1" si="20"/>
        <v>0</v>
      </c>
      <c r="I19" s="4">
        <f ca="1">-SUMIFS(INDIRECT("Tab_000.Trial["&amp;I$4&amp;"]"),Tab_000.Trial[CONTA],$B19)</f>
        <v>0</v>
      </c>
      <c r="J19" s="78">
        <f t="shared" ca="1" si="1"/>
        <v>0</v>
      </c>
      <c r="K19" s="78">
        <f t="shared" ca="1" si="2"/>
        <v>0</v>
      </c>
      <c r="L19" s="4">
        <f ca="1">-SUMIFS(INDIRECT("Tab_000.Trial["&amp;L$4&amp;"]"),Tab_000.Trial[CONTA],$B19)</f>
        <v>0</v>
      </c>
      <c r="M19" s="78">
        <f t="shared" ca="1" si="3"/>
        <v>0</v>
      </c>
      <c r="N19" s="78">
        <f t="shared" ca="1" si="4"/>
        <v>0</v>
      </c>
      <c r="O19" s="4">
        <f ca="1">-SUMIFS(INDIRECT("Tab_000.Trial["&amp;O$4&amp;"]"),Tab_000.Trial[CONTA],$B19)</f>
        <v>0</v>
      </c>
      <c r="P19" s="78">
        <f t="shared" ca="1" si="5"/>
        <v>0</v>
      </c>
      <c r="Q19" s="78">
        <f t="shared" ca="1" si="6"/>
        <v>0</v>
      </c>
      <c r="R19" s="4">
        <f ca="1">-SUMIFS(INDIRECT("Tab_000.Trial["&amp;R$4&amp;"]"),Tab_000.Trial[CONTA],$B19)</f>
        <v>0</v>
      </c>
      <c r="S19" s="78">
        <f t="shared" ca="1" si="7"/>
        <v>0</v>
      </c>
      <c r="T19" s="78">
        <f t="shared" ca="1" si="8"/>
        <v>0</v>
      </c>
      <c r="U19" s="4">
        <f ca="1">-SUMIFS(INDIRECT("Tab_000.Trial["&amp;U$4&amp;"]"),Tab_000.Trial[CONTA],$B19)</f>
        <v>0</v>
      </c>
      <c r="V19" s="78">
        <f t="shared" ca="1" si="9"/>
        <v>0</v>
      </c>
      <c r="W19" s="78">
        <f t="shared" ca="1" si="10"/>
        <v>0</v>
      </c>
      <c r="X19" s="4">
        <f ca="1">-SUMIFS(INDIRECT("Tab_000.Trial["&amp;X$4&amp;"]"),Tab_000.Trial[CONTA],$B19)</f>
        <v>0</v>
      </c>
      <c r="Y19" s="78">
        <f t="shared" ca="1" si="21"/>
        <v>0</v>
      </c>
      <c r="Z19" s="78">
        <f t="shared" ca="1" si="22"/>
        <v>0</v>
      </c>
      <c r="AA19" s="4">
        <f ca="1">-SUMIFS(INDIRECT("Tab_000.Trial["&amp;AA$4&amp;"]"),Tab_000.Trial[CONTA],$B19)</f>
        <v>0</v>
      </c>
      <c r="AB19" s="78">
        <f t="shared" ca="1" si="11"/>
        <v>0</v>
      </c>
      <c r="AC19" s="78">
        <f t="shared" ca="1" si="12"/>
        <v>0</v>
      </c>
      <c r="AD19" s="4">
        <f ca="1">-SUMIFS(INDIRECT("Tab_000.Trial["&amp;AD$4&amp;"]"),Tab_000.Trial[CONTA],$B19)</f>
        <v>0</v>
      </c>
      <c r="AE19" s="78">
        <f t="shared" ca="1" si="13"/>
        <v>0</v>
      </c>
      <c r="AF19" s="78">
        <f t="shared" ca="1" si="14"/>
        <v>0</v>
      </c>
      <c r="AG19" s="4">
        <f ca="1">-SUMIFS(INDIRECT("Tab_000.Trial["&amp;AG$4&amp;"]"),Tab_000.Trial[CONTA],$B19)</f>
        <v>0</v>
      </c>
      <c r="AH19" s="78">
        <f t="shared" ca="1" si="15"/>
        <v>0</v>
      </c>
      <c r="AI19" s="78">
        <f t="shared" ca="1" si="16"/>
        <v>0</v>
      </c>
      <c r="AJ19" s="4">
        <f ca="1">-SUMIFS(INDIRECT("Tab_000.Trial["&amp;AJ$4&amp;"]"),Tab_000.Trial[CONTA],$B19)</f>
        <v>0</v>
      </c>
      <c r="AK19" s="78">
        <f t="shared" ca="1" si="17"/>
        <v>0</v>
      </c>
      <c r="AL19" s="78">
        <f t="shared" ca="1" si="18"/>
        <v>0</v>
      </c>
      <c r="AM19" s="1" t="s">
        <v>777</v>
      </c>
    </row>
    <row r="20" spans="2:40" ht="15" customHeight="1" outlineLevel="1" x14ac:dyDescent="0.3">
      <c r="B20" s="14" t="s">
        <v>385</v>
      </c>
      <c r="C20" s="2" t="s">
        <v>386</v>
      </c>
      <c r="D20" s="4">
        <f ca="1">-SUMIFS(INDIRECT("Tab_000.Trial["&amp;D$4&amp;"]"),Tab_000.Trial[CONTA],$B20)</f>
        <v>0</v>
      </c>
      <c r="E20" s="78">
        <f t="shared" ca="1" si="19"/>
        <v>0</v>
      </c>
      <c r="F20" s="4">
        <f ca="1">-SUMIFS(INDIRECT("Tab_000.Trial["&amp;F$4&amp;"]"),Tab_000.Trial[CONTA],$B20)</f>
        <v>0</v>
      </c>
      <c r="G20" s="78">
        <f t="shared" ca="1" si="0"/>
        <v>0</v>
      </c>
      <c r="H20" s="78">
        <f t="shared" ca="1" si="20"/>
        <v>0</v>
      </c>
      <c r="I20" s="4">
        <f ca="1">-SUMIFS(INDIRECT("Tab_000.Trial["&amp;I$4&amp;"]"),Tab_000.Trial[CONTA],$B20)</f>
        <v>0</v>
      </c>
      <c r="J20" s="78">
        <f t="shared" ca="1" si="1"/>
        <v>0</v>
      </c>
      <c r="K20" s="78">
        <f t="shared" ca="1" si="2"/>
        <v>0</v>
      </c>
      <c r="L20" s="4">
        <f ca="1">-SUMIFS(INDIRECT("Tab_000.Trial["&amp;L$4&amp;"]"),Tab_000.Trial[CONTA],$B20)</f>
        <v>0</v>
      </c>
      <c r="M20" s="78">
        <f t="shared" ca="1" si="3"/>
        <v>0</v>
      </c>
      <c r="N20" s="78">
        <f t="shared" ca="1" si="4"/>
        <v>0</v>
      </c>
      <c r="O20" s="4">
        <f ca="1">-SUMIFS(INDIRECT("Tab_000.Trial["&amp;O$4&amp;"]"),Tab_000.Trial[CONTA],$B20)</f>
        <v>0</v>
      </c>
      <c r="P20" s="78">
        <f t="shared" ca="1" si="5"/>
        <v>0</v>
      </c>
      <c r="Q20" s="78">
        <f t="shared" ca="1" si="6"/>
        <v>0</v>
      </c>
      <c r="R20" s="4">
        <f ca="1">-SUMIFS(INDIRECT("Tab_000.Trial["&amp;R$4&amp;"]"),Tab_000.Trial[CONTA],$B20)</f>
        <v>0</v>
      </c>
      <c r="S20" s="78">
        <f t="shared" ca="1" si="7"/>
        <v>0</v>
      </c>
      <c r="T20" s="78">
        <f t="shared" ca="1" si="8"/>
        <v>0</v>
      </c>
      <c r="U20" s="4">
        <f ca="1">-SUMIFS(INDIRECT("Tab_000.Trial["&amp;U$4&amp;"]"),Tab_000.Trial[CONTA],$B20)</f>
        <v>0</v>
      </c>
      <c r="V20" s="78">
        <f t="shared" ca="1" si="9"/>
        <v>0</v>
      </c>
      <c r="W20" s="78">
        <f t="shared" ca="1" si="10"/>
        <v>0</v>
      </c>
      <c r="X20" s="4">
        <f ca="1">-SUMIFS(INDIRECT("Tab_000.Trial["&amp;X$4&amp;"]"),Tab_000.Trial[CONTA],$B20)</f>
        <v>0</v>
      </c>
      <c r="Y20" s="78">
        <f t="shared" ca="1" si="21"/>
        <v>0</v>
      </c>
      <c r="Z20" s="78">
        <f t="shared" ca="1" si="22"/>
        <v>0</v>
      </c>
      <c r="AA20" s="4">
        <f ca="1">-SUMIFS(INDIRECT("Tab_000.Trial["&amp;AA$4&amp;"]"),Tab_000.Trial[CONTA],$B20)</f>
        <v>0</v>
      </c>
      <c r="AB20" s="78">
        <f t="shared" ca="1" si="11"/>
        <v>0</v>
      </c>
      <c r="AC20" s="78">
        <f t="shared" ca="1" si="12"/>
        <v>0</v>
      </c>
      <c r="AD20" s="4">
        <f ca="1">-SUMIFS(INDIRECT("Tab_000.Trial["&amp;AD$4&amp;"]"),Tab_000.Trial[CONTA],$B20)</f>
        <v>0</v>
      </c>
      <c r="AE20" s="78">
        <f t="shared" ca="1" si="13"/>
        <v>0</v>
      </c>
      <c r="AF20" s="78">
        <f t="shared" ca="1" si="14"/>
        <v>0</v>
      </c>
      <c r="AG20" s="4">
        <f ca="1">-SUMIFS(INDIRECT("Tab_000.Trial["&amp;AG$4&amp;"]"),Tab_000.Trial[CONTA],$B20)</f>
        <v>0</v>
      </c>
      <c r="AH20" s="78">
        <f t="shared" ca="1" si="15"/>
        <v>0</v>
      </c>
      <c r="AI20" s="78">
        <f t="shared" ca="1" si="16"/>
        <v>0</v>
      </c>
      <c r="AJ20" s="4">
        <f ca="1">-SUMIFS(INDIRECT("Tab_000.Trial["&amp;AJ$4&amp;"]"),Tab_000.Trial[CONTA],$B20)</f>
        <v>0</v>
      </c>
      <c r="AK20" s="78">
        <f t="shared" ca="1" si="17"/>
        <v>0</v>
      </c>
      <c r="AL20" s="78">
        <f t="shared" ca="1" si="18"/>
        <v>0</v>
      </c>
    </row>
    <row r="21" spans="2:40" ht="15" customHeight="1" outlineLevel="1" x14ac:dyDescent="0.3">
      <c r="B21" s="14" t="s">
        <v>387</v>
      </c>
      <c r="C21" s="15" t="s">
        <v>388</v>
      </c>
      <c r="D21" s="4">
        <f ca="1">-SUMIFS(INDIRECT("Tab_000.Trial["&amp;D$4&amp;"]"),Tab_000.Trial[CONTA],$B21)</f>
        <v>421470.98</v>
      </c>
      <c r="E21" s="78">
        <f t="shared" ca="1" si="19"/>
        <v>0.44369999999999998</v>
      </c>
      <c r="F21" s="4">
        <f ca="1">-SUMIFS(INDIRECT("Tab_000.Trial["&amp;F$4&amp;"]"),Tab_000.Trial[CONTA],$B21)</f>
        <v>421470.98</v>
      </c>
      <c r="G21" s="78">
        <f t="shared" ca="1" si="0"/>
        <v>0.43209999999999998</v>
      </c>
      <c r="H21" s="78">
        <f t="shared" ca="1" si="20"/>
        <v>0</v>
      </c>
      <c r="I21" s="4">
        <f ca="1">-SUMIFS(INDIRECT("Tab_000.Trial["&amp;I$4&amp;"]"),Tab_000.Trial[CONTA],$B21)</f>
        <v>421470.98</v>
      </c>
      <c r="J21" s="78">
        <f t="shared" ca="1" si="1"/>
        <v>0.40110000000000001</v>
      </c>
      <c r="K21" s="78">
        <f t="shared" ca="1" si="2"/>
        <v>0</v>
      </c>
      <c r="L21" s="4">
        <f ca="1">-SUMIFS(INDIRECT("Tab_000.Trial["&amp;L$4&amp;"]"),Tab_000.Trial[CONTA],$B21)</f>
        <v>440421.58</v>
      </c>
      <c r="M21" s="78">
        <f t="shared" ca="1" si="3"/>
        <v>0.39789999999999998</v>
      </c>
      <c r="N21" s="78">
        <f t="shared" ca="1" si="4"/>
        <v>4.4999999999999998E-2</v>
      </c>
      <c r="O21" s="4">
        <f ca="1">-SUMIFS(INDIRECT("Tab_000.Trial["&amp;O$4&amp;"]"),Tab_000.Trial[CONTA],$B21)</f>
        <v>440421.58</v>
      </c>
      <c r="P21" s="78">
        <f t="shared" ca="1" si="5"/>
        <v>0.36330000000000001</v>
      </c>
      <c r="Q21" s="78">
        <f t="shared" ca="1" si="6"/>
        <v>0</v>
      </c>
      <c r="R21" s="4">
        <f ca="1">-SUMIFS(INDIRECT("Tab_000.Trial["&amp;R$4&amp;"]"),Tab_000.Trial[CONTA],$B21)</f>
        <v>440421.58</v>
      </c>
      <c r="S21" s="78">
        <f t="shared" ca="1" si="7"/>
        <v>0.43680000000000002</v>
      </c>
      <c r="T21" s="78">
        <f t="shared" ca="1" si="8"/>
        <v>0</v>
      </c>
      <c r="U21" s="4">
        <f ca="1">-SUMIFS(INDIRECT("Tab_000.Trial["&amp;U$4&amp;"]"),Tab_000.Trial[CONTA],$B21)</f>
        <v>440421.58</v>
      </c>
      <c r="V21" s="78">
        <f t="shared" ca="1" si="9"/>
        <v>0.40970000000000001</v>
      </c>
      <c r="W21" s="78">
        <f t="shared" ca="1" si="10"/>
        <v>0</v>
      </c>
      <c r="X21" s="4">
        <f ca="1">-SUMIFS(INDIRECT("Tab_000.Trial["&amp;X$4&amp;"]"),Tab_000.Trial[CONTA],$B21)</f>
        <v>440421.58</v>
      </c>
      <c r="Y21" s="78">
        <f t="shared" ca="1" si="21"/>
        <v>0.42270000000000002</v>
      </c>
      <c r="Z21" s="78">
        <f t="shared" ca="1" si="22"/>
        <v>0</v>
      </c>
      <c r="AA21" s="4">
        <f ca="1">-SUMIFS(INDIRECT("Tab_000.Trial["&amp;AA$4&amp;"]"),Tab_000.Trial[CONTA],$B21)</f>
        <v>440421.58</v>
      </c>
      <c r="AB21" s="78">
        <f t="shared" ca="1" si="11"/>
        <v>0.4521</v>
      </c>
      <c r="AC21" s="78">
        <f t="shared" ca="1" si="12"/>
        <v>0</v>
      </c>
      <c r="AD21" s="4">
        <f ca="1">-SUMIFS(INDIRECT("Tab_000.Trial["&amp;AD$4&amp;"]"),Tab_000.Trial[CONTA],$B21)</f>
        <v>440421.58</v>
      </c>
      <c r="AE21" s="78">
        <f t="shared" ca="1" si="13"/>
        <v>0.35420000000000001</v>
      </c>
      <c r="AF21" s="78">
        <f t="shared" ca="1" si="14"/>
        <v>0</v>
      </c>
      <c r="AG21" s="4">
        <f ca="1">-SUMIFS(INDIRECT("Tab_000.Trial["&amp;AG$4&amp;"]"),Tab_000.Trial[CONTA],$B21)</f>
        <v>440421.58</v>
      </c>
      <c r="AH21" s="78">
        <f t="shared" ca="1" si="15"/>
        <v>0.47989999999999999</v>
      </c>
      <c r="AI21" s="78">
        <f t="shared" ca="1" si="16"/>
        <v>0</v>
      </c>
      <c r="AJ21" s="4">
        <f ca="1">-SUMIFS(INDIRECT("Tab_000.Trial["&amp;AJ$4&amp;"]"),Tab_000.Trial[CONTA],$B21)</f>
        <v>440421.58</v>
      </c>
      <c r="AK21" s="78">
        <f t="shared" ca="1" si="17"/>
        <v>0.29680000000000001</v>
      </c>
      <c r="AL21" s="78">
        <f t="shared" ca="1" si="18"/>
        <v>0</v>
      </c>
    </row>
    <row r="22" spans="2:40" ht="15" customHeight="1" outlineLevel="1" x14ac:dyDescent="0.3">
      <c r="B22" s="14" t="s">
        <v>389</v>
      </c>
      <c r="C22" s="15" t="s">
        <v>390</v>
      </c>
      <c r="D22" s="4">
        <f ca="1">-SUMIFS(INDIRECT("Tab_000.Trial["&amp;D$4&amp;"]"),Tab_000.Trial[CONTA],$B22)</f>
        <v>0</v>
      </c>
      <c r="E22" s="78">
        <f t="shared" ca="1" si="19"/>
        <v>0</v>
      </c>
      <c r="F22" s="4">
        <f ca="1">-SUMIFS(INDIRECT("Tab_000.Trial["&amp;F$4&amp;"]"),Tab_000.Trial[CONTA],$B22)</f>
        <v>12636.86</v>
      </c>
      <c r="G22" s="78">
        <f t="shared" ca="1" si="0"/>
        <v>1.2999999999999999E-2</v>
      </c>
      <c r="H22" s="78">
        <f t="shared" ca="1" si="20"/>
        <v>0</v>
      </c>
      <c r="I22" s="4">
        <f ca="1">-SUMIFS(INDIRECT("Tab_000.Trial["&amp;I$4&amp;"]"),Tab_000.Trial[CONTA],$B22)</f>
        <v>20581.28</v>
      </c>
      <c r="J22" s="78">
        <f t="shared" ca="1" si="1"/>
        <v>1.9599999999999999E-2</v>
      </c>
      <c r="K22" s="78">
        <f t="shared" ca="1" si="2"/>
        <v>0.62870000000000004</v>
      </c>
      <c r="L22" s="4">
        <f ca="1">-SUMIFS(INDIRECT("Tab_000.Trial["&amp;L$4&amp;"]"),Tab_000.Trial[CONTA],$B22)</f>
        <v>0</v>
      </c>
      <c r="M22" s="78">
        <f t="shared" ca="1" si="3"/>
        <v>0</v>
      </c>
      <c r="N22" s="78">
        <f t="shared" ca="1" si="4"/>
        <v>-1</v>
      </c>
      <c r="O22" s="4">
        <f ca="1">-SUMIFS(INDIRECT("Tab_000.Trial["&amp;O$4&amp;"]"),Tab_000.Trial[CONTA],$B22)</f>
        <v>12582.84</v>
      </c>
      <c r="P22" s="78">
        <f t="shared" ca="1" si="5"/>
        <v>1.04E-2</v>
      </c>
      <c r="Q22" s="78">
        <f t="shared" ca="1" si="6"/>
        <v>0</v>
      </c>
      <c r="R22" s="4">
        <f ca="1">-SUMIFS(INDIRECT("Tab_000.Trial["&amp;R$4&amp;"]"),Tab_000.Trial[CONTA],$B22)</f>
        <v>0</v>
      </c>
      <c r="S22" s="78">
        <f t="shared" ca="1" si="7"/>
        <v>0</v>
      </c>
      <c r="T22" s="78">
        <f t="shared" ca="1" si="8"/>
        <v>-1</v>
      </c>
      <c r="U22" s="4">
        <f ca="1">-SUMIFS(INDIRECT("Tab_000.Trial["&amp;U$4&amp;"]"),Tab_000.Trial[CONTA],$B22)</f>
        <v>6514.26</v>
      </c>
      <c r="V22" s="78">
        <f t="shared" ca="1" si="9"/>
        <v>6.1000000000000004E-3</v>
      </c>
      <c r="W22" s="78">
        <f t="shared" ca="1" si="10"/>
        <v>0</v>
      </c>
      <c r="X22" s="4">
        <f ca="1">-SUMIFS(INDIRECT("Tab_000.Trial["&amp;X$4&amp;"]"),Tab_000.Trial[CONTA],$B22)</f>
        <v>6514.26</v>
      </c>
      <c r="Y22" s="78">
        <f t="shared" ca="1" si="21"/>
        <v>6.3E-3</v>
      </c>
      <c r="Z22" s="78">
        <f t="shared" ca="1" si="22"/>
        <v>0</v>
      </c>
      <c r="AA22" s="4">
        <f ca="1">-SUMIFS(INDIRECT("Tab_000.Trial["&amp;AA$4&amp;"]"),Tab_000.Trial[CONTA],$B22)</f>
        <v>13028.52</v>
      </c>
      <c r="AB22" s="78">
        <f t="shared" ca="1" si="11"/>
        <v>1.34E-2</v>
      </c>
      <c r="AC22" s="78">
        <f t="shared" ca="1" si="12"/>
        <v>1</v>
      </c>
      <c r="AD22" s="4">
        <f ca="1">-SUMIFS(INDIRECT("Tab_000.Trial["&amp;AD$4&amp;"]"),Tab_000.Trial[CONTA],$B22)</f>
        <v>25017.24</v>
      </c>
      <c r="AE22" s="78">
        <f t="shared" ca="1" si="13"/>
        <v>2.01E-2</v>
      </c>
      <c r="AF22" s="78">
        <f t="shared" ca="1" si="14"/>
        <v>0.92020000000000002</v>
      </c>
      <c r="AG22" s="4">
        <f ca="1">-SUMIFS(INDIRECT("Tab_000.Trial["&amp;AG$4&amp;"]"),Tab_000.Trial[CONTA],$B22)</f>
        <v>0</v>
      </c>
      <c r="AH22" s="78">
        <f t="shared" ca="1" si="15"/>
        <v>0</v>
      </c>
      <c r="AI22" s="78">
        <f t="shared" ca="1" si="16"/>
        <v>-1</v>
      </c>
      <c r="AJ22" s="4">
        <f ca="1">-SUMIFS(INDIRECT("Tab_000.Trial["&amp;AJ$4&amp;"]"),Tab_000.Trial[CONTA],$B22)</f>
        <v>222.84</v>
      </c>
      <c r="AK22" s="78">
        <f t="shared" ca="1" si="17"/>
        <v>2.0000000000000001E-4</v>
      </c>
      <c r="AL22" s="78">
        <f t="shared" ca="1" si="18"/>
        <v>0</v>
      </c>
    </row>
    <row r="23" spans="2:40" ht="15" customHeight="1" outlineLevel="1" x14ac:dyDescent="0.3">
      <c r="B23" s="14" t="s">
        <v>395</v>
      </c>
      <c r="C23" s="15" t="s">
        <v>396</v>
      </c>
      <c r="D23" s="4">
        <f ca="1">-SUMIFS(INDIRECT("Tab_000.Trial["&amp;D$4&amp;"]"),Tab_000.Trial[CONTA],$B23)</f>
        <v>50</v>
      </c>
      <c r="E23" s="78">
        <f t="shared" ca="1" si="19"/>
        <v>1E-4</v>
      </c>
      <c r="F23" s="4">
        <f ca="1">-SUMIFS(INDIRECT("Tab_000.Trial["&amp;F$4&amp;"]"),Tab_000.Trial[CONTA],$B23)</f>
        <v>650</v>
      </c>
      <c r="G23" s="78">
        <f t="shared" ca="1" si="0"/>
        <v>6.9999999999999999E-4</v>
      </c>
      <c r="H23" s="78">
        <f t="shared" ca="1" si="20"/>
        <v>12</v>
      </c>
      <c r="I23" s="4">
        <f ca="1">-SUMIFS(INDIRECT("Tab_000.Trial["&amp;I$4&amp;"]"),Tab_000.Trial[CONTA],$B23)</f>
        <v>2000</v>
      </c>
      <c r="J23" s="78">
        <f t="shared" ca="1" si="1"/>
        <v>1.9E-3</v>
      </c>
      <c r="K23" s="78">
        <f t="shared" ca="1" si="2"/>
        <v>2.0769000000000002</v>
      </c>
      <c r="L23" s="4">
        <f ca="1">-SUMIFS(INDIRECT("Tab_000.Trial["&amp;L$4&amp;"]"),Tab_000.Trial[CONTA],$B23)</f>
        <v>2300</v>
      </c>
      <c r="M23" s="78">
        <f t="shared" ca="1" si="3"/>
        <v>2.0999999999999999E-3</v>
      </c>
      <c r="N23" s="78">
        <f t="shared" ca="1" si="4"/>
        <v>0.15</v>
      </c>
      <c r="O23" s="4">
        <f ca="1">-SUMIFS(INDIRECT("Tab_000.Trial["&amp;O$4&amp;"]"),Tab_000.Trial[CONTA],$B23)</f>
        <v>500</v>
      </c>
      <c r="P23" s="78">
        <f t="shared" ca="1" si="5"/>
        <v>4.0000000000000002E-4</v>
      </c>
      <c r="Q23" s="78">
        <f t="shared" ca="1" si="6"/>
        <v>-0.78259999999999996</v>
      </c>
      <c r="R23" s="4">
        <f ca="1">-SUMIFS(INDIRECT("Tab_000.Trial["&amp;R$4&amp;"]"),Tab_000.Trial[CONTA],$B23)</f>
        <v>700</v>
      </c>
      <c r="S23" s="78">
        <f t="shared" ca="1" si="7"/>
        <v>6.9999999999999999E-4</v>
      </c>
      <c r="T23" s="78">
        <f t="shared" ca="1" si="8"/>
        <v>0.4</v>
      </c>
      <c r="U23" s="4">
        <f ca="1">-SUMIFS(INDIRECT("Tab_000.Trial["&amp;U$4&amp;"]"),Tab_000.Trial[CONTA],$B23)</f>
        <v>1250</v>
      </c>
      <c r="V23" s="78">
        <f t="shared" ca="1" si="9"/>
        <v>1.1999999999999999E-3</v>
      </c>
      <c r="W23" s="78">
        <f t="shared" ca="1" si="10"/>
        <v>0.78569999999999995</v>
      </c>
      <c r="X23" s="4">
        <f ca="1">-SUMIFS(INDIRECT("Tab_000.Trial["&amp;X$4&amp;"]"),Tab_000.Trial[CONTA],$B23)</f>
        <v>0</v>
      </c>
      <c r="Y23" s="78">
        <f t="shared" ca="1" si="21"/>
        <v>0</v>
      </c>
      <c r="Z23" s="78">
        <f t="shared" ca="1" si="22"/>
        <v>-1</v>
      </c>
      <c r="AA23" s="4">
        <f ca="1">-SUMIFS(INDIRECT("Tab_000.Trial["&amp;AA$4&amp;"]"),Tab_000.Trial[CONTA],$B23)</f>
        <v>0</v>
      </c>
      <c r="AB23" s="78">
        <f t="shared" ca="1" si="11"/>
        <v>0</v>
      </c>
      <c r="AC23" s="78">
        <f t="shared" ca="1" si="12"/>
        <v>0</v>
      </c>
      <c r="AD23" s="4">
        <f ca="1">-SUMIFS(INDIRECT("Tab_000.Trial["&amp;AD$4&amp;"]"),Tab_000.Trial[CONTA],$B23)</f>
        <v>0</v>
      </c>
      <c r="AE23" s="78">
        <f t="shared" ca="1" si="13"/>
        <v>0</v>
      </c>
      <c r="AF23" s="78">
        <f t="shared" ca="1" si="14"/>
        <v>0</v>
      </c>
      <c r="AG23" s="4">
        <f ca="1">-SUMIFS(INDIRECT("Tab_000.Trial["&amp;AG$4&amp;"]"),Tab_000.Trial[CONTA],$B23)</f>
        <v>0</v>
      </c>
      <c r="AH23" s="78">
        <f t="shared" ca="1" si="15"/>
        <v>0</v>
      </c>
      <c r="AI23" s="78">
        <f t="shared" ca="1" si="16"/>
        <v>0</v>
      </c>
      <c r="AJ23" s="4">
        <f ca="1">-SUMIFS(INDIRECT("Tab_000.Trial["&amp;AJ$4&amp;"]"),Tab_000.Trial[CONTA],$B23)</f>
        <v>0</v>
      </c>
      <c r="AK23" s="78">
        <f t="shared" ca="1" si="17"/>
        <v>0</v>
      </c>
      <c r="AL23" s="78">
        <f t="shared" ca="1" si="18"/>
        <v>0</v>
      </c>
    </row>
    <row r="24" spans="2:40" ht="15" customHeight="1" outlineLevel="1" x14ac:dyDescent="0.3">
      <c r="B24" s="14"/>
      <c r="C24" s="15"/>
    </row>
    <row r="25" spans="2:40" ht="15" customHeight="1" outlineLevel="1" x14ac:dyDescent="0.3">
      <c r="B25" s="14"/>
      <c r="C25" s="15"/>
    </row>
    <row r="26" spans="2:40" ht="5.0999999999999996" customHeight="1" outlineLevel="1" x14ac:dyDescent="0.3">
      <c r="B26" s="74"/>
      <c r="C26" s="75"/>
      <c r="D26" s="76"/>
      <c r="E26" s="77"/>
      <c r="F26" s="76"/>
      <c r="G26" s="77"/>
      <c r="H26" s="77"/>
      <c r="I26" s="76"/>
      <c r="J26" s="77"/>
      <c r="K26" s="77"/>
      <c r="L26" s="76"/>
      <c r="M26" s="77"/>
      <c r="N26" s="77"/>
      <c r="O26" s="76"/>
      <c r="P26" s="77"/>
      <c r="Q26" s="77"/>
      <c r="R26" s="76"/>
      <c r="S26" s="77"/>
      <c r="T26" s="77"/>
      <c r="U26" s="76"/>
      <c r="V26" s="77"/>
      <c r="W26" s="77"/>
      <c r="X26" s="76"/>
      <c r="Y26" s="77"/>
      <c r="Z26" s="77"/>
      <c r="AA26" s="76"/>
      <c r="AB26" s="77"/>
      <c r="AC26" s="77"/>
      <c r="AD26" s="76"/>
      <c r="AE26" s="77"/>
      <c r="AF26" s="77"/>
      <c r="AG26" s="76"/>
      <c r="AH26" s="77"/>
      <c r="AI26" s="77"/>
      <c r="AJ26" s="76"/>
      <c r="AK26" s="77"/>
      <c r="AL26" s="77"/>
    </row>
    <row r="27" spans="2:40" ht="15" customHeight="1" x14ac:dyDescent="0.3">
      <c r="B27" s="3" t="s">
        <v>102</v>
      </c>
      <c r="C27" s="1" t="s">
        <v>155</v>
      </c>
      <c r="D27" s="4">
        <f ca="1">SUBTOTAL(9,D$28:D$33)</f>
        <v>0</v>
      </c>
      <c r="E27" s="78">
        <f t="shared" ref="E27:E32" ca="1" si="23">IFERROR($D27/$D$6,0)</f>
        <v>0</v>
      </c>
      <c r="F27" s="4">
        <f ca="1">SUBTOTAL(9,F$28:F$33)</f>
        <v>0</v>
      </c>
      <c r="G27" s="78">
        <f ca="1">IFERROR($F27/$F$6,0)</f>
        <v>0</v>
      </c>
      <c r="H27" s="78">
        <f t="shared" ref="H27:H32" ca="1" si="24">IFERROR(($F27-$D27)/ABS($D27),0)</f>
        <v>0</v>
      </c>
      <c r="I27" s="4">
        <f ca="1">SUBTOTAL(9,I$28:I$33)</f>
        <v>0</v>
      </c>
      <c r="J27" s="78">
        <f ca="1">IFERROR($I27/$I$6,0)</f>
        <v>0</v>
      </c>
      <c r="K27" s="78">
        <f ca="1">IFERROR(($I27-$F27)/ABS($F27),0)</f>
        <v>0</v>
      </c>
      <c r="L27" s="4">
        <f ca="1">SUBTOTAL(9,L$28:L$33)</f>
        <v>0</v>
      </c>
      <c r="M27" s="78">
        <f ca="1">IFERROR($L27/$L$6,0)</f>
        <v>0</v>
      </c>
      <c r="N27" s="78">
        <f ca="1">IFERROR(($L27-$I27)/ABS($I27),0)</f>
        <v>0</v>
      </c>
      <c r="O27" s="4">
        <f ca="1">SUBTOTAL(9,O$28:O$33)</f>
        <v>0</v>
      </c>
      <c r="P27" s="78">
        <f ca="1">IFERROR($O27/$O$6,0)</f>
        <v>0</v>
      </c>
      <c r="Q27" s="78">
        <f ca="1">IFERROR(($O27-$L27)/ABS($L27),0)</f>
        <v>0</v>
      </c>
      <c r="R27" s="4">
        <f ca="1">SUBTOTAL(9,R$28:R$33)</f>
        <v>0</v>
      </c>
      <c r="S27" s="78">
        <f ca="1">IFERROR($R27/$R$6,0)</f>
        <v>0</v>
      </c>
      <c r="T27" s="78">
        <f ca="1">IFERROR(($R27-$O27)/ABS($O27),0)</f>
        <v>0</v>
      </c>
      <c r="U27" s="4">
        <f ca="1">SUBTOTAL(9,U$28:U$33)</f>
        <v>-11</v>
      </c>
      <c r="V27" s="78">
        <f ca="1">IFERROR($U27/$U$6,0)</f>
        <v>0</v>
      </c>
      <c r="W27" s="78">
        <f ca="1">IFERROR(($U27-$R27)/ABS($R27),0)</f>
        <v>0</v>
      </c>
      <c r="X27" s="4">
        <f ca="1">SUBTOTAL(9,X$28:X$33)</f>
        <v>-37.729999999999997</v>
      </c>
      <c r="Y27" s="78">
        <f t="shared" ref="Y27:Y32" ca="1" si="25">IFERROR($X27/$X$6,0)</f>
        <v>0</v>
      </c>
      <c r="Z27" s="78">
        <f t="shared" ref="Z27:Z32" ca="1" si="26">IFERROR(($X27-$U27)/ABS($U27),0)</f>
        <v>-2.4300000000000002</v>
      </c>
      <c r="AA27" s="4">
        <f ca="1">SUBTOTAL(9,AA$28:AA$33)</f>
        <v>-12078.33</v>
      </c>
      <c r="AB27" s="78">
        <f ca="1">IFERROR($AA27/$AA$6,0)</f>
        <v>-1.24E-2</v>
      </c>
      <c r="AC27" s="78">
        <f ca="1">IFERROR(($AA27-$X27)/ABS($X27),0)</f>
        <v>-319.12540000000001</v>
      </c>
      <c r="AD27" s="4">
        <f ca="1">SUBTOTAL(9,AD$28:AD$33)</f>
        <v>-12.1</v>
      </c>
      <c r="AE27" s="78">
        <f ca="1">IFERROR($AD27/$AD$6,0)</f>
        <v>0</v>
      </c>
      <c r="AF27" s="78">
        <f ca="1">IFERROR(($AD27-$AA27)/ABS($AA27),0)</f>
        <v>0.999</v>
      </c>
      <c r="AG27" s="4">
        <f ca="1">SUBTOTAL(9,AG$28:AG$33)</f>
        <v>-1899</v>
      </c>
      <c r="AH27" s="78">
        <f ca="1">IFERROR($AG27/$AG$6,0)</f>
        <v>-2.0999999999999999E-3</v>
      </c>
      <c r="AI27" s="78">
        <f ca="1">IFERROR(($AG27-$AD27)/ABS($AD27),0)</f>
        <v>-155.94210000000001</v>
      </c>
      <c r="AJ27" s="4">
        <f ca="1">SUBTOTAL(9,AJ$28:AJ$33)</f>
        <v>-265.62</v>
      </c>
      <c r="AK27" s="78">
        <f ca="1">IFERROR($AJ27/$AJ$6,0)</f>
        <v>-2.0000000000000001E-4</v>
      </c>
      <c r="AL27" s="78">
        <f ca="1">IFERROR(($AJ27-$AG27)/ABS($AG27),0)</f>
        <v>0.86009999999999998</v>
      </c>
    </row>
    <row r="28" spans="2:40" ht="15" customHeight="1" outlineLevel="1" x14ac:dyDescent="0.3">
      <c r="B28" s="14" t="s">
        <v>849</v>
      </c>
      <c r="C28" s="15" t="s">
        <v>850</v>
      </c>
      <c r="D28" s="4">
        <f ca="1">-SUMIFS(INDIRECT("Tab_000.Trial["&amp;D$4&amp;"]"),Tab_000.Trial[CONTA],$B28)</f>
        <v>0</v>
      </c>
      <c r="E28" s="78">
        <f t="shared" ca="1" si="23"/>
        <v>0</v>
      </c>
      <c r="F28" s="4">
        <f ca="1">-SUMIFS(INDIRECT("Tab_000.Trial["&amp;F$4&amp;"]"),Tab_000.Trial[CONTA],$B28)</f>
        <v>0</v>
      </c>
      <c r="G28" s="78">
        <f ca="1">IFERROR($F28/$F$6,0)</f>
        <v>0</v>
      </c>
      <c r="H28" s="78">
        <f t="shared" ca="1" si="24"/>
        <v>0</v>
      </c>
      <c r="I28" s="4">
        <f ca="1">-SUMIFS(INDIRECT("Tab_000.Trial["&amp;I$4&amp;"]"),Tab_000.Trial[CONTA],$B28)</f>
        <v>0</v>
      </c>
      <c r="J28" s="78">
        <f t="shared" ref="J28:J32" ca="1" si="27">IFERROR($I28/$I$6,0)</f>
        <v>0</v>
      </c>
      <c r="K28" s="78">
        <f t="shared" ref="K28:K32" ca="1" si="28">IFERROR(($I28-$F28)/ABS($F28),0)</f>
        <v>0</v>
      </c>
      <c r="L28" s="4">
        <f ca="1">-SUMIFS(INDIRECT("Tab_000.Trial["&amp;L$4&amp;"]"),Tab_000.Trial[CONTA],$B28)</f>
        <v>0</v>
      </c>
      <c r="M28" s="78">
        <f t="shared" ref="M28:M32" ca="1" si="29">IFERROR($L28/$L$6,0)</f>
        <v>0</v>
      </c>
      <c r="N28" s="78">
        <f t="shared" ref="N28:N32" ca="1" si="30">IFERROR(($L28-$I28)/ABS($I28),0)</f>
        <v>0</v>
      </c>
      <c r="O28" s="4">
        <f ca="1">-SUMIFS(INDIRECT("Tab_000.Trial["&amp;O$4&amp;"]"),Tab_000.Trial[CONTA],$B28)</f>
        <v>0</v>
      </c>
      <c r="P28" s="78">
        <f t="shared" ref="P28:P32" ca="1" si="31">IFERROR($O28/$O$6,0)</f>
        <v>0</v>
      </c>
      <c r="Q28" s="78">
        <f t="shared" ref="Q28:Q32" ca="1" si="32">IFERROR(($O28-$L28)/ABS($L28),0)</f>
        <v>0</v>
      </c>
      <c r="R28" s="4">
        <f ca="1">-SUMIFS(INDIRECT("Tab_000.Trial["&amp;R$4&amp;"]"),Tab_000.Trial[CONTA],$B28)</f>
        <v>0</v>
      </c>
      <c r="S28" s="78">
        <f t="shared" ref="S28:S32" ca="1" si="33">IFERROR($R28/$R$6,0)</f>
        <v>0</v>
      </c>
      <c r="T28" s="78">
        <f t="shared" ref="T28:T32" ca="1" si="34">IFERROR(($R28-$O28)/ABS($O28),0)</f>
        <v>0</v>
      </c>
      <c r="U28" s="4">
        <f ca="1">-SUMIFS(INDIRECT("Tab_000.Trial["&amp;U$4&amp;"]"),Tab_000.Trial[CONTA],$B28)</f>
        <v>-11</v>
      </c>
      <c r="V28" s="78">
        <f t="shared" ref="V28:V32" ca="1" si="35">IFERROR($U28/$U$6,0)</f>
        <v>0</v>
      </c>
      <c r="W28" s="78">
        <f t="shared" ref="W28:W32" ca="1" si="36">IFERROR(($U28-$R28)/ABS($R28),0)</f>
        <v>0</v>
      </c>
      <c r="X28" s="4">
        <f ca="1">-SUMIFS(INDIRECT("Tab_000.Trial["&amp;X$4&amp;"]"),Tab_000.Trial[CONTA],$B28)</f>
        <v>-37.729999999999997</v>
      </c>
      <c r="Y28" s="78">
        <f t="shared" ca="1" si="25"/>
        <v>0</v>
      </c>
      <c r="Z28" s="78">
        <f t="shared" ca="1" si="26"/>
        <v>-2.4300000000000002</v>
      </c>
      <c r="AA28" s="4">
        <f ca="1">-SUMIFS(INDIRECT("Tab_000.Trial["&amp;AA$4&amp;"]"),Tab_000.Trial[CONTA],$B28)</f>
        <v>-12078.33</v>
      </c>
      <c r="AB28" s="78">
        <f t="shared" ref="AB28:AB32" ca="1" si="37">IFERROR($AA28/$AA$6,0)</f>
        <v>-1.24E-2</v>
      </c>
      <c r="AC28" s="78">
        <f t="shared" ref="AC28:AC32" ca="1" si="38">IFERROR(($AA28-$X28)/ABS($X28),0)</f>
        <v>-319.12540000000001</v>
      </c>
      <c r="AD28" s="4">
        <f ca="1">-SUMIFS(INDIRECT("Tab_000.Trial["&amp;AD$4&amp;"]"),Tab_000.Trial[CONTA],$B28)</f>
        <v>-12.1</v>
      </c>
      <c r="AE28" s="78">
        <f t="shared" ref="AE28:AE32" ca="1" si="39">IFERROR($AD28/$AD$6,0)</f>
        <v>0</v>
      </c>
      <c r="AF28" s="78">
        <f t="shared" ref="AF28:AF32" ca="1" si="40">IFERROR(($AD28-$AA28)/ABS($AA28),0)</f>
        <v>0.999</v>
      </c>
      <c r="AG28" s="4">
        <f ca="1">-SUMIFS(INDIRECT("Tab_000.Trial["&amp;AG$4&amp;"]"),Tab_000.Trial[CONTA],$B28)</f>
        <v>-1899</v>
      </c>
      <c r="AH28" s="78">
        <f t="shared" ref="AH28:AH32" ca="1" si="41">IFERROR($AG28/$AG$6,0)</f>
        <v>-2.0999999999999999E-3</v>
      </c>
      <c r="AI28" s="78">
        <f t="shared" ref="AI28:AI32" ca="1" si="42">IFERROR(($AG28-$AD28)/ABS($AD28),0)</f>
        <v>-155.94210000000001</v>
      </c>
      <c r="AJ28" s="4">
        <f ca="1">-SUMIFS(INDIRECT("Tab_000.Trial["&amp;AJ$4&amp;"]"),Tab_000.Trial[CONTA],$B28)</f>
        <v>-265.62</v>
      </c>
      <c r="AK28" s="78">
        <f t="shared" ref="AK28:AK32" ca="1" si="43">IFERROR($AJ28/$AJ$6,0)</f>
        <v>-2.0000000000000001E-4</v>
      </c>
      <c r="AL28" s="78">
        <f t="shared" ref="AL28:AL32" ca="1" si="44">IFERROR(($AJ28-$AG28)/ABS($AG28),0)</f>
        <v>0.86009999999999998</v>
      </c>
      <c r="AN28" s="141"/>
    </row>
    <row r="29" spans="2:40" ht="15" customHeight="1" outlineLevel="1" x14ac:dyDescent="0.3">
      <c r="B29" s="14"/>
      <c r="C29" s="14"/>
      <c r="D29" s="4">
        <f ca="1">-SUMIFS(INDIRECT("Tab_000.Trial["&amp;D$4&amp;"]"),Tab_000.Trial[CONTA],$B29)</f>
        <v>0</v>
      </c>
      <c r="E29" s="78">
        <f t="shared" ca="1" si="23"/>
        <v>0</v>
      </c>
      <c r="F29" s="4">
        <f ca="1">-SUMIFS(INDIRECT("Tab_000.Trial["&amp;F$4&amp;"]"),Tab_000.Trial[CONTA],$B29)</f>
        <v>0</v>
      </c>
      <c r="G29" s="78">
        <f t="shared" ref="G29:G32" ca="1" si="45">IFERROR($F29/$F$6,0)</f>
        <v>0</v>
      </c>
      <c r="H29" s="78">
        <f t="shared" ca="1" si="24"/>
        <v>0</v>
      </c>
      <c r="I29" s="4">
        <f ca="1">-SUMIFS(INDIRECT("Tab_000.Trial["&amp;I$4&amp;"]"),Tab_000.Trial[CONTA],$B29)</f>
        <v>0</v>
      </c>
      <c r="J29" s="78">
        <f t="shared" ca="1" si="27"/>
        <v>0</v>
      </c>
      <c r="K29" s="78">
        <f t="shared" ca="1" si="28"/>
        <v>0</v>
      </c>
      <c r="L29" s="4">
        <f ca="1">-SUMIFS(INDIRECT("Tab_000.Trial["&amp;L$4&amp;"]"),Tab_000.Trial[CONTA],$B29)</f>
        <v>0</v>
      </c>
      <c r="M29" s="78">
        <f t="shared" ca="1" si="29"/>
        <v>0</v>
      </c>
      <c r="N29" s="78">
        <f t="shared" ca="1" si="30"/>
        <v>0</v>
      </c>
      <c r="O29" s="4">
        <f ca="1">-SUMIFS(INDIRECT("Tab_000.Trial["&amp;O$4&amp;"]"),Tab_000.Trial[CONTA],$B29)</f>
        <v>0</v>
      </c>
      <c r="P29" s="78">
        <f t="shared" ca="1" si="31"/>
        <v>0</v>
      </c>
      <c r="Q29" s="78">
        <f t="shared" ca="1" si="32"/>
        <v>0</v>
      </c>
      <c r="R29" s="4">
        <f ca="1">-SUMIFS(INDIRECT("Tab_000.Trial["&amp;R$4&amp;"]"),Tab_000.Trial[CONTA],$B29)</f>
        <v>0</v>
      </c>
      <c r="S29" s="78">
        <f t="shared" ca="1" si="33"/>
        <v>0</v>
      </c>
      <c r="T29" s="78">
        <f t="shared" ca="1" si="34"/>
        <v>0</v>
      </c>
      <c r="U29" s="4">
        <f ca="1">-SUMIFS(INDIRECT("Tab_000.Trial["&amp;U$4&amp;"]"),Tab_000.Trial[CONTA],$B29)</f>
        <v>0</v>
      </c>
      <c r="V29" s="78">
        <f t="shared" ca="1" si="35"/>
        <v>0</v>
      </c>
      <c r="W29" s="78">
        <f t="shared" ca="1" si="36"/>
        <v>0</v>
      </c>
      <c r="X29" s="4">
        <f ca="1">-SUMIFS(INDIRECT("Tab_000.Trial["&amp;X$4&amp;"]"),Tab_000.Trial[CONTA],$B29)</f>
        <v>0</v>
      </c>
      <c r="Y29" s="78">
        <f t="shared" ca="1" si="25"/>
        <v>0</v>
      </c>
      <c r="Z29" s="78">
        <f t="shared" ca="1" si="26"/>
        <v>0</v>
      </c>
      <c r="AA29" s="4">
        <f ca="1">-SUMIFS(INDIRECT("Tab_000.Trial["&amp;AA$4&amp;"]"),Tab_000.Trial[CONTA],$B29)</f>
        <v>0</v>
      </c>
      <c r="AB29" s="78">
        <f t="shared" ca="1" si="37"/>
        <v>0</v>
      </c>
      <c r="AC29" s="78">
        <f t="shared" ca="1" si="38"/>
        <v>0</v>
      </c>
      <c r="AD29" s="4">
        <f ca="1">-SUMIFS(INDIRECT("Tab_000.Trial["&amp;AD$4&amp;"]"),Tab_000.Trial[CONTA],$B29)</f>
        <v>0</v>
      </c>
      <c r="AE29" s="78">
        <f t="shared" ca="1" si="39"/>
        <v>0</v>
      </c>
      <c r="AF29" s="78">
        <f t="shared" ca="1" si="40"/>
        <v>0</v>
      </c>
      <c r="AG29" s="4">
        <f ca="1">-SUMIFS(INDIRECT("Tab_000.Trial["&amp;AG$4&amp;"]"),Tab_000.Trial[CONTA],$B29)</f>
        <v>0</v>
      </c>
      <c r="AH29" s="78">
        <f t="shared" ca="1" si="41"/>
        <v>0</v>
      </c>
      <c r="AI29" s="78">
        <f t="shared" ca="1" si="42"/>
        <v>0</v>
      </c>
      <c r="AJ29" s="4">
        <f ca="1">-SUMIFS(INDIRECT("Tab_000.Trial["&amp;AJ$4&amp;"]"),Tab_000.Trial[CONTA],$B29)</f>
        <v>0</v>
      </c>
      <c r="AK29" s="78">
        <f t="shared" ca="1" si="43"/>
        <v>0</v>
      </c>
      <c r="AL29" s="78">
        <f t="shared" ca="1" si="44"/>
        <v>0</v>
      </c>
      <c r="AM29" s="78"/>
    </row>
    <row r="30" spans="2:40" ht="15" customHeight="1" outlineLevel="1" x14ac:dyDescent="0.3">
      <c r="B30" s="14"/>
      <c r="C30" s="14"/>
      <c r="D30" s="4">
        <f ca="1">-SUMIFS(INDIRECT("Tab_000.Trial["&amp;D$4&amp;"]"),Tab_000.Trial[CONTA],$B30)</f>
        <v>0</v>
      </c>
      <c r="E30" s="78">
        <f t="shared" ca="1" si="23"/>
        <v>0</v>
      </c>
      <c r="F30" s="4">
        <f ca="1">-SUMIFS(INDIRECT("Tab_000.Trial["&amp;F$4&amp;"]"),Tab_000.Trial[CONTA],$B30)</f>
        <v>0</v>
      </c>
      <c r="G30" s="78">
        <f t="shared" ca="1" si="45"/>
        <v>0</v>
      </c>
      <c r="H30" s="78">
        <f t="shared" ca="1" si="24"/>
        <v>0</v>
      </c>
      <c r="I30" s="4">
        <f ca="1">-SUMIFS(INDIRECT("Tab_000.Trial["&amp;I$4&amp;"]"),Tab_000.Trial[CONTA],$B30)</f>
        <v>0</v>
      </c>
      <c r="J30" s="78">
        <f t="shared" ca="1" si="27"/>
        <v>0</v>
      </c>
      <c r="K30" s="78">
        <f t="shared" ca="1" si="28"/>
        <v>0</v>
      </c>
      <c r="L30" s="4">
        <f ca="1">-SUMIFS(INDIRECT("Tab_000.Trial["&amp;L$4&amp;"]"),Tab_000.Trial[CONTA],$B30)</f>
        <v>0</v>
      </c>
      <c r="M30" s="78">
        <f t="shared" ca="1" si="29"/>
        <v>0</v>
      </c>
      <c r="N30" s="78">
        <f t="shared" ca="1" si="30"/>
        <v>0</v>
      </c>
      <c r="O30" s="4">
        <f ca="1">-SUMIFS(INDIRECT("Tab_000.Trial["&amp;O$4&amp;"]"),Tab_000.Trial[CONTA],$B30)</f>
        <v>0</v>
      </c>
      <c r="P30" s="78">
        <f t="shared" ca="1" si="31"/>
        <v>0</v>
      </c>
      <c r="Q30" s="78">
        <f t="shared" ca="1" si="32"/>
        <v>0</v>
      </c>
      <c r="R30" s="4">
        <f ca="1">-SUMIFS(INDIRECT("Tab_000.Trial["&amp;R$4&amp;"]"),Tab_000.Trial[CONTA],$B30)</f>
        <v>0</v>
      </c>
      <c r="S30" s="78">
        <f t="shared" ca="1" si="33"/>
        <v>0</v>
      </c>
      <c r="T30" s="78">
        <f t="shared" ca="1" si="34"/>
        <v>0</v>
      </c>
      <c r="U30" s="4">
        <f ca="1">-SUMIFS(INDIRECT("Tab_000.Trial["&amp;U$4&amp;"]"),Tab_000.Trial[CONTA],$B30)</f>
        <v>0</v>
      </c>
      <c r="V30" s="78">
        <f t="shared" ca="1" si="35"/>
        <v>0</v>
      </c>
      <c r="W30" s="78">
        <f t="shared" ca="1" si="36"/>
        <v>0</v>
      </c>
      <c r="X30" s="4">
        <f ca="1">-SUMIFS(INDIRECT("Tab_000.Trial["&amp;X$4&amp;"]"),Tab_000.Trial[CONTA],$B30)</f>
        <v>0</v>
      </c>
      <c r="Y30" s="78">
        <f t="shared" ca="1" si="25"/>
        <v>0</v>
      </c>
      <c r="Z30" s="78">
        <f t="shared" ca="1" si="26"/>
        <v>0</v>
      </c>
      <c r="AA30" s="4">
        <f ca="1">-SUMIFS(INDIRECT("Tab_000.Trial["&amp;AA$4&amp;"]"),Tab_000.Trial[CONTA],$B30)</f>
        <v>0</v>
      </c>
      <c r="AB30" s="78">
        <f t="shared" ca="1" si="37"/>
        <v>0</v>
      </c>
      <c r="AC30" s="78">
        <f t="shared" ca="1" si="38"/>
        <v>0</v>
      </c>
      <c r="AD30" s="4">
        <f ca="1">-SUMIFS(INDIRECT("Tab_000.Trial["&amp;AD$4&amp;"]"),Tab_000.Trial[CONTA],$B30)</f>
        <v>0</v>
      </c>
      <c r="AE30" s="78">
        <f t="shared" ca="1" si="39"/>
        <v>0</v>
      </c>
      <c r="AF30" s="78">
        <f t="shared" ca="1" si="40"/>
        <v>0</v>
      </c>
      <c r="AG30" s="4">
        <f ca="1">-SUMIFS(INDIRECT("Tab_000.Trial["&amp;AG$4&amp;"]"),Tab_000.Trial[CONTA],$B30)</f>
        <v>0</v>
      </c>
      <c r="AH30" s="78">
        <f t="shared" ca="1" si="41"/>
        <v>0</v>
      </c>
      <c r="AI30" s="78">
        <f t="shared" ca="1" si="42"/>
        <v>0</v>
      </c>
      <c r="AJ30" s="4">
        <f ca="1">-SUMIFS(INDIRECT("Tab_000.Trial["&amp;AJ$4&amp;"]"),Tab_000.Trial[CONTA],$B30)</f>
        <v>0</v>
      </c>
      <c r="AK30" s="78">
        <f t="shared" ca="1" si="43"/>
        <v>0</v>
      </c>
      <c r="AL30" s="78">
        <f t="shared" ca="1" si="44"/>
        <v>0</v>
      </c>
    </row>
    <row r="31" spans="2:40" ht="15" customHeight="1" outlineLevel="1" x14ac:dyDescent="0.3">
      <c r="B31" s="14"/>
      <c r="C31" s="14"/>
      <c r="D31" s="4">
        <f ca="1">-SUMIFS(INDIRECT("Tab_000.Trial["&amp;D$4&amp;"]"),Tab_000.Trial[CONTA],$B31)</f>
        <v>0</v>
      </c>
      <c r="E31" s="78">
        <f t="shared" ca="1" si="23"/>
        <v>0</v>
      </c>
      <c r="F31" s="4">
        <f ca="1">-SUMIFS(INDIRECT("Tab_000.Trial["&amp;F$4&amp;"]"),Tab_000.Trial[CONTA],$B31)</f>
        <v>0</v>
      </c>
      <c r="G31" s="78">
        <f t="shared" ca="1" si="45"/>
        <v>0</v>
      </c>
      <c r="H31" s="78">
        <f t="shared" ca="1" si="24"/>
        <v>0</v>
      </c>
      <c r="I31" s="4">
        <f ca="1">-SUMIFS(INDIRECT("Tab_000.Trial["&amp;I$4&amp;"]"),Tab_000.Trial[CONTA],$B31)</f>
        <v>0</v>
      </c>
      <c r="J31" s="78">
        <f t="shared" ca="1" si="27"/>
        <v>0</v>
      </c>
      <c r="K31" s="78">
        <f t="shared" ca="1" si="28"/>
        <v>0</v>
      </c>
      <c r="L31" s="4">
        <f ca="1">-SUMIFS(INDIRECT("Tab_000.Trial["&amp;L$4&amp;"]"),Tab_000.Trial[CONTA],$B31)</f>
        <v>0</v>
      </c>
      <c r="M31" s="78">
        <f t="shared" ca="1" si="29"/>
        <v>0</v>
      </c>
      <c r="N31" s="78">
        <f t="shared" ca="1" si="30"/>
        <v>0</v>
      </c>
      <c r="O31" s="4">
        <f ca="1">-SUMIFS(INDIRECT("Tab_000.Trial["&amp;O$4&amp;"]"),Tab_000.Trial[CONTA],$B31)</f>
        <v>0</v>
      </c>
      <c r="P31" s="78">
        <f t="shared" ca="1" si="31"/>
        <v>0</v>
      </c>
      <c r="Q31" s="78">
        <f t="shared" ca="1" si="32"/>
        <v>0</v>
      </c>
      <c r="R31" s="4">
        <f ca="1">-SUMIFS(INDIRECT("Tab_000.Trial["&amp;R$4&amp;"]"),Tab_000.Trial[CONTA],$B31)</f>
        <v>0</v>
      </c>
      <c r="S31" s="78">
        <f t="shared" ca="1" si="33"/>
        <v>0</v>
      </c>
      <c r="T31" s="78">
        <f t="shared" ca="1" si="34"/>
        <v>0</v>
      </c>
      <c r="U31" s="4">
        <f ca="1">-SUMIFS(INDIRECT("Tab_000.Trial["&amp;U$4&amp;"]"),Tab_000.Trial[CONTA],$B31)</f>
        <v>0</v>
      </c>
      <c r="V31" s="78">
        <f t="shared" ca="1" si="35"/>
        <v>0</v>
      </c>
      <c r="W31" s="78">
        <f t="shared" ca="1" si="36"/>
        <v>0</v>
      </c>
      <c r="X31" s="4">
        <f ca="1">-SUMIFS(INDIRECT("Tab_000.Trial["&amp;X$4&amp;"]"),Tab_000.Trial[CONTA],$B31)</f>
        <v>0</v>
      </c>
      <c r="Y31" s="78">
        <f t="shared" ca="1" si="25"/>
        <v>0</v>
      </c>
      <c r="Z31" s="78">
        <f t="shared" ca="1" si="26"/>
        <v>0</v>
      </c>
      <c r="AA31" s="4">
        <f ca="1">-SUMIFS(INDIRECT("Tab_000.Trial["&amp;AA$4&amp;"]"),Tab_000.Trial[CONTA],$B31)</f>
        <v>0</v>
      </c>
      <c r="AB31" s="78">
        <f t="shared" ca="1" si="37"/>
        <v>0</v>
      </c>
      <c r="AC31" s="78">
        <f t="shared" ca="1" si="38"/>
        <v>0</v>
      </c>
      <c r="AD31" s="4">
        <f ca="1">-SUMIFS(INDIRECT("Tab_000.Trial["&amp;AD$4&amp;"]"),Tab_000.Trial[CONTA],$B31)</f>
        <v>0</v>
      </c>
      <c r="AE31" s="78">
        <f t="shared" ca="1" si="39"/>
        <v>0</v>
      </c>
      <c r="AF31" s="78">
        <f t="shared" ca="1" si="40"/>
        <v>0</v>
      </c>
      <c r="AG31" s="4">
        <f ca="1">-SUMIFS(INDIRECT("Tab_000.Trial["&amp;AG$4&amp;"]"),Tab_000.Trial[CONTA],$B31)</f>
        <v>0</v>
      </c>
      <c r="AH31" s="78">
        <f t="shared" ca="1" si="41"/>
        <v>0</v>
      </c>
      <c r="AI31" s="78">
        <f t="shared" ca="1" si="42"/>
        <v>0</v>
      </c>
      <c r="AJ31" s="4">
        <f ca="1">-SUMIFS(INDIRECT("Tab_000.Trial["&amp;AJ$4&amp;"]"),Tab_000.Trial[CONTA],$B31)</f>
        <v>0</v>
      </c>
      <c r="AK31" s="78">
        <f t="shared" ca="1" si="43"/>
        <v>0</v>
      </c>
      <c r="AL31" s="78">
        <f t="shared" ca="1" si="44"/>
        <v>0</v>
      </c>
    </row>
    <row r="32" spans="2:40" ht="15" customHeight="1" outlineLevel="1" x14ac:dyDescent="0.3">
      <c r="B32" s="14"/>
      <c r="C32" s="14"/>
      <c r="D32" s="4">
        <f ca="1">-SUMIFS(INDIRECT("Tab_000.Trial["&amp;D$4&amp;"]"),Tab_000.Trial[CONTA],$B32)</f>
        <v>0</v>
      </c>
      <c r="E32" s="78">
        <f t="shared" ca="1" si="23"/>
        <v>0</v>
      </c>
      <c r="F32" s="4">
        <f ca="1">-SUMIFS(INDIRECT("Tab_000.Trial["&amp;F$4&amp;"]"),Tab_000.Trial[CONTA],$B32)</f>
        <v>0</v>
      </c>
      <c r="G32" s="78">
        <f t="shared" ca="1" si="45"/>
        <v>0</v>
      </c>
      <c r="H32" s="78">
        <f t="shared" ca="1" si="24"/>
        <v>0</v>
      </c>
      <c r="I32" s="4">
        <f ca="1">-SUMIFS(INDIRECT("Tab_000.Trial["&amp;I$4&amp;"]"),Tab_000.Trial[CONTA],$B32)</f>
        <v>0</v>
      </c>
      <c r="J32" s="78">
        <f t="shared" ca="1" si="27"/>
        <v>0</v>
      </c>
      <c r="K32" s="78">
        <f t="shared" ca="1" si="28"/>
        <v>0</v>
      </c>
      <c r="L32" s="4">
        <f ca="1">-SUMIFS(INDIRECT("Tab_000.Trial["&amp;L$4&amp;"]"),Tab_000.Trial[CONTA],$B32)</f>
        <v>0</v>
      </c>
      <c r="M32" s="78">
        <f t="shared" ca="1" si="29"/>
        <v>0</v>
      </c>
      <c r="N32" s="78">
        <f t="shared" ca="1" si="30"/>
        <v>0</v>
      </c>
      <c r="O32" s="4">
        <f ca="1">-SUMIFS(INDIRECT("Tab_000.Trial["&amp;O$4&amp;"]"),Tab_000.Trial[CONTA],$B32)</f>
        <v>0</v>
      </c>
      <c r="P32" s="78">
        <f t="shared" ca="1" si="31"/>
        <v>0</v>
      </c>
      <c r="Q32" s="78">
        <f t="shared" ca="1" si="32"/>
        <v>0</v>
      </c>
      <c r="R32" s="4">
        <f ca="1">-SUMIFS(INDIRECT("Tab_000.Trial["&amp;R$4&amp;"]"),Tab_000.Trial[CONTA],$B32)</f>
        <v>0</v>
      </c>
      <c r="S32" s="78">
        <f t="shared" ca="1" si="33"/>
        <v>0</v>
      </c>
      <c r="T32" s="78">
        <f t="shared" ca="1" si="34"/>
        <v>0</v>
      </c>
      <c r="U32" s="4">
        <f ca="1">-SUMIFS(INDIRECT("Tab_000.Trial["&amp;U$4&amp;"]"),Tab_000.Trial[CONTA],$B32)</f>
        <v>0</v>
      </c>
      <c r="V32" s="78">
        <f t="shared" ca="1" si="35"/>
        <v>0</v>
      </c>
      <c r="W32" s="78">
        <f t="shared" ca="1" si="36"/>
        <v>0</v>
      </c>
      <c r="X32" s="4">
        <f ca="1">-SUMIFS(INDIRECT("Tab_000.Trial["&amp;X$4&amp;"]"),Tab_000.Trial[CONTA],$B32)</f>
        <v>0</v>
      </c>
      <c r="Y32" s="78">
        <f t="shared" ca="1" si="25"/>
        <v>0</v>
      </c>
      <c r="Z32" s="78">
        <f t="shared" ca="1" si="26"/>
        <v>0</v>
      </c>
      <c r="AA32" s="4">
        <f ca="1">-SUMIFS(INDIRECT("Tab_000.Trial["&amp;AA$4&amp;"]"),Tab_000.Trial[CONTA],$B32)</f>
        <v>0</v>
      </c>
      <c r="AB32" s="78">
        <f t="shared" ca="1" si="37"/>
        <v>0</v>
      </c>
      <c r="AC32" s="78">
        <f t="shared" ca="1" si="38"/>
        <v>0</v>
      </c>
      <c r="AD32" s="4">
        <f ca="1">-SUMIFS(INDIRECT("Tab_000.Trial["&amp;AD$4&amp;"]"),Tab_000.Trial[CONTA],$B32)</f>
        <v>0</v>
      </c>
      <c r="AE32" s="78">
        <f t="shared" ca="1" si="39"/>
        <v>0</v>
      </c>
      <c r="AF32" s="78">
        <f t="shared" ca="1" si="40"/>
        <v>0</v>
      </c>
      <c r="AG32" s="4">
        <f ca="1">-SUMIFS(INDIRECT("Tab_000.Trial["&amp;AG$4&amp;"]"),Tab_000.Trial[CONTA],$B32)</f>
        <v>0</v>
      </c>
      <c r="AH32" s="78">
        <f t="shared" ca="1" si="41"/>
        <v>0</v>
      </c>
      <c r="AI32" s="78">
        <f t="shared" ca="1" si="42"/>
        <v>0</v>
      </c>
      <c r="AJ32" s="4">
        <f ca="1">-SUMIFS(INDIRECT("Tab_000.Trial["&amp;AJ$4&amp;"]"),Tab_000.Trial[CONTA],$B32)</f>
        <v>0</v>
      </c>
      <c r="AK32" s="78">
        <f t="shared" ca="1" si="43"/>
        <v>0</v>
      </c>
      <c r="AL32" s="78">
        <f t="shared" ca="1" si="44"/>
        <v>0</v>
      </c>
    </row>
    <row r="33" spans="2:39" ht="5.0999999999999996" customHeight="1" outlineLevel="1" x14ac:dyDescent="0.3">
      <c r="B33" s="74"/>
      <c r="C33" s="75"/>
      <c r="D33" s="76"/>
      <c r="E33" s="77"/>
      <c r="F33" s="76"/>
      <c r="G33" s="77"/>
      <c r="H33" s="77"/>
      <c r="I33" s="76"/>
      <c r="J33" s="77"/>
      <c r="K33" s="77"/>
      <c r="L33" s="76"/>
      <c r="M33" s="77"/>
      <c r="N33" s="77"/>
      <c r="O33" s="76"/>
      <c r="P33" s="77"/>
      <c r="Q33" s="77"/>
      <c r="R33" s="76"/>
      <c r="S33" s="77"/>
      <c r="T33" s="77"/>
      <c r="U33" s="76"/>
      <c r="V33" s="77"/>
      <c r="W33" s="77"/>
      <c r="X33" s="76"/>
      <c r="Y33" s="77"/>
      <c r="Z33" s="77"/>
      <c r="AA33" s="76"/>
      <c r="AB33" s="77"/>
      <c r="AC33" s="77"/>
      <c r="AD33" s="76"/>
      <c r="AE33" s="77"/>
      <c r="AF33" s="77"/>
      <c r="AG33" s="76"/>
      <c r="AH33" s="77"/>
      <c r="AI33" s="77"/>
      <c r="AJ33" s="76"/>
      <c r="AK33" s="77"/>
      <c r="AL33" s="77"/>
    </row>
    <row r="34" spans="2:39" ht="5.0999999999999996" customHeight="1" x14ac:dyDescent="0.3"/>
    <row r="35" spans="2:39" ht="15" customHeight="1" x14ac:dyDescent="0.3">
      <c r="C35" s="17" t="s">
        <v>151</v>
      </c>
      <c r="D35" s="16">
        <f ca="1">SUBTOTAL(9,D$5:D$34)</f>
        <v>949895.11</v>
      </c>
      <c r="E35" s="80">
        <f ca="1">IFERROR($D35/$D$6,0)</f>
        <v>1</v>
      </c>
      <c r="F35" s="16">
        <f ca="1">SUBTOTAL(9,F$5:F$34)</f>
        <v>975336.03</v>
      </c>
      <c r="G35" s="80">
        <f ca="1">IFERROR($F35/$F$6,0)</f>
        <v>1</v>
      </c>
      <c r="H35" s="80">
        <f ca="1">IFERROR(($F35-$D35)/ABS($D35),0)</f>
        <v>2.6800000000000001E-2</v>
      </c>
      <c r="I35" s="16">
        <f ca="1">SUBTOTAL(9,I$5:I$34)</f>
        <v>1050829.07</v>
      </c>
      <c r="J35" s="80">
        <f ca="1">IFERROR($I35/$I$6,0)</f>
        <v>1</v>
      </c>
      <c r="K35" s="80">
        <f t="shared" ref="K35" ca="1" si="46">IFERROR(($I35-$F35)/ABS($F35),0)</f>
        <v>7.7399999999999997E-2</v>
      </c>
      <c r="L35" s="16">
        <f ca="1">SUBTOTAL(9,L$5:L$34)</f>
        <v>1106727.18</v>
      </c>
      <c r="M35" s="80">
        <f ca="1">IFERROR($L35/$L$6,0)</f>
        <v>1</v>
      </c>
      <c r="N35" s="80">
        <f t="shared" ref="N35" ca="1" si="47">IFERROR(($L35-$I35)/ABS($I35),0)</f>
        <v>5.3199999999999997E-2</v>
      </c>
      <c r="O35" s="16">
        <f ca="1">SUBTOTAL(9,O$5:O$34)</f>
        <v>1212292.3600000001</v>
      </c>
      <c r="P35" s="80">
        <f ca="1">IFERROR($O35/$O$6,0)</f>
        <v>1</v>
      </c>
      <c r="Q35" s="80">
        <f t="shared" ref="Q35" ca="1" si="48">IFERROR(($O35-$L35)/ABS($L35),0)</f>
        <v>9.5399999999999999E-2</v>
      </c>
      <c r="R35" s="16">
        <f ca="1">SUBTOTAL(9,R$5:R$34)</f>
        <v>1008257.62</v>
      </c>
      <c r="S35" s="80">
        <f ca="1">IFERROR($R35/$R$6,0)</f>
        <v>1</v>
      </c>
      <c r="T35" s="80">
        <f t="shared" ref="T35" ca="1" si="49">IFERROR(($R35-$O35)/ABS($O35),0)</f>
        <v>-0.16830000000000001</v>
      </c>
      <c r="U35" s="16">
        <f ca="1">SUBTOTAL(9,U$5:U$34)</f>
        <v>1075022.8999999999</v>
      </c>
      <c r="V35" s="80">
        <f ca="1">IFERROR($U35/$U$6,0)</f>
        <v>1</v>
      </c>
      <c r="W35" s="80">
        <f t="shared" ref="W35" ca="1" si="50">IFERROR(($U35-$R35)/ABS($R35),0)</f>
        <v>6.6199999999999995E-2</v>
      </c>
      <c r="X35" s="16">
        <f ca="1">SUBTOTAL(9,X$5:X$34)</f>
        <v>1041859.01</v>
      </c>
      <c r="Y35" s="80">
        <f ca="1">IFERROR($X35/$X$6,0)</f>
        <v>1</v>
      </c>
      <c r="Z35" s="80">
        <f t="shared" ref="Z35" ca="1" si="51">IFERROR(($X35-$U35)/ABS($U35),0)</f>
        <v>-3.0800000000000001E-2</v>
      </c>
      <c r="AA35" s="16">
        <f ca="1">SUBTOTAL(9,AA$5:AA$34)</f>
        <v>962070.72</v>
      </c>
      <c r="AB35" s="80">
        <f ca="1">IFERROR($AA35/$AA$6,0)</f>
        <v>0.98760000000000003</v>
      </c>
      <c r="AC35" s="80">
        <f t="shared" ref="AC35" ca="1" si="52">IFERROR(($AA35-$X35)/ABS($X35),0)</f>
        <v>-7.6600000000000001E-2</v>
      </c>
      <c r="AD35" s="16">
        <f ca="1">SUBTOTAL(9,AD$5:AD$34)</f>
        <v>1243434.3600000001</v>
      </c>
      <c r="AE35" s="80">
        <f ca="1">IFERROR($AD35/$AD$6,0)</f>
        <v>1</v>
      </c>
      <c r="AF35" s="80">
        <f t="shared" ref="AF35" ca="1" si="53">IFERROR(($AD35-$AA35)/ABS($AA35),0)</f>
        <v>0.29249999999999998</v>
      </c>
      <c r="AG35" s="16">
        <f ca="1">SUBTOTAL(9,AG$5:AG$34)</f>
        <v>915874.37</v>
      </c>
      <c r="AH35" s="80">
        <f ca="1">IFERROR($AG35/$AG$6,0)</f>
        <v>0.99790000000000001</v>
      </c>
      <c r="AI35" s="80">
        <f t="shared" ref="AI35" ca="1" si="54">IFERROR(($AG35-$AD35)/ABS($AD35),0)</f>
        <v>-0.26340000000000002</v>
      </c>
      <c r="AJ35" s="16">
        <f ca="1">SUBTOTAL(9,AJ$5:AJ$34)</f>
        <v>1483704.82</v>
      </c>
      <c r="AK35" s="80">
        <f ca="1">IFERROR($AJ35/$AJ$6,0)</f>
        <v>0.99980000000000002</v>
      </c>
      <c r="AL35" s="80">
        <f t="shared" ref="AL35" ca="1" si="55">IFERROR(($AJ35-$AG35)/ABS($AG35),0)</f>
        <v>0.62</v>
      </c>
    </row>
    <row r="36" spans="2:39" ht="5.0999999999999996" customHeight="1" x14ac:dyDescent="0.3"/>
    <row r="37" spans="2:39" ht="18.75" customHeight="1" x14ac:dyDescent="0.3">
      <c r="C37" s="17" t="s">
        <v>152</v>
      </c>
    </row>
    <row r="38" spans="2:39" ht="15" customHeight="1" x14ac:dyDescent="0.3">
      <c r="B38" s="3" t="s">
        <v>103</v>
      </c>
      <c r="C38" s="1" t="s">
        <v>153</v>
      </c>
      <c r="D38" s="4">
        <f ca="1">SUBTOTAL(9,D$39:D$55)</f>
        <v>-907517.82</v>
      </c>
      <c r="E38" s="78">
        <f t="shared" ref="E38:E54" ca="1" si="56">IFERROR($D38/$D$6,0)</f>
        <v>-0.95540000000000003</v>
      </c>
      <c r="F38" s="4">
        <f ca="1">SUBTOTAL(9,F$39:F$55)</f>
        <v>-1065158.02</v>
      </c>
      <c r="G38" s="78">
        <f t="shared" ref="G38:G54" ca="1" si="57">IFERROR($F38/$F$6,0)</f>
        <v>-1.0921000000000001</v>
      </c>
      <c r="H38" s="78">
        <f t="shared" ref="H38:H54" ca="1" si="58">IFERROR(($F38-$D38)/ABS($D38),0)</f>
        <v>-0.17369999999999999</v>
      </c>
      <c r="I38" s="4">
        <f ca="1">SUBTOTAL(9,I$39:I$55)</f>
        <v>-450750.88</v>
      </c>
      <c r="J38" s="78">
        <f t="shared" ref="J38:J54" ca="1" si="59">IFERROR($I38/$I$6,0)</f>
        <v>-0.4289</v>
      </c>
      <c r="K38" s="78">
        <f t="shared" ref="K38:K54" ca="1" si="60">IFERROR(($I38-$F38)/ABS($F38),0)</f>
        <v>0.57679999999999998</v>
      </c>
      <c r="L38" s="4">
        <f ca="1">SUBTOTAL(9,L$39:L$55)</f>
        <v>-715177.31</v>
      </c>
      <c r="M38" s="78">
        <f t="shared" ref="M38:M54" ca="1" si="61">IFERROR($L38/$L$6,0)</f>
        <v>-0.6462</v>
      </c>
      <c r="N38" s="78">
        <f t="shared" ref="N38:N54" ca="1" si="62">IFERROR(($L38-$I38)/ABS($I38),0)</f>
        <v>-0.58660000000000001</v>
      </c>
      <c r="O38" s="4">
        <f ca="1">SUBTOTAL(9,O$39:O$55)</f>
        <v>-732286.12</v>
      </c>
      <c r="P38" s="78">
        <f t="shared" ref="P38:P54" ca="1" si="63">IFERROR($O38/$O$6,0)</f>
        <v>-0.60409999999999997</v>
      </c>
      <c r="Q38" s="78">
        <f t="shared" ref="Q38:Q54" ca="1" si="64">IFERROR(($O38-$L38)/ABS($L38),0)</f>
        <v>-2.3900000000000001E-2</v>
      </c>
      <c r="R38" s="4">
        <f ca="1">SUBTOTAL(9,R$39:R$55)</f>
        <v>-432861.01</v>
      </c>
      <c r="S38" s="78">
        <f t="shared" ref="S38:S54" ca="1" si="65">IFERROR($R38/$R$6,0)</f>
        <v>-0.42930000000000001</v>
      </c>
      <c r="T38" s="78">
        <f t="shared" ref="T38:T54" ca="1" si="66">IFERROR(($R38-$O38)/ABS($O38),0)</f>
        <v>0.40889999999999999</v>
      </c>
      <c r="U38" s="4">
        <f ca="1">SUBTOTAL(9,U$39:U$55)</f>
        <v>-752409.54</v>
      </c>
      <c r="V38" s="78">
        <f ca="1">IFERROR($U38/$U$6,0)</f>
        <v>-0.69989999999999997</v>
      </c>
      <c r="W38" s="78">
        <f t="shared" ref="W38:W54" ca="1" si="67">IFERROR(($U38-$R38)/ABS($R38),0)</f>
        <v>-0.73819999999999997</v>
      </c>
      <c r="X38" s="4">
        <f ca="1">SUBTOTAL(9,X$39:X$55)</f>
        <v>-703098.66</v>
      </c>
      <c r="Y38" s="78">
        <f t="shared" ref="Y38:Y54" ca="1" si="68">IFERROR($X38/$X$6,0)</f>
        <v>-0.67479999999999996</v>
      </c>
      <c r="Z38" s="78">
        <f t="shared" ref="Z38:Z54" ca="1" si="69">IFERROR(($X38-$U38)/ABS($U38),0)</f>
        <v>6.5500000000000003E-2</v>
      </c>
      <c r="AA38" s="4">
        <f ca="1">SUBTOTAL(9,AA$39:AA$55)</f>
        <v>-618169.23</v>
      </c>
      <c r="AB38" s="78">
        <f t="shared" ref="AB38:AB54" ca="1" si="70">IFERROR($AA38/$AA$6,0)</f>
        <v>-0.63460000000000005</v>
      </c>
      <c r="AC38" s="78">
        <f t="shared" ref="AC38:AC54" ca="1" si="71">IFERROR(($AA38-$X38)/ABS($X38),0)</f>
        <v>0.1208</v>
      </c>
      <c r="AD38" s="4">
        <f ca="1">SUBTOTAL(9,AD$39:AD$55)</f>
        <v>-858712.5</v>
      </c>
      <c r="AE38" s="78">
        <f t="shared" ref="AE38:AE54" ca="1" si="72">IFERROR($AD38/$AD$6,0)</f>
        <v>-0.69059999999999999</v>
      </c>
      <c r="AF38" s="78">
        <f t="shared" ref="AF38:AF54" ca="1" si="73">IFERROR(($AD38-$AA38)/ABS($AA38),0)</f>
        <v>-0.3891</v>
      </c>
      <c r="AG38" s="4">
        <f ca="1">SUBTOTAL(9,AG$39:AG$55)</f>
        <v>-358302.28</v>
      </c>
      <c r="AH38" s="78">
        <f t="shared" ref="AH38:AH54" ca="1" si="74">IFERROR($AG38/$AG$6,0)</f>
        <v>-0.39040000000000002</v>
      </c>
      <c r="AI38" s="78">
        <f t="shared" ref="AI38:AI54" ca="1" si="75">IFERROR(($AG38-$AD38)/ABS($AD38),0)</f>
        <v>0.5827</v>
      </c>
      <c r="AJ38" s="4">
        <f ca="1">SUBTOTAL(9,AJ$39:AJ$55)</f>
        <v>-1494548.86</v>
      </c>
      <c r="AK38" s="78">
        <f t="shared" ref="AK38:AK54" ca="1" si="76">IFERROR($AJ38/$AJ$6,0)</f>
        <v>-1.0071000000000001</v>
      </c>
      <c r="AL38" s="78">
        <f t="shared" ref="AL38:AL54" ca="1" si="77">IFERROR(($AJ38-$AG38)/ABS($AG38),0)</f>
        <v>-3.1711999999999998</v>
      </c>
    </row>
    <row r="39" spans="2:39" ht="15" customHeight="1" outlineLevel="1" x14ac:dyDescent="0.3">
      <c r="B39" s="14" t="s">
        <v>397</v>
      </c>
      <c r="C39" s="14" t="s">
        <v>398</v>
      </c>
      <c r="D39" s="4">
        <f ca="1">-SUMIFS(INDIRECT("Tab_000.Trial["&amp;D$4&amp;"]"),Tab_000.Trial[CONTA],$B39)</f>
        <v>-2235.4699999999998</v>
      </c>
      <c r="E39" s="78">
        <f t="shared" ca="1" si="56"/>
        <v>-2.3999999999999998E-3</v>
      </c>
      <c r="F39" s="4">
        <f ca="1">-SUMIFS(INDIRECT("Tab_000.Trial["&amp;F$4&amp;"]"),Tab_000.Trial[CONTA],$B39)</f>
        <v>0</v>
      </c>
      <c r="G39" s="78">
        <f t="shared" ca="1" si="57"/>
        <v>0</v>
      </c>
      <c r="H39" s="78">
        <f t="shared" ca="1" si="58"/>
        <v>1</v>
      </c>
      <c r="I39" s="4">
        <f ca="1">-SUMIFS(INDIRECT("Tab_000.Trial["&amp;I$4&amp;"]"),Tab_000.Trial[CONTA],$B39)</f>
        <v>-3552.79</v>
      </c>
      <c r="J39" s="78">
        <f t="shared" ca="1" si="59"/>
        <v>-3.3999999999999998E-3</v>
      </c>
      <c r="K39" s="78">
        <f t="shared" ca="1" si="60"/>
        <v>0</v>
      </c>
      <c r="L39" s="4">
        <f ca="1">-SUMIFS(INDIRECT("Tab_000.Trial["&amp;L$4&amp;"]"),Tab_000.Trial[CONTA],$B39)</f>
        <v>-590.51</v>
      </c>
      <c r="M39" s="78">
        <f t="shared" ca="1" si="61"/>
        <v>-5.0000000000000001E-4</v>
      </c>
      <c r="N39" s="78">
        <f t="shared" ca="1" si="62"/>
        <v>0.83379999999999999</v>
      </c>
      <c r="O39" s="4">
        <f ca="1">-SUMIFS(INDIRECT("Tab_000.Trial["&amp;O$4&amp;"]"),Tab_000.Trial[CONTA],$B39)</f>
        <v>0</v>
      </c>
      <c r="P39" s="78">
        <f t="shared" ca="1" si="63"/>
        <v>0</v>
      </c>
      <c r="Q39" s="78">
        <f t="shared" ca="1" si="64"/>
        <v>1</v>
      </c>
      <c r="R39" s="4">
        <f ca="1">-SUMIFS(INDIRECT("Tab_000.Trial["&amp;R$4&amp;"]"),Tab_000.Trial[CONTA],$B39)</f>
        <v>-1653.13</v>
      </c>
      <c r="S39" s="78">
        <f t="shared" ca="1" si="65"/>
        <v>-1.6000000000000001E-3</v>
      </c>
      <c r="T39" s="78">
        <f t="shared" ca="1" si="66"/>
        <v>0</v>
      </c>
      <c r="U39" s="4">
        <f ca="1">-SUMIFS(INDIRECT("Tab_000.Trial["&amp;U$4&amp;"]"),Tab_000.Trial[CONTA],$B39)</f>
        <v>-1711.6</v>
      </c>
      <c r="V39" s="78">
        <f t="shared" ref="V39:V54" ca="1" si="78">IFERROR($U39/$U$6,0)</f>
        <v>-1.6000000000000001E-3</v>
      </c>
      <c r="W39" s="78">
        <f t="shared" ca="1" si="67"/>
        <v>-3.5400000000000001E-2</v>
      </c>
      <c r="X39" s="4">
        <f ca="1">-SUMIFS(INDIRECT("Tab_000.Trial["&amp;X$4&amp;"]"),Tab_000.Trial[CONTA],$B39)</f>
        <v>0</v>
      </c>
      <c r="Y39" s="78">
        <f t="shared" ca="1" si="68"/>
        <v>0</v>
      </c>
      <c r="Z39" s="78">
        <f t="shared" ca="1" si="69"/>
        <v>1</v>
      </c>
      <c r="AA39" s="4">
        <f ca="1">-SUMIFS(INDIRECT("Tab_000.Trial["&amp;AA$4&amp;"]"),Tab_000.Trial[CONTA],$B39)</f>
        <v>-25.49</v>
      </c>
      <c r="AB39" s="78">
        <f t="shared" ca="1" si="70"/>
        <v>0</v>
      </c>
      <c r="AC39" s="78">
        <f t="shared" ca="1" si="71"/>
        <v>0</v>
      </c>
      <c r="AD39" s="4">
        <f ca="1">-SUMIFS(INDIRECT("Tab_000.Trial["&amp;AD$4&amp;"]"),Tab_000.Trial[CONTA],$B39)</f>
        <v>-1148.25</v>
      </c>
      <c r="AE39" s="78">
        <f t="shared" ca="1" si="72"/>
        <v>-8.9999999999999998E-4</v>
      </c>
      <c r="AF39" s="78">
        <f t="shared" ca="1" si="73"/>
        <v>-44.0471</v>
      </c>
      <c r="AG39" s="4">
        <f ca="1">-SUMIFS(INDIRECT("Tab_000.Trial["&amp;AG$4&amp;"]"),Tab_000.Trial[CONTA],$B39)</f>
        <v>0</v>
      </c>
      <c r="AH39" s="78">
        <f t="shared" ca="1" si="74"/>
        <v>0</v>
      </c>
      <c r="AI39" s="78">
        <f t="shared" ca="1" si="75"/>
        <v>1</v>
      </c>
      <c r="AJ39" s="4">
        <f ca="1">-SUMIFS(INDIRECT("Tab_000.Trial["&amp;AJ$4&amp;"]"),Tab_000.Trial[CONTA],$B39)</f>
        <v>-1359.52</v>
      </c>
      <c r="AK39" s="78">
        <f t="shared" ca="1" si="76"/>
        <v>-8.9999999999999998E-4</v>
      </c>
      <c r="AL39" s="78">
        <f t="shared" ca="1" si="77"/>
        <v>0</v>
      </c>
      <c r="AM39" s="177" t="s">
        <v>764</v>
      </c>
    </row>
    <row r="40" spans="2:39" ht="15" customHeight="1" outlineLevel="1" x14ac:dyDescent="0.3">
      <c r="B40" s="14" t="s">
        <v>399</v>
      </c>
      <c r="C40" s="14" t="s">
        <v>400</v>
      </c>
      <c r="D40" s="4">
        <f ca="1">-SUMIFS(INDIRECT("Tab_000.Trial["&amp;D$4&amp;"]"),Tab_000.Trial[CONTA],$B40)</f>
        <v>0</v>
      </c>
      <c r="E40" s="78">
        <f t="shared" ca="1" si="56"/>
        <v>0</v>
      </c>
      <c r="F40" s="4">
        <f ca="1">-SUMIFS(INDIRECT("Tab_000.Trial["&amp;F$4&amp;"]"),Tab_000.Trial[CONTA],$B40)</f>
        <v>0</v>
      </c>
      <c r="G40" s="78">
        <f t="shared" ca="1" si="57"/>
        <v>0</v>
      </c>
      <c r="H40" s="78">
        <f t="shared" ca="1" si="58"/>
        <v>0</v>
      </c>
      <c r="I40" s="4">
        <f ca="1">-SUMIFS(INDIRECT("Tab_000.Trial["&amp;I$4&amp;"]"),Tab_000.Trial[CONTA],$B40)</f>
        <v>0</v>
      </c>
      <c r="J40" s="78">
        <f t="shared" ca="1" si="59"/>
        <v>0</v>
      </c>
      <c r="K40" s="78">
        <f t="shared" ca="1" si="60"/>
        <v>0</v>
      </c>
      <c r="L40" s="4">
        <f ca="1">-SUMIFS(INDIRECT("Tab_000.Trial["&amp;L$4&amp;"]"),Tab_000.Trial[CONTA],$B40)</f>
        <v>0</v>
      </c>
      <c r="M40" s="78">
        <f t="shared" ca="1" si="61"/>
        <v>0</v>
      </c>
      <c r="N40" s="78">
        <f t="shared" ca="1" si="62"/>
        <v>0</v>
      </c>
      <c r="O40" s="4">
        <f ca="1">-SUMIFS(INDIRECT("Tab_000.Trial["&amp;O$4&amp;"]"),Tab_000.Trial[CONTA],$B40)</f>
        <v>0</v>
      </c>
      <c r="P40" s="78">
        <f t="shared" ca="1" si="63"/>
        <v>0</v>
      </c>
      <c r="Q40" s="78">
        <f t="shared" ca="1" si="64"/>
        <v>0</v>
      </c>
      <c r="R40" s="4">
        <f ca="1">-SUMIFS(INDIRECT("Tab_000.Trial["&amp;R$4&amp;"]"),Tab_000.Trial[CONTA],$B40)</f>
        <v>0</v>
      </c>
      <c r="S40" s="78">
        <f t="shared" ca="1" si="65"/>
        <v>0</v>
      </c>
      <c r="T40" s="78">
        <f t="shared" ca="1" si="66"/>
        <v>0</v>
      </c>
      <c r="U40" s="4">
        <f ca="1">-SUMIFS(INDIRECT("Tab_000.Trial["&amp;U$4&amp;"]"),Tab_000.Trial[CONTA],$B40)</f>
        <v>0</v>
      </c>
      <c r="V40" s="78">
        <f t="shared" ca="1" si="78"/>
        <v>0</v>
      </c>
      <c r="W40" s="78">
        <f t="shared" ca="1" si="67"/>
        <v>0</v>
      </c>
      <c r="X40" s="4">
        <f ca="1">-SUMIFS(INDIRECT("Tab_000.Trial["&amp;X$4&amp;"]"),Tab_000.Trial[CONTA],$B40)</f>
        <v>0</v>
      </c>
      <c r="Y40" s="78">
        <f t="shared" ca="1" si="68"/>
        <v>0</v>
      </c>
      <c r="Z40" s="78">
        <f t="shared" ca="1" si="69"/>
        <v>0</v>
      </c>
      <c r="AA40" s="4">
        <f ca="1">-SUMIFS(INDIRECT("Tab_000.Trial["&amp;AA$4&amp;"]"),Tab_000.Trial[CONTA],$B40)</f>
        <v>-593.83000000000004</v>
      </c>
      <c r="AB40" s="78">
        <f t="shared" ca="1" si="70"/>
        <v>-5.9999999999999995E-4</v>
      </c>
      <c r="AC40" s="78">
        <f t="shared" ca="1" si="71"/>
        <v>0</v>
      </c>
      <c r="AD40" s="4">
        <f ca="1">-SUMIFS(INDIRECT("Tab_000.Trial["&amp;AD$4&amp;"]"),Tab_000.Trial[CONTA],$B40)</f>
        <v>-1037.8</v>
      </c>
      <c r="AE40" s="78">
        <f t="shared" ca="1" si="72"/>
        <v>-8.0000000000000004E-4</v>
      </c>
      <c r="AF40" s="78">
        <f t="shared" ca="1" si="73"/>
        <v>-0.74760000000000004</v>
      </c>
      <c r="AG40" s="4">
        <f ca="1">-SUMIFS(INDIRECT("Tab_000.Trial["&amp;AG$4&amp;"]"),Tab_000.Trial[CONTA],$B40)</f>
        <v>0</v>
      </c>
      <c r="AH40" s="78">
        <f t="shared" ca="1" si="74"/>
        <v>0</v>
      </c>
      <c r="AI40" s="78">
        <f t="shared" ca="1" si="75"/>
        <v>1</v>
      </c>
      <c r="AJ40" s="4">
        <f ca="1">-SUMIFS(INDIRECT("Tab_000.Trial["&amp;AJ$4&amp;"]"),Tab_000.Trial[CONTA],$B40)</f>
        <v>0</v>
      </c>
      <c r="AK40" s="78">
        <f t="shared" ca="1" si="76"/>
        <v>0</v>
      </c>
      <c r="AL40" s="78">
        <f t="shared" ca="1" si="77"/>
        <v>0</v>
      </c>
      <c r="AM40" s="177" t="s">
        <v>764</v>
      </c>
    </row>
    <row r="41" spans="2:39" ht="15" customHeight="1" outlineLevel="1" x14ac:dyDescent="0.3">
      <c r="B41" s="14" t="s">
        <v>401</v>
      </c>
      <c r="C41" s="14" t="s">
        <v>402</v>
      </c>
      <c r="D41" s="4">
        <f ca="1">-SUMIFS(INDIRECT("Tab_000.Trial["&amp;D$4&amp;"]"),Tab_000.Trial[CONTA],$B41)</f>
        <v>0</v>
      </c>
      <c r="E41" s="78">
        <f t="shared" ca="1" si="56"/>
        <v>0</v>
      </c>
      <c r="F41" s="4">
        <f ca="1">-SUMIFS(INDIRECT("Tab_000.Trial["&amp;F$4&amp;"]"),Tab_000.Trial[CONTA],$B41)</f>
        <v>0</v>
      </c>
      <c r="G41" s="78">
        <f t="shared" ca="1" si="57"/>
        <v>0</v>
      </c>
      <c r="H41" s="78">
        <f t="shared" ca="1" si="58"/>
        <v>0</v>
      </c>
      <c r="I41" s="4">
        <f ca="1">-SUMIFS(INDIRECT("Tab_000.Trial["&amp;I$4&amp;"]"),Tab_000.Trial[CONTA],$B41)</f>
        <v>0</v>
      </c>
      <c r="J41" s="78">
        <f t="shared" ca="1" si="59"/>
        <v>0</v>
      </c>
      <c r="K41" s="78">
        <f t="shared" ca="1" si="60"/>
        <v>0</v>
      </c>
      <c r="L41" s="4">
        <f ca="1">-SUMIFS(INDIRECT("Tab_000.Trial["&amp;L$4&amp;"]"),Tab_000.Trial[CONTA],$B41)</f>
        <v>0</v>
      </c>
      <c r="M41" s="78">
        <f t="shared" ca="1" si="61"/>
        <v>0</v>
      </c>
      <c r="N41" s="78">
        <f t="shared" ca="1" si="62"/>
        <v>0</v>
      </c>
      <c r="O41" s="4">
        <f ca="1">-SUMIFS(INDIRECT("Tab_000.Trial["&amp;O$4&amp;"]"),Tab_000.Trial[CONTA],$B41)</f>
        <v>0</v>
      </c>
      <c r="P41" s="78">
        <f t="shared" ca="1" si="63"/>
        <v>0</v>
      </c>
      <c r="Q41" s="78">
        <f t="shared" ca="1" si="64"/>
        <v>0</v>
      </c>
      <c r="R41" s="4">
        <f ca="1">-SUMIFS(INDIRECT("Tab_000.Trial["&amp;R$4&amp;"]"),Tab_000.Trial[CONTA],$B41)</f>
        <v>0</v>
      </c>
      <c r="S41" s="78">
        <f t="shared" ca="1" si="65"/>
        <v>0</v>
      </c>
      <c r="T41" s="78">
        <f t="shared" ca="1" si="66"/>
        <v>0</v>
      </c>
      <c r="U41" s="4">
        <f ca="1">-SUMIFS(INDIRECT("Tab_000.Trial["&amp;U$4&amp;"]"),Tab_000.Trial[CONTA],$B41)</f>
        <v>0</v>
      </c>
      <c r="V41" s="78">
        <f t="shared" ca="1" si="78"/>
        <v>0</v>
      </c>
      <c r="W41" s="78">
        <f t="shared" ca="1" si="67"/>
        <v>0</v>
      </c>
      <c r="X41" s="4">
        <f ca="1">-SUMIFS(INDIRECT("Tab_000.Trial["&amp;X$4&amp;"]"),Tab_000.Trial[CONTA],$B41)</f>
        <v>0</v>
      </c>
      <c r="Y41" s="78">
        <f t="shared" ca="1" si="68"/>
        <v>0</v>
      </c>
      <c r="Z41" s="78">
        <f t="shared" ca="1" si="69"/>
        <v>0</v>
      </c>
      <c r="AA41" s="4">
        <f ca="1">-SUMIFS(INDIRECT("Tab_000.Trial["&amp;AA$4&amp;"]"),Tab_000.Trial[CONTA],$B41)</f>
        <v>0</v>
      </c>
      <c r="AB41" s="78">
        <f t="shared" ca="1" si="70"/>
        <v>0</v>
      </c>
      <c r="AC41" s="78">
        <f t="shared" ca="1" si="71"/>
        <v>0</v>
      </c>
      <c r="AD41" s="4">
        <f ca="1">-SUMIFS(INDIRECT("Tab_000.Trial["&amp;AD$4&amp;"]"),Tab_000.Trial[CONTA],$B41)</f>
        <v>0</v>
      </c>
      <c r="AE41" s="78">
        <f t="shared" ca="1" si="72"/>
        <v>0</v>
      </c>
      <c r="AF41" s="78">
        <f t="shared" ca="1" si="73"/>
        <v>0</v>
      </c>
      <c r="AG41" s="4">
        <f ca="1">-SUMIFS(INDIRECT("Tab_000.Trial["&amp;AG$4&amp;"]"),Tab_000.Trial[CONTA],$B41)</f>
        <v>0</v>
      </c>
      <c r="AH41" s="78">
        <f t="shared" ca="1" si="74"/>
        <v>0</v>
      </c>
      <c r="AI41" s="78">
        <f t="shared" ca="1" si="75"/>
        <v>0</v>
      </c>
      <c r="AJ41" s="4">
        <f ca="1">-SUMIFS(INDIRECT("Tab_000.Trial["&amp;AJ$4&amp;"]"),Tab_000.Trial[CONTA],$B41)</f>
        <v>0</v>
      </c>
      <c r="AK41" s="78">
        <f t="shared" ca="1" si="76"/>
        <v>0</v>
      </c>
      <c r="AL41" s="78">
        <f t="shared" ca="1" si="77"/>
        <v>0</v>
      </c>
      <c r="AM41" s="177" t="s">
        <v>764</v>
      </c>
    </row>
    <row r="42" spans="2:39" ht="15" customHeight="1" outlineLevel="1" x14ac:dyDescent="0.3">
      <c r="B42" s="14" t="s">
        <v>403</v>
      </c>
      <c r="C42" s="14" t="s">
        <v>404</v>
      </c>
      <c r="D42" s="4">
        <f ca="1">-SUMIFS(INDIRECT("Tab_000.Trial["&amp;D$4&amp;"]"),Tab_000.Trial[CONTA],$B42)</f>
        <v>-4135.96</v>
      </c>
      <c r="E42" s="78">
        <f t="shared" ca="1" si="56"/>
        <v>-4.4000000000000003E-3</v>
      </c>
      <c r="F42" s="4">
        <f ca="1">-SUMIFS(INDIRECT("Tab_000.Trial["&amp;F$4&amp;"]"),Tab_000.Trial[CONTA],$B42)</f>
        <v>-4135.96</v>
      </c>
      <c r="G42" s="78">
        <f t="shared" ca="1" si="57"/>
        <v>-4.1999999999999997E-3</v>
      </c>
      <c r="H42" s="78">
        <f t="shared" ca="1" si="58"/>
        <v>0</v>
      </c>
      <c r="I42" s="4">
        <f ca="1">-SUMIFS(INDIRECT("Tab_000.Trial["&amp;I$4&amp;"]"),Tab_000.Trial[CONTA],$B42)</f>
        <v>-4135.96</v>
      </c>
      <c r="J42" s="78">
        <f t="shared" ca="1" si="59"/>
        <v>-3.8999999999999998E-3</v>
      </c>
      <c r="K42" s="78">
        <f t="shared" ca="1" si="60"/>
        <v>0</v>
      </c>
      <c r="L42" s="4">
        <f ca="1">-SUMIFS(INDIRECT("Tab_000.Trial["&amp;L$4&amp;"]"),Tab_000.Trial[CONTA],$B42)</f>
        <v>-4135.96</v>
      </c>
      <c r="M42" s="78">
        <f t="shared" ca="1" si="61"/>
        <v>-3.7000000000000002E-3</v>
      </c>
      <c r="N42" s="78">
        <f t="shared" ca="1" si="62"/>
        <v>0</v>
      </c>
      <c r="O42" s="4">
        <f ca="1">-SUMIFS(INDIRECT("Tab_000.Trial["&amp;O$4&amp;"]"),Tab_000.Trial[CONTA],$B42)</f>
        <v>-4135.96</v>
      </c>
      <c r="P42" s="78">
        <f t="shared" ca="1" si="63"/>
        <v>-3.3999999999999998E-3</v>
      </c>
      <c r="Q42" s="78">
        <f t="shared" ca="1" si="64"/>
        <v>0</v>
      </c>
      <c r="R42" s="4">
        <f ca="1">-SUMIFS(INDIRECT("Tab_000.Trial["&amp;R$4&amp;"]"),Tab_000.Trial[CONTA],$B42)</f>
        <v>-4135.96</v>
      </c>
      <c r="S42" s="78">
        <f t="shared" ca="1" si="65"/>
        <v>-4.1000000000000003E-3</v>
      </c>
      <c r="T42" s="78">
        <f t="shared" ca="1" si="66"/>
        <v>0</v>
      </c>
      <c r="U42" s="4">
        <f ca="1">-SUMIFS(INDIRECT("Tab_000.Trial["&amp;U$4&amp;"]"),Tab_000.Trial[CONTA],$B42)</f>
        <v>-4135.96</v>
      </c>
      <c r="V42" s="78">
        <f t="shared" ca="1" si="78"/>
        <v>-3.8E-3</v>
      </c>
      <c r="W42" s="78">
        <f t="shared" ca="1" si="67"/>
        <v>0</v>
      </c>
      <c r="X42" s="4">
        <f ca="1">-SUMIFS(INDIRECT("Tab_000.Trial["&amp;X$4&amp;"]"),Tab_000.Trial[CONTA],$B42)</f>
        <v>-4940.96</v>
      </c>
      <c r="Y42" s="78">
        <f t="shared" ca="1" si="68"/>
        <v>-4.7000000000000002E-3</v>
      </c>
      <c r="Z42" s="78">
        <f t="shared" ca="1" si="69"/>
        <v>-0.1946</v>
      </c>
      <c r="AA42" s="4">
        <f ca="1">-SUMIFS(INDIRECT("Tab_000.Trial["&amp;AA$4&amp;"]"),Tab_000.Trial[CONTA],$B42)</f>
        <v>-5400.76</v>
      </c>
      <c r="AB42" s="78">
        <f t="shared" ca="1" si="70"/>
        <v>-5.4999999999999997E-3</v>
      </c>
      <c r="AC42" s="78">
        <f t="shared" ca="1" si="71"/>
        <v>-9.3100000000000002E-2</v>
      </c>
      <c r="AD42" s="4">
        <f ca="1">-SUMIFS(INDIRECT("Tab_000.Trial["&amp;AD$4&amp;"]"),Tab_000.Trial[CONTA],$B42)</f>
        <v>-4415.96</v>
      </c>
      <c r="AE42" s="78">
        <f t="shared" ca="1" si="72"/>
        <v>-3.5999999999999999E-3</v>
      </c>
      <c r="AF42" s="78">
        <f t="shared" ca="1" si="73"/>
        <v>0.18229999999999999</v>
      </c>
      <c r="AG42" s="4">
        <f ca="1">-SUMIFS(INDIRECT("Tab_000.Trial["&amp;AG$4&amp;"]"),Tab_000.Trial[CONTA],$B42)</f>
        <v>-4665.55</v>
      </c>
      <c r="AH42" s="78">
        <f t="shared" ca="1" si="74"/>
        <v>-5.1000000000000004E-3</v>
      </c>
      <c r="AI42" s="78">
        <f t="shared" ca="1" si="75"/>
        <v>-5.6500000000000002E-2</v>
      </c>
      <c r="AJ42" s="4">
        <f ca="1">-SUMIFS(INDIRECT("Tab_000.Trial["&amp;AJ$4&amp;"]"),Tab_000.Trial[CONTA],$B42)</f>
        <v>-4585.96</v>
      </c>
      <c r="AK42" s="78">
        <f t="shared" ca="1" si="76"/>
        <v>-3.0999999999999999E-3</v>
      </c>
      <c r="AL42" s="78">
        <f t="shared" ca="1" si="77"/>
        <v>1.7100000000000001E-2</v>
      </c>
      <c r="AM42" s="177" t="s">
        <v>764</v>
      </c>
    </row>
    <row r="43" spans="2:39" ht="15" customHeight="1" outlineLevel="1" x14ac:dyDescent="0.3">
      <c r="B43" s="14" t="s">
        <v>405</v>
      </c>
      <c r="C43" s="14" t="s">
        <v>406</v>
      </c>
      <c r="D43" s="4">
        <f ca="1">-SUMIFS(INDIRECT("Tab_000.Trial["&amp;D$4&amp;"]"),Tab_000.Trial[CONTA],$B43)</f>
        <v>-27797</v>
      </c>
      <c r="E43" s="78">
        <f t="shared" ca="1" si="56"/>
        <v>-2.93E-2</v>
      </c>
      <c r="F43" s="4">
        <f ca="1">-SUMIFS(INDIRECT("Tab_000.Trial["&amp;F$4&amp;"]"),Tab_000.Trial[CONTA],$B43)</f>
        <v>-25340</v>
      </c>
      <c r="G43" s="78">
        <f t="shared" ca="1" si="57"/>
        <v>-2.5999999999999999E-2</v>
      </c>
      <c r="H43" s="78">
        <f t="shared" ca="1" si="58"/>
        <v>8.8400000000000006E-2</v>
      </c>
      <c r="I43" s="4">
        <f ca="1">-SUMIFS(INDIRECT("Tab_000.Trial["&amp;I$4&amp;"]"),Tab_000.Trial[CONTA],$B43)</f>
        <v>-23310</v>
      </c>
      <c r="J43" s="78">
        <f t="shared" ca="1" si="59"/>
        <v>-2.2200000000000001E-2</v>
      </c>
      <c r="K43" s="78">
        <f t="shared" ca="1" si="60"/>
        <v>8.0100000000000005E-2</v>
      </c>
      <c r="L43" s="4">
        <f ca="1">-SUMIFS(INDIRECT("Tab_000.Trial["&amp;L$4&amp;"]"),Tab_000.Trial[CONTA],$B43)</f>
        <v>-31370</v>
      </c>
      <c r="M43" s="78">
        <f t="shared" ca="1" si="61"/>
        <v>-2.8299999999999999E-2</v>
      </c>
      <c r="N43" s="78">
        <f t="shared" ca="1" si="62"/>
        <v>-0.3458</v>
      </c>
      <c r="O43" s="4">
        <f ca="1">-SUMIFS(INDIRECT("Tab_000.Trial["&amp;O$4&amp;"]"),Tab_000.Trial[CONTA],$B43)</f>
        <v>-31320</v>
      </c>
      <c r="P43" s="78">
        <f t="shared" ca="1" si="63"/>
        <v>-2.58E-2</v>
      </c>
      <c r="Q43" s="78">
        <f t="shared" ca="1" si="64"/>
        <v>1.6000000000000001E-3</v>
      </c>
      <c r="R43" s="4">
        <f ca="1">-SUMIFS(INDIRECT("Tab_000.Trial["&amp;R$4&amp;"]"),Tab_000.Trial[CONTA],$B43)</f>
        <v>-29405</v>
      </c>
      <c r="S43" s="78">
        <f t="shared" ca="1" si="65"/>
        <v>-2.92E-2</v>
      </c>
      <c r="T43" s="78">
        <f t="shared" ca="1" si="66"/>
        <v>6.1100000000000002E-2</v>
      </c>
      <c r="U43" s="4">
        <f ca="1">-SUMIFS(INDIRECT("Tab_000.Trial["&amp;U$4&amp;"]"),Tab_000.Trial[CONTA],$B43)</f>
        <v>-27840</v>
      </c>
      <c r="V43" s="78">
        <f t="shared" ca="1" si="78"/>
        <v>-2.5899999999999999E-2</v>
      </c>
      <c r="W43" s="78">
        <f t="shared" ca="1" si="67"/>
        <v>5.3199999999999997E-2</v>
      </c>
      <c r="X43" s="4">
        <f ca="1">-SUMIFS(INDIRECT("Tab_000.Trial["&amp;X$4&amp;"]"),Tab_000.Trial[CONTA],$B43)</f>
        <v>-33120</v>
      </c>
      <c r="Y43" s="78">
        <f t="shared" ca="1" si="68"/>
        <v>-3.1800000000000002E-2</v>
      </c>
      <c r="Z43" s="78">
        <f t="shared" ca="1" si="69"/>
        <v>-0.18970000000000001</v>
      </c>
      <c r="AA43" s="4">
        <f ca="1">-SUMIFS(INDIRECT("Tab_000.Trial["&amp;AA$4&amp;"]"),Tab_000.Trial[CONTA],$B43)</f>
        <v>-32060</v>
      </c>
      <c r="AB43" s="78">
        <f t="shared" ca="1" si="70"/>
        <v>-3.2899999999999999E-2</v>
      </c>
      <c r="AC43" s="78">
        <f t="shared" ca="1" si="71"/>
        <v>3.2000000000000001E-2</v>
      </c>
      <c r="AD43" s="4">
        <f ca="1">-SUMIFS(INDIRECT("Tab_000.Trial["&amp;AD$4&amp;"]"),Tab_000.Trial[CONTA],$B43)</f>
        <v>-27750</v>
      </c>
      <c r="AE43" s="78">
        <f t="shared" ca="1" si="72"/>
        <v>-2.23E-2</v>
      </c>
      <c r="AF43" s="78">
        <f t="shared" ca="1" si="73"/>
        <v>0.13439999999999999</v>
      </c>
      <c r="AG43" s="4">
        <f ca="1">-SUMIFS(INDIRECT("Tab_000.Trial["&amp;AG$4&amp;"]"),Tab_000.Trial[CONTA],$B43)</f>
        <v>-40210</v>
      </c>
      <c r="AH43" s="78">
        <f t="shared" ca="1" si="74"/>
        <v>-4.3799999999999999E-2</v>
      </c>
      <c r="AI43" s="78">
        <f t="shared" ca="1" si="75"/>
        <v>-0.44900000000000001</v>
      </c>
      <c r="AJ43" s="4">
        <f ca="1">-SUMIFS(INDIRECT("Tab_000.Trial["&amp;AJ$4&amp;"]"),Tab_000.Trial[CONTA],$B43)</f>
        <v>-22720</v>
      </c>
      <c r="AK43" s="78">
        <f t="shared" ca="1" si="76"/>
        <v>-1.5299999999999999E-2</v>
      </c>
      <c r="AL43" s="78">
        <f t="shared" ca="1" si="77"/>
        <v>0.435</v>
      </c>
      <c r="AM43" s="177" t="s">
        <v>764</v>
      </c>
    </row>
    <row r="44" spans="2:39" ht="15" customHeight="1" outlineLevel="1" x14ac:dyDescent="0.3">
      <c r="B44" s="14" t="s">
        <v>407</v>
      </c>
      <c r="C44" s="14" t="s">
        <v>408</v>
      </c>
      <c r="D44" s="4">
        <f ca="1">-SUMIFS(INDIRECT("Tab_000.Trial["&amp;D$4&amp;"]"),Tab_000.Trial[CONTA],$B44)</f>
        <v>-2247.19</v>
      </c>
      <c r="E44" s="78">
        <f t="shared" ca="1" si="56"/>
        <v>-2.3999999999999998E-3</v>
      </c>
      <c r="F44" s="4">
        <f ca="1">-SUMIFS(INDIRECT("Tab_000.Trial["&amp;F$4&amp;"]"),Tab_000.Trial[CONTA],$B44)</f>
        <v>-374.53</v>
      </c>
      <c r="G44" s="78">
        <f t="shared" ca="1" si="57"/>
        <v>-4.0000000000000002E-4</v>
      </c>
      <c r="H44" s="78">
        <f t="shared" ca="1" si="58"/>
        <v>0.83330000000000004</v>
      </c>
      <c r="I44" s="4">
        <f ca="1">-SUMIFS(INDIRECT("Tab_000.Trial["&amp;I$4&amp;"]"),Tab_000.Trial[CONTA],$B44)</f>
        <v>-3730.33</v>
      </c>
      <c r="J44" s="78">
        <f t="shared" ca="1" si="59"/>
        <v>-3.5000000000000001E-3</v>
      </c>
      <c r="K44" s="78">
        <f t="shared" ca="1" si="60"/>
        <v>-8.9600000000000009</v>
      </c>
      <c r="L44" s="4">
        <f ca="1">-SUMIFS(INDIRECT("Tab_000.Trial["&amp;L$4&amp;"]"),Tab_000.Trial[CONTA],$B44)</f>
        <v>-3000</v>
      </c>
      <c r="M44" s="78">
        <f t="shared" ca="1" si="61"/>
        <v>-2.7000000000000001E-3</v>
      </c>
      <c r="N44" s="78">
        <f t="shared" ca="1" si="62"/>
        <v>0.1958</v>
      </c>
      <c r="O44" s="4">
        <f ca="1">-SUMIFS(INDIRECT("Tab_000.Trial["&amp;O$4&amp;"]"),Tab_000.Trial[CONTA],$B44)</f>
        <v>-6000</v>
      </c>
      <c r="P44" s="78">
        <f t="shared" ca="1" si="63"/>
        <v>-4.8999999999999998E-3</v>
      </c>
      <c r="Q44" s="78">
        <f t="shared" ca="1" si="64"/>
        <v>-1</v>
      </c>
      <c r="R44" s="4">
        <f ca="1">-SUMIFS(INDIRECT("Tab_000.Trial["&amp;R$4&amp;"]"),Tab_000.Trial[CONTA],$B44)</f>
        <v>-5013.2</v>
      </c>
      <c r="S44" s="78">
        <f t="shared" ca="1" si="65"/>
        <v>-5.0000000000000001E-3</v>
      </c>
      <c r="T44" s="78">
        <f t="shared" ca="1" si="66"/>
        <v>0.16450000000000001</v>
      </c>
      <c r="U44" s="4">
        <f ca="1">-SUMIFS(INDIRECT("Tab_000.Trial["&amp;U$4&amp;"]"),Tab_000.Trial[CONTA],$B44)</f>
        <v>0</v>
      </c>
      <c r="V44" s="78">
        <f t="shared" ca="1" si="78"/>
        <v>0</v>
      </c>
      <c r="W44" s="78">
        <f t="shared" ca="1" si="67"/>
        <v>1</v>
      </c>
      <c r="X44" s="4">
        <f ca="1">-SUMIFS(INDIRECT("Tab_000.Trial["&amp;X$4&amp;"]"),Tab_000.Trial[CONTA],$B44)</f>
        <v>0</v>
      </c>
      <c r="Y44" s="78">
        <f t="shared" ca="1" si="68"/>
        <v>0</v>
      </c>
      <c r="Z44" s="78">
        <f t="shared" ca="1" si="69"/>
        <v>0</v>
      </c>
      <c r="AA44" s="4">
        <f ca="1">-SUMIFS(INDIRECT("Tab_000.Trial["&amp;AA$4&amp;"]"),Tab_000.Trial[CONTA],$B44)</f>
        <v>0</v>
      </c>
      <c r="AB44" s="78">
        <f t="shared" ca="1" si="70"/>
        <v>0</v>
      </c>
      <c r="AC44" s="78">
        <f t="shared" ca="1" si="71"/>
        <v>0</v>
      </c>
      <c r="AD44" s="4">
        <f ca="1">-SUMIFS(INDIRECT("Tab_000.Trial["&amp;AD$4&amp;"]"),Tab_000.Trial[CONTA],$B44)</f>
        <v>0</v>
      </c>
      <c r="AE44" s="78">
        <f t="shared" ca="1" si="72"/>
        <v>0</v>
      </c>
      <c r="AF44" s="78">
        <f t="shared" ca="1" si="73"/>
        <v>0</v>
      </c>
      <c r="AG44" s="4">
        <f ca="1">-SUMIFS(INDIRECT("Tab_000.Trial["&amp;AG$4&amp;"]"),Tab_000.Trial[CONTA],$B44)</f>
        <v>0</v>
      </c>
      <c r="AH44" s="78">
        <f t="shared" ca="1" si="74"/>
        <v>0</v>
      </c>
      <c r="AI44" s="78">
        <f t="shared" ca="1" si="75"/>
        <v>0</v>
      </c>
      <c r="AJ44" s="4">
        <f ca="1">-SUMIFS(INDIRECT("Tab_000.Trial["&amp;AJ$4&amp;"]"),Tab_000.Trial[CONTA],$B44)</f>
        <v>0</v>
      </c>
      <c r="AK44" s="78">
        <f t="shared" ca="1" si="76"/>
        <v>0</v>
      </c>
      <c r="AL44" s="78">
        <f t="shared" ca="1" si="77"/>
        <v>0</v>
      </c>
      <c r="AM44" s="177" t="s">
        <v>764</v>
      </c>
    </row>
    <row r="45" spans="2:39" ht="15" customHeight="1" outlineLevel="1" x14ac:dyDescent="0.3">
      <c r="B45" s="14" t="s">
        <v>409</v>
      </c>
      <c r="C45" s="14" t="s">
        <v>410</v>
      </c>
      <c r="D45" s="4">
        <f ca="1">-SUMIFS(INDIRECT("Tab_000.Trial["&amp;D$4&amp;"]"),Tab_000.Trial[CONTA],$B45)</f>
        <v>0</v>
      </c>
      <c r="E45" s="78">
        <f t="shared" ca="1" si="56"/>
        <v>0</v>
      </c>
      <c r="F45" s="4">
        <f ca="1">-SUMIFS(INDIRECT("Tab_000.Trial["&amp;F$4&amp;"]"),Tab_000.Trial[CONTA],$B45)</f>
        <v>0</v>
      </c>
      <c r="G45" s="78">
        <f t="shared" ca="1" si="57"/>
        <v>0</v>
      </c>
      <c r="H45" s="78">
        <f t="shared" ca="1" si="58"/>
        <v>0</v>
      </c>
      <c r="I45" s="4">
        <f ca="1">-SUMIFS(INDIRECT("Tab_000.Trial["&amp;I$4&amp;"]"),Tab_000.Trial[CONTA],$B45)</f>
        <v>0</v>
      </c>
      <c r="J45" s="78">
        <f t="shared" ca="1" si="59"/>
        <v>0</v>
      </c>
      <c r="K45" s="78">
        <f t="shared" ca="1" si="60"/>
        <v>0</v>
      </c>
      <c r="L45" s="4">
        <f ca="1">-SUMIFS(INDIRECT("Tab_000.Trial["&amp;L$4&amp;"]"),Tab_000.Trial[CONTA],$B45)</f>
        <v>0</v>
      </c>
      <c r="M45" s="78">
        <f t="shared" ca="1" si="61"/>
        <v>0</v>
      </c>
      <c r="N45" s="78">
        <f t="shared" ca="1" si="62"/>
        <v>0</v>
      </c>
      <c r="O45" s="4">
        <f ca="1">-SUMIFS(INDIRECT("Tab_000.Trial["&amp;O$4&amp;"]"),Tab_000.Trial[CONTA],$B45)</f>
        <v>0</v>
      </c>
      <c r="P45" s="78">
        <f t="shared" ca="1" si="63"/>
        <v>0</v>
      </c>
      <c r="Q45" s="78">
        <f t="shared" ca="1" si="64"/>
        <v>0</v>
      </c>
      <c r="R45" s="4">
        <f ca="1">-SUMIFS(INDIRECT("Tab_000.Trial["&amp;R$4&amp;"]"),Tab_000.Trial[CONTA],$B45)</f>
        <v>0</v>
      </c>
      <c r="S45" s="78">
        <f t="shared" ca="1" si="65"/>
        <v>0</v>
      </c>
      <c r="T45" s="78">
        <f t="shared" ca="1" si="66"/>
        <v>0</v>
      </c>
      <c r="U45" s="4">
        <f ca="1">-SUMIFS(INDIRECT("Tab_000.Trial["&amp;U$4&amp;"]"),Tab_000.Trial[CONTA],$B45)</f>
        <v>0</v>
      </c>
      <c r="V45" s="78">
        <f t="shared" ca="1" si="78"/>
        <v>0</v>
      </c>
      <c r="W45" s="78">
        <f t="shared" ca="1" si="67"/>
        <v>0</v>
      </c>
      <c r="X45" s="4">
        <f ca="1">-SUMIFS(INDIRECT("Tab_000.Trial["&amp;X$4&amp;"]"),Tab_000.Trial[CONTA],$B45)</f>
        <v>0</v>
      </c>
      <c r="Y45" s="78">
        <f t="shared" ca="1" si="68"/>
        <v>0</v>
      </c>
      <c r="Z45" s="78">
        <f t="shared" ca="1" si="69"/>
        <v>0</v>
      </c>
      <c r="AA45" s="4">
        <f ca="1">-SUMIFS(INDIRECT("Tab_000.Trial["&amp;AA$4&amp;"]"),Tab_000.Trial[CONTA],$B45)</f>
        <v>0</v>
      </c>
      <c r="AB45" s="78">
        <f t="shared" ca="1" si="70"/>
        <v>0</v>
      </c>
      <c r="AC45" s="78">
        <f t="shared" ca="1" si="71"/>
        <v>0</v>
      </c>
      <c r="AD45" s="4">
        <f ca="1">-SUMIFS(INDIRECT("Tab_000.Trial["&amp;AD$4&amp;"]"),Tab_000.Trial[CONTA],$B45)</f>
        <v>0</v>
      </c>
      <c r="AE45" s="78">
        <f t="shared" ca="1" si="72"/>
        <v>0</v>
      </c>
      <c r="AF45" s="78">
        <f t="shared" ca="1" si="73"/>
        <v>0</v>
      </c>
      <c r="AG45" s="4">
        <f ca="1">-SUMIFS(INDIRECT("Tab_000.Trial["&amp;AG$4&amp;"]"),Tab_000.Trial[CONTA],$B45)</f>
        <v>0</v>
      </c>
      <c r="AH45" s="78">
        <f t="shared" ca="1" si="74"/>
        <v>0</v>
      </c>
      <c r="AI45" s="78">
        <f t="shared" ca="1" si="75"/>
        <v>0</v>
      </c>
      <c r="AJ45" s="4">
        <f ca="1">-SUMIFS(INDIRECT("Tab_000.Trial["&amp;AJ$4&amp;"]"),Tab_000.Trial[CONTA],$B45)</f>
        <v>0</v>
      </c>
      <c r="AK45" s="78">
        <f t="shared" ca="1" si="76"/>
        <v>0</v>
      </c>
      <c r="AL45" s="78">
        <f t="shared" ca="1" si="77"/>
        <v>0</v>
      </c>
      <c r="AM45" s="177" t="s">
        <v>764</v>
      </c>
    </row>
    <row r="46" spans="2:39" ht="15" customHeight="1" outlineLevel="1" x14ac:dyDescent="0.3">
      <c r="B46" s="14" t="s">
        <v>411</v>
      </c>
      <c r="C46" s="14" t="s">
        <v>412</v>
      </c>
      <c r="D46" s="4">
        <f ca="1">-SUMIFS(INDIRECT("Tab_000.Trial["&amp;D$4&amp;"]"),Tab_000.Trial[CONTA],$B46)</f>
        <v>-300</v>
      </c>
      <c r="E46" s="78">
        <f t="shared" ca="1" si="56"/>
        <v>-2.9999999999999997E-4</v>
      </c>
      <c r="F46" s="4">
        <f ca="1">-SUMIFS(INDIRECT("Tab_000.Trial["&amp;F$4&amp;"]"),Tab_000.Trial[CONTA],$B46)</f>
        <v>0</v>
      </c>
      <c r="G46" s="78">
        <f t="shared" ca="1" si="57"/>
        <v>0</v>
      </c>
      <c r="H46" s="78">
        <f t="shared" ca="1" si="58"/>
        <v>1</v>
      </c>
      <c r="I46" s="4">
        <f ca="1">-SUMIFS(INDIRECT("Tab_000.Trial["&amp;I$4&amp;"]"),Tab_000.Trial[CONTA],$B46)</f>
        <v>0</v>
      </c>
      <c r="J46" s="78">
        <f t="shared" ca="1" si="59"/>
        <v>0</v>
      </c>
      <c r="K46" s="78">
        <f t="shared" ca="1" si="60"/>
        <v>0</v>
      </c>
      <c r="L46" s="4">
        <f ca="1">-SUMIFS(INDIRECT("Tab_000.Trial["&amp;L$4&amp;"]"),Tab_000.Trial[CONTA],$B46)</f>
        <v>0</v>
      </c>
      <c r="M46" s="78">
        <f t="shared" ca="1" si="61"/>
        <v>0</v>
      </c>
      <c r="N46" s="78">
        <f t="shared" ca="1" si="62"/>
        <v>0</v>
      </c>
      <c r="O46" s="4">
        <f ca="1">-SUMIFS(INDIRECT("Tab_000.Trial["&amp;O$4&amp;"]"),Tab_000.Trial[CONTA],$B46)</f>
        <v>0</v>
      </c>
      <c r="P46" s="78">
        <f t="shared" ca="1" si="63"/>
        <v>0</v>
      </c>
      <c r="Q46" s="78">
        <f t="shared" ca="1" si="64"/>
        <v>0</v>
      </c>
      <c r="R46" s="4">
        <f ca="1">-SUMIFS(INDIRECT("Tab_000.Trial["&amp;R$4&amp;"]"),Tab_000.Trial[CONTA],$B46)</f>
        <v>0</v>
      </c>
      <c r="S46" s="78">
        <f t="shared" ca="1" si="65"/>
        <v>0</v>
      </c>
      <c r="T46" s="78">
        <f t="shared" ca="1" si="66"/>
        <v>0</v>
      </c>
      <c r="U46" s="4">
        <f ca="1">-SUMIFS(INDIRECT("Tab_000.Trial["&amp;U$4&amp;"]"),Tab_000.Trial[CONTA],$B46)</f>
        <v>0</v>
      </c>
      <c r="V46" s="78">
        <f t="shared" ca="1" si="78"/>
        <v>0</v>
      </c>
      <c r="W46" s="78">
        <f t="shared" ca="1" si="67"/>
        <v>0</v>
      </c>
      <c r="X46" s="4">
        <f ca="1">-SUMIFS(INDIRECT("Tab_000.Trial["&amp;X$4&amp;"]"),Tab_000.Trial[CONTA],$B46)</f>
        <v>0</v>
      </c>
      <c r="Y46" s="78">
        <f t="shared" ca="1" si="68"/>
        <v>0</v>
      </c>
      <c r="Z46" s="78">
        <f t="shared" ca="1" si="69"/>
        <v>0</v>
      </c>
      <c r="AA46" s="4">
        <f ca="1">-SUMIFS(INDIRECT("Tab_000.Trial["&amp;AA$4&amp;"]"),Tab_000.Trial[CONTA],$B46)</f>
        <v>0</v>
      </c>
      <c r="AB46" s="78">
        <f t="shared" ca="1" si="70"/>
        <v>0</v>
      </c>
      <c r="AC46" s="78">
        <f t="shared" ca="1" si="71"/>
        <v>0</v>
      </c>
      <c r="AD46" s="4">
        <f ca="1">-SUMIFS(INDIRECT("Tab_000.Trial["&amp;AD$4&amp;"]"),Tab_000.Trial[CONTA],$B46)</f>
        <v>0</v>
      </c>
      <c r="AE46" s="78">
        <f t="shared" ca="1" si="72"/>
        <v>0</v>
      </c>
      <c r="AF46" s="78">
        <f t="shared" ca="1" si="73"/>
        <v>0</v>
      </c>
      <c r="AG46" s="4">
        <f ca="1">-SUMIFS(INDIRECT("Tab_000.Trial["&amp;AG$4&amp;"]"),Tab_000.Trial[CONTA],$B46)</f>
        <v>0</v>
      </c>
      <c r="AH46" s="78">
        <f t="shared" ca="1" si="74"/>
        <v>0</v>
      </c>
      <c r="AI46" s="78">
        <f t="shared" ca="1" si="75"/>
        <v>0</v>
      </c>
      <c r="AJ46" s="4">
        <f ca="1">-SUMIFS(INDIRECT("Tab_000.Trial["&amp;AJ$4&amp;"]"),Tab_000.Trial[CONTA],$B46)</f>
        <v>0</v>
      </c>
      <c r="AK46" s="78">
        <f t="shared" ca="1" si="76"/>
        <v>0</v>
      </c>
      <c r="AL46" s="78">
        <f t="shared" ca="1" si="77"/>
        <v>0</v>
      </c>
      <c r="AM46" s="177" t="s">
        <v>764</v>
      </c>
    </row>
    <row r="47" spans="2:39" ht="15" customHeight="1" outlineLevel="1" x14ac:dyDescent="0.3">
      <c r="B47" s="14" t="s">
        <v>413</v>
      </c>
      <c r="C47" s="14" t="s">
        <v>414</v>
      </c>
      <c r="D47" s="4">
        <f ca="1">-SUMIFS(INDIRECT("Tab_000.Trial["&amp;D$4&amp;"]"),Tab_000.Trial[CONTA],$B47)</f>
        <v>-17935.75</v>
      </c>
      <c r="E47" s="78">
        <f t="shared" ca="1" si="56"/>
        <v>-1.89E-2</v>
      </c>
      <c r="F47" s="4">
        <f ca="1">-SUMIFS(INDIRECT("Tab_000.Trial["&amp;F$4&amp;"]"),Tab_000.Trial[CONTA],$B47)</f>
        <v>-11807.35</v>
      </c>
      <c r="G47" s="78">
        <f t="shared" ca="1" si="57"/>
        <v>-1.21E-2</v>
      </c>
      <c r="H47" s="78">
        <f t="shared" ca="1" si="58"/>
        <v>0.3417</v>
      </c>
      <c r="I47" s="4">
        <f ca="1">-SUMIFS(INDIRECT("Tab_000.Trial["&amp;I$4&amp;"]"),Tab_000.Trial[CONTA],$B47)</f>
        <v>-13488.77</v>
      </c>
      <c r="J47" s="78">
        <f t="shared" ca="1" si="59"/>
        <v>-1.2800000000000001E-2</v>
      </c>
      <c r="K47" s="78">
        <f t="shared" ca="1" si="60"/>
        <v>-0.1424</v>
      </c>
      <c r="L47" s="4">
        <f ca="1">-SUMIFS(INDIRECT("Tab_000.Trial["&amp;L$4&amp;"]"),Tab_000.Trial[CONTA],$B47)</f>
        <v>-16616.61</v>
      </c>
      <c r="M47" s="78">
        <f t="shared" ca="1" si="61"/>
        <v>-1.4999999999999999E-2</v>
      </c>
      <c r="N47" s="78">
        <f t="shared" ca="1" si="62"/>
        <v>-0.2319</v>
      </c>
      <c r="O47" s="4">
        <f ca="1">-SUMIFS(INDIRECT("Tab_000.Trial["&amp;O$4&amp;"]"),Tab_000.Trial[CONTA],$B47)</f>
        <v>-12075.06</v>
      </c>
      <c r="P47" s="78">
        <f t="shared" ca="1" si="63"/>
        <v>-0.01</v>
      </c>
      <c r="Q47" s="78">
        <f t="shared" ca="1" si="64"/>
        <v>0.27329999999999999</v>
      </c>
      <c r="R47" s="4">
        <f ca="1">-SUMIFS(INDIRECT("Tab_000.Trial["&amp;R$4&amp;"]"),Tab_000.Trial[CONTA],$B47)</f>
        <v>-18633.22</v>
      </c>
      <c r="S47" s="78">
        <f t="shared" ca="1" si="65"/>
        <v>-1.8499999999999999E-2</v>
      </c>
      <c r="T47" s="78">
        <f t="shared" ca="1" si="66"/>
        <v>-0.54310000000000003</v>
      </c>
      <c r="U47" s="4">
        <f ca="1">-SUMIFS(INDIRECT("Tab_000.Trial["&amp;U$4&amp;"]"),Tab_000.Trial[CONTA],$B47)</f>
        <v>-16281.96</v>
      </c>
      <c r="V47" s="78">
        <f t="shared" ca="1" si="78"/>
        <v>-1.5100000000000001E-2</v>
      </c>
      <c r="W47" s="78">
        <f t="shared" ca="1" si="67"/>
        <v>0.12620000000000001</v>
      </c>
      <c r="X47" s="4">
        <f ca="1">-SUMIFS(INDIRECT("Tab_000.Trial["&amp;X$4&amp;"]"),Tab_000.Trial[CONTA],$B47)</f>
        <v>-12769.37</v>
      </c>
      <c r="Y47" s="78">
        <f t="shared" ca="1" si="68"/>
        <v>-1.23E-2</v>
      </c>
      <c r="Z47" s="78">
        <f t="shared" ca="1" si="69"/>
        <v>0.2157</v>
      </c>
      <c r="AA47" s="4">
        <f ca="1">-SUMIFS(INDIRECT("Tab_000.Trial["&amp;AA$4&amp;"]"),Tab_000.Trial[CONTA],$B47)</f>
        <v>-6243.48</v>
      </c>
      <c r="AB47" s="78">
        <f t="shared" ca="1" si="70"/>
        <v>-6.4000000000000003E-3</v>
      </c>
      <c r="AC47" s="78">
        <f t="shared" ca="1" si="71"/>
        <v>0.5111</v>
      </c>
      <c r="AD47" s="4">
        <f ca="1">-SUMIFS(INDIRECT("Tab_000.Trial["&amp;AD$4&amp;"]"),Tab_000.Trial[CONTA],$B47)</f>
        <v>-19752.099999999999</v>
      </c>
      <c r="AE47" s="78">
        <f t="shared" ca="1" si="72"/>
        <v>-1.5900000000000001E-2</v>
      </c>
      <c r="AF47" s="78">
        <f t="shared" ca="1" si="73"/>
        <v>-2.1636000000000002</v>
      </c>
      <c r="AG47" s="4">
        <f ca="1">-SUMIFS(INDIRECT("Tab_000.Trial["&amp;AG$4&amp;"]"),Tab_000.Trial[CONTA],$B47)</f>
        <v>-15078.88</v>
      </c>
      <c r="AH47" s="78">
        <f t="shared" ca="1" si="74"/>
        <v>-1.6400000000000001E-2</v>
      </c>
      <c r="AI47" s="78">
        <f t="shared" ca="1" si="75"/>
        <v>0.2366</v>
      </c>
      <c r="AJ47" s="4">
        <f ca="1">-SUMIFS(INDIRECT("Tab_000.Trial["&amp;AJ$4&amp;"]"),Tab_000.Trial[CONTA],$B47)</f>
        <v>-10824.73</v>
      </c>
      <c r="AK47" s="78">
        <f t="shared" ca="1" si="76"/>
        <v>-7.3000000000000001E-3</v>
      </c>
      <c r="AL47" s="78">
        <f t="shared" ca="1" si="77"/>
        <v>0.28210000000000002</v>
      </c>
      <c r="AM47" s="177" t="s">
        <v>764</v>
      </c>
    </row>
    <row r="48" spans="2:39" ht="15" customHeight="1" outlineLevel="1" x14ac:dyDescent="0.3">
      <c r="B48" s="14" t="s">
        <v>415</v>
      </c>
      <c r="C48" s="14" t="s">
        <v>416</v>
      </c>
      <c r="D48" s="4">
        <f ca="1">-SUMIFS(INDIRECT("Tab_000.Trial["&amp;D$4&amp;"]"),Tab_000.Trial[CONTA],$B48)</f>
        <v>0</v>
      </c>
      <c r="E48" s="78">
        <f t="shared" ca="1" si="56"/>
        <v>0</v>
      </c>
      <c r="F48" s="4">
        <f ca="1">-SUMIFS(INDIRECT("Tab_000.Trial["&amp;F$4&amp;"]"),Tab_000.Trial[CONTA],$B48)</f>
        <v>0</v>
      </c>
      <c r="G48" s="78">
        <f t="shared" ca="1" si="57"/>
        <v>0</v>
      </c>
      <c r="H48" s="78">
        <f t="shared" ca="1" si="58"/>
        <v>0</v>
      </c>
      <c r="I48" s="4">
        <f ca="1">-SUMIFS(INDIRECT("Tab_000.Trial["&amp;I$4&amp;"]"),Tab_000.Trial[CONTA],$B48)</f>
        <v>0</v>
      </c>
      <c r="J48" s="78">
        <f t="shared" ca="1" si="59"/>
        <v>0</v>
      </c>
      <c r="K48" s="78">
        <f t="shared" ca="1" si="60"/>
        <v>0</v>
      </c>
      <c r="L48" s="4">
        <f ca="1">-SUMIFS(INDIRECT("Tab_000.Trial["&amp;L$4&amp;"]"),Tab_000.Trial[CONTA],$B48)</f>
        <v>0</v>
      </c>
      <c r="M48" s="78">
        <f t="shared" ca="1" si="61"/>
        <v>0</v>
      </c>
      <c r="N48" s="78">
        <f t="shared" ca="1" si="62"/>
        <v>0</v>
      </c>
      <c r="O48" s="4">
        <f ca="1">-SUMIFS(INDIRECT("Tab_000.Trial["&amp;O$4&amp;"]"),Tab_000.Trial[CONTA],$B48)</f>
        <v>0</v>
      </c>
      <c r="P48" s="78">
        <f t="shared" ca="1" si="63"/>
        <v>0</v>
      </c>
      <c r="Q48" s="78">
        <f t="shared" ca="1" si="64"/>
        <v>0</v>
      </c>
      <c r="R48" s="4">
        <f ca="1">-SUMIFS(INDIRECT("Tab_000.Trial["&amp;R$4&amp;"]"),Tab_000.Trial[CONTA],$B48)</f>
        <v>0</v>
      </c>
      <c r="S48" s="78">
        <f t="shared" ca="1" si="65"/>
        <v>0</v>
      </c>
      <c r="T48" s="78">
        <f t="shared" ca="1" si="66"/>
        <v>0</v>
      </c>
      <c r="U48" s="4">
        <f ca="1">-SUMIFS(INDIRECT("Tab_000.Trial["&amp;U$4&amp;"]"),Tab_000.Trial[CONTA],$B48)</f>
        <v>0</v>
      </c>
      <c r="V48" s="78">
        <f t="shared" ca="1" si="78"/>
        <v>0</v>
      </c>
      <c r="W48" s="78">
        <f t="shared" ca="1" si="67"/>
        <v>0</v>
      </c>
      <c r="X48" s="4">
        <f ca="1">-SUMIFS(INDIRECT("Tab_000.Trial["&amp;X$4&amp;"]"),Tab_000.Trial[CONTA],$B48)</f>
        <v>0</v>
      </c>
      <c r="Y48" s="78">
        <f t="shared" ca="1" si="68"/>
        <v>0</v>
      </c>
      <c r="Z48" s="78">
        <f t="shared" ca="1" si="69"/>
        <v>0</v>
      </c>
      <c r="AA48" s="4">
        <f ca="1">-SUMIFS(INDIRECT("Tab_000.Trial["&amp;AA$4&amp;"]"),Tab_000.Trial[CONTA],$B48)</f>
        <v>0</v>
      </c>
      <c r="AB48" s="78">
        <f t="shared" ca="1" si="70"/>
        <v>0</v>
      </c>
      <c r="AC48" s="78">
        <f t="shared" ca="1" si="71"/>
        <v>0</v>
      </c>
      <c r="AD48" s="4">
        <f ca="1">-SUMIFS(INDIRECT("Tab_000.Trial["&amp;AD$4&amp;"]"),Tab_000.Trial[CONTA],$B48)</f>
        <v>0</v>
      </c>
      <c r="AE48" s="78">
        <f t="shared" ca="1" si="72"/>
        <v>0</v>
      </c>
      <c r="AF48" s="78">
        <f t="shared" ca="1" si="73"/>
        <v>0</v>
      </c>
      <c r="AG48" s="4">
        <f ca="1">-SUMIFS(INDIRECT("Tab_000.Trial["&amp;AG$4&amp;"]"),Tab_000.Trial[CONTA],$B48)</f>
        <v>0</v>
      </c>
      <c r="AH48" s="78">
        <f t="shared" ca="1" si="74"/>
        <v>0</v>
      </c>
      <c r="AI48" s="78">
        <f t="shared" ca="1" si="75"/>
        <v>0</v>
      </c>
      <c r="AJ48" s="4">
        <f ca="1">-SUMIFS(INDIRECT("Tab_000.Trial["&amp;AJ$4&amp;"]"),Tab_000.Trial[CONTA],$B48)</f>
        <v>0</v>
      </c>
      <c r="AK48" s="78">
        <f t="shared" ca="1" si="76"/>
        <v>0</v>
      </c>
      <c r="AL48" s="78">
        <f t="shared" ca="1" si="77"/>
        <v>0</v>
      </c>
      <c r="AM48" s="177" t="s">
        <v>764</v>
      </c>
    </row>
    <row r="49" spans="2:39" ht="15" customHeight="1" outlineLevel="1" x14ac:dyDescent="0.3">
      <c r="B49" s="14" t="s">
        <v>417</v>
      </c>
      <c r="C49" s="14" t="s">
        <v>418</v>
      </c>
      <c r="D49" s="4">
        <f ca="1">-SUMIFS(INDIRECT("Tab_000.Trial["&amp;D$4&amp;"]"),Tab_000.Trial[CONTA],$B49)</f>
        <v>0</v>
      </c>
      <c r="E49" s="78">
        <f t="shared" ca="1" si="56"/>
        <v>0</v>
      </c>
      <c r="F49" s="4">
        <f ca="1">-SUMIFS(INDIRECT("Tab_000.Trial["&amp;F$4&amp;"]"),Tab_000.Trial[CONTA],$B49)</f>
        <v>0</v>
      </c>
      <c r="G49" s="78">
        <f t="shared" ca="1" si="57"/>
        <v>0</v>
      </c>
      <c r="H49" s="78">
        <f t="shared" ca="1" si="58"/>
        <v>0</v>
      </c>
      <c r="I49" s="4">
        <f ca="1">-SUMIFS(INDIRECT("Tab_000.Trial["&amp;I$4&amp;"]"),Tab_000.Trial[CONTA],$B49)</f>
        <v>0</v>
      </c>
      <c r="J49" s="78">
        <f t="shared" ca="1" si="59"/>
        <v>0</v>
      </c>
      <c r="K49" s="78">
        <f t="shared" ca="1" si="60"/>
        <v>0</v>
      </c>
      <c r="L49" s="4">
        <f ca="1">-SUMIFS(INDIRECT("Tab_000.Trial["&amp;L$4&amp;"]"),Tab_000.Trial[CONTA],$B49)</f>
        <v>0</v>
      </c>
      <c r="M49" s="78">
        <f t="shared" ca="1" si="61"/>
        <v>0</v>
      </c>
      <c r="N49" s="78">
        <f t="shared" ca="1" si="62"/>
        <v>0</v>
      </c>
      <c r="O49" s="4">
        <f ca="1">-SUMIFS(INDIRECT("Tab_000.Trial["&amp;O$4&amp;"]"),Tab_000.Trial[CONTA],$B49)</f>
        <v>0</v>
      </c>
      <c r="P49" s="78">
        <f t="shared" ca="1" si="63"/>
        <v>0</v>
      </c>
      <c r="Q49" s="78">
        <f t="shared" ca="1" si="64"/>
        <v>0</v>
      </c>
      <c r="R49" s="4">
        <f ca="1">-SUMIFS(INDIRECT("Tab_000.Trial["&amp;R$4&amp;"]"),Tab_000.Trial[CONTA],$B49)</f>
        <v>0</v>
      </c>
      <c r="S49" s="78">
        <f t="shared" ca="1" si="65"/>
        <v>0</v>
      </c>
      <c r="T49" s="78">
        <f t="shared" ca="1" si="66"/>
        <v>0</v>
      </c>
      <c r="U49" s="4">
        <f ca="1">-SUMIFS(INDIRECT("Tab_000.Trial["&amp;U$4&amp;"]"),Tab_000.Trial[CONTA],$B49)</f>
        <v>0</v>
      </c>
      <c r="V49" s="78">
        <f t="shared" ca="1" si="78"/>
        <v>0</v>
      </c>
      <c r="W49" s="78">
        <f t="shared" ca="1" si="67"/>
        <v>0</v>
      </c>
      <c r="X49" s="4">
        <f ca="1">-SUMIFS(INDIRECT("Tab_000.Trial["&amp;X$4&amp;"]"),Tab_000.Trial[CONTA],$B49)</f>
        <v>0</v>
      </c>
      <c r="Y49" s="78">
        <f t="shared" ca="1" si="68"/>
        <v>0</v>
      </c>
      <c r="Z49" s="78">
        <f t="shared" ca="1" si="69"/>
        <v>0</v>
      </c>
      <c r="AA49" s="4">
        <f ca="1">-SUMIFS(INDIRECT("Tab_000.Trial["&amp;AA$4&amp;"]"),Tab_000.Trial[CONTA],$B49)</f>
        <v>-52.46</v>
      </c>
      <c r="AB49" s="78">
        <f t="shared" ca="1" si="70"/>
        <v>-1E-4</v>
      </c>
      <c r="AC49" s="78">
        <f t="shared" ca="1" si="71"/>
        <v>0</v>
      </c>
      <c r="AD49" s="4">
        <f ca="1">-SUMIFS(INDIRECT("Tab_000.Trial["&amp;AD$4&amp;"]"),Tab_000.Trial[CONTA],$B49)</f>
        <v>0</v>
      </c>
      <c r="AE49" s="78">
        <f t="shared" ca="1" si="72"/>
        <v>0</v>
      </c>
      <c r="AF49" s="78">
        <f t="shared" ca="1" si="73"/>
        <v>1</v>
      </c>
      <c r="AG49" s="4">
        <f ca="1">-SUMIFS(INDIRECT("Tab_000.Trial["&amp;AG$4&amp;"]"),Tab_000.Trial[CONTA],$B49)</f>
        <v>0</v>
      </c>
      <c r="AH49" s="78">
        <f t="shared" ca="1" si="74"/>
        <v>0</v>
      </c>
      <c r="AI49" s="78">
        <f t="shared" ca="1" si="75"/>
        <v>0</v>
      </c>
      <c r="AJ49" s="4">
        <f ca="1">-SUMIFS(INDIRECT("Tab_000.Trial["&amp;AJ$4&amp;"]"),Tab_000.Trial[CONTA],$B49)</f>
        <v>0</v>
      </c>
      <c r="AK49" s="78">
        <f t="shared" ca="1" si="76"/>
        <v>0</v>
      </c>
      <c r="AL49" s="78">
        <f t="shared" ca="1" si="77"/>
        <v>0</v>
      </c>
      <c r="AM49" s="177" t="s">
        <v>764</v>
      </c>
    </row>
    <row r="50" spans="2:39" ht="15" customHeight="1" outlineLevel="1" x14ac:dyDescent="0.3">
      <c r="B50" s="14" t="s">
        <v>419</v>
      </c>
      <c r="C50" s="14" t="s">
        <v>420</v>
      </c>
      <c r="D50" s="4">
        <f ca="1">-SUMIFS(INDIRECT("Tab_000.Trial["&amp;D$4&amp;"]"),Tab_000.Trial[CONTA],$B50)</f>
        <v>-427.26</v>
      </c>
      <c r="E50" s="78">
        <f t="shared" ca="1" si="56"/>
        <v>-4.0000000000000002E-4</v>
      </c>
      <c r="F50" s="4">
        <f ca="1">-SUMIFS(INDIRECT("Tab_000.Trial["&amp;F$4&amp;"]"),Tab_000.Trial[CONTA],$B50)</f>
        <v>-427.26</v>
      </c>
      <c r="G50" s="78">
        <f t="shared" ca="1" si="57"/>
        <v>-4.0000000000000002E-4</v>
      </c>
      <c r="H50" s="78">
        <f t="shared" ca="1" si="58"/>
        <v>0</v>
      </c>
      <c r="I50" s="4">
        <f ca="1">-SUMIFS(INDIRECT("Tab_000.Trial["&amp;I$4&amp;"]"),Tab_000.Trial[CONTA],$B50)</f>
        <v>-427.26</v>
      </c>
      <c r="J50" s="78">
        <f t="shared" ca="1" si="59"/>
        <v>-4.0000000000000002E-4</v>
      </c>
      <c r="K50" s="78">
        <f t="shared" ca="1" si="60"/>
        <v>0</v>
      </c>
      <c r="L50" s="4">
        <f ca="1">-SUMIFS(INDIRECT("Tab_000.Trial["&amp;L$4&amp;"]"),Tab_000.Trial[CONTA],$B50)</f>
        <v>-427.26</v>
      </c>
      <c r="M50" s="78">
        <f t="shared" ca="1" si="61"/>
        <v>-4.0000000000000002E-4</v>
      </c>
      <c r="N50" s="78">
        <f t="shared" ca="1" si="62"/>
        <v>0</v>
      </c>
      <c r="O50" s="4">
        <f ca="1">-SUMIFS(INDIRECT("Tab_000.Trial["&amp;O$4&amp;"]"),Tab_000.Trial[CONTA],$B50)</f>
        <v>-1266.58</v>
      </c>
      <c r="P50" s="78">
        <f t="shared" ca="1" si="63"/>
        <v>-1E-3</v>
      </c>
      <c r="Q50" s="78">
        <f t="shared" ca="1" si="64"/>
        <v>-1.9643999999999999</v>
      </c>
      <c r="R50" s="4">
        <f ca="1">-SUMIFS(INDIRECT("Tab_000.Trial["&amp;R$4&amp;"]"),Tab_000.Trial[CONTA],$B50)</f>
        <v>-727.26</v>
      </c>
      <c r="S50" s="78">
        <f t="shared" ca="1" si="65"/>
        <v>-6.9999999999999999E-4</v>
      </c>
      <c r="T50" s="78">
        <f t="shared" ca="1" si="66"/>
        <v>0.42580000000000001</v>
      </c>
      <c r="U50" s="4">
        <f ca="1">-SUMIFS(INDIRECT("Tab_000.Trial["&amp;U$4&amp;"]"),Tab_000.Trial[CONTA],$B50)</f>
        <v>-427.26</v>
      </c>
      <c r="V50" s="78">
        <f t="shared" ca="1" si="78"/>
        <v>-4.0000000000000002E-4</v>
      </c>
      <c r="W50" s="78">
        <f t="shared" ca="1" si="67"/>
        <v>0.41249999999999998</v>
      </c>
      <c r="X50" s="4">
        <f ca="1">-SUMIFS(INDIRECT("Tab_000.Trial["&amp;X$4&amp;"]"),Tab_000.Trial[CONTA],$B50)</f>
        <v>-427.26</v>
      </c>
      <c r="Y50" s="78">
        <f t="shared" ca="1" si="68"/>
        <v>-4.0000000000000002E-4</v>
      </c>
      <c r="Z50" s="78">
        <f t="shared" ca="1" si="69"/>
        <v>0</v>
      </c>
      <c r="AA50" s="4">
        <f ca="1">-SUMIFS(INDIRECT("Tab_000.Trial["&amp;AA$4&amp;"]"),Tab_000.Trial[CONTA],$B50)</f>
        <v>-1683.21</v>
      </c>
      <c r="AB50" s="78">
        <f t="shared" ca="1" si="70"/>
        <v>-1.6999999999999999E-3</v>
      </c>
      <c r="AC50" s="78">
        <f t="shared" ca="1" si="71"/>
        <v>-2.9394999999999998</v>
      </c>
      <c r="AD50" s="4">
        <f ca="1">-SUMIFS(INDIRECT("Tab_000.Trial["&amp;AD$4&amp;"]"),Tab_000.Trial[CONTA],$B50)</f>
        <v>-427.26</v>
      </c>
      <c r="AE50" s="78">
        <f t="shared" ca="1" si="72"/>
        <v>-2.9999999999999997E-4</v>
      </c>
      <c r="AF50" s="78">
        <f t="shared" ca="1" si="73"/>
        <v>0.74619999999999997</v>
      </c>
      <c r="AG50" s="4">
        <f ca="1">-SUMIFS(INDIRECT("Tab_000.Trial["&amp;AG$4&amp;"]"),Tab_000.Trial[CONTA],$B50)</f>
        <v>-427.26</v>
      </c>
      <c r="AH50" s="78">
        <f t="shared" ca="1" si="74"/>
        <v>-5.0000000000000001E-4</v>
      </c>
      <c r="AI50" s="78">
        <f t="shared" ca="1" si="75"/>
        <v>0</v>
      </c>
      <c r="AJ50" s="4">
        <f ca="1">-SUMIFS(INDIRECT("Tab_000.Trial["&amp;AJ$4&amp;"]"),Tab_000.Trial[CONTA],$B50)</f>
        <v>-427.26</v>
      </c>
      <c r="AK50" s="78">
        <f t="shared" ca="1" si="76"/>
        <v>-2.9999999999999997E-4</v>
      </c>
      <c r="AL50" s="78">
        <f t="shared" ca="1" si="77"/>
        <v>0</v>
      </c>
      <c r="AM50" s="177" t="s">
        <v>764</v>
      </c>
    </row>
    <row r="51" spans="2:39" ht="15" customHeight="1" outlineLevel="1" x14ac:dyDescent="0.3">
      <c r="B51" s="14" t="s">
        <v>421</v>
      </c>
      <c r="C51" s="14" t="s">
        <v>422</v>
      </c>
      <c r="D51" s="4">
        <f ca="1">-SUMIFS(INDIRECT("Tab_000.Trial["&amp;D$4&amp;"]"),Tab_000.Trial[CONTA],$B51)</f>
        <v>-187419.37</v>
      </c>
      <c r="E51" s="78">
        <f t="shared" ca="1" si="56"/>
        <v>-0.1973</v>
      </c>
      <c r="F51" s="4">
        <f ca="1">-SUMIFS(INDIRECT("Tab_000.Trial["&amp;F$4&amp;"]"),Tab_000.Trial[CONTA],$B51)</f>
        <v>-247534.56</v>
      </c>
      <c r="G51" s="78">
        <f t="shared" ca="1" si="57"/>
        <v>-0.25380000000000003</v>
      </c>
      <c r="H51" s="78">
        <f t="shared" ca="1" si="58"/>
        <v>-0.32079999999999997</v>
      </c>
      <c r="I51" s="4">
        <f ca="1">-SUMIFS(INDIRECT("Tab_000.Trial["&amp;I$4&amp;"]"),Tab_000.Trial[CONTA],$B51)</f>
        <v>-247414.93</v>
      </c>
      <c r="J51" s="78">
        <f t="shared" ca="1" si="59"/>
        <v>-0.2354</v>
      </c>
      <c r="K51" s="78">
        <f t="shared" ca="1" si="60"/>
        <v>5.0000000000000001E-4</v>
      </c>
      <c r="L51" s="4">
        <f ca="1">-SUMIFS(INDIRECT("Tab_000.Trial["&amp;L$4&amp;"]"),Tab_000.Trial[CONTA],$B51)</f>
        <v>-180215.42</v>
      </c>
      <c r="M51" s="78">
        <f t="shared" ca="1" si="61"/>
        <v>-0.1628</v>
      </c>
      <c r="N51" s="78">
        <f t="shared" ca="1" si="62"/>
        <v>0.27160000000000001</v>
      </c>
      <c r="O51" s="4">
        <f ca="1">-SUMIFS(INDIRECT("Tab_000.Trial["&amp;O$4&amp;"]"),Tab_000.Trial[CONTA],$B51)</f>
        <v>-332680.82</v>
      </c>
      <c r="P51" s="78">
        <f t="shared" ca="1" si="63"/>
        <v>-0.27439999999999998</v>
      </c>
      <c r="Q51" s="78">
        <f t="shared" ca="1" si="64"/>
        <v>-0.84599999999999997</v>
      </c>
      <c r="R51" s="4">
        <f ca="1">-SUMIFS(INDIRECT("Tab_000.Trial["&amp;R$4&amp;"]"),Tab_000.Trial[CONTA],$B51)</f>
        <v>-184021.85</v>
      </c>
      <c r="S51" s="78">
        <f t="shared" ca="1" si="65"/>
        <v>-0.1825</v>
      </c>
      <c r="T51" s="78">
        <f t="shared" ca="1" si="66"/>
        <v>0.44690000000000002</v>
      </c>
      <c r="U51" s="4">
        <f ca="1">-SUMIFS(INDIRECT("Tab_000.Trial["&amp;U$4&amp;"]"),Tab_000.Trial[CONTA],$B51)</f>
        <v>-323149.34999999998</v>
      </c>
      <c r="V51" s="78">
        <f t="shared" ca="1" si="78"/>
        <v>-0.30059999999999998</v>
      </c>
      <c r="W51" s="78">
        <f t="shared" ca="1" si="67"/>
        <v>-0.75600000000000001</v>
      </c>
      <c r="X51" s="4">
        <f ca="1">-SUMIFS(INDIRECT("Tab_000.Trial["&amp;X$4&amp;"]"),Tab_000.Trial[CONTA],$B51)</f>
        <v>-224690.95</v>
      </c>
      <c r="Y51" s="78">
        <f t="shared" ca="1" si="68"/>
        <v>-0.2157</v>
      </c>
      <c r="Z51" s="78">
        <f t="shared" ca="1" si="69"/>
        <v>0.30470000000000003</v>
      </c>
      <c r="AA51" s="4">
        <f ca="1">-SUMIFS(INDIRECT("Tab_000.Trial["&amp;AA$4&amp;"]"),Tab_000.Trial[CONTA],$B51)</f>
        <v>-198337.07</v>
      </c>
      <c r="AB51" s="78">
        <f t="shared" ca="1" si="70"/>
        <v>-0.2036</v>
      </c>
      <c r="AC51" s="78">
        <f t="shared" ca="1" si="71"/>
        <v>0.1173</v>
      </c>
      <c r="AD51" s="4">
        <f ca="1">-SUMIFS(INDIRECT("Tab_000.Trial["&amp;AD$4&amp;"]"),Tab_000.Trial[CONTA],$B51)</f>
        <v>-429781.84</v>
      </c>
      <c r="AE51" s="78">
        <f t="shared" ca="1" si="72"/>
        <v>-0.34560000000000002</v>
      </c>
      <c r="AF51" s="78">
        <f t="shared" ca="1" si="73"/>
        <v>-1.1669</v>
      </c>
      <c r="AG51" s="4">
        <f ca="1">-SUMIFS(INDIRECT("Tab_000.Trial["&amp;AG$4&amp;"]"),Tab_000.Trial[CONTA],$B51)</f>
        <v>-188073.31</v>
      </c>
      <c r="AH51" s="78">
        <f t="shared" ca="1" si="74"/>
        <v>-0.2049</v>
      </c>
      <c r="AI51" s="78">
        <f t="shared" ca="1" si="75"/>
        <v>0.56240000000000001</v>
      </c>
      <c r="AJ51" s="4">
        <f ca="1">-SUMIFS(INDIRECT("Tab_000.Trial["&amp;AJ$4&amp;"]"),Tab_000.Trial[CONTA],$B51)</f>
        <v>-442629.02</v>
      </c>
      <c r="AK51" s="78">
        <f t="shared" ca="1" si="76"/>
        <v>-0.29830000000000001</v>
      </c>
      <c r="AL51" s="78">
        <f t="shared" ca="1" si="77"/>
        <v>-1.3534999999999999</v>
      </c>
      <c r="AM51" s="177" t="s">
        <v>764</v>
      </c>
    </row>
    <row r="52" spans="2:39" ht="15" customHeight="1" outlineLevel="1" x14ac:dyDescent="0.3">
      <c r="B52" s="14" t="s">
        <v>423</v>
      </c>
      <c r="C52" s="14" t="s">
        <v>424</v>
      </c>
      <c r="D52" s="4">
        <f ca="1">-SUMIFS(INDIRECT("Tab_000.Trial["&amp;D$4&amp;"]"),Tab_000.Trial[CONTA],$B52)</f>
        <v>-542450.57999999996</v>
      </c>
      <c r="E52" s="78">
        <f t="shared" ca="1" si="56"/>
        <v>-0.57110000000000005</v>
      </c>
      <c r="F52" s="4">
        <f ca="1">-SUMIFS(INDIRECT("Tab_000.Trial["&amp;F$4&amp;"]"),Tab_000.Trial[CONTA],$B52)</f>
        <v>-670300.4</v>
      </c>
      <c r="G52" s="78">
        <f t="shared" ca="1" si="57"/>
        <v>-0.68730000000000002</v>
      </c>
      <c r="H52" s="78">
        <f t="shared" ca="1" si="58"/>
        <v>-0.23569999999999999</v>
      </c>
      <c r="I52" s="4">
        <f ca="1">-SUMIFS(INDIRECT("Tab_000.Trial["&amp;I$4&amp;"]"),Tab_000.Trial[CONTA],$B52)</f>
        <v>0</v>
      </c>
      <c r="J52" s="78">
        <f t="shared" ca="1" si="59"/>
        <v>0</v>
      </c>
      <c r="K52" s="78">
        <f t="shared" ca="1" si="60"/>
        <v>1</v>
      </c>
      <c r="L52" s="4">
        <f ca="1">-SUMIFS(INDIRECT("Tab_000.Trial["&amp;L$4&amp;"]"),Tab_000.Trial[CONTA],$B52)</f>
        <v>-346532.11</v>
      </c>
      <c r="M52" s="78">
        <f t="shared" ca="1" si="61"/>
        <v>-0.31309999999999999</v>
      </c>
      <c r="N52" s="78">
        <f t="shared" ca="1" si="62"/>
        <v>0</v>
      </c>
      <c r="O52" s="4">
        <f ca="1">-SUMIFS(INDIRECT("Tab_000.Trial["&amp;O$4&amp;"]"),Tab_000.Trial[CONTA],$B52)</f>
        <v>-206948.02</v>
      </c>
      <c r="P52" s="78">
        <f t="shared" ca="1" si="63"/>
        <v>-0.17069999999999999</v>
      </c>
      <c r="Q52" s="78">
        <f t="shared" ca="1" si="64"/>
        <v>0.40279999999999999</v>
      </c>
      <c r="R52" s="4">
        <f ca="1">-SUMIFS(INDIRECT("Tab_000.Trial["&amp;R$4&amp;"]"),Tab_000.Trial[CONTA],$B52)</f>
        <v>-59692.15</v>
      </c>
      <c r="S52" s="78">
        <f t="shared" ca="1" si="65"/>
        <v>-5.9200000000000003E-2</v>
      </c>
      <c r="T52" s="78">
        <f t="shared" ca="1" si="66"/>
        <v>0.71160000000000001</v>
      </c>
      <c r="U52" s="4">
        <f ca="1">-SUMIFS(INDIRECT("Tab_000.Trial["&amp;U$4&amp;"]"),Tab_000.Trial[CONTA],$B52)</f>
        <v>-244965.36</v>
      </c>
      <c r="V52" s="78">
        <f t="shared" ca="1" si="78"/>
        <v>-0.22789999999999999</v>
      </c>
      <c r="W52" s="78">
        <f t="shared" ca="1" si="67"/>
        <v>-3.1038000000000001</v>
      </c>
      <c r="X52" s="4">
        <f ca="1">-SUMIFS(INDIRECT("Tab_000.Trial["&amp;X$4&amp;"]"),Tab_000.Trial[CONTA],$B52)</f>
        <v>-287051.56</v>
      </c>
      <c r="Y52" s="78">
        <f t="shared" ca="1" si="68"/>
        <v>-0.27550000000000002</v>
      </c>
      <c r="Z52" s="78">
        <f t="shared" ca="1" si="69"/>
        <v>-0.17180000000000001</v>
      </c>
      <c r="AA52" s="4">
        <f ca="1">-SUMIFS(INDIRECT("Tab_000.Trial["&amp;AA$4&amp;"]"),Tab_000.Trial[CONTA],$B52)</f>
        <v>-244385.99</v>
      </c>
      <c r="AB52" s="78">
        <f t="shared" ca="1" si="70"/>
        <v>-0.25090000000000001</v>
      </c>
      <c r="AC52" s="78">
        <f t="shared" ca="1" si="71"/>
        <v>0.14860000000000001</v>
      </c>
      <c r="AD52" s="4">
        <f ca="1">-SUMIFS(INDIRECT("Tab_000.Trial["&amp;AD$4&amp;"]"),Tab_000.Trial[CONTA],$B52)</f>
        <v>-225471.28</v>
      </c>
      <c r="AE52" s="78">
        <f t="shared" ca="1" si="72"/>
        <v>-0.18129999999999999</v>
      </c>
      <c r="AF52" s="78">
        <f t="shared" ca="1" si="73"/>
        <v>7.7399999999999997E-2</v>
      </c>
      <c r="AG52" s="4">
        <f ca="1">-SUMIFS(INDIRECT("Tab_000.Trial["&amp;AG$4&amp;"]"),Tab_000.Trial[CONTA],$B52)</f>
        <v>0</v>
      </c>
      <c r="AH52" s="78">
        <f t="shared" ca="1" si="74"/>
        <v>0</v>
      </c>
      <c r="AI52" s="78">
        <f t="shared" ca="1" si="75"/>
        <v>1</v>
      </c>
      <c r="AJ52" s="4">
        <f ca="1">-SUMIFS(INDIRECT("Tab_000.Trial["&amp;AJ$4&amp;"]"),Tab_000.Trial[CONTA],$B52)</f>
        <v>-899207.33</v>
      </c>
      <c r="AK52" s="78">
        <f t="shared" ca="1" si="76"/>
        <v>-0.60589999999999999</v>
      </c>
      <c r="AL52" s="78">
        <f t="shared" ca="1" si="77"/>
        <v>0</v>
      </c>
      <c r="AM52" s="177" t="s">
        <v>764</v>
      </c>
    </row>
    <row r="53" spans="2:39" ht="15" customHeight="1" outlineLevel="1" x14ac:dyDescent="0.3">
      <c r="B53" s="14" t="s">
        <v>425</v>
      </c>
      <c r="C53" s="14" t="s">
        <v>426</v>
      </c>
      <c r="D53" s="4">
        <f ca="1">-SUMIFS(INDIRECT("Tab_000.Trial["&amp;D$4&amp;"]"),Tab_000.Trial[CONTA],$B53)</f>
        <v>0</v>
      </c>
      <c r="E53" s="78">
        <f t="shared" ca="1" si="56"/>
        <v>0</v>
      </c>
      <c r="F53" s="4">
        <f ca="1">-SUMIFS(INDIRECT("Tab_000.Trial["&amp;F$4&amp;"]"),Tab_000.Trial[CONTA],$B53)</f>
        <v>0</v>
      </c>
      <c r="G53" s="78">
        <f t="shared" ca="1" si="57"/>
        <v>0</v>
      </c>
      <c r="H53" s="78">
        <f t="shared" ca="1" si="58"/>
        <v>0</v>
      </c>
      <c r="I53" s="4">
        <f ca="1">-SUMIFS(INDIRECT("Tab_000.Trial["&amp;I$4&amp;"]"),Tab_000.Trial[CONTA],$B53)</f>
        <v>0</v>
      </c>
      <c r="J53" s="78">
        <f t="shared" ca="1" si="59"/>
        <v>0</v>
      </c>
      <c r="K53" s="78">
        <f t="shared" ca="1" si="60"/>
        <v>0</v>
      </c>
      <c r="L53" s="4">
        <f ca="1">-SUMIFS(INDIRECT("Tab_000.Trial["&amp;L$4&amp;"]"),Tab_000.Trial[CONTA],$B53)</f>
        <v>0</v>
      </c>
      <c r="M53" s="78">
        <f t="shared" ca="1" si="61"/>
        <v>0</v>
      </c>
      <c r="N53" s="78">
        <f t="shared" ca="1" si="62"/>
        <v>0</v>
      </c>
      <c r="O53" s="4">
        <f ca="1">-SUMIFS(INDIRECT("Tab_000.Trial["&amp;O$4&amp;"]"),Tab_000.Trial[CONTA],$B53)</f>
        <v>0</v>
      </c>
      <c r="P53" s="78">
        <f t="shared" ca="1" si="63"/>
        <v>0</v>
      </c>
      <c r="Q53" s="78">
        <f t="shared" ca="1" si="64"/>
        <v>0</v>
      </c>
      <c r="R53" s="4">
        <f ca="1">-SUMIFS(INDIRECT("Tab_000.Trial["&amp;R$4&amp;"]"),Tab_000.Trial[CONTA],$B53)</f>
        <v>0</v>
      </c>
      <c r="S53" s="78">
        <f t="shared" ca="1" si="65"/>
        <v>0</v>
      </c>
      <c r="T53" s="78">
        <f t="shared" ca="1" si="66"/>
        <v>0</v>
      </c>
      <c r="U53" s="4">
        <f ca="1">-SUMIFS(INDIRECT("Tab_000.Trial["&amp;U$4&amp;"]"),Tab_000.Trial[CONTA],$B53)</f>
        <v>-16.170000000000002</v>
      </c>
      <c r="V53" s="78">
        <f t="shared" ca="1" si="78"/>
        <v>0</v>
      </c>
      <c r="W53" s="78">
        <f t="shared" ca="1" si="67"/>
        <v>0</v>
      </c>
      <c r="X53" s="4">
        <f ca="1">-SUMIFS(INDIRECT("Tab_000.Trial["&amp;X$4&amp;"]"),Tab_000.Trial[CONTA],$B53)</f>
        <v>0</v>
      </c>
      <c r="Y53" s="78">
        <f t="shared" ca="1" si="68"/>
        <v>0</v>
      </c>
      <c r="Z53" s="78">
        <f t="shared" ca="1" si="69"/>
        <v>1</v>
      </c>
      <c r="AA53" s="4">
        <f ca="1">-SUMIFS(INDIRECT("Tab_000.Trial["&amp;AA$4&amp;"]"),Tab_000.Trial[CONTA],$B53)</f>
        <v>-808.5</v>
      </c>
      <c r="AB53" s="78">
        <f t="shared" ca="1" si="70"/>
        <v>-8.0000000000000004E-4</v>
      </c>
      <c r="AC53" s="78">
        <f t="shared" ca="1" si="71"/>
        <v>0</v>
      </c>
      <c r="AD53" s="4">
        <f ca="1">-SUMIFS(INDIRECT("Tab_000.Trial["&amp;AD$4&amp;"]"),Tab_000.Trial[CONTA],$B53)</f>
        <v>-16.170000000000002</v>
      </c>
      <c r="AE53" s="78">
        <f t="shared" ca="1" si="72"/>
        <v>0</v>
      </c>
      <c r="AF53" s="78">
        <f t="shared" ca="1" si="73"/>
        <v>0.98</v>
      </c>
      <c r="AG53" s="4">
        <f ca="1">-SUMIFS(INDIRECT("Tab_000.Trial["&amp;AG$4&amp;"]"),Tab_000.Trial[CONTA],$B53)</f>
        <v>-430.16</v>
      </c>
      <c r="AH53" s="78">
        <f t="shared" ca="1" si="74"/>
        <v>-5.0000000000000001E-4</v>
      </c>
      <c r="AI53" s="78">
        <f t="shared" ca="1" si="75"/>
        <v>-25.602399999999999</v>
      </c>
      <c r="AJ53" s="4">
        <f ca="1">-SUMIFS(INDIRECT("Tab_000.Trial["&amp;AJ$4&amp;"]"),Tab_000.Trial[CONTA],$B53)</f>
        <v>0</v>
      </c>
      <c r="AK53" s="78">
        <f t="shared" ca="1" si="76"/>
        <v>0</v>
      </c>
      <c r="AL53" s="78">
        <f t="shared" ca="1" si="77"/>
        <v>1</v>
      </c>
      <c r="AM53" s="177" t="s">
        <v>764</v>
      </c>
    </row>
    <row r="54" spans="2:39" ht="15" customHeight="1" outlineLevel="1" x14ac:dyDescent="0.3">
      <c r="B54" s="14" t="s">
        <v>738</v>
      </c>
      <c r="C54" s="14" t="s">
        <v>367</v>
      </c>
      <c r="D54" s="4">
        <f ca="1">-SUMIFS(INDIRECT("Tab_000.Trial["&amp;D$4&amp;"]"),Tab_000.Trial[CONTA],$B54)</f>
        <v>-122569.24</v>
      </c>
      <c r="E54" s="78">
        <f t="shared" ca="1" si="56"/>
        <v>-0.129</v>
      </c>
      <c r="F54" s="4">
        <f ca="1">-SUMIFS(INDIRECT("Tab_000.Trial["&amp;F$4&amp;"]"),Tab_000.Trial[CONTA],$B54)</f>
        <v>-105237.96</v>
      </c>
      <c r="G54" s="78">
        <f t="shared" ca="1" si="57"/>
        <v>-0.1079</v>
      </c>
      <c r="H54" s="78">
        <f t="shared" ca="1" si="58"/>
        <v>0.1414</v>
      </c>
      <c r="I54" s="4">
        <f ca="1">-SUMIFS(INDIRECT("Tab_000.Trial["&amp;I$4&amp;"]"),Tab_000.Trial[CONTA],$B54)</f>
        <v>-154690.84</v>
      </c>
      <c r="J54" s="78">
        <f t="shared" ca="1" si="59"/>
        <v>-0.1472</v>
      </c>
      <c r="K54" s="78">
        <f t="shared" ca="1" si="60"/>
        <v>-0.46989999999999998</v>
      </c>
      <c r="L54" s="4">
        <f ca="1">-SUMIFS(INDIRECT("Tab_000.Trial["&amp;L$4&amp;"]"),Tab_000.Trial[CONTA],$B54)</f>
        <v>-132289.44</v>
      </c>
      <c r="M54" s="78">
        <f t="shared" ca="1" si="61"/>
        <v>-0.1195</v>
      </c>
      <c r="N54" s="78">
        <f t="shared" ca="1" si="62"/>
        <v>0.14480000000000001</v>
      </c>
      <c r="O54" s="4">
        <f ca="1">-SUMIFS(INDIRECT("Tab_000.Trial["&amp;O$4&amp;"]"),Tab_000.Trial[CONTA],$B54)</f>
        <v>-137859.68</v>
      </c>
      <c r="P54" s="78">
        <f t="shared" ca="1" si="63"/>
        <v>-0.1137</v>
      </c>
      <c r="Q54" s="78">
        <f t="shared" ca="1" si="64"/>
        <v>-4.2099999999999999E-2</v>
      </c>
      <c r="R54" s="4">
        <f ca="1">-SUMIFS(INDIRECT("Tab_000.Trial["&amp;R$4&amp;"]"),Tab_000.Trial[CONTA],$B54)</f>
        <v>-129579.24</v>
      </c>
      <c r="S54" s="78">
        <f t="shared" ca="1" si="65"/>
        <v>-0.1285</v>
      </c>
      <c r="T54" s="78">
        <f t="shared" ca="1" si="66"/>
        <v>6.0100000000000001E-2</v>
      </c>
      <c r="U54" s="4">
        <f ca="1">-SUMIFS(INDIRECT("Tab_000.Trial["&amp;U$4&amp;"]"),Tab_000.Trial[CONTA],$B54)</f>
        <v>-133881.88</v>
      </c>
      <c r="V54" s="78">
        <f t="shared" ca="1" si="78"/>
        <v>-0.1245</v>
      </c>
      <c r="W54" s="78">
        <f t="shared" ca="1" si="67"/>
        <v>-3.32E-2</v>
      </c>
      <c r="X54" s="4">
        <f ca="1">-SUMIFS(INDIRECT("Tab_000.Trial["&amp;X$4&amp;"]"),Tab_000.Trial[CONTA],$B54)</f>
        <v>-140098.56</v>
      </c>
      <c r="Y54" s="78">
        <f t="shared" ca="1" si="68"/>
        <v>-0.13450000000000001</v>
      </c>
      <c r="Z54" s="78">
        <f t="shared" ca="1" si="69"/>
        <v>-4.6399999999999997E-2</v>
      </c>
      <c r="AA54" s="4">
        <f ca="1">-SUMIFS(INDIRECT("Tab_000.Trial["&amp;AA$4&amp;"]"),Tab_000.Trial[CONTA],$B54)</f>
        <v>-128578.44</v>
      </c>
      <c r="AB54" s="78">
        <f t="shared" ca="1" si="70"/>
        <v>-0.13200000000000001</v>
      </c>
      <c r="AC54" s="78">
        <f t="shared" ca="1" si="71"/>
        <v>8.2199999999999995E-2</v>
      </c>
      <c r="AD54" s="4">
        <f ca="1">-SUMIFS(INDIRECT("Tab_000.Trial["&amp;AD$4&amp;"]"),Tab_000.Trial[CONTA],$B54)</f>
        <v>-148911.84</v>
      </c>
      <c r="AE54" s="78">
        <f t="shared" ca="1" si="72"/>
        <v>-0.1198</v>
      </c>
      <c r="AF54" s="78">
        <f t="shared" ca="1" si="73"/>
        <v>-0.15809999999999999</v>
      </c>
      <c r="AG54" s="4">
        <f ca="1">-SUMIFS(INDIRECT("Tab_000.Trial["&amp;AG$4&amp;"]"),Tab_000.Trial[CONTA],$B54)</f>
        <v>-109417.12</v>
      </c>
      <c r="AH54" s="78">
        <f t="shared" ca="1" si="74"/>
        <v>-0.1192</v>
      </c>
      <c r="AI54" s="78">
        <f t="shared" ca="1" si="75"/>
        <v>0.26519999999999999</v>
      </c>
      <c r="AJ54" s="4">
        <f ca="1">-SUMIFS(INDIRECT("Tab_000.Trial["&amp;AJ$4&amp;"]"),Tab_000.Trial[CONTA],$B54)</f>
        <v>-112795.04</v>
      </c>
      <c r="AK54" s="78">
        <f t="shared" ca="1" si="76"/>
        <v>-7.5999999999999998E-2</v>
      </c>
      <c r="AL54" s="78">
        <f t="shared" ca="1" si="77"/>
        <v>-3.09E-2</v>
      </c>
      <c r="AM54" s="177" t="s">
        <v>764</v>
      </c>
    </row>
    <row r="55" spans="2:39" ht="5.0999999999999996" customHeight="1" outlineLevel="1" x14ac:dyDescent="0.3">
      <c r="B55" s="74"/>
      <c r="C55" s="75"/>
      <c r="D55" s="76"/>
      <c r="E55" s="77"/>
      <c r="F55" s="76"/>
      <c r="G55" s="77"/>
      <c r="H55" s="77"/>
      <c r="I55" s="76"/>
      <c r="J55" s="77"/>
      <c r="K55" s="77"/>
      <c r="L55" s="76"/>
      <c r="M55" s="77"/>
      <c r="N55" s="77"/>
      <c r="O55" s="76"/>
      <c r="P55" s="77"/>
      <c r="Q55" s="77"/>
      <c r="R55" s="76"/>
      <c r="S55" s="77"/>
      <c r="T55" s="77"/>
      <c r="U55" s="76"/>
      <c r="V55" s="77"/>
      <c r="W55" s="77"/>
      <c r="X55" s="76"/>
      <c r="Y55" s="77"/>
      <c r="Z55" s="77"/>
      <c r="AA55" s="76"/>
      <c r="AB55" s="77"/>
      <c r="AC55" s="77"/>
      <c r="AD55" s="76"/>
      <c r="AE55" s="77"/>
      <c r="AF55" s="77"/>
      <c r="AG55" s="76"/>
      <c r="AH55" s="77"/>
      <c r="AI55" s="77"/>
      <c r="AJ55" s="76"/>
      <c r="AK55" s="77"/>
      <c r="AL55" s="77"/>
    </row>
    <row r="56" spans="2:39" ht="18" customHeight="1" x14ac:dyDescent="0.3"/>
    <row r="57" spans="2:39" ht="15" customHeight="1" x14ac:dyDescent="0.3">
      <c r="C57" s="17" t="s">
        <v>65</v>
      </c>
      <c r="D57" s="16">
        <f ca="1">SUBTOTAL(9,D$5:D$56)</f>
        <v>42377.29</v>
      </c>
      <c r="E57" s="80">
        <f ca="1">IFERROR($D57/$D$6,0)</f>
        <v>4.4600000000000001E-2</v>
      </c>
      <c r="F57" s="16">
        <f ca="1">SUBTOTAL(9,F$5:F$56)</f>
        <v>-89821.99</v>
      </c>
      <c r="G57" s="80">
        <f ca="1">IFERROR($F57/$F$6,0)</f>
        <v>-9.2100000000000001E-2</v>
      </c>
      <c r="H57" s="80">
        <f ca="1">IFERROR(($F57-$D57)/ABS($D57),0)</f>
        <v>-3.1196000000000002</v>
      </c>
      <c r="I57" s="16">
        <f ca="1">SUBTOTAL(9,I$5:I$56)</f>
        <v>600078.18999999994</v>
      </c>
      <c r="J57" s="80">
        <f ca="1">IFERROR($I57/$I$6,0)</f>
        <v>0.57110000000000005</v>
      </c>
      <c r="K57" s="80">
        <f t="shared" ref="K57" ca="1" si="79">IFERROR(($I57-$F57)/ABS($F57),0)</f>
        <v>7.6806999999999999</v>
      </c>
      <c r="L57" s="16">
        <f ca="1">SUBTOTAL(9,L$5:L$56)</f>
        <v>391549.87</v>
      </c>
      <c r="M57" s="80">
        <f ca="1">IFERROR($L57/$L$6,0)</f>
        <v>0.3538</v>
      </c>
      <c r="N57" s="80">
        <f t="shared" ref="N57" ca="1" si="80">IFERROR(($L57-$I57)/ABS($I57),0)</f>
        <v>-0.34749999999999998</v>
      </c>
      <c r="O57" s="16">
        <f ca="1">SUBTOTAL(9,O$5:O$56)</f>
        <v>480006.24</v>
      </c>
      <c r="P57" s="80">
        <f ca="1">IFERROR($O57/$O$6,0)</f>
        <v>0.39589999999999997</v>
      </c>
      <c r="Q57" s="80">
        <f t="shared" ref="Q57" ca="1" si="81">IFERROR(($O57-$L57)/ABS($L57),0)</f>
        <v>0.22589999999999999</v>
      </c>
      <c r="R57" s="16">
        <f ca="1">SUBTOTAL(9,R$5:R$56)</f>
        <v>575396.61</v>
      </c>
      <c r="S57" s="80">
        <f ca="1">IFERROR($R57/$R$6,0)</f>
        <v>0.57069999999999999</v>
      </c>
      <c r="T57" s="80">
        <f t="shared" ref="T57" ca="1" si="82">IFERROR(($R57-$O57)/ABS($O57),0)</f>
        <v>0.19869999999999999</v>
      </c>
      <c r="U57" s="16">
        <f ca="1">SUBTOTAL(9,U$5:U$56)</f>
        <v>322613.36</v>
      </c>
      <c r="V57" s="80">
        <f ca="1">IFERROR($U57/$U$6,0)</f>
        <v>0.30009999999999998</v>
      </c>
      <c r="W57" s="80">
        <f t="shared" ref="W57" ca="1" si="83">IFERROR(($U57-$R57)/ABS($R57),0)</f>
        <v>-0.43930000000000002</v>
      </c>
      <c r="X57" s="16">
        <f ca="1">SUBTOTAL(9,X$5:X$56)</f>
        <v>338760.35</v>
      </c>
      <c r="Y57" s="80">
        <f ca="1">IFERROR($X57/$X$6,0)</f>
        <v>0.3251</v>
      </c>
      <c r="Z57" s="80">
        <f t="shared" ref="Z57" ca="1" si="84">IFERROR(($X57-$U57)/ABS($U57),0)</f>
        <v>5.0099999999999999E-2</v>
      </c>
      <c r="AA57" s="16">
        <f ca="1">SUBTOTAL(9,AA$5:AA$56)</f>
        <v>343901.49</v>
      </c>
      <c r="AB57" s="80">
        <f ca="1">IFERROR($AA57/$AA$6,0)</f>
        <v>0.35299999999999998</v>
      </c>
      <c r="AC57" s="80">
        <f t="shared" ref="AC57" ca="1" si="85">IFERROR(($AA57-$X57)/ABS($X57),0)</f>
        <v>1.52E-2</v>
      </c>
      <c r="AD57" s="16">
        <f ca="1">SUBTOTAL(9,AD$5:AD$56)</f>
        <v>384721.86</v>
      </c>
      <c r="AE57" s="80">
        <f ca="1">IFERROR($AD57/$AD$6,0)</f>
        <v>0.30940000000000001</v>
      </c>
      <c r="AF57" s="80">
        <f t="shared" ref="AF57" ca="1" si="86">IFERROR(($AD57-$AA57)/ABS($AA57),0)</f>
        <v>0.1187</v>
      </c>
      <c r="AG57" s="16">
        <f ca="1">SUBTOTAL(9,AG$5:AG$56)</f>
        <v>557572.09</v>
      </c>
      <c r="AH57" s="80">
        <f ca="1">IFERROR($AG57/$AG$6,0)</f>
        <v>0.60750000000000004</v>
      </c>
      <c r="AI57" s="80">
        <f t="shared" ref="AI57" ca="1" si="87">IFERROR(($AG57-$AD57)/ABS($AD57),0)</f>
        <v>0.44929999999999998</v>
      </c>
      <c r="AJ57" s="16">
        <f ca="1">SUBTOTAL(9,AJ$5:AJ$56)</f>
        <v>-10844.04</v>
      </c>
      <c r="AK57" s="80">
        <f ca="1">IFERROR($AJ57/$AJ$6,0)</f>
        <v>-7.3000000000000001E-3</v>
      </c>
      <c r="AL57" s="80">
        <f t="shared" ref="AL57" ca="1" si="88">IFERROR(($AJ57-$AG57)/ABS($AG57),0)</f>
        <v>-1.0194000000000001</v>
      </c>
    </row>
    <row r="58" spans="2:39" ht="5.0999999999999996" customHeight="1" x14ac:dyDescent="0.3"/>
    <row r="59" spans="2:39" ht="9.9" customHeight="1" x14ac:dyDescent="0.3">
      <c r="C59" s="17" t="s">
        <v>86</v>
      </c>
    </row>
    <row r="60" spans="2:39" ht="15" customHeight="1" x14ac:dyDescent="0.3">
      <c r="B60" s="3" t="s">
        <v>104</v>
      </c>
      <c r="C60" s="3" t="s">
        <v>146</v>
      </c>
      <c r="D60" s="4">
        <f ca="1">SUBTOTAL(9,D$61:D$96)</f>
        <v>-200564.34</v>
      </c>
      <c r="E60" s="78">
        <f t="shared" ref="E60:E95" ca="1" si="89">IFERROR($D60/$D$6,0)</f>
        <v>-0.21110000000000001</v>
      </c>
      <c r="F60" s="4">
        <f ca="1">SUBTOTAL(9,F$61:F$96)</f>
        <v>-476605.36</v>
      </c>
      <c r="G60" s="78">
        <f ca="1">IFERROR($F60/$F$6,0)</f>
        <v>-0.48870000000000002</v>
      </c>
      <c r="H60" s="78">
        <f t="shared" ref="H60:H95" ca="1" si="90">IFERROR(($F60-$D60)/ABS($D60),0)</f>
        <v>-1.3763000000000001</v>
      </c>
      <c r="I60" s="4">
        <f ca="1">SUBTOTAL(9,I$61:I$96)</f>
        <v>-207604.77</v>
      </c>
      <c r="J60" s="78">
        <f ca="1">IFERROR($I60/$I$6,0)</f>
        <v>-0.1976</v>
      </c>
      <c r="K60" s="78">
        <f ca="1">IFERROR(($I60-$F60)/ABS($F60),0)</f>
        <v>0.56440000000000001</v>
      </c>
      <c r="L60" s="4">
        <f ca="1">SUBTOTAL(9,L$61:L$96)</f>
        <v>-186151.86</v>
      </c>
      <c r="M60" s="78">
        <f ca="1">IFERROR($L60/$L$6,0)</f>
        <v>-0.16819999999999999</v>
      </c>
      <c r="N60" s="78">
        <f ca="1">IFERROR(($L60-$I60)/ABS($I60),0)</f>
        <v>0.1033</v>
      </c>
      <c r="O60" s="4">
        <f ca="1">SUBTOTAL(9,O$61:O$96)</f>
        <v>-181114.04</v>
      </c>
      <c r="P60" s="78">
        <f ca="1">IFERROR($O60/$O$6,0)</f>
        <v>-0.14940000000000001</v>
      </c>
      <c r="Q60" s="78">
        <f ca="1">IFERROR(($O60-$L60)/ABS($L60),0)</f>
        <v>2.7099999999999999E-2</v>
      </c>
      <c r="R60" s="4">
        <f ca="1">SUBTOTAL(9,R$61:R$96)</f>
        <v>-190381.77</v>
      </c>
      <c r="S60" s="78">
        <f ca="1">IFERROR($R60/$R$6,0)</f>
        <v>-0.1888</v>
      </c>
      <c r="T60" s="78">
        <f ca="1">IFERROR(($R60-$O60)/ABS($O60),0)</f>
        <v>-5.1200000000000002E-2</v>
      </c>
      <c r="U60" s="4">
        <f ca="1">SUBTOTAL(9,U$61:U$96)</f>
        <v>-159061.79999999999</v>
      </c>
      <c r="V60" s="78">
        <f ca="1">IFERROR($U60/$U$6,0)</f>
        <v>-0.14799999999999999</v>
      </c>
      <c r="W60" s="78">
        <f ca="1">IFERROR(($U60-$R60)/ABS($R60),0)</f>
        <v>0.16450000000000001</v>
      </c>
      <c r="X60" s="4">
        <f ca="1">SUBTOTAL(9,X$61:X$96)</f>
        <v>-191116.9</v>
      </c>
      <c r="Y60" s="78">
        <f ca="1">IFERROR($X60/$X$6,0)</f>
        <v>-0.18340000000000001</v>
      </c>
      <c r="Z60" s="78">
        <f ca="1">IFERROR(($X60-$U60)/ABS($U60),0)</f>
        <v>-0.20150000000000001</v>
      </c>
      <c r="AA60" s="4">
        <f ca="1">SUBTOTAL(9,AA$61:AA$96)</f>
        <v>-187941.84</v>
      </c>
      <c r="AB60" s="78">
        <f ca="1">IFERROR($AA60/$AA$6,0)</f>
        <v>-0.19289999999999999</v>
      </c>
      <c r="AC60" s="78">
        <f ca="1">IFERROR(($AA60-$X60)/ABS($X60),0)</f>
        <v>1.66E-2</v>
      </c>
      <c r="AD60" s="4">
        <f ca="1">SUBTOTAL(9,AD$61:AD$96)</f>
        <v>-173614.13</v>
      </c>
      <c r="AE60" s="78">
        <f ca="1">IFERROR($AD60/$AD$6,0)</f>
        <v>-0.1396</v>
      </c>
      <c r="AF60" s="78">
        <f ca="1">IFERROR(($AD60-$AA60)/ABS($AA60),0)</f>
        <v>7.6200000000000004E-2</v>
      </c>
      <c r="AG60" s="4">
        <f ca="1">SUBTOTAL(9,AG$61:AG$96)</f>
        <v>-188441.15</v>
      </c>
      <c r="AH60" s="78">
        <f ca="1">IFERROR($AG60/$AG$6,0)</f>
        <v>-0.20530000000000001</v>
      </c>
      <c r="AI60" s="78">
        <f ca="1">IFERROR(($AG60-$AD60)/ABS($AD60),0)</f>
        <v>-8.5400000000000004E-2</v>
      </c>
      <c r="AJ60" s="4">
        <f ca="1">SUBTOTAL(9,AJ$61:AJ$96)</f>
        <v>-175790.21</v>
      </c>
      <c r="AK60" s="78">
        <f ca="1">IFERROR($AJ60/$AJ$6,0)</f>
        <v>-0.11849999999999999</v>
      </c>
      <c r="AL60" s="78">
        <f ca="1">IFERROR(($AJ60-$AG60)/ABS($AG60),0)</f>
        <v>6.7100000000000007E-2</v>
      </c>
    </row>
    <row r="61" spans="2:39" ht="15" customHeight="1" outlineLevel="1" x14ac:dyDescent="0.3">
      <c r="B61" s="14" t="s">
        <v>195</v>
      </c>
      <c r="C61" s="14" t="s">
        <v>427</v>
      </c>
      <c r="D61" s="4">
        <f ca="1">-SUMIFS(INDIRECT("Tab_000.Trial["&amp;D$4&amp;"]"),Tab_000.Trial[CONTA],$B61)</f>
        <v>9283.35</v>
      </c>
      <c r="E61" s="78">
        <f t="shared" ca="1" si="89"/>
        <v>9.7999999999999997E-3</v>
      </c>
      <c r="F61" s="4">
        <f ca="1">-SUMIFS(INDIRECT("Tab_000.Trial["&amp;F$4&amp;"]"),Tab_000.Trial[CONTA],$B61)</f>
        <v>-57725.93</v>
      </c>
      <c r="G61" s="78">
        <f t="shared" ref="G61:G174" ca="1" si="91">IFERROR($F61/$F$6,0)</f>
        <v>-5.9200000000000003E-2</v>
      </c>
      <c r="H61" s="78">
        <f t="shared" ca="1" si="90"/>
        <v>-7.2182000000000004</v>
      </c>
      <c r="I61" s="4">
        <f ca="1">-SUMIFS(INDIRECT("Tab_000.Trial["&amp;I$4&amp;"]"),Tab_000.Trial[CONTA],$B61)</f>
        <v>-54617.88</v>
      </c>
      <c r="J61" s="78">
        <f t="shared" ref="J61:J174" ca="1" si="92">IFERROR($I61/$I$6,0)</f>
        <v>-5.1999999999999998E-2</v>
      </c>
      <c r="K61" s="78">
        <f t="shared" ref="K61:K172" ca="1" si="93">IFERROR(($I61-$F61)/ABS($F61),0)</f>
        <v>5.3800000000000001E-2</v>
      </c>
      <c r="L61" s="4">
        <f ca="1">-SUMIFS(INDIRECT("Tab_000.Trial["&amp;L$4&amp;"]"),Tab_000.Trial[CONTA],$B61)</f>
        <v>-67332.59</v>
      </c>
      <c r="M61" s="78">
        <f t="shared" ref="M61:M174" ca="1" si="94">IFERROR($L61/$L$6,0)</f>
        <v>-6.08E-2</v>
      </c>
      <c r="N61" s="78">
        <f t="shared" ref="N61:N172" ca="1" si="95">IFERROR(($L61-$I61)/ABS($I61),0)</f>
        <v>-0.23280000000000001</v>
      </c>
      <c r="O61" s="4">
        <f ca="1">-SUMIFS(INDIRECT("Tab_000.Trial["&amp;O$4&amp;"]"),Tab_000.Trial[CONTA],$B61)</f>
        <v>-65332.63</v>
      </c>
      <c r="P61" s="78">
        <f t="shared" ref="P61:P95" ca="1" si="96">IFERROR($O61/$O$6,0)</f>
        <v>-5.3900000000000003E-2</v>
      </c>
      <c r="Q61" s="78">
        <f t="shared" ref="Q61:Q95" ca="1" si="97">IFERROR(($O61-$L61)/ABS($L61),0)</f>
        <v>2.9700000000000001E-2</v>
      </c>
      <c r="R61" s="4">
        <f ca="1">-SUMIFS(INDIRECT("Tab_000.Trial["&amp;R$4&amp;"]"),Tab_000.Trial[CONTA],$B61)</f>
        <v>-54166.77</v>
      </c>
      <c r="S61" s="78">
        <f t="shared" ref="S61:S174" ca="1" si="98">IFERROR($R61/$R$6,0)</f>
        <v>-5.3699999999999998E-2</v>
      </c>
      <c r="T61" s="78">
        <f t="shared" ref="T61:T172" ca="1" si="99">IFERROR(($R61-$O61)/ABS($O61),0)</f>
        <v>0.1709</v>
      </c>
      <c r="U61" s="4">
        <f ca="1">-SUMIFS(INDIRECT("Tab_000.Trial["&amp;U$4&amp;"]"),Tab_000.Trial[CONTA],$B61)</f>
        <v>-37076.21</v>
      </c>
      <c r="V61" s="78">
        <f t="shared" ref="V61:V174" ca="1" si="100">IFERROR($U61/$U$6,0)</f>
        <v>-3.4500000000000003E-2</v>
      </c>
      <c r="W61" s="78">
        <f t="shared" ref="W61:W172" ca="1" si="101">IFERROR(($U61-$R61)/ABS($R61),0)</f>
        <v>0.3155</v>
      </c>
      <c r="X61" s="4">
        <f ca="1">-SUMIFS(INDIRECT("Tab_000.Trial["&amp;X$4&amp;"]"),Tab_000.Trial[CONTA],$B61)</f>
        <v>-54904.87</v>
      </c>
      <c r="Y61" s="78">
        <f t="shared" ref="Y61:Y95" ca="1" si="102">IFERROR($X61/$X$6,0)</f>
        <v>-5.2699999999999997E-2</v>
      </c>
      <c r="Z61" s="78">
        <f t="shared" ref="Z61:Z95" ca="1" si="103">IFERROR(($X61-$U61)/ABS($U61),0)</f>
        <v>-0.48089999999999999</v>
      </c>
      <c r="AA61" s="4">
        <f ca="1">-SUMIFS(INDIRECT("Tab_000.Trial["&amp;AA$4&amp;"]"),Tab_000.Trial[CONTA],$B61)</f>
        <v>-62503.12</v>
      </c>
      <c r="AB61" s="78">
        <f t="shared" ref="AB61:AB174" ca="1" si="104">IFERROR($AA61/$AA$6,0)</f>
        <v>-6.4199999999999993E-2</v>
      </c>
      <c r="AC61" s="78">
        <f t="shared" ref="AC61:AC172" ca="1" si="105">IFERROR(($AA61-$X61)/ABS($X61),0)</f>
        <v>-0.1384</v>
      </c>
      <c r="AD61" s="4">
        <f ca="1">-SUMIFS(INDIRECT("Tab_000.Trial["&amp;AD$4&amp;"]"),Tab_000.Trial[CONTA],$B61)</f>
        <v>-47197.23</v>
      </c>
      <c r="AE61" s="78">
        <f t="shared" ref="AE61:AE174" ca="1" si="106">IFERROR($AD61/$AD$6,0)</f>
        <v>-3.7999999999999999E-2</v>
      </c>
      <c r="AF61" s="78">
        <f t="shared" ref="AF61:AF172" ca="1" si="107">IFERROR(($AD61-$AA61)/ABS($AA61),0)</f>
        <v>0.24490000000000001</v>
      </c>
      <c r="AG61" s="4">
        <f ca="1">-SUMIFS(INDIRECT("Tab_000.Trial["&amp;AG$4&amp;"]"),Tab_000.Trial[CONTA],$B61)</f>
        <v>-58344.11</v>
      </c>
      <c r="AH61" s="78">
        <f t="shared" ref="AH61:AH174" ca="1" si="108">IFERROR($AG61/$AG$6,0)</f>
        <v>-6.3600000000000004E-2</v>
      </c>
      <c r="AI61" s="78">
        <f t="shared" ref="AI61:AI172" ca="1" si="109">IFERROR(($AG61-$AD61)/ABS($AD61),0)</f>
        <v>-0.23619999999999999</v>
      </c>
      <c r="AJ61" s="4">
        <f ca="1">-SUMIFS(INDIRECT("Tab_000.Trial["&amp;AJ$4&amp;"]"),Tab_000.Trial[CONTA],$B61)</f>
        <v>-62486.02</v>
      </c>
      <c r="AK61" s="78">
        <f t="shared" ref="AK61:AK174" ca="1" si="110">IFERROR($AJ61/$AJ$6,0)</f>
        <v>-4.2099999999999999E-2</v>
      </c>
      <c r="AL61" s="78">
        <f t="shared" ref="AL61:AL172" ca="1" si="111">IFERROR(($AJ61-$AG61)/ABS($AG61),0)</f>
        <v>-7.0999999999999994E-2</v>
      </c>
    </row>
    <row r="62" spans="2:39" ht="15" customHeight="1" outlineLevel="1" x14ac:dyDescent="0.3">
      <c r="B62" s="14" t="s">
        <v>428</v>
      </c>
      <c r="C62" s="14" t="s">
        <v>429</v>
      </c>
      <c r="D62" s="4">
        <f ca="1">-SUMIFS(INDIRECT("Tab_000.Trial["&amp;D$4&amp;"]"),Tab_000.Trial[CONTA],$B62)</f>
        <v>0</v>
      </c>
      <c r="E62" s="78">
        <f t="shared" ca="1" si="89"/>
        <v>0</v>
      </c>
      <c r="F62" s="4">
        <f ca="1">-SUMIFS(INDIRECT("Tab_000.Trial["&amp;F$4&amp;"]"),Tab_000.Trial[CONTA],$B62)</f>
        <v>0</v>
      </c>
      <c r="G62" s="78">
        <f t="shared" ca="1" si="91"/>
        <v>0</v>
      </c>
      <c r="H62" s="78">
        <f t="shared" ca="1" si="90"/>
        <v>0</v>
      </c>
      <c r="I62" s="4">
        <f ca="1">-SUMIFS(INDIRECT("Tab_000.Trial["&amp;I$4&amp;"]"),Tab_000.Trial[CONTA],$B62)</f>
        <v>0</v>
      </c>
      <c r="J62" s="78">
        <f t="shared" ca="1" si="92"/>
        <v>0</v>
      </c>
      <c r="K62" s="78">
        <f t="shared" ca="1" si="93"/>
        <v>0</v>
      </c>
      <c r="L62" s="4">
        <f ca="1">-SUMIFS(INDIRECT("Tab_000.Trial["&amp;L$4&amp;"]"),Tab_000.Trial[CONTA],$B62)</f>
        <v>0</v>
      </c>
      <c r="M62" s="78">
        <f t="shared" ca="1" si="94"/>
        <v>0</v>
      </c>
      <c r="N62" s="78">
        <f t="shared" ca="1" si="95"/>
        <v>0</v>
      </c>
      <c r="O62" s="4">
        <f ca="1">-SUMIFS(INDIRECT("Tab_000.Trial["&amp;O$4&amp;"]"),Tab_000.Trial[CONTA],$B62)</f>
        <v>0</v>
      </c>
      <c r="P62" s="78">
        <f t="shared" ca="1" si="96"/>
        <v>0</v>
      </c>
      <c r="Q62" s="78">
        <f t="shared" ca="1" si="97"/>
        <v>0</v>
      </c>
      <c r="R62" s="4">
        <f ca="1">-SUMIFS(INDIRECT("Tab_000.Trial["&amp;R$4&amp;"]"),Tab_000.Trial[CONTA],$B62)</f>
        <v>0</v>
      </c>
      <c r="S62" s="78">
        <f t="shared" ca="1" si="98"/>
        <v>0</v>
      </c>
      <c r="T62" s="78">
        <f t="shared" ca="1" si="99"/>
        <v>0</v>
      </c>
      <c r="U62" s="4">
        <f ca="1">-SUMIFS(INDIRECT("Tab_000.Trial["&amp;U$4&amp;"]"),Tab_000.Trial[CONTA],$B62)</f>
        <v>0</v>
      </c>
      <c r="V62" s="78">
        <f t="shared" ca="1" si="100"/>
        <v>0</v>
      </c>
      <c r="W62" s="78">
        <f t="shared" ca="1" si="101"/>
        <v>0</v>
      </c>
      <c r="X62" s="4">
        <f ca="1">-SUMIFS(INDIRECT("Tab_000.Trial["&amp;X$4&amp;"]"),Tab_000.Trial[CONTA],$B62)</f>
        <v>0</v>
      </c>
      <c r="Y62" s="78">
        <f t="shared" ca="1" si="102"/>
        <v>0</v>
      </c>
      <c r="Z62" s="78">
        <f t="shared" ca="1" si="103"/>
        <v>0</v>
      </c>
      <c r="AA62" s="4">
        <f ca="1">-SUMIFS(INDIRECT("Tab_000.Trial["&amp;AA$4&amp;"]"),Tab_000.Trial[CONTA],$B62)</f>
        <v>0</v>
      </c>
      <c r="AB62" s="78">
        <f t="shared" ca="1" si="104"/>
        <v>0</v>
      </c>
      <c r="AC62" s="78">
        <f t="shared" ca="1" si="105"/>
        <v>0</v>
      </c>
      <c r="AD62" s="4">
        <f ca="1">-SUMIFS(INDIRECT("Tab_000.Trial["&amp;AD$4&amp;"]"),Tab_000.Trial[CONTA],$B62)</f>
        <v>0</v>
      </c>
      <c r="AE62" s="78">
        <f t="shared" ca="1" si="106"/>
        <v>0</v>
      </c>
      <c r="AF62" s="78">
        <f t="shared" ca="1" si="107"/>
        <v>0</v>
      </c>
      <c r="AG62" s="4">
        <f ca="1">-SUMIFS(INDIRECT("Tab_000.Trial["&amp;AG$4&amp;"]"),Tab_000.Trial[CONTA],$B62)</f>
        <v>0</v>
      </c>
      <c r="AH62" s="78">
        <f t="shared" ca="1" si="108"/>
        <v>0</v>
      </c>
      <c r="AI62" s="78">
        <f t="shared" ca="1" si="109"/>
        <v>0</v>
      </c>
      <c r="AJ62" s="4">
        <f ca="1">-SUMIFS(INDIRECT("Tab_000.Trial["&amp;AJ$4&amp;"]"),Tab_000.Trial[CONTA],$B62)</f>
        <v>0</v>
      </c>
      <c r="AK62" s="78">
        <f t="shared" ca="1" si="110"/>
        <v>0</v>
      </c>
      <c r="AL62" s="78">
        <f t="shared" ca="1" si="111"/>
        <v>0</v>
      </c>
    </row>
    <row r="63" spans="2:39" s="177" customFormat="1" ht="15" customHeight="1" outlineLevel="1" x14ac:dyDescent="0.3">
      <c r="B63" s="176" t="s">
        <v>430</v>
      </c>
      <c r="C63" s="176" t="s">
        <v>431</v>
      </c>
      <c r="D63" s="4">
        <f ca="1">-SUMIFS(INDIRECT("Tab_000.Trial["&amp;D$4&amp;"]"),Tab_000.Trial[CONTA],$B63)</f>
        <v>-7059.76</v>
      </c>
      <c r="E63" s="78">
        <f t="shared" ca="1" si="89"/>
        <v>-7.4000000000000003E-3</v>
      </c>
      <c r="F63" s="4">
        <f ca="1">-SUMIFS(INDIRECT("Tab_000.Trial["&amp;F$4&amp;"]"),Tab_000.Trial[CONTA],$B63)</f>
        <v>-9664.2099999999991</v>
      </c>
      <c r="G63" s="78">
        <f t="shared" ca="1" si="91"/>
        <v>-9.9000000000000008E-3</v>
      </c>
      <c r="H63" s="78">
        <f t="shared" ca="1" si="90"/>
        <v>-0.36890000000000001</v>
      </c>
      <c r="I63" s="4">
        <f ca="1">-SUMIFS(INDIRECT("Tab_000.Trial["&amp;I$4&amp;"]"),Tab_000.Trial[CONTA],$B63)</f>
        <v>-6910.43</v>
      </c>
      <c r="J63" s="78">
        <f t="shared" ca="1" si="92"/>
        <v>-6.6E-3</v>
      </c>
      <c r="K63" s="78">
        <f t="shared" ca="1" si="93"/>
        <v>0.28489999999999999</v>
      </c>
      <c r="L63" s="4">
        <f ca="1">-SUMIFS(INDIRECT("Tab_000.Trial["&amp;L$4&amp;"]"),Tab_000.Trial[CONTA],$B63)</f>
        <v>-8176.23</v>
      </c>
      <c r="M63" s="78">
        <f t="shared" ca="1" si="94"/>
        <v>-7.4000000000000003E-3</v>
      </c>
      <c r="N63" s="78">
        <f t="shared" ca="1" si="95"/>
        <v>-0.1832</v>
      </c>
      <c r="O63" s="4">
        <f ca="1">-SUMIFS(INDIRECT("Tab_000.Trial["&amp;O$4&amp;"]"),Tab_000.Trial[CONTA],$B63)</f>
        <v>-8440.17</v>
      </c>
      <c r="P63" s="78">
        <f t="shared" ca="1" si="96"/>
        <v>-7.0000000000000001E-3</v>
      </c>
      <c r="Q63" s="78">
        <f t="shared" ca="1" si="97"/>
        <v>-3.2300000000000002E-2</v>
      </c>
      <c r="R63" s="4">
        <f ca="1">-SUMIFS(INDIRECT("Tab_000.Trial["&amp;R$4&amp;"]"),Tab_000.Trial[CONTA],$B63)</f>
        <v>-6494.98</v>
      </c>
      <c r="S63" s="78">
        <f t="shared" ca="1" si="98"/>
        <v>-6.4000000000000003E-3</v>
      </c>
      <c r="T63" s="78">
        <f t="shared" ca="1" si="99"/>
        <v>0.23050000000000001</v>
      </c>
      <c r="U63" s="4">
        <f ca="1">-SUMIFS(INDIRECT("Tab_000.Trial["&amp;U$4&amp;"]"),Tab_000.Trial[CONTA],$B63)</f>
        <v>-6726.67</v>
      </c>
      <c r="V63" s="78">
        <f t="shared" ca="1" si="100"/>
        <v>-6.3E-3</v>
      </c>
      <c r="W63" s="78">
        <f t="shared" ca="1" si="101"/>
        <v>-3.5700000000000003E-2</v>
      </c>
      <c r="X63" s="4">
        <f ca="1">-SUMIFS(INDIRECT("Tab_000.Trial["&amp;X$4&amp;"]"),Tab_000.Trial[CONTA],$B63)</f>
        <v>-6726.71</v>
      </c>
      <c r="Y63" s="78">
        <f t="shared" ca="1" si="102"/>
        <v>-6.4999999999999997E-3</v>
      </c>
      <c r="Z63" s="78">
        <f t="shared" ca="1" si="103"/>
        <v>0</v>
      </c>
      <c r="AA63" s="4">
        <f ca="1">-SUMIFS(INDIRECT("Tab_000.Trial["&amp;AA$4&amp;"]"),Tab_000.Trial[CONTA],$B63)</f>
        <v>-8432.86</v>
      </c>
      <c r="AB63" s="78">
        <f t="shared" ca="1" si="104"/>
        <v>-8.6999999999999994E-3</v>
      </c>
      <c r="AC63" s="78">
        <f t="shared" ca="1" si="105"/>
        <v>-0.25359999999999999</v>
      </c>
      <c r="AD63" s="4">
        <f ca="1">-SUMIFS(INDIRECT("Tab_000.Trial["&amp;AD$4&amp;"]"),Tab_000.Trial[CONTA],$B63)</f>
        <v>-12504.53</v>
      </c>
      <c r="AE63" s="78">
        <f t="shared" ca="1" si="106"/>
        <v>-1.01E-2</v>
      </c>
      <c r="AF63" s="78">
        <f t="shared" ca="1" si="107"/>
        <v>-0.48280000000000001</v>
      </c>
      <c r="AG63" s="4">
        <f ca="1">-SUMIFS(INDIRECT("Tab_000.Trial["&amp;AG$4&amp;"]"),Tab_000.Trial[CONTA],$B63)</f>
        <v>-12494.88</v>
      </c>
      <c r="AH63" s="78">
        <f t="shared" ca="1" si="108"/>
        <v>-1.3599999999999999E-2</v>
      </c>
      <c r="AI63" s="78">
        <f t="shared" ca="1" si="109"/>
        <v>8.0000000000000004E-4</v>
      </c>
      <c r="AJ63" s="4">
        <f ca="1">-SUMIFS(INDIRECT("Tab_000.Trial["&amp;AJ$4&amp;"]"),Tab_000.Trial[CONTA],$B63)</f>
        <v>-12630.74</v>
      </c>
      <c r="AK63" s="78">
        <f t="shared" ca="1" si="110"/>
        <v>-8.5000000000000006E-3</v>
      </c>
      <c r="AL63" s="78">
        <f t="shared" ca="1" si="111"/>
        <v>-1.09E-2</v>
      </c>
      <c r="AM63" s="177" t="s">
        <v>776</v>
      </c>
    </row>
    <row r="64" spans="2:39" s="177" customFormat="1" ht="15" customHeight="1" outlineLevel="1" x14ac:dyDescent="0.3">
      <c r="B64" s="176" t="s">
        <v>432</v>
      </c>
      <c r="C64" s="176" t="s">
        <v>433</v>
      </c>
      <c r="D64" s="4">
        <f ca="1">-SUMIFS(INDIRECT("Tab_000.Trial["&amp;D$4&amp;"]"),Tab_000.Trial[CONTA],$B64)</f>
        <v>-5045.03</v>
      </c>
      <c r="E64" s="78">
        <f t="shared" ca="1" si="89"/>
        <v>-5.3E-3</v>
      </c>
      <c r="F64" s="4">
        <f ca="1">-SUMIFS(INDIRECT("Tab_000.Trial["&amp;F$4&amp;"]"),Tab_000.Trial[CONTA],$B64)</f>
        <v>-5045.03</v>
      </c>
      <c r="G64" s="78">
        <f t="shared" ca="1" si="91"/>
        <v>-5.1999999999999998E-3</v>
      </c>
      <c r="H64" s="78">
        <f t="shared" ca="1" si="90"/>
        <v>0</v>
      </c>
      <c r="I64" s="4">
        <f ca="1">-SUMIFS(INDIRECT("Tab_000.Trial["&amp;I$4&amp;"]"),Tab_000.Trial[CONTA],$B64)</f>
        <v>-5045.03</v>
      </c>
      <c r="J64" s="78">
        <f t="shared" ca="1" si="92"/>
        <v>-4.7999999999999996E-3</v>
      </c>
      <c r="K64" s="78">
        <f t="shared" ca="1" si="93"/>
        <v>0</v>
      </c>
      <c r="L64" s="4">
        <f ca="1">-SUMIFS(INDIRECT("Tab_000.Trial["&amp;L$4&amp;"]"),Tab_000.Trial[CONTA],$B64)</f>
        <v>-5044.99</v>
      </c>
      <c r="M64" s="78">
        <f t="shared" ca="1" si="94"/>
        <v>-4.5999999999999999E-3</v>
      </c>
      <c r="N64" s="78">
        <f t="shared" ca="1" si="95"/>
        <v>0</v>
      </c>
      <c r="O64" s="4">
        <f ca="1">-SUMIFS(INDIRECT("Tab_000.Trial["&amp;O$4&amp;"]"),Tab_000.Trial[CONTA],$B64)</f>
        <v>-5045.05</v>
      </c>
      <c r="P64" s="78">
        <f t="shared" ca="1" si="96"/>
        <v>-4.1999999999999997E-3</v>
      </c>
      <c r="Q64" s="78">
        <f t="shared" ca="1" si="97"/>
        <v>0</v>
      </c>
      <c r="R64" s="4">
        <f ca="1">-SUMIFS(INDIRECT("Tab_000.Trial["&amp;R$4&amp;"]"),Tab_000.Trial[CONTA],$B64)</f>
        <v>-5045.03</v>
      </c>
      <c r="S64" s="78">
        <f t="shared" ca="1" si="98"/>
        <v>-5.0000000000000001E-3</v>
      </c>
      <c r="T64" s="78">
        <f t="shared" ca="1" si="99"/>
        <v>0</v>
      </c>
      <c r="U64" s="4">
        <f ca="1">-SUMIFS(INDIRECT("Tab_000.Trial["&amp;U$4&amp;"]"),Tab_000.Trial[CONTA],$B64)</f>
        <v>-6330.11</v>
      </c>
      <c r="V64" s="78">
        <f t="shared" ca="1" si="100"/>
        <v>-5.8999999999999999E-3</v>
      </c>
      <c r="W64" s="78">
        <f t="shared" ca="1" si="101"/>
        <v>-0.25469999999999998</v>
      </c>
      <c r="X64" s="4">
        <f ca="1">-SUMIFS(INDIRECT("Tab_000.Trial["&amp;X$4&amp;"]"),Tab_000.Trial[CONTA],$B64)</f>
        <v>-5045.03</v>
      </c>
      <c r="Y64" s="78">
        <f t="shared" ca="1" si="102"/>
        <v>-4.7999999999999996E-3</v>
      </c>
      <c r="Z64" s="78">
        <f t="shared" ca="1" si="103"/>
        <v>0.20300000000000001</v>
      </c>
      <c r="AA64" s="4">
        <f ca="1">-SUMIFS(INDIRECT("Tab_000.Trial["&amp;AA$4&amp;"]"),Tab_000.Trial[CONTA],$B64)</f>
        <v>-7267.45</v>
      </c>
      <c r="AB64" s="78">
        <f t="shared" ca="1" si="104"/>
        <v>-7.4999999999999997E-3</v>
      </c>
      <c r="AC64" s="78">
        <f t="shared" ca="1" si="105"/>
        <v>-0.4405</v>
      </c>
      <c r="AD64" s="4">
        <f ca="1">-SUMIFS(INDIRECT("Tab_000.Trial["&amp;AD$4&amp;"]"),Tab_000.Trial[CONTA],$B64)</f>
        <v>0</v>
      </c>
      <c r="AE64" s="78">
        <f t="shared" ca="1" si="106"/>
        <v>0</v>
      </c>
      <c r="AF64" s="78">
        <f t="shared" ca="1" si="107"/>
        <v>1</v>
      </c>
      <c r="AG64" s="4">
        <f ca="1">-SUMIFS(INDIRECT("Tab_000.Trial["&amp;AG$4&amp;"]"),Tab_000.Trial[CONTA],$B64)</f>
        <v>0</v>
      </c>
      <c r="AH64" s="78">
        <f t="shared" ca="1" si="108"/>
        <v>0</v>
      </c>
      <c r="AI64" s="78">
        <f t="shared" ca="1" si="109"/>
        <v>0</v>
      </c>
      <c r="AJ64" s="4">
        <f ca="1">-SUMIFS(INDIRECT("Tab_000.Trial["&amp;AJ$4&amp;"]"),Tab_000.Trial[CONTA],$B64)</f>
        <v>-3434.46</v>
      </c>
      <c r="AK64" s="78">
        <f t="shared" ca="1" si="110"/>
        <v>-2.3E-3</v>
      </c>
      <c r="AL64" s="78">
        <f t="shared" ca="1" si="111"/>
        <v>0</v>
      </c>
      <c r="AM64" s="177" t="s">
        <v>776</v>
      </c>
    </row>
    <row r="65" spans="2:39" ht="15" customHeight="1" outlineLevel="1" x14ac:dyDescent="0.3">
      <c r="B65" s="14" t="s">
        <v>434</v>
      </c>
      <c r="C65" s="14" t="s">
        <v>435</v>
      </c>
      <c r="D65" s="4">
        <f ca="1">-SUMIFS(INDIRECT("Tab_000.Trial["&amp;D$4&amp;"]"),Tab_000.Trial[CONTA],$B65)</f>
        <v>-15206.61</v>
      </c>
      <c r="E65" s="78">
        <f t="shared" ca="1" si="89"/>
        <v>-1.6E-2</v>
      </c>
      <c r="F65" s="4">
        <f ca="1">-SUMIFS(INDIRECT("Tab_000.Trial["&amp;F$4&amp;"]"),Tab_000.Trial[CONTA],$B65)</f>
        <v>-16341.11</v>
      </c>
      <c r="G65" s="78">
        <f t="shared" ca="1" si="91"/>
        <v>-1.6799999999999999E-2</v>
      </c>
      <c r="H65" s="78">
        <f t="shared" ca="1" si="90"/>
        <v>-7.46E-2</v>
      </c>
      <c r="I65" s="4">
        <f ca="1">-SUMIFS(INDIRECT("Tab_000.Trial["&amp;I$4&amp;"]"),Tab_000.Trial[CONTA],$B65)</f>
        <v>-43481.66</v>
      </c>
      <c r="J65" s="78">
        <f t="shared" ca="1" si="92"/>
        <v>-4.1399999999999999E-2</v>
      </c>
      <c r="K65" s="78">
        <f t="shared" ca="1" si="93"/>
        <v>-1.6609</v>
      </c>
      <c r="L65" s="4">
        <f ca="1">-SUMIFS(INDIRECT("Tab_000.Trial["&amp;L$4&amp;"]"),Tab_000.Trial[CONTA],$B65)</f>
        <v>-25759.51</v>
      </c>
      <c r="M65" s="78">
        <f t="shared" ca="1" si="94"/>
        <v>-2.3300000000000001E-2</v>
      </c>
      <c r="N65" s="78">
        <f t="shared" ca="1" si="95"/>
        <v>0.40760000000000002</v>
      </c>
      <c r="O65" s="4">
        <f ca="1">-SUMIFS(INDIRECT("Tab_000.Trial["&amp;O$4&amp;"]"),Tab_000.Trial[CONTA],$B65)</f>
        <v>-20626.18</v>
      </c>
      <c r="P65" s="78">
        <f t="shared" ca="1" si="96"/>
        <v>-1.7000000000000001E-2</v>
      </c>
      <c r="Q65" s="78">
        <f t="shared" ca="1" si="97"/>
        <v>0.1993</v>
      </c>
      <c r="R65" s="4">
        <f ca="1">-SUMIFS(INDIRECT("Tab_000.Trial["&amp;R$4&amp;"]"),Tab_000.Trial[CONTA],$B65)</f>
        <v>-29434.39</v>
      </c>
      <c r="S65" s="78">
        <f t="shared" ca="1" si="98"/>
        <v>-2.92E-2</v>
      </c>
      <c r="T65" s="78">
        <f t="shared" ca="1" si="99"/>
        <v>-0.42699999999999999</v>
      </c>
      <c r="U65" s="4">
        <f ca="1">-SUMIFS(INDIRECT("Tab_000.Trial["&amp;U$4&amp;"]"),Tab_000.Trial[CONTA],$B65)</f>
        <v>-23562.880000000001</v>
      </c>
      <c r="V65" s="78">
        <f t="shared" ca="1" si="100"/>
        <v>-2.1899999999999999E-2</v>
      </c>
      <c r="W65" s="78">
        <f t="shared" ca="1" si="101"/>
        <v>0.19950000000000001</v>
      </c>
      <c r="X65" s="4">
        <f ca="1">-SUMIFS(INDIRECT("Tab_000.Trial["&amp;X$4&amp;"]"),Tab_000.Trial[CONTA],$B65)</f>
        <v>-23792.38</v>
      </c>
      <c r="Y65" s="78">
        <f t="shared" ca="1" si="102"/>
        <v>-2.2800000000000001E-2</v>
      </c>
      <c r="Z65" s="78">
        <f t="shared" ca="1" si="103"/>
        <v>-9.7000000000000003E-3</v>
      </c>
      <c r="AA65" s="4">
        <f ca="1">-SUMIFS(INDIRECT("Tab_000.Trial["&amp;AA$4&amp;"]"),Tab_000.Trial[CONTA],$B65)</f>
        <v>-24645.94</v>
      </c>
      <c r="AB65" s="78">
        <f t="shared" ca="1" si="104"/>
        <v>-2.53E-2</v>
      </c>
      <c r="AC65" s="78">
        <f t="shared" ca="1" si="105"/>
        <v>-3.5900000000000001E-2</v>
      </c>
      <c r="AD65" s="4">
        <f ca="1">-SUMIFS(INDIRECT("Tab_000.Trial["&amp;AD$4&amp;"]"),Tab_000.Trial[CONTA],$B65)</f>
        <v>-22808.03</v>
      </c>
      <c r="AE65" s="78">
        <f t="shared" ca="1" si="106"/>
        <v>-1.83E-2</v>
      </c>
      <c r="AF65" s="78">
        <f t="shared" ca="1" si="107"/>
        <v>7.46E-2</v>
      </c>
      <c r="AG65" s="4">
        <f ca="1">-SUMIFS(INDIRECT("Tab_000.Trial["&amp;AG$4&amp;"]"),Tab_000.Trial[CONTA],$B65)</f>
        <v>-22808.03</v>
      </c>
      <c r="AH65" s="78">
        <f t="shared" ca="1" si="108"/>
        <v>-2.4899999999999999E-2</v>
      </c>
      <c r="AI65" s="78">
        <f t="shared" ca="1" si="109"/>
        <v>0</v>
      </c>
      <c r="AJ65" s="4">
        <f ca="1">-SUMIFS(INDIRECT("Tab_000.Trial["&amp;AJ$4&amp;"]"),Tab_000.Trial[CONTA],$B65)</f>
        <v>-22808.03</v>
      </c>
      <c r="AK65" s="78">
        <f t="shared" ca="1" si="110"/>
        <v>-1.54E-2</v>
      </c>
      <c r="AL65" s="78">
        <f t="shared" ca="1" si="111"/>
        <v>0</v>
      </c>
    </row>
    <row r="66" spans="2:39" ht="15" customHeight="1" outlineLevel="1" x14ac:dyDescent="0.3">
      <c r="B66" s="14" t="s">
        <v>436</v>
      </c>
      <c r="C66" s="14" t="s">
        <v>437</v>
      </c>
      <c r="D66" s="4">
        <f ca="1">-SUMIFS(INDIRECT("Tab_000.Trial["&amp;D$4&amp;"]"),Tab_000.Trial[CONTA],$B66)</f>
        <v>-13434.9</v>
      </c>
      <c r="E66" s="78">
        <f t="shared" ca="1" si="89"/>
        <v>-1.41E-2</v>
      </c>
      <c r="F66" s="4">
        <f ca="1">-SUMIFS(INDIRECT("Tab_000.Trial["&amp;F$4&amp;"]"),Tab_000.Trial[CONTA],$B66)</f>
        <v>-17125.62</v>
      </c>
      <c r="G66" s="78">
        <f t="shared" ca="1" si="91"/>
        <v>-1.7600000000000001E-2</v>
      </c>
      <c r="H66" s="78">
        <f t="shared" ca="1" si="90"/>
        <v>-0.2747</v>
      </c>
      <c r="I66" s="4">
        <f ca="1">-SUMIFS(INDIRECT("Tab_000.Trial["&amp;I$4&amp;"]"),Tab_000.Trial[CONTA],$B66)</f>
        <v>-19888.310000000001</v>
      </c>
      <c r="J66" s="78">
        <f t="shared" ca="1" si="92"/>
        <v>-1.89E-2</v>
      </c>
      <c r="K66" s="78">
        <f t="shared" ca="1" si="93"/>
        <v>-0.1613</v>
      </c>
      <c r="L66" s="4">
        <f ca="1">-SUMIFS(INDIRECT("Tab_000.Trial["&amp;L$4&amp;"]"),Tab_000.Trial[CONTA],$B66)</f>
        <v>-18989.13</v>
      </c>
      <c r="M66" s="78">
        <f t="shared" ca="1" si="94"/>
        <v>-1.72E-2</v>
      </c>
      <c r="N66" s="78">
        <f t="shared" ca="1" si="95"/>
        <v>4.5199999999999997E-2</v>
      </c>
      <c r="O66" s="4">
        <f ca="1">-SUMIFS(INDIRECT("Tab_000.Trial["&amp;O$4&amp;"]"),Tab_000.Trial[CONTA],$B66)</f>
        <v>-20549.78</v>
      </c>
      <c r="P66" s="78">
        <f t="shared" ca="1" si="96"/>
        <v>-1.7000000000000001E-2</v>
      </c>
      <c r="Q66" s="78">
        <f t="shared" ca="1" si="97"/>
        <v>-8.2199999999999995E-2</v>
      </c>
      <c r="R66" s="4">
        <f ca="1">-SUMIFS(INDIRECT("Tab_000.Trial["&amp;R$4&amp;"]"),Tab_000.Trial[CONTA],$B66)</f>
        <v>-15003.75</v>
      </c>
      <c r="S66" s="78">
        <f t="shared" ca="1" si="98"/>
        <v>-1.49E-2</v>
      </c>
      <c r="T66" s="78">
        <f t="shared" ca="1" si="99"/>
        <v>0.26989999999999997</v>
      </c>
      <c r="U66" s="4">
        <f ca="1">-SUMIFS(INDIRECT("Tab_000.Trial["&amp;U$4&amp;"]"),Tab_000.Trial[CONTA],$B66)</f>
        <v>-9936.44</v>
      </c>
      <c r="V66" s="78">
        <f t="shared" ca="1" si="100"/>
        <v>-9.1999999999999998E-3</v>
      </c>
      <c r="W66" s="78">
        <f t="shared" ca="1" si="101"/>
        <v>0.3377</v>
      </c>
      <c r="X66" s="4">
        <f ca="1">-SUMIFS(INDIRECT("Tab_000.Trial["&amp;X$4&amp;"]"),Tab_000.Trial[CONTA],$B66)</f>
        <v>-12957.11</v>
      </c>
      <c r="Y66" s="78">
        <f t="shared" ca="1" si="102"/>
        <v>-1.24E-2</v>
      </c>
      <c r="Z66" s="78">
        <f t="shared" ca="1" si="103"/>
        <v>-0.30399999999999999</v>
      </c>
      <c r="AA66" s="4">
        <f ca="1">-SUMIFS(INDIRECT("Tab_000.Trial["&amp;AA$4&amp;"]"),Tab_000.Trial[CONTA],$B66)</f>
        <v>-21881.74</v>
      </c>
      <c r="AB66" s="78">
        <f t="shared" ca="1" si="104"/>
        <v>-2.2499999999999999E-2</v>
      </c>
      <c r="AC66" s="78">
        <f t="shared" ca="1" si="105"/>
        <v>-0.68879999999999997</v>
      </c>
      <c r="AD66" s="4">
        <f ca="1">-SUMIFS(INDIRECT("Tab_000.Trial["&amp;AD$4&amp;"]"),Tab_000.Trial[CONTA],$B66)</f>
        <v>-10875.9</v>
      </c>
      <c r="AE66" s="78">
        <f t="shared" ca="1" si="106"/>
        <v>-8.6999999999999994E-3</v>
      </c>
      <c r="AF66" s="78">
        <f t="shared" ca="1" si="107"/>
        <v>0.503</v>
      </c>
      <c r="AG66" s="4">
        <f ca="1">-SUMIFS(INDIRECT("Tab_000.Trial["&amp;AG$4&amp;"]"),Tab_000.Trial[CONTA],$B66)</f>
        <v>-15239.75</v>
      </c>
      <c r="AH66" s="78">
        <f t="shared" ca="1" si="108"/>
        <v>-1.66E-2</v>
      </c>
      <c r="AI66" s="78">
        <f t="shared" ca="1" si="109"/>
        <v>-0.4012</v>
      </c>
      <c r="AJ66" s="4">
        <f ca="1">-SUMIFS(INDIRECT("Tab_000.Trial["&amp;AJ$4&amp;"]"),Tab_000.Trial[CONTA],$B66)</f>
        <v>-16267.6</v>
      </c>
      <c r="AK66" s="78">
        <f t="shared" ca="1" si="110"/>
        <v>-1.0999999999999999E-2</v>
      </c>
      <c r="AL66" s="78">
        <f t="shared" ca="1" si="111"/>
        <v>-6.7400000000000002E-2</v>
      </c>
    </row>
    <row r="67" spans="2:39" ht="15" customHeight="1" outlineLevel="1" x14ac:dyDescent="0.3">
      <c r="B67" s="14" t="s">
        <v>438</v>
      </c>
      <c r="C67" s="14" t="s">
        <v>196</v>
      </c>
      <c r="D67" s="4">
        <f ca="1">-SUMIFS(INDIRECT("Tab_000.Trial["&amp;D$4&amp;"]"),Tab_000.Trial[CONTA],$B67)</f>
        <v>-2354.0700000000002</v>
      </c>
      <c r="E67" s="78">
        <f t="shared" ca="1" si="89"/>
        <v>-2.5000000000000001E-3</v>
      </c>
      <c r="F67" s="4">
        <f ca="1">-SUMIFS(INDIRECT("Tab_000.Trial["&amp;F$4&amp;"]"),Tab_000.Trial[CONTA],$B67)</f>
        <v>-3567.63</v>
      </c>
      <c r="G67" s="78">
        <f t="shared" ca="1" si="91"/>
        <v>-3.7000000000000002E-3</v>
      </c>
      <c r="H67" s="78">
        <f t="shared" ca="1" si="90"/>
        <v>-0.51549999999999996</v>
      </c>
      <c r="I67" s="4">
        <f ca="1">-SUMIFS(INDIRECT("Tab_000.Trial["&amp;I$4&amp;"]"),Tab_000.Trial[CONTA],$B67)</f>
        <v>-4191.8999999999996</v>
      </c>
      <c r="J67" s="78">
        <f t="shared" ca="1" si="92"/>
        <v>-4.0000000000000001E-3</v>
      </c>
      <c r="K67" s="78">
        <f t="shared" ca="1" si="93"/>
        <v>-0.17499999999999999</v>
      </c>
      <c r="L67" s="4">
        <f ca="1">-SUMIFS(INDIRECT("Tab_000.Trial["&amp;L$4&amp;"]"),Tab_000.Trial[CONTA],$B67)</f>
        <v>-4298.72</v>
      </c>
      <c r="M67" s="78">
        <f t="shared" ca="1" si="94"/>
        <v>-3.8999999999999998E-3</v>
      </c>
      <c r="N67" s="78">
        <f t="shared" ca="1" si="95"/>
        <v>-2.5499999999999998E-2</v>
      </c>
      <c r="O67" s="4">
        <f ca="1">-SUMIFS(INDIRECT("Tab_000.Trial["&amp;O$4&amp;"]"),Tab_000.Trial[CONTA],$B67)</f>
        <v>-4443.78</v>
      </c>
      <c r="P67" s="78">
        <f t="shared" ca="1" si="96"/>
        <v>-3.7000000000000002E-3</v>
      </c>
      <c r="Q67" s="78">
        <f t="shared" ca="1" si="97"/>
        <v>-3.3700000000000001E-2</v>
      </c>
      <c r="R67" s="4">
        <f ca="1">-SUMIFS(INDIRECT("Tab_000.Trial["&amp;R$4&amp;"]"),Tab_000.Trial[CONTA],$B67)</f>
        <v>-3154.19</v>
      </c>
      <c r="S67" s="78">
        <f t="shared" ca="1" si="98"/>
        <v>-3.0999999999999999E-3</v>
      </c>
      <c r="T67" s="78">
        <f t="shared" ca="1" si="99"/>
        <v>0.29020000000000001</v>
      </c>
      <c r="U67" s="4">
        <f ca="1">-SUMIFS(INDIRECT("Tab_000.Trial["&amp;U$4&amp;"]"),Tab_000.Trial[CONTA],$B67)</f>
        <v>-2844.42</v>
      </c>
      <c r="V67" s="78">
        <f t="shared" ca="1" si="100"/>
        <v>-2.5999999999999999E-3</v>
      </c>
      <c r="W67" s="78">
        <f t="shared" ca="1" si="101"/>
        <v>9.8199999999999996E-2</v>
      </c>
      <c r="X67" s="4">
        <f ca="1">-SUMIFS(INDIRECT("Tab_000.Trial["&amp;X$4&amp;"]"),Tab_000.Trial[CONTA],$B67)</f>
        <v>-4245.33</v>
      </c>
      <c r="Y67" s="78">
        <f t="shared" ca="1" si="102"/>
        <v>-4.1000000000000003E-3</v>
      </c>
      <c r="Z67" s="78">
        <f t="shared" ca="1" si="103"/>
        <v>-0.49249999999999999</v>
      </c>
      <c r="AA67" s="4">
        <f ca="1">-SUMIFS(INDIRECT("Tab_000.Trial["&amp;AA$4&amp;"]"),Tab_000.Trial[CONTA],$B67)</f>
        <v>-6484.71</v>
      </c>
      <c r="AB67" s="78">
        <f t="shared" ca="1" si="104"/>
        <v>-6.7000000000000002E-3</v>
      </c>
      <c r="AC67" s="78">
        <f t="shared" ca="1" si="105"/>
        <v>-0.52749999999999997</v>
      </c>
      <c r="AD67" s="4">
        <f ca="1">-SUMIFS(INDIRECT("Tab_000.Trial["&amp;AD$4&amp;"]"),Tab_000.Trial[CONTA],$B67)</f>
        <v>-3628.72</v>
      </c>
      <c r="AE67" s="78">
        <f t="shared" ca="1" si="106"/>
        <v>-2.8999999999999998E-3</v>
      </c>
      <c r="AF67" s="78">
        <f t="shared" ca="1" si="107"/>
        <v>0.44040000000000001</v>
      </c>
      <c r="AG67" s="4">
        <f ca="1">-SUMIFS(INDIRECT("Tab_000.Trial["&amp;AG$4&amp;"]"),Tab_000.Trial[CONTA],$B67)</f>
        <v>-4549.16</v>
      </c>
      <c r="AH67" s="78">
        <f t="shared" ca="1" si="108"/>
        <v>-5.0000000000000001E-3</v>
      </c>
      <c r="AI67" s="78">
        <f t="shared" ca="1" si="109"/>
        <v>-0.25369999999999998</v>
      </c>
      <c r="AJ67" s="4">
        <f ca="1">-SUMIFS(INDIRECT("Tab_000.Trial["&amp;AJ$4&amp;"]"),Tab_000.Trial[CONTA],$B67)</f>
        <v>-4855.9799999999996</v>
      </c>
      <c r="AK67" s="78">
        <f t="shared" ca="1" si="110"/>
        <v>-3.3E-3</v>
      </c>
      <c r="AL67" s="78">
        <f t="shared" ca="1" si="111"/>
        <v>-6.7400000000000002E-2</v>
      </c>
    </row>
    <row r="68" spans="2:39" ht="15" customHeight="1" outlineLevel="1" x14ac:dyDescent="0.3">
      <c r="B68" s="14" t="s">
        <v>439</v>
      </c>
      <c r="C68" s="14" t="s">
        <v>440</v>
      </c>
      <c r="D68" s="4">
        <f ca="1">-SUMIFS(INDIRECT("Tab_000.Trial["&amp;D$4&amp;"]"),Tab_000.Trial[CONTA],$B68)</f>
        <v>-645.88</v>
      </c>
      <c r="E68" s="78">
        <f t="shared" ca="1" si="89"/>
        <v>-6.9999999999999999E-4</v>
      </c>
      <c r="F68" s="4">
        <f ca="1">-SUMIFS(INDIRECT("Tab_000.Trial["&amp;F$4&amp;"]"),Tab_000.Trial[CONTA],$B68)</f>
        <v>-258.16000000000003</v>
      </c>
      <c r="G68" s="78">
        <f t="shared" ca="1" si="91"/>
        <v>-2.9999999999999997E-4</v>
      </c>
      <c r="H68" s="78">
        <f t="shared" ca="1" si="90"/>
        <v>0.60029999999999994</v>
      </c>
      <c r="I68" s="4">
        <f ca="1">-SUMIFS(INDIRECT("Tab_000.Trial["&amp;I$4&amp;"]"),Tab_000.Trial[CONTA],$B68)</f>
        <v>-714.27</v>
      </c>
      <c r="J68" s="78">
        <f t="shared" ca="1" si="92"/>
        <v>-6.9999999999999999E-4</v>
      </c>
      <c r="K68" s="78">
        <f t="shared" ca="1" si="93"/>
        <v>-1.7667999999999999</v>
      </c>
      <c r="L68" s="4">
        <f ca="1">-SUMIFS(INDIRECT("Tab_000.Trial["&amp;L$4&amp;"]"),Tab_000.Trial[CONTA],$B68)</f>
        <v>-686.17</v>
      </c>
      <c r="M68" s="78">
        <f t="shared" ca="1" si="94"/>
        <v>-5.9999999999999995E-4</v>
      </c>
      <c r="N68" s="78">
        <f t="shared" ca="1" si="95"/>
        <v>3.9300000000000002E-2</v>
      </c>
      <c r="O68" s="4">
        <f ca="1">-SUMIFS(INDIRECT("Tab_000.Trial["&amp;O$4&amp;"]"),Tab_000.Trial[CONTA],$B68)</f>
        <v>-762.53</v>
      </c>
      <c r="P68" s="78">
        <f t="shared" ca="1" si="96"/>
        <v>-5.9999999999999995E-4</v>
      </c>
      <c r="Q68" s="78">
        <f t="shared" ca="1" si="97"/>
        <v>-0.1113</v>
      </c>
      <c r="R68" s="4">
        <f ca="1">-SUMIFS(INDIRECT("Tab_000.Trial["&amp;R$4&amp;"]"),Tab_000.Trial[CONTA],$B68)</f>
        <v>-541.66999999999996</v>
      </c>
      <c r="S68" s="78">
        <f t="shared" ca="1" si="98"/>
        <v>-5.0000000000000001E-4</v>
      </c>
      <c r="T68" s="78">
        <f t="shared" ca="1" si="99"/>
        <v>0.28960000000000002</v>
      </c>
      <c r="U68" s="4">
        <f ca="1">-SUMIFS(INDIRECT("Tab_000.Trial["&amp;U$4&amp;"]"),Tab_000.Trial[CONTA],$B68)</f>
        <v>-370.77</v>
      </c>
      <c r="V68" s="78">
        <f t="shared" ca="1" si="100"/>
        <v>-2.9999999999999997E-4</v>
      </c>
      <c r="W68" s="78">
        <f t="shared" ca="1" si="101"/>
        <v>0.3155</v>
      </c>
      <c r="X68" s="4">
        <f ca="1">-SUMIFS(INDIRECT("Tab_000.Trial["&amp;X$4&amp;"]"),Tab_000.Trial[CONTA],$B68)</f>
        <v>-603.78</v>
      </c>
      <c r="Y68" s="78">
        <f t="shared" ca="1" si="102"/>
        <v>-5.9999999999999995E-4</v>
      </c>
      <c r="Z68" s="78">
        <f t="shared" ca="1" si="103"/>
        <v>-0.62839999999999996</v>
      </c>
      <c r="AA68" s="4">
        <f ca="1">-SUMIFS(INDIRECT("Tab_000.Trial["&amp;AA$4&amp;"]"),Tab_000.Trial[CONTA],$B68)</f>
        <v>-652.73</v>
      </c>
      <c r="AB68" s="78">
        <f t="shared" ca="1" si="104"/>
        <v>-6.9999999999999999E-4</v>
      </c>
      <c r="AC68" s="78">
        <f t="shared" ca="1" si="105"/>
        <v>-8.1100000000000005E-2</v>
      </c>
      <c r="AD68" s="4">
        <f ca="1">-SUMIFS(INDIRECT("Tab_000.Trial["&amp;AD$4&amp;"]"),Tab_000.Trial[CONTA],$B68)</f>
        <v>-453.61</v>
      </c>
      <c r="AE68" s="78">
        <f t="shared" ca="1" si="106"/>
        <v>-4.0000000000000002E-4</v>
      </c>
      <c r="AF68" s="78">
        <f t="shared" ca="1" si="107"/>
        <v>0.30509999999999998</v>
      </c>
      <c r="AG68" s="4">
        <f ca="1">-SUMIFS(INDIRECT("Tab_000.Trial["&amp;AG$4&amp;"]"),Tab_000.Trial[CONTA],$B68)</f>
        <v>-568.65</v>
      </c>
      <c r="AH68" s="78">
        <f t="shared" ca="1" si="108"/>
        <v>-5.9999999999999995E-4</v>
      </c>
      <c r="AI68" s="78">
        <f t="shared" ca="1" si="109"/>
        <v>-0.25359999999999999</v>
      </c>
      <c r="AJ68" s="4">
        <f ca="1">-SUMIFS(INDIRECT("Tab_000.Trial["&amp;AJ$4&amp;"]"),Tab_000.Trial[CONTA],$B68)</f>
        <v>-533.79</v>
      </c>
      <c r="AK68" s="78">
        <f t="shared" ca="1" si="110"/>
        <v>-4.0000000000000002E-4</v>
      </c>
      <c r="AL68" s="78">
        <f t="shared" ca="1" si="111"/>
        <v>6.13E-2</v>
      </c>
      <c r="AM68" s="142"/>
    </row>
    <row r="69" spans="2:39" ht="15" customHeight="1" outlineLevel="1" x14ac:dyDescent="0.3">
      <c r="B69" s="14" t="s">
        <v>441</v>
      </c>
      <c r="C69" s="14" t="s">
        <v>427</v>
      </c>
      <c r="D69" s="4">
        <f ca="1">-SUMIFS(INDIRECT("Tab_000.Trial["&amp;D$4&amp;"]"),Tab_000.Trial[CONTA],$B69)</f>
        <v>-54518.48</v>
      </c>
      <c r="E69" s="78">
        <f t="shared" ca="1" si="89"/>
        <v>-5.74E-2</v>
      </c>
      <c r="F69" s="4">
        <f ca="1">-SUMIFS(INDIRECT("Tab_000.Trial["&amp;F$4&amp;"]"),Tab_000.Trial[CONTA],$B69)</f>
        <v>-62264.42</v>
      </c>
      <c r="G69" s="78">
        <f t="shared" ca="1" si="91"/>
        <v>-6.3799999999999996E-2</v>
      </c>
      <c r="H69" s="78">
        <f t="shared" ca="1" si="90"/>
        <v>-0.1421</v>
      </c>
      <c r="I69" s="4">
        <f ca="1">-SUMIFS(INDIRECT("Tab_000.Trial["&amp;I$4&amp;"]"),Tab_000.Trial[CONTA],$B69)</f>
        <v>-45873.4</v>
      </c>
      <c r="J69" s="78">
        <f t="shared" ca="1" si="92"/>
        <v>-4.3700000000000003E-2</v>
      </c>
      <c r="K69" s="78">
        <f t="shared" ca="1" si="93"/>
        <v>0.26319999999999999</v>
      </c>
      <c r="L69" s="4">
        <f ca="1">-SUMIFS(INDIRECT("Tab_000.Trial["&amp;L$4&amp;"]"),Tab_000.Trial[CONTA],$B69)</f>
        <v>-31271.81</v>
      </c>
      <c r="M69" s="78">
        <f t="shared" ca="1" si="94"/>
        <v>-2.8299999999999999E-2</v>
      </c>
      <c r="N69" s="78">
        <f t="shared" ca="1" si="95"/>
        <v>0.31830000000000003</v>
      </c>
      <c r="O69" s="4">
        <f ca="1">-SUMIFS(INDIRECT("Tab_000.Trial["&amp;O$4&amp;"]"),Tab_000.Trial[CONTA],$B69)</f>
        <v>-31271.81</v>
      </c>
      <c r="P69" s="78">
        <f t="shared" ca="1" si="96"/>
        <v>-2.58E-2</v>
      </c>
      <c r="Q69" s="78">
        <f t="shared" ca="1" si="97"/>
        <v>0</v>
      </c>
      <c r="R69" s="4">
        <f ca="1">-SUMIFS(INDIRECT("Tab_000.Trial["&amp;R$4&amp;"]"),Tab_000.Trial[CONTA],$B69)</f>
        <v>-45176.639999999999</v>
      </c>
      <c r="S69" s="78">
        <f t="shared" ca="1" si="98"/>
        <v>-4.48E-2</v>
      </c>
      <c r="T69" s="78">
        <f t="shared" ca="1" si="99"/>
        <v>-0.4446</v>
      </c>
      <c r="U69" s="4">
        <f ca="1">-SUMIFS(INDIRECT("Tab_000.Trial["&amp;U$4&amp;"]"),Tab_000.Trial[CONTA],$B69)</f>
        <v>-43052.47</v>
      </c>
      <c r="V69" s="78">
        <f t="shared" ca="1" si="100"/>
        <v>-0.04</v>
      </c>
      <c r="W69" s="78">
        <f t="shared" ca="1" si="101"/>
        <v>4.7E-2</v>
      </c>
      <c r="X69" s="4">
        <f ca="1">-SUMIFS(INDIRECT("Tab_000.Trial["&amp;X$4&amp;"]"),Tab_000.Trial[CONTA],$B69)</f>
        <v>-46557.27</v>
      </c>
      <c r="Y69" s="78">
        <f t="shared" ca="1" si="102"/>
        <v>-4.4699999999999997E-2</v>
      </c>
      <c r="Z69" s="78">
        <f t="shared" ca="1" si="103"/>
        <v>-8.14E-2</v>
      </c>
      <c r="AA69" s="4">
        <f ca="1">-SUMIFS(INDIRECT("Tab_000.Trial["&amp;AA$4&amp;"]"),Tab_000.Trial[CONTA],$B69)</f>
        <v>-38251.360000000001</v>
      </c>
      <c r="AB69" s="78">
        <f t="shared" ca="1" si="104"/>
        <v>-3.9300000000000002E-2</v>
      </c>
      <c r="AC69" s="78">
        <f t="shared" ca="1" si="105"/>
        <v>0.1784</v>
      </c>
      <c r="AD69" s="4">
        <f ca="1">-SUMIFS(INDIRECT("Tab_000.Trial["&amp;AD$4&amp;"]"),Tab_000.Trial[CONTA],$B69)</f>
        <v>-45619.59</v>
      </c>
      <c r="AE69" s="78">
        <f t="shared" ca="1" si="106"/>
        <v>-3.6700000000000003E-2</v>
      </c>
      <c r="AF69" s="78">
        <f t="shared" ca="1" si="107"/>
        <v>-0.19259999999999999</v>
      </c>
      <c r="AG69" s="4">
        <f ca="1">-SUMIFS(INDIRECT("Tab_000.Trial["&amp;AG$4&amp;"]"),Tab_000.Trial[CONTA],$B69)</f>
        <v>-44188.5</v>
      </c>
      <c r="AH69" s="78">
        <f t="shared" ca="1" si="108"/>
        <v>-4.8099999999999997E-2</v>
      </c>
      <c r="AI69" s="78">
        <f t="shared" ca="1" si="109"/>
        <v>3.1399999999999997E-2</v>
      </c>
      <c r="AJ69" s="4">
        <f ca="1">-SUMIFS(INDIRECT("Tab_000.Trial["&amp;AJ$4&amp;"]"),Tab_000.Trial[CONTA],$B69)</f>
        <v>-44697.96</v>
      </c>
      <c r="AK69" s="78">
        <f t="shared" ca="1" si="110"/>
        <v>-3.0099999999999998E-2</v>
      </c>
      <c r="AL69" s="78">
        <f t="shared" ca="1" si="111"/>
        <v>-1.15E-2</v>
      </c>
      <c r="AM69" s="142"/>
    </row>
    <row r="70" spans="2:39" ht="15" customHeight="1" outlineLevel="1" x14ac:dyDescent="0.3">
      <c r="B70" s="14" t="s">
        <v>442</v>
      </c>
      <c r="C70" s="14" t="s">
        <v>429</v>
      </c>
      <c r="D70" s="4">
        <f ca="1">-SUMIFS(INDIRECT("Tab_000.Trial["&amp;D$4&amp;"]"),Tab_000.Trial[CONTA],$B70)</f>
        <v>0</v>
      </c>
      <c r="E70" s="78">
        <f t="shared" ca="1" si="89"/>
        <v>0</v>
      </c>
      <c r="F70" s="4">
        <f ca="1">-SUMIFS(INDIRECT("Tab_000.Trial["&amp;F$4&amp;"]"),Tab_000.Trial[CONTA],$B70)</f>
        <v>0</v>
      </c>
      <c r="G70" s="78">
        <f t="shared" ca="1" si="91"/>
        <v>0</v>
      </c>
      <c r="H70" s="78">
        <f t="shared" ca="1" si="90"/>
        <v>0</v>
      </c>
      <c r="I70" s="4">
        <f ca="1">-SUMIFS(INDIRECT("Tab_000.Trial["&amp;I$4&amp;"]"),Tab_000.Trial[CONTA],$B70)</f>
        <v>0</v>
      </c>
      <c r="J70" s="78">
        <f t="shared" ca="1" si="92"/>
        <v>0</v>
      </c>
      <c r="K70" s="78">
        <f t="shared" ca="1" si="93"/>
        <v>0</v>
      </c>
      <c r="L70" s="4">
        <f ca="1">-SUMIFS(INDIRECT("Tab_000.Trial["&amp;L$4&amp;"]"),Tab_000.Trial[CONTA],$B70)</f>
        <v>0</v>
      </c>
      <c r="M70" s="78">
        <f t="shared" ca="1" si="94"/>
        <v>0</v>
      </c>
      <c r="N70" s="78">
        <f t="shared" ca="1" si="95"/>
        <v>0</v>
      </c>
      <c r="O70" s="4">
        <f ca="1">-SUMIFS(INDIRECT("Tab_000.Trial["&amp;O$4&amp;"]"),Tab_000.Trial[CONTA],$B70)</f>
        <v>0</v>
      </c>
      <c r="P70" s="78">
        <f t="shared" ca="1" si="96"/>
        <v>0</v>
      </c>
      <c r="Q70" s="78">
        <f t="shared" ca="1" si="97"/>
        <v>0</v>
      </c>
      <c r="R70" s="4">
        <f ca="1">-SUMIFS(INDIRECT("Tab_000.Trial["&amp;R$4&amp;"]"),Tab_000.Trial[CONTA],$B70)</f>
        <v>0</v>
      </c>
      <c r="S70" s="78">
        <f t="shared" ca="1" si="98"/>
        <v>0</v>
      </c>
      <c r="T70" s="78">
        <f t="shared" ca="1" si="99"/>
        <v>0</v>
      </c>
      <c r="U70" s="4">
        <f ca="1">-SUMIFS(INDIRECT("Tab_000.Trial["&amp;U$4&amp;"]"),Tab_000.Trial[CONTA],$B70)</f>
        <v>0</v>
      </c>
      <c r="V70" s="78">
        <f t="shared" ca="1" si="100"/>
        <v>0</v>
      </c>
      <c r="W70" s="78">
        <f t="shared" ca="1" si="101"/>
        <v>0</v>
      </c>
      <c r="X70" s="4">
        <f ca="1">-SUMIFS(INDIRECT("Tab_000.Trial["&amp;X$4&amp;"]"),Tab_000.Trial[CONTA],$B70)</f>
        <v>0</v>
      </c>
      <c r="Y70" s="78">
        <f t="shared" ca="1" si="102"/>
        <v>0</v>
      </c>
      <c r="Z70" s="78">
        <f t="shared" ca="1" si="103"/>
        <v>0</v>
      </c>
      <c r="AA70" s="4">
        <f ca="1">-SUMIFS(INDIRECT("Tab_000.Trial["&amp;AA$4&amp;"]"),Tab_000.Trial[CONTA],$B70)</f>
        <v>0</v>
      </c>
      <c r="AB70" s="78">
        <f t="shared" ca="1" si="104"/>
        <v>0</v>
      </c>
      <c r="AC70" s="78">
        <f t="shared" ca="1" si="105"/>
        <v>0</v>
      </c>
      <c r="AD70" s="4">
        <f ca="1">-SUMIFS(INDIRECT("Tab_000.Trial["&amp;AD$4&amp;"]"),Tab_000.Trial[CONTA],$B70)</f>
        <v>0</v>
      </c>
      <c r="AE70" s="78">
        <f t="shared" ca="1" si="106"/>
        <v>0</v>
      </c>
      <c r="AF70" s="78">
        <f t="shared" ca="1" si="107"/>
        <v>0</v>
      </c>
      <c r="AG70" s="4">
        <f ca="1">-SUMIFS(INDIRECT("Tab_000.Trial["&amp;AG$4&amp;"]"),Tab_000.Trial[CONTA],$B70)</f>
        <v>0</v>
      </c>
      <c r="AH70" s="78">
        <f t="shared" ca="1" si="108"/>
        <v>0</v>
      </c>
      <c r="AI70" s="78">
        <f t="shared" ca="1" si="109"/>
        <v>0</v>
      </c>
      <c r="AJ70" s="4">
        <f ca="1">-SUMIFS(INDIRECT("Tab_000.Trial["&amp;AJ$4&amp;"]"),Tab_000.Trial[CONTA],$B70)</f>
        <v>0</v>
      </c>
      <c r="AK70" s="78">
        <f t="shared" ca="1" si="110"/>
        <v>0</v>
      </c>
      <c r="AL70" s="78">
        <f t="shared" ca="1" si="111"/>
        <v>0</v>
      </c>
    </row>
    <row r="71" spans="2:39" ht="15" customHeight="1" outlineLevel="1" x14ac:dyDescent="0.3">
      <c r="B71" s="14" t="s">
        <v>443</v>
      </c>
      <c r="C71" s="14" t="s">
        <v>431</v>
      </c>
      <c r="D71" s="4">
        <f ca="1">-SUMIFS(INDIRECT("Tab_000.Trial["&amp;D$4&amp;"]"),Tab_000.Trial[CONTA],$B71)</f>
        <v>-10254.450000000001</v>
      </c>
      <c r="E71" s="78">
        <f t="shared" ca="1" si="89"/>
        <v>-1.0800000000000001E-2</v>
      </c>
      <c r="F71" s="4">
        <f ca="1">-SUMIFS(INDIRECT("Tab_000.Trial["&amp;F$4&amp;"]"),Tab_000.Trial[CONTA],$B71)</f>
        <v>-13703.14</v>
      </c>
      <c r="G71" s="78">
        <f t="shared" ca="1" si="91"/>
        <v>-1.4E-2</v>
      </c>
      <c r="H71" s="78">
        <f t="shared" ca="1" si="90"/>
        <v>-0.33629999999999999</v>
      </c>
      <c r="I71" s="4">
        <f ca="1">-SUMIFS(INDIRECT("Tab_000.Trial["&amp;I$4&amp;"]"),Tab_000.Trial[CONTA],$B71)</f>
        <v>-4442.91</v>
      </c>
      <c r="J71" s="78">
        <f t="shared" ca="1" si="92"/>
        <v>-4.1999999999999997E-3</v>
      </c>
      <c r="K71" s="78">
        <f t="shared" ca="1" si="93"/>
        <v>0.67579999999999996</v>
      </c>
      <c r="L71" s="4">
        <f ca="1">-SUMIFS(INDIRECT("Tab_000.Trial["&amp;L$4&amp;"]"),Tab_000.Trial[CONTA],$B71)</f>
        <v>-2959.89</v>
      </c>
      <c r="M71" s="78">
        <f t="shared" ca="1" si="94"/>
        <v>-2.7000000000000001E-3</v>
      </c>
      <c r="N71" s="78">
        <f t="shared" ca="1" si="95"/>
        <v>0.33379999999999999</v>
      </c>
      <c r="O71" s="4">
        <f ca="1">-SUMIFS(INDIRECT("Tab_000.Trial["&amp;O$4&amp;"]"),Tab_000.Trial[CONTA],$B71)</f>
        <v>-2226.54</v>
      </c>
      <c r="P71" s="78">
        <f t="shared" ca="1" si="96"/>
        <v>-1.8E-3</v>
      </c>
      <c r="Q71" s="78">
        <f t="shared" ca="1" si="97"/>
        <v>0.24779999999999999</v>
      </c>
      <c r="R71" s="4">
        <f ca="1">-SUMIFS(INDIRECT("Tab_000.Trial["&amp;R$4&amp;"]"),Tab_000.Trial[CONTA],$B71)</f>
        <v>-4905.08</v>
      </c>
      <c r="S71" s="78">
        <f t="shared" ca="1" si="98"/>
        <v>-4.8999999999999998E-3</v>
      </c>
      <c r="T71" s="78">
        <f t="shared" ca="1" si="99"/>
        <v>-1.2030000000000001</v>
      </c>
      <c r="U71" s="4">
        <f ca="1">-SUMIFS(INDIRECT("Tab_000.Trial["&amp;U$4&amp;"]"),Tab_000.Trial[CONTA],$B71)</f>
        <v>-4673.3599999999997</v>
      </c>
      <c r="V71" s="78">
        <f t="shared" ca="1" si="100"/>
        <v>-4.3E-3</v>
      </c>
      <c r="W71" s="78">
        <f t="shared" ca="1" si="101"/>
        <v>4.7199999999999999E-2</v>
      </c>
      <c r="X71" s="4">
        <f ca="1">-SUMIFS(INDIRECT("Tab_000.Trial["&amp;X$4&amp;"]"),Tab_000.Trial[CONTA],$B71)</f>
        <v>-7090.46</v>
      </c>
      <c r="Y71" s="78">
        <f t="shared" ca="1" si="102"/>
        <v>-6.7999999999999996E-3</v>
      </c>
      <c r="Z71" s="78">
        <f t="shared" ca="1" si="103"/>
        <v>-0.51719999999999999</v>
      </c>
      <c r="AA71" s="4">
        <f ca="1">-SUMIFS(INDIRECT("Tab_000.Trial["&amp;AA$4&amp;"]"),Tab_000.Trial[CONTA],$B71)</f>
        <v>-4813.3599999999997</v>
      </c>
      <c r="AB71" s="78">
        <f t="shared" ca="1" si="104"/>
        <v>-4.8999999999999998E-3</v>
      </c>
      <c r="AC71" s="78">
        <f t="shared" ca="1" si="105"/>
        <v>0.3211</v>
      </c>
      <c r="AD71" s="4">
        <f ca="1">-SUMIFS(INDIRECT("Tab_000.Trial["&amp;AD$4&amp;"]"),Tab_000.Trial[CONTA],$B71)</f>
        <v>0</v>
      </c>
      <c r="AE71" s="78">
        <f t="shared" ca="1" si="106"/>
        <v>0</v>
      </c>
      <c r="AF71" s="78">
        <f t="shared" ca="1" si="107"/>
        <v>1</v>
      </c>
      <c r="AG71" s="4">
        <f ca="1">-SUMIFS(INDIRECT("Tab_000.Trial["&amp;AG$4&amp;"]"),Tab_000.Trial[CONTA],$B71)</f>
        <v>0</v>
      </c>
      <c r="AH71" s="78">
        <f t="shared" ca="1" si="108"/>
        <v>0</v>
      </c>
      <c r="AI71" s="78">
        <f t="shared" ca="1" si="109"/>
        <v>0</v>
      </c>
      <c r="AJ71" s="4">
        <f ca="1">-SUMIFS(INDIRECT("Tab_000.Trial["&amp;AJ$4&amp;"]"),Tab_000.Trial[CONTA],$B71)</f>
        <v>0</v>
      </c>
      <c r="AK71" s="78">
        <f t="shared" ca="1" si="110"/>
        <v>0</v>
      </c>
      <c r="AL71" s="78">
        <f t="shared" ca="1" si="111"/>
        <v>0</v>
      </c>
    </row>
    <row r="72" spans="2:39" ht="15" customHeight="1" outlineLevel="1" x14ac:dyDescent="0.3">
      <c r="B72" s="14" t="s">
        <v>444</v>
      </c>
      <c r="C72" s="14" t="s">
        <v>433</v>
      </c>
      <c r="D72" s="4">
        <f ca="1">-SUMIFS(INDIRECT("Tab_000.Trial["&amp;D$4&amp;"]"),Tab_000.Trial[CONTA],$B72)</f>
        <v>-6223.05</v>
      </c>
      <c r="E72" s="78">
        <f t="shared" ca="1" si="89"/>
        <v>-6.6E-3</v>
      </c>
      <c r="F72" s="4">
        <f ca="1">-SUMIFS(INDIRECT("Tab_000.Trial["&amp;F$4&amp;"]"),Tab_000.Trial[CONTA],$B72)</f>
        <v>-12192.51</v>
      </c>
      <c r="G72" s="78">
        <f t="shared" ca="1" si="91"/>
        <v>-1.2500000000000001E-2</v>
      </c>
      <c r="H72" s="78">
        <f t="shared" ca="1" si="90"/>
        <v>-0.95920000000000005</v>
      </c>
      <c r="I72" s="4">
        <f ca="1">-SUMIFS(INDIRECT("Tab_000.Trial["&amp;I$4&amp;"]"),Tab_000.Trial[CONTA],$B72)</f>
        <v>-3238.34</v>
      </c>
      <c r="J72" s="78">
        <f t="shared" ca="1" si="92"/>
        <v>-3.0999999999999999E-3</v>
      </c>
      <c r="K72" s="78">
        <f t="shared" ca="1" si="93"/>
        <v>0.73440000000000005</v>
      </c>
      <c r="L72" s="4">
        <f ca="1">-SUMIFS(INDIRECT("Tab_000.Trial["&amp;L$4&amp;"]"),Tab_000.Trial[CONTA],$B72)</f>
        <v>-3238.34</v>
      </c>
      <c r="M72" s="78">
        <f t="shared" ca="1" si="94"/>
        <v>-2.8999999999999998E-3</v>
      </c>
      <c r="N72" s="78">
        <f t="shared" ca="1" si="95"/>
        <v>0</v>
      </c>
      <c r="O72" s="4">
        <f ca="1">-SUMIFS(INDIRECT("Tab_000.Trial["&amp;O$4&amp;"]"),Tab_000.Trial[CONTA],$B72)</f>
        <v>-3505.01</v>
      </c>
      <c r="P72" s="78">
        <f t="shared" ca="1" si="96"/>
        <v>-2.8999999999999998E-3</v>
      </c>
      <c r="Q72" s="78">
        <f t="shared" ca="1" si="97"/>
        <v>-8.2299999999999998E-2</v>
      </c>
      <c r="R72" s="4">
        <f ca="1">-SUMIFS(INDIRECT("Tab_000.Trial["&amp;R$4&amp;"]"),Tab_000.Trial[CONTA],$B72)</f>
        <v>-3505.02</v>
      </c>
      <c r="S72" s="78">
        <f t="shared" ca="1" si="98"/>
        <v>-3.5000000000000001E-3</v>
      </c>
      <c r="T72" s="78">
        <f t="shared" ca="1" si="99"/>
        <v>0</v>
      </c>
      <c r="U72" s="4">
        <f ca="1">-SUMIFS(INDIRECT("Tab_000.Trial["&amp;U$4&amp;"]"),Tab_000.Trial[CONTA],$B72)</f>
        <v>-2219.91</v>
      </c>
      <c r="V72" s="78">
        <f t="shared" ca="1" si="100"/>
        <v>-2.0999999999999999E-3</v>
      </c>
      <c r="W72" s="78">
        <f t="shared" ca="1" si="101"/>
        <v>0.36659999999999998</v>
      </c>
      <c r="X72" s="4">
        <f ca="1">-SUMIFS(INDIRECT("Tab_000.Trial["&amp;X$4&amp;"]"),Tab_000.Trial[CONTA],$B72)</f>
        <v>-4247.7</v>
      </c>
      <c r="Y72" s="78">
        <f t="shared" ca="1" si="102"/>
        <v>-4.1000000000000003E-3</v>
      </c>
      <c r="Z72" s="78">
        <f t="shared" ca="1" si="103"/>
        <v>-0.91349999999999998</v>
      </c>
      <c r="AA72" s="4">
        <f ca="1">-SUMIFS(INDIRECT("Tab_000.Trial["&amp;AA$4&amp;"]"),Tab_000.Trial[CONTA],$B72)</f>
        <v>-2829.22</v>
      </c>
      <c r="AB72" s="78">
        <f t="shared" ca="1" si="104"/>
        <v>-2.8999999999999998E-3</v>
      </c>
      <c r="AC72" s="78">
        <f t="shared" ca="1" si="105"/>
        <v>0.33389999999999997</v>
      </c>
      <c r="AD72" s="4">
        <f ca="1">-SUMIFS(INDIRECT("Tab_000.Trial["&amp;AD$4&amp;"]"),Tab_000.Trial[CONTA],$B72)</f>
        <v>-8651.6</v>
      </c>
      <c r="AE72" s="78">
        <f t="shared" ca="1" si="106"/>
        <v>-7.0000000000000001E-3</v>
      </c>
      <c r="AF72" s="78">
        <f t="shared" ca="1" si="107"/>
        <v>-2.0579000000000001</v>
      </c>
      <c r="AG72" s="4">
        <f ca="1">-SUMIFS(INDIRECT("Tab_000.Trial["&amp;AG$4&amp;"]"),Tab_000.Trial[CONTA],$B72)</f>
        <v>-8651.6200000000008</v>
      </c>
      <c r="AH72" s="78">
        <f t="shared" ca="1" si="108"/>
        <v>-9.4000000000000004E-3</v>
      </c>
      <c r="AI72" s="78">
        <f t="shared" ca="1" si="109"/>
        <v>0</v>
      </c>
      <c r="AJ72" s="4">
        <f ca="1">-SUMIFS(INDIRECT("Tab_000.Trial["&amp;AJ$4&amp;"]"),Tab_000.Trial[CONTA],$B72)</f>
        <v>18430.560000000001</v>
      </c>
      <c r="AK72" s="78">
        <f t="shared" ca="1" si="110"/>
        <v>1.24E-2</v>
      </c>
      <c r="AL72" s="78">
        <f t="shared" ca="1" si="111"/>
        <v>3.1303000000000001</v>
      </c>
    </row>
    <row r="73" spans="2:39" ht="15" customHeight="1" outlineLevel="1" x14ac:dyDescent="0.3">
      <c r="B73" s="14" t="s">
        <v>445</v>
      </c>
      <c r="C73" s="14" t="s">
        <v>446</v>
      </c>
      <c r="D73" s="4">
        <f ca="1">-SUMIFS(INDIRECT("Tab_000.Trial["&amp;D$4&amp;"]"),Tab_000.Trial[CONTA],$B73)</f>
        <v>0</v>
      </c>
      <c r="E73" s="78">
        <f t="shared" ca="1" si="89"/>
        <v>0</v>
      </c>
      <c r="F73" s="4">
        <f ca="1">-SUMIFS(INDIRECT("Tab_000.Trial["&amp;F$4&amp;"]"),Tab_000.Trial[CONTA],$B73)</f>
        <v>0</v>
      </c>
      <c r="G73" s="78">
        <f t="shared" ca="1" si="91"/>
        <v>0</v>
      </c>
      <c r="H73" s="78">
        <f t="shared" ca="1" si="90"/>
        <v>0</v>
      </c>
      <c r="I73" s="4">
        <f ca="1">-SUMIFS(INDIRECT("Tab_000.Trial["&amp;I$4&amp;"]"),Tab_000.Trial[CONTA],$B73)</f>
        <v>0</v>
      </c>
      <c r="J73" s="78">
        <f t="shared" ca="1" si="92"/>
        <v>0</v>
      </c>
      <c r="K73" s="78">
        <f t="shared" ca="1" si="93"/>
        <v>0</v>
      </c>
      <c r="L73" s="4">
        <f ca="1">-SUMIFS(INDIRECT("Tab_000.Trial["&amp;L$4&amp;"]"),Tab_000.Trial[CONTA],$B73)</f>
        <v>0</v>
      </c>
      <c r="M73" s="78">
        <f t="shared" ca="1" si="94"/>
        <v>0</v>
      </c>
      <c r="N73" s="78">
        <f t="shared" ca="1" si="95"/>
        <v>0</v>
      </c>
      <c r="O73" s="4">
        <f ca="1">-SUMIFS(INDIRECT("Tab_000.Trial["&amp;O$4&amp;"]"),Tab_000.Trial[CONTA],$B73)</f>
        <v>0</v>
      </c>
      <c r="P73" s="78">
        <f t="shared" ca="1" si="96"/>
        <v>0</v>
      </c>
      <c r="Q73" s="78">
        <f t="shared" ca="1" si="97"/>
        <v>0</v>
      </c>
      <c r="R73" s="4">
        <f ca="1">-SUMIFS(INDIRECT("Tab_000.Trial["&amp;R$4&amp;"]"),Tab_000.Trial[CONTA],$B73)</f>
        <v>0</v>
      </c>
      <c r="S73" s="78">
        <f t="shared" ca="1" si="98"/>
        <v>0</v>
      </c>
      <c r="T73" s="78">
        <f t="shared" ca="1" si="99"/>
        <v>0</v>
      </c>
      <c r="U73" s="4">
        <f ca="1">-SUMIFS(INDIRECT("Tab_000.Trial["&amp;U$4&amp;"]"),Tab_000.Trial[CONTA],$B73)</f>
        <v>0</v>
      </c>
      <c r="V73" s="78">
        <f t="shared" ca="1" si="100"/>
        <v>0</v>
      </c>
      <c r="W73" s="78">
        <f t="shared" ca="1" si="101"/>
        <v>0</v>
      </c>
      <c r="X73" s="4">
        <f ca="1">-SUMIFS(INDIRECT("Tab_000.Trial["&amp;X$4&amp;"]"),Tab_000.Trial[CONTA],$B73)</f>
        <v>0</v>
      </c>
      <c r="Y73" s="78">
        <f t="shared" ca="1" si="102"/>
        <v>0</v>
      </c>
      <c r="Z73" s="78">
        <f t="shared" ca="1" si="103"/>
        <v>0</v>
      </c>
      <c r="AA73" s="4">
        <f ca="1">-SUMIFS(INDIRECT("Tab_000.Trial["&amp;AA$4&amp;"]"),Tab_000.Trial[CONTA],$B73)</f>
        <v>0</v>
      </c>
      <c r="AB73" s="78">
        <f t="shared" ca="1" si="104"/>
        <v>0</v>
      </c>
      <c r="AC73" s="78">
        <f t="shared" ca="1" si="105"/>
        <v>0</v>
      </c>
      <c r="AD73" s="4">
        <f ca="1">-SUMIFS(INDIRECT("Tab_000.Trial["&amp;AD$4&amp;"]"),Tab_000.Trial[CONTA],$B73)</f>
        <v>0</v>
      </c>
      <c r="AE73" s="78">
        <f t="shared" ca="1" si="106"/>
        <v>0</v>
      </c>
      <c r="AF73" s="78">
        <f t="shared" ca="1" si="107"/>
        <v>0</v>
      </c>
      <c r="AG73" s="4">
        <f ca="1">-SUMIFS(INDIRECT("Tab_000.Trial["&amp;AG$4&amp;"]"),Tab_000.Trial[CONTA],$B73)</f>
        <v>0</v>
      </c>
      <c r="AH73" s="78">
        <f t="shared" ca="1" si="108"/>
        <v>0</v>
      </c>
      <c r="AI73" s="78">
        <f t="shared" ca="1" si="109"/>
        <v>0</v>
      </c>
      <c r="AJ73" s="4">
        <f ca="1">-SUMIFS(INDIRECT("Tab_000.Trial["&amp;AJ$4&amp;"]"),Tab_000.Trial[CONTA],$B73)</f>
        <v>0</v>
      </c>
      <c r="AK73" s="78">
        <f t="shared" ca="1" si="110"/>
        <v>0</v>
      </c>
      <c r="AL73" s="78">
        <f t="shared" ca="1" si="111"/>
        <v>0</v>
      </c>
    </row>
    <row r="74" spans="2:39" ht="15" customHeight="1" outlineLevel="1" x14ac:dyDescent="0.3">
      <c r="B74" s="14" t="s">
        <v>447</v>
      </c>
      <c r="C74" s="14" t="s">
        <v>448</v>
      </c>
      <c r="D74" s="4">
        <f ca="1">-SUMIFS(INDIRECT("Tab_000.Trial["&amp;D$4&amp;"]"),Tab_000.Trial[CONTA],$B74)</f>
        <v>0</v>
      </c>
      <c r="E74" s="78">
        <f t="shared" ca="1" si="89"/>
        <v>0</v>
      </c>
      <c r="F74" s="4">
        <f ca="1">-SUMIFS(INDIRECT("Tab_000.Trial["&amp;F$4&amp;"]"),Tab_000.Trial[CONTA],$B74)</f>
        <v>0</v>
      </c>
      <c r="G74" s="78">
        <f t="shared" ca="1" si="91"/>
        <v>0</v>
      </c>
      <c r="H74" s="78">
        <f t="shared" ca="1" si="90"/>
        <v>0</v>
      </c>
      <c r="I74" s="4">
        <f ca="1">-SUMIFS(INDIRECT("Tab_000.Trial["&amp;I$4&amp;"]"),Tab_000.Trial[CONTA],$B74)</f>
        <v>0</v>
      </c>
      <c r="J74" s="78">
        <f t="shared" ca="1" si="92"/>
        <v>0</v>
      </c>
      <c r="K74" s="78">
        <f t="shared" ca="1" si="93"/>
        <v>0</v>
      </c>
      <c r="L74" s="4">
        <f ca="1">-SUMIFS(INDIRECT("Tab_000.Trial["&amp;L$4&amp;"]"),Tab_000.Trial[CONTA],$B74)</f>
        <v>0</v>
      </c>
      <c r="M74" s="78">
        <f t="shared" ca="1" si="94"/>
        <v>0</v>
      </c>
      <c r="N74" s="78">
        <f t="shared" ca="1" si="95"/>
        <v>0</v>
      </c>
      <c r="O74" s="4">
        <f ca="1">-SUMIFS(INDIRECT("Tab_000.Trial["&amp;O$4&amp;"]"),Tab_000.Trial[CONTA],$B74)</f>
        <v>-476.67</v>
      </c>
      <c r="P74" s="78">
        <f t="shared" ca="1" si="96"/>
        <v>-4.0000000000000002E-4</v>
      </c>
      <c r="Q74" s="78">
        <f t="shared" ca="1" si="97"/>
        <v>0</v>
      </c>
      <c r="R74" s="4">
        <f ca="1">-SUMIFS(INDIRECT("Tab_000.Trial["&amp;R$4&amp;"]"),Tab_000.Trial[CONTA],$B74)</f>
        <v>0</v>
      </c>
      <c r="S74" s="78">
        <f t="shared" ca="1" si="98"/>
        <v>0</v>
      </c>
      <c r="T74" s="78">
        <f t="shared" ca="1" si="99"/>
        <v>1</v>
      </c>
      <c r="U74" s="4">
        <f ca="1">-SUMIFS(INDIRECT("Tab_000.Trial["&amp;U$4&amp;"]"),Tab_000.Trial[CONTA],$B74)</f>
        <v>0</v>
      </c>
      <c r="V74" s="78">
        <f t="shared" ca="1" si="100"/>
        <v>0</v>
      </c>
      <c r="W74" s="78">
        <f t="shared" ca="1" si="101"/>
        <v>0</v>
      </c>
      <c r="X74" s="4">
        <f ca="1">-SUMIFS(INDIRECT("Tab_000.Trial["&amp;X$4&amp;"]"),Tab_000.Trial[CONTA],$B74)</f>
        <v>0</v>
      </c>
      <c r="Y74" s="78">
        <f t="shared" ca="1" si="102"/>
        <v>0</v>
      </c>
      <c r="Z74" s="78">
        <f t="shared" ca="1" si="103"/>
        <v>0</v>
      </c>
      <c r="AA74" s="4">
        <f ca="1">-SUMIFS(INDIRECT("Tab_000.Trial["&amp;AA$4&amp;"]"),Tab_000.Trial[CONTA],$B74)</f>
        <v>-1100</v>
      </c>
      <c r="AB74" s="78">
        <f t="shared" ca="1" si="104"/>
        <v>-1.1000000000000001E-3</v>
      </c>
      <c r="AC74" s="78">
        <f t="shared" ca="1" si="105"/>
        <v>0</v>
      </c>
      <c r="AD74" s="4">
        <f ca="1">-SUMIFS(INDIRECT("Tab_000.Trial["&amp;AD$4&amp;"]"),Tab_000.Trial[CONTA],$B74)</f>
        <v>0</v>
      </c>
      <c r="AE74" s="78">
        <f t="shared" ca="1" si="106"/>
        <v>0</v>
      </c>
      <c r="AF74" s="78">
        <f t="shared" ca="1" si="107"/>
        <v>1</v>
      </c>
      <c r="AG74" s="4">
        <f ca="1">-SUMIFS(INDIRECT("Tab_000.Trial["&amp;AG$4&amp;"]"),Tab_000.Trial[CONTA],$B74)</f>
        <v>0</v>
      </c>
      <c r="AH74" s="78">
        <f t="shared" ca="1" si="108"/>
        <v>0</v>
      </c>
      <c r="AI74" s="78">
        <f t="shared" ca="1" si="109"/>
        <v>0</v>
      </c>
      <c r="AJ74" s="4">
        <f ca="1">-SUMIFS(INDIRECT("Tab_000.Trial["&amp;AJ$4&amp;"]"),Tab_000.Trial[CONTA],$B74)</f>
        <v>0</v>
      </c>
      <c r="AK74" s="78">
        <f t="shared" ca="1" si="110"/>
        <v>0</v>
      </c>
      <c r="AL74" s="78">
        <f t="shared" ca="1" si="111"/>
        <v>0</v>
      </c>
    </row>
    <row r="75" spans="2:39" ht="15" customHeight="1" outlineLevel="1" x14ac:dyDescent="0.3">
      <c r="B75" s="14" t="s">
        <v>449</v>
      </c>
      <c r="C75" s="14" t="s">
        <v>450</v>
      </c>
      <c r="D75" s="4">
        <f ca="1">-SUMIFS(INDIRECT("Tab_000.Trial["&amp;D$4&amp;"]"),Tab_000.Trial[CONTA],$B75)</f>
        <v>0</v>
      </c>
      <c r="E75" s="78">
        <f t="shared" ca="1" si="89"/>
        <v>0</v>
      </c>
      <c r="F75" s="4">
        <f ca="1">-SUMIFS(INDIRECT("Tab_000.Trial["&amp;F$4&amp;"]"),Tab_000.Trial[CONTA],$B75)</f>
        <v>0</v>
      </c>
      <c r="G75" s="78">
        <f t="shared" ca="1" si="91"/>
        <v>0</v>
      </c>
      <c r="H75" s="78">
        <f t="shared" ca="1" si="90"/>
        <v>0</v>
      </c>
      <c r="I75" s="4">
        <f ca="1">-SUMIFS(INDIRECT("Tab_000.Trial["&amp;I$4&amp;"]"),Tab_000.Trial[CONTA],$B75)</f>
        <v>0</v>
      </c>
      <c r="J75" s="78">
        <f t="shared" ca="1" si="92"/>
        <v>0</v>
      </c>
      <c r="K75" s="78">
        <f t="shared" ca="1" si="93"/>
        <v>0</v>
      </c>
      <c r="L75" s="4">
        <f ca="1">-SUMIFS(INDIRECT("Tab_000.Trial["&amp;L$4&amp;"]"),Tab_000.Trial[CONTA],$B75)</f>
        <v>0</v>
      </c>
      <c r="M75" s="78">
        <f t="shared" ca="1" si="94"/>
        <v>0</v>
      </c>
      <c r="N75" s="78">
        <f t="shared" ca="1" si="95"/>
        <v>0</v>
      </c>
      <c r="O75" s="4">
        <f ca="1">-SUMIFS(INDIRECT("Tab_000.Trial["&amp;O$4&amp;"]"),Tab_000.Trial[CONTA],$B75)</f>
        <v>0</v>
      </c>
      <c r="P75" s="78">
        <f t="shared" ca="1" si="96"/>
        <v>0</v>
      </c>
      <c r="Q75" s="78">
        <f t="shared" ca="1" si="97"/>
        <v>0</v>
      </c>
      <c r="R75" s="4">
        <f ca="1">-SUMIFS(INDIRECT("Tab_000.Trial["&amp;R$4&amp;"]"),Tab_000.Trial[CONTA],$B75)</f>
        <v>0</v>
      </c>
      <c r="S75" s="78">
        <f t="shared" ca="1" si="98"/>
        <v>0</v>
      </c>
      <c r="T75" s="78">
        <f t="shared" ca="1" si="99"/>
        <v>0</v>
      </c>
      <c r="U75" s="4">
        <f ca="1">-SUMIFS(INDIRECT("Tab_000.Trial["&amp;U$4&amp;"]"),Tab_000.Trial[CONTA],$B75)</f>
        <v>0</v>
      </c>
      <c r="V75" s="78">
        <f t="shared" ca="1" si="100"/>
        <v>0</v>
      </c>
      <c r="W75" s="78">
        <f t="shared" ca="1" si="101"/>
        <v>0</v>
      </c>
      <c r="X75" s="4">
        <f ca="1">-SUMIFS(INDIRECT("Tab_000.Trial["&amp;X$4&amp;"]"),Tab_000.Trial[CONTA],$B75)</f>
        <v>0</v>
      </c>
      <c r="Y75" s="78">
        <f t="shared" ca="1" si="102"/>
        <v>0</v>
      </c>
      <c r="Z75" s="78">
        <f t="shared" ca="1" si="103"/>
        <v>0</v>
      </c>
      <c r="AA75" s="4">
        <f ca="1">-SUMIFS(INDIRECT("Tab_000.Trial["&amp;AA$4&amp;"]"),Tab_000.Trial[CONTA],$B75)</f>
        <v>0</v>
      </c>
      <c r="AB75" s="78">
        <f t="shared" ca="1" si="104"/>
        <v>0</v>
      </c>
      <c r="AC75" s="78">
        <f t="shared" ca="1" si="105"/>
        <v>0</v>
      </c>
      <c r="AD75" s="4">
        <f ca="1">-SUMIFS(INDIRECT("Tab_000.Trial["&amp;AD$4&amp;"]"),Tab_000.Trial[CONTA],$B75)</f>
        <v>0</v>
      </c>
      <c r="AE75" s="78">
        <f t="shared" ca="1" si="106"/>
        <v>0</v>
      </c>
      <c r="AF75" s="78">
        <f t="shared" ca="1" si="107"/>
        <v>0</v>
      </c>
      <c r="AG75" s="4">
        <f ca="1">-SUMIFS(INDIRECT("Tab_000.Trial["&amp;AG$4&amp;"]"),Tab_000.Trial[CONTA],$B75)</f>
        <v>0</v>
      </c>
      <c r="AH75" s="78">
        <f t="shared" ca="1" si="108"/>
        <v>0</v>
      </c>
      <c r="AI75" s="78">
        <f t="shared" ca="1" si="109"/>
        <v>0</v>
      </c>
      <c r="AJ75" s="4">
        <f ca="1">-SUMIFS(INDIRECT("Tab_000.Trial["&amp;AJ$4&amp;"]"),Tab_000.Trial[CONTA],$B75)</f>
        <v>0</v>
      </c>
      <c r="AK75" s="78">
        <f t="shared" ca="1" si="110"/>
        <v>0</v>
      </c>
      <c r="AL75" s="78">
        <f t="shared" ca="1" si="111"/>
        <v>0</v>
      </c>
    </row>
    <row r="76" spans="2:39" ht="15" customHeight="1" outlineLevel="1" x14ac:dyDescent="0.3">
      <c r="B76" s="14" t="s">
        <v>451</v>
      </c>
      <c r="C76" s="14" t="s">
        <v>437</v>
      </c>
      <c r="D76" s="4">
        <f ca="1">-SUMIFS(INDIRECT("Tab_000.Trial["&amp;D$4&amp;"]"),Tab_000.Trial[CONTA],$B76)</f>
        <v>-18491.599999999999</v>
      </c>
      <c r="E76" s="78">
        <f t="shared" ca="1" si="89"/>
        <v>-1.95E-2</v>
      </c>
      <c r="F76" s="4">
        <f ca="1">-SUMIFS(INDIRECT("Tab_000.Trial["&amp;F$4&amp;"]"),Tab_000.Trial[CONTA],$B76)</f>
        <v>-16379.85</v>
      </c>
      <c r="G76" s="78">
        <f t="shared" ca="1" si="91"/>
        <v>-1.6799999999999999E-2</v>
      </c>
      <c r="H76" s="78">
        <f t="shared" ca="1" si="90"/>
        <v>0.1142</v>
      </c>
      <c r="I76" s="4">
        <f ca="1">-SUMIFS(INDIRECT("Tab_000.Trial["&amp;I$4&amp;"]"),Tab_000.Trial[CONTA],$B76)</f>
        <v>-8380.82</v>
      </c>
      <c r="J76" s="78">
        <f t="shared" ca="1" si="92"/>
        <v>-8.0000000000000002E-3</v>
      </c>
      <c r="K76" s="78">
        <f t="shared" ca="1" si="93"/>
        <v>0.48830000000000001</v>
      </c>
      <c r="L76" s="4">
        <f ca="1">-SUMIFS(INDIRECT("Tab_000.Trial["&amp;L$4&amp;"]"),Tab_000.Trial[CONTA],$B76)</f>
        <v>-8380.82</v>
      </c>
      <c r="M76" s="78">
        <f t="shared" ca="1" si="94"/>
        <v>-7.6E-3</v>
      </c>
      <c r="N76" s="78">
        <f t="shared" ca="1" si="95"/>
        <v>0</v>
      </c>
      <c r="O76" s="4">
        <f ca="1">-SUMIFS(INDIRECT("Tab_000.Trial["&amp;O$4&amp;"]"),Tab_000.Trial[CONTA],$B76)</f>
        <v>-8380.82</v>
      </c>
      <c r="P76" s="78">
        <f t="shared" ca="1" si="96"/>
        <v>-6.8999999999999999E-3</v>
      </c>
      <c r="Q76" s="78">
        <f t="shared" ca="1" si="97"/>
        <v>0</v>
      </c>
      <c r="R76" s="4">
        <f ca="1">-SUMIFS(INDIRECT("Tab_000.Trial["&amp;R$4&amp;"]"),Tab_000.Trial[CONTA],$B76)</f>
        <v>-13072.58</v>
      </c>
      <c r="S76" s="78">
        <f t="shared" ca="1" si="98"/>
        <v>-1.2999999999999999E-2</v>
      </c>
      <c r="T76" s="78">
        <f t="shared" ca="1" si="99"/>
        <v>-0.55979999999999996</v>
      </c>
      <c r="U76" s="4">
        <f ca="1">-SUMIFS(INDIRECT("Tab_000.Trial["&amp;U$4&amp;"]"),Tab_000.Trial[CONTA],$B76)</f>
        <v>-11538.01</v>
      </c>
      <c r="V76" s="78">
        <f t="shared" ca="1" si="100"/>
        <v>-1.0699999999999999E-2</v>
      </c>
      <c r="W76" s="78">
        <f t="shared" ca="1" si="101"/>
        <v>0.1174</v>
      </c>
      <c r="X76" s="4">
        <f ca="1">-SUMIFS(INDIRECT("Tab_000.Trial["&amp;X$4&amp;"]"),Tab_000.Trial[CONTA],$B76)</f>
        <v>-11961.36</v>
      </c>
      <c r="Y76" s="78">
        <f t="shared" ca="1" si="102"/>
        <v>-1.15E-2</v>
      </c>
      <c r="Z76" s="78">
        <f t="shared" ca="1" si="103"/>
        <v>-3.6700000000000003E-2</v>
      </c>
      <c r="AA76" s="4">
        <f ca="1">-SUMIFS(INDIRECT("Tab_000.Trial["&amp;AA$4&amp;"]"),Tab_000.Trial[CONTA],$B76)</f>
        <v>-7356.94</v>
      </c>
      <c r="AB76" s="78">
        <f t="shared" ca="1" si="104"/>
        <v>-7.6E-3</v>
      </c>
      <c r="AC76" s="78">
        <f t="shared" ca="1" si="105"/>
        <v>0.38490000000000002</v>
      </c>
      <c r="AD76" s="4">
        <f ca="1">-SUMIFS(INDIRECT("Tab_000.Trial["&amp;AD$4&amp;"]"),Tab_000.Trial[CONTA],$B76)</f>
        <v>-11588.06</v>
      </c>
      <c r="AE76" s="78">
        <f t="shared" ca="1" si="106"/>
        <v>-9.2999999999999992E-3</v>
      </c>
      <c r="AF76" s="78">
        <f t="shared" ca="1" si="107"/>
        <v>-0.57509999999999994</v>
      </c>
      <c r="AG76" s="4">
        <f ca="1">-SUMIFS(INDIRECT("Tab_000.Trial["&amp;AG$4&amp;"]"),Tab_000.Trial[CONTA],$B76)</f>
        <v>-11451.52</v>
      </c>
      <c r="AH76" s="78">
        <f t="shared" ca="1" si="108"/>
        <v>-1.2500000000000001E-2</v>
      </c>
      <c r="AI76" s="78">
        <f t="shared" ca="1" si="109"/>
        <v>1.18E-2</v>
      </c>
      <c r="AJ76" s="4">
        <f ca="1">-SUMIFS(INDIRECT("Tab_000.Trial["&amp;AJ$4&amp;"]"),Tab_000.Trial[CONTA],$B76)</f>
        <v>-16830.82</v>
      </c>
      <c r="AK76" s="78">
        <f t="shared" ca="1" si="110"/>
        <v>-1.1299999999999999E-2</v>
      </c>
      <c r="AL76" s="78">
        <f t="shared" ca="1" si="111"/>
        <v>-0.46970000000000001</v>
      </c>
    </row>
    <row r="77" spans="2:39" ht="15" customHeight="1" outlineLevel="1" x14ac:dyDescent="0.3">
      <c r="B77" s="14" t="s">
        <v>452</v>
      </c>
      <c r="C77" s="14" t="s">
        <v>196</v>
      </c>
      <c r="D77" s="4">
        <f ca="1">-SUMIFS(INDIRECT("Tab_000.Trial["&amp;D$4&amp;"]"),Tab_000.Trial[CONTA],$B77)</f>
        <v>-5519.86</v>
      </c>
      <c r="E77" s="78">
        <f t="shared" ca="1" si="89"/>
        <v>-5.7999999999999996E-3</v>
      </c>
      <c r="F77" s="4">
        <f ca="1">-SUMIFS(INDIRECT("Tab_000.Trial["&amp;F$4&amp;"]"),Tab_000.Trial[CONTA],$B77)</f>
        <v>-191166.67</v>
      </c>
      <c r="G77" s="78">
        <f t="shared" ca="1" si="91"/>
        <v>-0.19600000000000001</v>
      </c>
      <c r="H77" s="78">
        <f t="shared" ca="1" si="90"/>
        <v>-33.6325</v>
      </c>
      <c r="I77" s="4">
        <f ca="1">-SUMIFS(INDIRECT("Tab_000.Trial["&amp;I$4&amp;"]"),Tab_000.Trial[CONTA],$B77)</f>
        <v>-2501.7199999999998</v>
      </c>
      <c r="J77" s="78">
        <f t="shared" ca="1" si="92"/>
        <v>-2.3999999999999998E-3</v>
      </c>
      <c r="K77" s="78">
        <f t="shared" ca="1" si="93"/>
        <v>0.9869</v>
      </c>
      <c r="L77" s="4">
        <f ca="1">-SUMIFS(INDIRECT("Tab_000.Trial["&amp;L$4&amp;"]"),Tab_000.Trial[CONTA],$B77)</f>
        <v>-2501.7199999999998</v>
      </c>
      <c r="M77" s="78">
        <f t="shared" ca="1" si="94"/>
        <v>-2.3E-3</v>
      </c>
      <c r="N77" s="78">
        <f t="shared" ca="1" si="95"/>
        <v>0</v>
      </c>
      <c r="O77" s="4">
        <f ca="1">-SUMIFS(INDIRECT("Tab_000.Trial["&amp;O$4&amp;"]"),Tab_000.Trial[CONTA],$B77)</f>
        <v>-2501.7199999999998</v>
      </c>
      <c r="P77" s="78">
        <f t="shared" ca="1" si="96"/>
        <v>-2.0999999999999999E-3</v>
      </c>
      <c r="Q77" s="78">
        <f t="shared" ca="1" si="97"/>
        <v>0</v>
      </c>
      <c r="R77" s="4">
        <f ca="1">-SUMIFS(INDIRECT("Tab_000.Trial["&amp;R$4&amp;"]"),Tab_000.Trial[CONTA],$B77)</f>
        <v>-1771.15</v>
      </c>
      <c r="S77" s="78">
        <f t="shared" ca="1" si="98"/>
        <v>-1.8E-3</v>
      </c>
      <c r="T77" s="78">
        <f t="shared" ca="1" si="99"/>
        <v>0.29199999999999998</v>
      </c>
      <c r="U77" s="4">
        <f ca="1">-SUMIFS(INDIRECT("Tab_000.Trial["&amp;U$4&amp;"]"),Tab_000.Trial[CONTA],$B77)</f>
        <v>-3444.18</v>
      </c>
      <c r="V77" s="78">
        <f t="shared" ca="1" si="100"/>
        <v>-3.2000000000000002E-3</v>
      </c>
      <c r="W77" s="78">
        <f t="shared" ca="1" si="101"/>
        <v>-0.9446</v>
      </c>
      <c r="X77" s="4">
        <f ca="1">-SUMIFS(INDIRECT("Tab_000.Trial["&amp;X$4&amp;"]"),Tab_000.Trial[CONTA],$B77)</f>
        <v>-3575.19</v>
      </c>
      <c r="Y77" s="78">
        <f t="shared" ca="1" si="102"/>
        <v>-3.3999999999999998E-3</v>
      </c>
      <c r="Z77" s="78">
        <f t="shared" ca="1" si="103"/>
        <v>-3.7999999999999999E-2</v>
      </c>
      <c r="AA77" s="4">
        <f ca="1">-SUMIFS(INDIRECT("Tab_000.Trial["&amp;AA$4&amp;"]"),Tab_000.Trial[CONTA],$B77)</f>
        <v>-2196.1</v>
      </c>
      <c r="AB77" s="78">
        <f t="shared" ca="1" si="104"/>
        <v>-2.3E-3</v>
      </c>
      <c r="AC77" s="78">
        <f t="shared" ca="1" si="105"/>
        <v>0.38569999999999999</v>
      </c>
      <c r="AD77" s="4">
        <f ca="1">-SUMIFS(INDIRECT("Tab_000.Trial["&amp;AD$4&amp;"]"),Tab_000.Trial[CONTA],$B77)</f>
        <v>-3459.12</v>
      </c>
      <c r="AE77" s="78">
        <f t="shared" ca="1" si="106"/>
        <v>-2.8E-3</v>
      </c>
      <c r="AF77" s="78">
        <f t="shared" ca="1" si="107"/>
        <v>-0.57509999999999994</v>
      </c>
      <c r="AG77" s="4">
        <f ca="1">-SUMIFS(INDIRECT("Tab_000.Trial["&amp;AG$4&amp;"]"),Tab_000.Trial[CONTA],$B77)</f>
        <v>-3418.36</v>
      </c>
      <c r="AH77" s="78">
        <f t="shared" ca="1" si="108"/>
        <v>-3.7000000000000002E-3</v>
      </c>
      <c r="AI77" s="78">
        <f t="shared" ca="1" si="109"/>
        <v>1.18E-2</v>
      </c>
      <c r="AJ77" s="4">
        <f ca="1">-SUMIFS(INDIRECT("Tab_000.Trial["&amp;AJ$4&amp;"]"),Tab_000.Trial[CONTA],$B77)</f>
        <v>-3459.12</v>
      </c>
      <c r="AK77" s="78">
        <f t="shared" ca="1" si="110"/>
        <v>-2.3E-3</v>
      </c>
      <c r="AL77" s="78">
        <f t="shared" ca="1" si="111"/>
        <v>-1.1900000000000001E-2</v>
      </c>
    </row>
    <row r="78" spans="2:39" ht="15" customHeight="1" outlineLevel="1" x14ac:dyDescent="0.3">
      <c r="B78" s="14" t="s">
        <v>453</v>
      </c>
      <c r="C78" s="14" t="s">
        <v>454</v>
      </c>
      <c r="D78" s="4">
        <f ca="1">-SUMIFS(INDIRECT("Tab_000.Trial["&amp;D$4&amp;"]"),Tab_000.Trial[CONTA],$B78)</f>
        <v>-689.98</v>
      </c>
      <c r="E78" s="78">
        <f t="shared" ca="1" si="89"/>
        <v>-6.9999999999999999E-4</v>
      </c>
      <c r="F78" s="4">
        <f ca="1">-SUMIFS(INDIRECT("Tab_000.Trial["&amp;F$4&amp;"]"),Tab_000.Trial[CONTA],$B78)</f>
        <v>-611.19000000000005</v>
      </c>
      <c r="G78" s="78">
        <f t="shared" ca="1" si="91"/>
        <v>-5.9999999999999995E-4</v>
      </c>
      <c r="H78" s="78">
        <f t="shared" ca="1" si="90"/>
        <v>0.1142</v>
      </c>
      <c r="I78" s="4">
        <f ca="1">-SUMIFS(INDIRECT("Tab_000.Trial["&amp;I$4&amp;"]"),Tab_000.Trial[CONTA],$B78)</f>
        <v>-312.72000000000003</v>
      </c>
      <c r="J78" s="78">
        <f t="shared" ca="1" si="92"/>
        <v>-2.9999999999999997E-4</v>
      </c>
      <c r="K78" s="78">
        <f t="shared" ca="1" si="93"/>
        <v>0.48830000000000001</v>
      </c>
      <c r="L78" s="4">
        <f ca="1">-SUMIFS(INDIRECT("Tab_000.Trial["&amp;L$4&amp;"]"),Tab_000.Trial[CONTA],$B78)</f>
        <v>-312.72000000000003</v>
      </c>
      <c r="M78" s="78">
        <f t="shared" ca="1" si="94"/>
        <v>-2.9999999999999997E-4</v>
      </c>
      <c r="N78" s="78">
        <f t="shared" ca="1" si="95"/>
        <v>0</v>
      </c>
      <c r="O78" s="4">
        <f ca="1">-SUMIFS(INDIRECT("Tab_000.Trial["&amp;O$4&amp;"]"),Tab_000.Trial[CONTA],$B78)</f>
        <v>-312.72000000000003</v>
      </c>
      <c r="P78" s="78">
        <f t="shared" ca="1" si="96"/>
        <v>-2.9999999999999997E-4</v>
      </c>
      <c r="Q78" s="78">
        <f t="shared" ca="1" si="97"/>
        <v>0</v>
      </c>
      <c r="R78" s="4">
        <f ca="1">-SUMIFS(INDIRECT("Tab_000.Trial["&amp;R$4&amp;"]"),Tab_000.Trial[CONTA],$B78)</f>
        <v>-487.79</v>
      </c>
      <c r="S78" s="78">
        <f t="shared" ca="1" si="98"/>
        <v>-5.0000000000000001E-4</v>
      </c>
      <c r="T78" s="78">
        <f t="shared" ca="1" si="99"/>
        <v>-0.55979999999999996</v>
      </c>
      <c r="U78" s="4">
        <f ca="1">-SUMIFS(INDIRECT("Tab_000.Trial["&amp;U$4&amp;"]"),Tab_000.Trial[CONTA],$B78)</f>
        <v>-430.52</v>
      </c>
      <c r="V78" s="78">
        <f t="shared" ca="1" si="100"/>
        <v>-4.0000000000000002E-4</v>
      </c>
      <c r="W78" s="78">
        <f t="shared" ca="1" si="101"/>
        <v>0.1174</v>
      </c>
      <c r="X78" s="4">
        <f ca="1">-SUMIFS(INDIRECT("Tab_000.Trial["&amp;X$4&amp;"]"),Tab_000.Trial[CONTA],$B78)</f>
        <v>-446.91</v>
      </c>
      <c r="Y78" s="78">
        <f t="shared" ca="1" si="102"/>
        <v>-4.0000000000000002E-4</v>
      </c>
      <c r="Z78" s="78">
        <f t="shared" ca="1" si="103"/>
        <v>-3.8100000000000002E-2</v>
      </c>
      <c r="AA78" s="4">
        <f ca="1">-SUMIFS(INDIRECT("Tab_000.Trial["&amp;AA$4&amp;"]"),Tab_000.Trial[CONTA],$B78)</f>
        <v>-274.51</v>
      </c>
      <c r="AB78" s="78">
        <f t="shared" ca="1" si="104"/>
        <v>-2.9999999999999997E-4</v>
      </c>
      <c r="AC78" s="78">
        <f t="shared" ca="1" si="105"/>
        <v>0.38579999999999998</v>
      </c>
      <c r="AD78" s="4">
        <f ca="1">-SUMIFS(INDIRECT("Tab_000.Trial["&amp;AD$4&amp;"]"),Tab_000.Trial[CONTA],$B78)</f>
        <v>-432.39</v>
      </c>
      <c r="AE78" s="78">
        <f t="shared" ca="1" si="106"/>
        <v>-2.9999999999999997E-4</v>
      </c>
      <c r="AF78" s="78">
        <f t="shared" ca="1" si="107"/>
        <v>-0.57509999999999994</v>
      </c>
      <c r="AG78" s="4">
        <f ca="1">-SUMIFS(INDIRECT("Tab_000.Trial["&amp;AG$4&amp;"]"),Tab_000.Trial[CONTA],$B78)</f>
        <v>-427.3</v>
      </c>
      <c r="AH78" s="78">
        <f t="shared" ca="1" si="108"/>
        <v>-5.0000000000000001E-4</v>
      </c>
      <c r="AI78" s="78">
        <f t="shared" ca="1" si="109"/>
        <v>1.18E-2</v>
      </c>
      <c r="AJ78" s="4">
        <f ca="1">-SUMIFS(INDIRECT("Tab_000.Trial["&amp;AJ$4&amp;"]"),Tab_000.Trial[CONTA],$B78)</f>
        <v>-432.39</v>
      </c>
      <c r="AK78" s="78">
        <f t="shared" ca="1" si="110"/>
        <v>-2.9999999999999997E-4</v>
      </c>
      <c r="AL78" s="78">
        <f t="shared" ca="1" si="111"/>
        <v>-1.1900000000000001E-2</v>
      </c>
    </row>
    <row r="79" spans="2:39" ht="15" customHeight="1" outlineLevel="1" x14ac:dyDescent="0.3">
      <c r="B79" s="14" t="s">
        <v>748</v>
      </c>
      <c r="C79" s="14" t="s">
        <v>749</v>
      </c>
      <c r="D79" s="4">
        <f ca="1">-SUMIFS(INDIRECT("Tab_000.Trial["&amp;D$4&amp;"]"),Tab_000.Trial[CONTA],$B79)</f>
        <v>0</v>
      </c>
      <c r="E79" s="78">
        <f t="shared" ca="1" si="89"/>
        <v>0</v>
      </c>
      <c r="F79" s="4">
        <f ca="1">-SUMIFS(INDIRECT("Tab_000.Trial["&amp;F$4&amp;"]"),Tab_000.Trial[CONTA],$B79)</f>
        <v>0</v>
      </c>
      <c r="G79" s="78">
        <f t="shared" ca="1" si="91"/>
        <v>0</v>
      </c>
      <c r="H79" s="78">
        <f t="shared" ca="1" si="90"/>
        <v>0</v>
      </c>
      <c r="I79" s="4">
        <f ca="1">-SUMIFS(INDIRECT("Tab_000.Trial["&amp;I$4&amp;"]"),Tab_000.Trial[CONTA],$B79)</f>
        <v>0</v>
      </c>
      <c r="J79" s="78">
        <f t="shared" ca="1" si="92"/>
        <v>0</v>
      </c>
      <c r="K79" s="78">
        <f t="shared" ca="1" si="93"/>
        <v>0</v>
      </c>
      <c r="L79" s="4">
        <f ca="1">-SUMIFS(INDIRECT("Tab_000.Trial["&amp;L$4&amp;"]"),Tab_000.Trial[CONTA],$B79)</f>
        <v>0</v>
      </c>
      <c r="M79" s="78">
        <f t="shared" ca="1" si="94"/>
        <v>0</v>
      </c>
      <c r="N79" s="78">
        <f t="shared" ca="1" si="95"/>
        <v>0</v>
      </c>
      <c r="O79" s="4">
        <f ca="1">-SUMIFS(INDIRECT("Tab_000.Trial["&amp;O$4&amp;"]"),Tab_000.Trial[CONTA],$B79)</f>
        <v>0</v>
      </c>
      <c r="P79" s="78">
        <f t="shared" ca="1" si="96"/>
        <v>0</v>
      </c>
      <c r="Q79" s="78">
        <f t="shared" ca="1" si="97"/>
        <v>0</v>
      </c>
      <c r="R79" s="4">
        <f ca="1">-SUMIFS(INDIRECT("Tab_000.Trial["&amp;R$4&amp;"]"),Tab_000.Trial[CONTA],$B79)</f>
        <v>0</v>
      </c>
      <c r="S79" s="78">
        <f t="shared" ca="1" si="98"/>
        <v>0</v>
      </c>
      <c r="T79" s="78">
        <f t="shared" ca="1" si="99"/>
        <v>0</v>
      </c>
      <c r="U79" s="4">
        <f ca="1">-SUMIFS(INDIRECT("Tab_000.Trial["&amp;U$4&amp;"]"),Tab_000.Trial[CONTA],$B79)</f>
        <v>0</v>
      </c>
      <c r="V79" s="78">
        <f t="shared" ca="1" si="100"/>
        <v>0</v>
      </c>
      <c r="W79" s="78">
        <f t="shared" ca="1" si="101"/>
        <v>0</v>
      </c>
      <c r="X79" s="4">
        <f ca="1">-SUMIFS(INDIRECT("Tab_000.Trial["&amp;X$4&amp;"]"),Tab_000.Trial[CONTA],$B79)</f>
        <v>0</v>
      </c>
      <c r="Y79" s="78">
        <f t="shared" ca="1" si="102"/>
        <v>0</v>
      </c>
      <c r="Z79" s="78">
        <f t="shared" ca="1" si="103"/>
        <v>0</v>
      </c>
      <c r="AA79" s="4">
        <f ca="1">-SUMIFS(INDIRECT("Tab_000.Trial["&amp;AA$4&amp;"]"),Tab_000.Trial[CONTA],$B79)</f>
        <v>0</v>
      </c>
      <c r="AB79" s="78">
        <f t="shared" ca="1" si="104"/>
        <v>0</v>
      </c>
      <c r="AC79" s="78">
        <f t="shared" ca="1" si="105"/>
        <v>0</v>
      </c>
      <c r="AD79" s="4">
        <f ca="1">-SUMIFS(INDIRECT("Tab_000.Trial["&amp;AD$4&amp;"]"),Tab_000.Trial[CONTA],$B79)</f>
        <v>0</v>
      </c>
      <c r="AE79" s="78">
        <f t="shared" ca="1" si="106"/>
        <v>0</v>
      </c>
      <c r="AF79" s="78">
        <f t="shared" ca="1" si="107"/>
        <v>0</v>
      </c>
      <c r="AG79" s="4">
        <f ca="1">-SUMIFS(INDIRECT("Tab_000.Trial["&amp;AG$4&amp;"]"),Tab_000.Trial[CONTA],$B79)</f>
        <v>0</v>
      </c>
      <c r="AH79" s="78">
        <f t="shared" ca="1" si="108"/>
        <v>0</v>
      </c>
      <c r="AI79" s="78">
        <f t="shared" ca="1" si="109"/>
        <v>0</v>
      </c>
      <c r="AJ79" s="4">
        <f ca="1">-SUMIFS(INDIRECT("Tab_000.Trial["&amp;AJ$4&amp;"]"),Tab_000.Trial[CONTA],$B79)</f>
        <v>0</v>
      </c>
      <c r="AK79" s="78">
        <f t="shared" ca="1" si="110"/>
        <v>0</v>
      </c>
      <c r="AL79" s="78">
        <f t="shared" ca="1" si="111"/>
        <v>0</v>
      </c>
    </row>
    <row r="80" spans="2:39" ht="15" customHeight="1" outlineLevel="1" x14ac:dyDescent="0.3">
      <c r="B80" s="14" t="s">
        <v>750</v>
      </c>
      <c r="C80" s="14" t="s">
        <v>751</v>
      </c>
      <c r="D80" s="4">
        <f ca="1">-SUMIFS(INDIRECT("Tab_000.Trial["&amp;D$4&amp;"]"),Tab_000.Trial[CONTA],$B80)</f>
        <v>-1171.52</v>
      </c>
      <c r="E80" s="78">
        <f t="shared" ca="1" si="89"/>
        <v>-1.1999999999999999E-3</v>
      </c>
      <c r="F80" s="4">
        <f ca="1">-SUMIFS(INDIRECT("Tab_000.Trial["&amp;F$4&amp;"]"),Tab_000.Trial[CONTA],$B80)</f>
        <v>-1208.45</v>
      </c>
      <c r="G80" s="78">
        <f t="shared" ca="1" si="91"/>
        <v>-1.1999999999999999E-3</v>
      </c>
      <c r="H80" s="78">
        <f t="shared" ca="1" si="90"/>
        <v>-3.15E-2</v>
      </c>
      <c r="I80" s="4">
        <f ca="1">-SUMIFS(INDIRECT("Tab_000.Trial["&amp;I$4&amp;"]"),Tab_000.Trial[CONTA],$B80)</f>
        <v>-1451.87</v>
      </c>
      <c r="J80" s="78">
        <f t="shared" ca="1" si="92"/>
        <v>-1.4E-3</v>
      </c>
      <c r="K80" s="78">
        <f t="shared" ca="1" si="93"/>
        <v>-0.2014</v>
      </c>
      <c r="L80" s="4">
        <f ca="1">-SUMIFS(INDIRECT("Tab_000.Trial["&amp;L$4&amp;"]"),Tab_000.Trial[CONTA],$B80)</f>
        <v>-349.49</v>
      </c>
      <c r="M80" s="78">
        <f t="shared" ca="1" si="94"/>
        <v>-2.9999999999999997E-4</v>
      </c>
      <c r="N80" s="78">
        <f t="shared" ca="1" si="95"/>
        <v>0.75929999999999997</v>
      </c>
      <c r="O80" s="4">
        <f ca="1">-SUMIFS(INDIRECT("Tab_000.Trial["&amp;O$4&amp;"]"),Tab_000.Trial[CONTA],$B80)</f>
        <v>-105.4</v>
      </c>
      <c r="P80" s="78">
        <f t="shared" ca="1" si="96"/>
        <v>-1E-4</v>
      </c>
      <c r="Q80" s="78">
        <f t="shared" ca="1" si="97"/>
        <v>0.69840000000000002</v>
      </c>
      <c r="R80" s="4">
        <f ca="1">-SUMIFS(INDIRECT("Tab_000.Trial["&amp;R$4&amp;"]"),Tab_000.Trial[CONTA],$B80)</f>
        <v>-480.6</v>
      </c>
      <c r="S80" s="78">
        <f t="shared" ca="1" si="98"/>
        <v>-5.0000000000000001E-4</v>
      </c>
      <c r="T80" s="78">
        <f t="shared" ca="1" si="99"/>
        <v>-3.5598000000000001</v>
      </c>
      <c r="U80" s="4">
        <f ca="1">-SUMIFS(INDIRECT("Tab_000.Trial["&amp;U$4&amp;"]"),Tab_000.Trial[CONTA],$B80)</f>
        <v>285.27999999999997</v>
      </c>
      <c r="V80" s="78">
        <f t="shared" ca="1" si="100"/>
        <v>2.9999999999999997E-4</v>
      </c>
      <c r="W80" s="78">
        <f t="shared" ca="1" si="101"/>
        <v>1.5935999999999999</v>
      </c>
      <c r="X80" s="4">
        <f ca="1">-SUMIFS(INDIRECT("Tab_000.Trial["&amp;X$4&amp;"]"),Tab_000.Trial[CONTA],$B80)</f>
        <v>-1257.24</v>
      </c>
      <c r="Y80" s="78">
        <f t="shared" ca="1" si="102"/>
        <v>-1.1999999999999999E-3</v>
      </c>
      <c r="Z80" s="78">
        <f t="shared" ca="1" si="103"/>
        <v>-5.407</v>
      </c>
      <c r="AA80" s="4">
        <f ca="1">-SUMIFS(INDIRECT("Tab_000.Trial["&amp;AA$4&amp;"]"),Tab_000.Trial[CONTA],$B80)</f>
        <v>-2214.9</v>
      </c>
      <c r="AB80" s="78">
        <f t="shared" ca="1" si="104"/>
        <v>-2.3E-3</v>
      </c>
      <c r="AC80" s="78">
        <f t="shared" ca="1" si="105"/>
        <v>-0.76170000000000004</v>
      </c>
      <c r="AD80" s="4">
        <f ca="1">-SUMIFS(INDIRECT("Tab_000.Trial["&amp;AD$4&amp;"]"),Tab_000.Trial[CONTA],$B80)</f>
        <v>1188.78</v>
      </c>
      <c r="AE80" s="78">
        <f t="shared" ca="1" si="106"/>
        <v>1E-3</v>
      </c>
      <c r="AF80" s="78">
        <f t="shared" ca="1" si="107"/>
        <v>1.5367</v>
      </c>
      <c r="AG80" s="4">
        <f ca="1">-SUMIFS(INDIRECT("Tab_000.Trial["&amp;AG$4&amp;"]"),Tab_000.Trial[CONTA],$B80)</f>
        <v>1184.56</v>
      </c>
      <c r="AH80" s="78">
        <f t="shared" ca="1" si="108"/>
        <v>1.2999999999999999E-3</v>
      </c>
      <c r="AI80" s="78">
        <f t="shared" ca="1" si="109"/>
        <v>-3.5000000000000001E-3</v>
      </c>
      <c r="AJ80" s="4">
        <f ca="1">-SUMIFS(INDIRECT("Tab_000.Trial["&amp;AJ$4&amp;"]"),Tab_000.Trial[CONTA],$B80)</f>
        <v>1315.13</v>
      </c>
      <c r="AK80" s="78">
        <f t="shared" ca="1" si="110"/>
        <v>8.9999999999999998E-4</v>
      </c>
      <c r="AL80" s="78">
        <f t="shared" ca="1" si="111"/>
        <v>0.11020000000000001</v>
      </c>
    </row>
    <row r="81" spans="2:38" ht="15" customHeight="1" outlineLevel="1" x14ac:dyDescent="0.3">
      <c r="B81" s="14" t="s">
        <v>775</v>
      </c>
      <c r="C81" s="14" t="s">
        <v>749</v>
      </c>
      <c r="D81" s="4">
        <f ca="1">-SUMIFS(INDIRECT("Tab_000.Trial["&amp;D$4&amp;"]"),Tab_000.Trial[CONTA],$B81)</f>
        <v>0</v>
      </c>
      <c r="E81" s="78">
        <f t="shared" ca="1" si="89"/>
        <v>0</v>
      </c>
      <c r="F81" s="4">
        <f ca="1">-SUMIFS(INDIRECT("Tab_000.Trial["&amp;F$4&amp;"]"),Tab_000.Trial[CONTA],$B81)</f>
        <v>-85959.77</v>
      </c>
      <c r="G81" s="78">
        <f t="shared" ca="1" si="91"/>
        <v>-8.8099999999999998E-2</v>
      </c>
      <c r="H81" s="78">
        <f t="shared" ca="1" si="90"/>
        <v>0</v>
      </c>
      <c r="I81" s="4">
        <f ca="1">-SUMIFS(INDIRECT("Tab_000.Trial["&amp;I$4&amp;"]"),Tab_000.Trial[CONTA],$B81)</f>
        <v>0</v>
      </c>
      <c r="J81" s="78">
        <f t="shared" ca="1" si="92"/>
        <v>0</v>
      </c>
      <c r="K81" s="78">
        <f t="shared" ca="1" si="93"/>
        <v>1</v>
      </c>
      <c r="L81" s="4">
        <f ca="1">-SUMIFS(INDIRECT("Tab_000.Trial["&amp;L$4&amp;"]"),Tab_000.Trial[CONTA],$B81)</f>
        <v>0</v>
      </c>
      <c r="M81" s="78">
        <f t="shared" ca="1" si="94"/>
        <v>0</v>
      </c>
      <c r="N81" s="78">
        <f t="shared" ca="1" si="95"/>
        <v>0</v>
      </c>
      <c r="O81" s="4">
        <f ca="1">-SUMIFS(INDIRECT("Tab_000.Trial["&amp;O$4&amp;"]"),Tab_000.Trial[CONTA],$B81)</f>
        <v>0</v>
      </c>
      <c r="P81" s="78">
        <f t="shared" ca="1" si="96"/>
        <v>0</v>
      </c>
      <c r="Q81" s="78">
        <f t="shared" ca="1" si="97"/>
        <v>0</v>
      </c>
      <c r="R81" s="4">
        <f ca="1">-SUMIFS(INDIRECT("Tab_000.Trial["&amp;R$4&amp;"]"),Tab_000.Trial[CONTA],$B81)</f>
        <v>0</v>
      </c>
      <c r="S81" s="78">
        <f t="shared" ca="1" si="98"/>
        <v>0</v>
      </c>
      <c r="T81" s="78">
        <f t="shared" ca="1" si="99"/>
        <v>0</v>
      </c>
      <c r="U81" s="4">
        <f ca="1">-SUMIFS(INDIRECT("Tab_000.Trial["&amp;U$4&amp;"]"),Tab_000.Trial[CONTA],$B81)</f>
        <v>0</v>
      </c>
      <c r="V81" s="78">
        <f t="shared" ca="1" si="100"/>
        <v>0</v>
      </c>
      <c r="W81" s="78">
        <f t="shared" ca="1" si="101"/>
        <v>0</v>
      </c>
      <c r="X81" s="4">
        <f ca="1">-SUMIFS(INDIRECT("Tab_000.Trial["&amp;X$4&amp;"]"),Tab_000.Trial[CONTA],$B81)</f>
        <v>0</v>
      </c>
      <c r="Y81" s="78">
        <f t="shared" ca="1" si="102"/>
        <v>0</v>
      </c>
      <c r="Z81" s="78">
        <f t="shared" ca="1" si="103"/>
        <v>0</v>
      </c>
      <c r="AA81" s="4">
        <f ca="1">-SUMIFS(INDIRECT("Tab_000.Trial["&amp;AA$4&amp;"]"),Tab_000.Trial[CONTA],$B81)</f>
        <v>0</v>
      </c>
      <c r="AB81" s="78">
        <f t="shared" ca="1" si="104"/>
        <v>0</v>
      </c>
      <c r="AC81" s="78">
        <f t="shared" ca="1" si="105"/>
        <v>0</v>
      </c>
      <c r="AD81" s="4">
        <f ca="1">-SUMIFS(INDIRECT("Tab_000.Trial["&amp;AD$4&amp;"]"),Tab_000.Trial[CONTA],$B81)</f>
        <v>0</v>
      </c>
      <c r="AE81" s="78">
        <f t="shared" ca="1" si="106"/>
        <v>0</v>
      </c>
      <c r="AF81" s="78">
        <f t="shared" ca="1" si="107"/>
        <v>0</v>
      </c>
      <c r="AG81" s="4">
        <f ca="1">-SUMIFS(INDIRECT("Tab_000.Trial["&amp;AG$4&amp;"]"),Tab_000.Trial[CONTA],$B81)</f>
        <v>0</v>
      </c>
      <c r="AH81" s="78">
        <f t="shared" ca="1" si="108"/>
        <v>0</v>
      </c>
      <c r="AI81" s="78">
        <f t="shared" ca="1" si="109"/>
        <v>0</v>
      </c>
      <c r="AJ81" s="4">
        <f ca="1">-SUMIFS(INDIRECT("Tab_000.Trial["&amp;AJ$4&amp;"]"),Tab_000.Trial[CONTA],$B81)</f>
        <v>0</v>
      </c>
      <c r="AK81" s="78">
        <f t="shared" ca="1" si="110"/>
        <v>0</v>
      </c>
      <c r="AL81" s="78">
        <f t="shared" ca="1" si="111"/>
        <v>0</v>
      </c>
    </row>
    <row r="82" spans="2:38" ht="15" customHeight="1" outlineLevel="1" x14ac:dyDescent="0.3">
      <c r="B82" s="14" t="s">
        <v>790</v>
      </c>
      <c r="C82" s="14" t="s">
        <v>791</v>
      </c>
      <c r="D82" s="4">
        <f ca="1">-SUMIFS(INDIRECT("Tab_000.Trial["&amp;D$4&amp;"]"),Tab_000.Trial[CONTA],$B82)</f>
        <v>-49658.59</v>
      </c>
      <c r="E82" s="78">
        <f t="shared" ca="1" si="89"/>
        <v>-5.2299999999999999E-2</v>
      </c>
      <c r="F82" s="4">
        <f ca="1">-SUMIFS(INDIRECT("Tab_000.Trial["&amp;F$4&amp;"]"),Tab_000.Trial[CONTA],$B82)</f>
        <v>15879.44</v>
      </c>
      <c r="G82" s="78">
        <f t="shared" ca="1" si="91"/>
        <v>1.6299999999999999E-2</v>
      </c>
      <c r="H82" s="78">
        <f t="shared" ca="1" si="90"/>
        <v>1.3198000000000001</v>
      </c>
      <c r="I82" s="4">
        <f ca="1">-SUMIFS(INDIRECT("Tab_000.Trial["&amp;I$4&amp;"]"),Tab_000.Trial[CONTA],$B82)</f>
        <v>-2718.52</v>
      </c>
      <c r="J82" s="78">
        <f t="shared" ca="1" si="92"/>
        <v>-2.5999999999999999E-3</v>
      </c>
      <c r="K82" s="78">
        <f t="shared" ca="1" si="93"/>
        <v>-1.1712</v>
      </c>
      <c r="L82" s="4">
        <f ca="1">-SUMIFS(INDIRECT("Tab_000.Trial["&amp;L$4&amp;"]"),Tab_000.Trial[CONTA],$B82)</f>
        <v>-1754.97</v>
      </c>
      <c r="M82" s="78">
        <f t="shared" ca="1" si="94"/>
        <v>-1.6000000000000001E-3</v>
      </c>
      <c r="N82" s="78">
        <f t="shared" ca="1" si="95"/>
        <v>0.35439999999999999</v>
      </c>
      <c r="O82" s="4">
        <f ca="1">-SUMIFS(INDIRECT("Tab_000.Trial["&amp;O$4&amp;"]"),Tab_000.Trial[CONTA],$B82)</f>
        <v>-1802.78</v>
      </c>
      <c r="P82" s="78">
        <f t="shared" ca="1" si="96"/>
        <v>-1.5E-3</v>
      </c>
      <c r="Q82" s="78">
        <f t="shared" ca="1" si="97"/>
        <v>-2.7199999999999998E-2</v>
      </c>
      <c r="R82" s="4">
        <f ca="1">-SUMIFS(INDIRECT("Tab_000.Trial["&amp;R$4&amp;"]"),Tab_000.Trial[CONTA],$B82)</f>
        <v>-1802.79</v>
      </c>
      <c r="S82" s="78">
        <f t="shared" ca="1" si="98"/>
        <v>-1.8E-3</v>
      </c>
      <c r="T82" s="78">
        <f t="shared" ca="1" si="99"/>
        <v>0</v>
      </c>
      <c r="U82" s="4">
        <f ca="1">-SUMIFS(INDIRECT("Tab_000.Trial["&amp;U$4&amp;"]"),Tab_000.Trial[CONTA],$B82)</f>
        <v>-1802.73</v>
      </c>
      <c r="V82" s="78">
        <f t="shared" ca="1" si="100"/>
        <v>-1.6999999999999999E-3</v>
      </c>
      <c r="W82" s="78">
        <f t="shared" ca="1" si="101"/>
        <v>0</v>
      </c>
      <c r="X82" s="4">
        <f ca="1">-SUMIFS(INDIRECT("Tab_000.Trial["&amp;X$4&amp;"]"),Tab_000.Trial[CONTA],$B82)</f>
        <v>-1802.75</v>
      </c>
      <c r="Y82" s="78">
        <f t="shared" ca="1" si="102"/>
        <v>-1.6999999999999999E-3</v>
      </c>
      <c r="Z82" s="78">
        <f t="shared" ca="1" si="103"/>
        <v>0</v>
      </c>
      <c r="AA82" s="4">
        <f ca="1">-SUMIFS(INDIRECT("Tab_000.Trial["&amp;AA$4&amp;"]"),Tab_000.Trial[CONTA],$B82)</f>
        <v>5668.96</v>
      </c>
      <c r="AB82" s="78">
        <f t="shared" ca="1" si="104"/>
        <v>5.7999999999999996E-3</v>
      </c>
      <c r="AC82" s="78">
        <f t="shared" ca="1" si="105"/>
        <v>4.1445999999999996</v>
      </c>
      <c r="AD82" s="4">
        <f ca="1">-SUMIFS(INDIRECT("Tab_000.Trial["&amp;AD$4&amp;"]"),Tab_000.Trial[CONTA],$B82)</f>
        <v>-3360.49</v>
      </c>
      <c r="AE82" s="78">
        <f t="shared" ca="1" si="106"/>
        <v>-2.7000000000000001E-3</v>
      </c>
      <c r="AF82" s="78">
        <f t="shared" ca="1" si="107"/>
        <v>-1.5928</v>
      </c>
      <c r="AG82" s="4">
        <f ca="1">-SUMIFS(INDIRECT("Tab_000.Trial["&amp;AG$4&amp;"]"),Tab_000.Trial[CONTA],$B82)</f>
        <v>-3314.3</v>
      </c>
      <c r="AH82" s="78">
        <f t="shared" ca="1" si="108"/>
        <v>-3.5999999999999999E-3</v>
      </c>
      <c r="AI82" s="78">
        <f t="shared" ca="1" si="109"/>
        <v>1.37E-2</v>
      </c>
      <c r="AJ82" s="4">
        <f ca="1">-SUMIFS(INDIRECT("Tab_000.Trial["&amp;AJ$4&amp;"]"),Tab_000.Trial[CONTA],$B82)</f>
        <v>-3360.42</v>
      </c>
      <c r="AK82" s="78">
        <f t="shared" ca="1" si="110"/>
        <v>-2.3E-3</v>
      </c>
      <c r="AL82" s="78">
        <f t="shared" ca="1" si="111"/>
        <v>-1.3899999999999999E-2</v>
      </c>
    </row>
    <row r="83" spans="2:38" ht="15" customHeight="1" outlineLevel="1" x14ac:dyDescent="0.3">
      <c r="B83" s="14" t="s">
        <v>792</v>
      </c>
      <c r="C83" s="14" t="s">
        <v>793</v>
      </c>
      <c r="D83" s="4">
        <f ca="1">-SUMIFS(INDIRECT("Tab_000.Trial["&amp;D$4&amp;"]"),Tab_000.Trial[CONTA],$B83)</f>
        <v>-179.93</v>
      </c>
      <c r="E83" s="78">
        <f t="shared" ca="1" si="89"/>
        <v>-2.0000000000000001E-4</v>
      </c>
      <c r="F83" s="4">
        <f ca="1">-SUMIFS(INDIRECT("Tab_000.Trial["&amp;F$4&amp;"]"),Tab_000.Trial[CONTA],$B83)</f>
        <v>-492.78</v>
      </c>
      <c r="G83" s="78">
        <f t="shared" ca="1" si="91"/>
        <v>-5.0000000000000001E-4</v>
      </c>
      <c r="H83" s="78">
        <f t="shared" ca="1" si="90"/>
        <v>-1.7386999999999999</v>
      </c>
      <c r="I83" s="4">
        <f ca="1">-SUMIFS(INDIRECT("Tab_000.Trial["&amp;I$4&amp;"]"),Tab_000.Trial[CONTA],$B83)</f>
        <v>-466.07</v>
      </c>
      <c r="J83" s="78">
        <f t="shared" ca="1" si="92"/>
        <v>-4.0000000000000002E-4</v>
      </c>
      <c r="K83" s="78">
        <f t="shared" ca="1" si="93"/>
        <v>5.4199999999999998E-2</v>
      </c>
      <c r="L83" s="4">
        <f ca="1">-SUMIFS(INDIRECT("Tab_000.Trial["&amp;L$4&amp;"]"),Tab_000.Trial[CONTA],$B83)</f>
        <v>-302.23</v>
      </c>
      <c r="M83" s="78">
        <f t="shared" ca="1" si="94"/>
        <v>-2.9999999999999997E-4</v>
      </c>
      <c r="N83" s="78">
        <f t="shared" ca="1" si="95"/>
        <v>0.35149999999999998</v>
      </c>
      <c r="O83" s="4">
        <f ca="1">-SUMIFS(INDIRECT("Tab_000.Trial["&amp;O$4&amp;"]"),Tab_000.Trial[CONTA],$B83)</f>
        <v>-538.13</v>
      </c>
      <c r="P83" s="78">
        <f t="shared" ca="1" si="96"/>
        <v>-4.0000000000000002E-4</v>
      </c>
      <c r="Q83" s="78">
        <f t="shared" ca="1" si="97"/>
        <v>-0.78049999999999997</v>
      </c>
      <c r="R83" s="4">
        <f ca="1">-SUMIFS(INDIRECT("Tab_000.Trial["&amp;R$4&amp;"]"),Tab_000.Trial[CONTA],$B83)</f>
        <v>-538.13</v>
      </c>
      <c r="S83" s="78">
        <f t="shared" ca="1" si="98"/>
        <v>-5.0000000000000001E-4</v>
      </c>
      <c r="T83" s="78">
        <f t="shared" ca="1" si="99"/>
        <v>0</v>
      </c>
      <c r="U83" s="4">
        <f ca="1">-SUMIFS(INDIRECT("Tab_000.Trial["&amp;U$4&amp;"]"),Tab_000.Trial[CONTA],$B83)</f>
        <v>-538.13</v>
      </c>
      <c r="V83" s="78">
        <f t="shared" ca="1" si="100"/>
        <v>-5.0000000000000001E-4</v>
      </c>
      <c r="W83" s="78">
        <f t="shared" ca="1" si="101"/>
        <v>0</v>
      </c>
      <c r="X83" s="4">
        <f ca="1">-SUMIFS(INDIRECT("Tab_000.Trial["&amp;X$4&amp;"]"),Tab_000.Trial[CONTA],$B83)</f>
        <v>-538.14</v>
      </c>
      <c r="Y83" s="78">
        <f t="shared" ca="1" si="102"/>
        <v>-5.0000000000000001E-4</v>
      </c>
      <c r="Z83" s="78">
        <f t="shared" ca="1" si="103"/>
        <v>0</v>
      </c>
      <c r="AA83" s="4">
        <f ca="1">-SUMIFS(INDIRECT("Tab_000.Trial["&amp;AA$4&amp;"]"),Tab_000.Trial[CONTA],$B83)</f>
        <v>1692.23</v>
      </c>
      <c r="AB83" s="78">
        <f t="shared" ca="1" si="104"/>
        <v>1.6999999999999999E-3</v>
      </c>
      <c r="AC83" s="78">
        <f t="shared" ca="1" si="105"/>
        <v>4.1445999999999996</v>
      </c>
      <c r="AD83" s="4">
        <f ca="1">-SUMIFS(INDIRECT("Tab_000.Trial["&amp;AD$4&amp;"]"),Tab_000.Trial[CONTA],$B83)</f>
        <v>-1003.12</v>
      </c>
      <c r="AE83" s="78">
        <f t="shared" ca="1" si="106"/>
        <v>-8.0000000000000004E-4</v>
      </c>
      <c r="AF83" s="78">
        <f t="shared" ca="1" si="107"/>
        <v>-1.5928</v>
      </c>
      <c r="AG83" s="4">
        <f ca="1">-SUMIFS(INDIRECT("Tab_000.Trial["&amp;AG$4&amp;"]"),Tab_000.Trial[CONTA],$B83)</f>
        <v>-948.78</v>
      </c>
      <c r="AH83" s="78">
        <f t="shared" ca="1" si="108"/>
        <v>-1E-3</v>
      </c>
      <c r="AI83" s="78">
        <f t="shared" ca="1" si="109"/>
        <v>5.4199999999999998E-2</v>
      </c>
      <c r="AJ83" s="4">
        <f ca="1">-SUMIFS(INDIRECT("Tab_000.Trial["&amp;AJ$4&amp;"]"),Tab_000.Trial[CONTA],$B83)</f>
        <v>-1003.1</v>
      </c>
      <c r="AK83" s="78">
        <f t="shared" ca="1" si="110"/>
        <v>-6.9999999999999999E-4</v>
      </c>
      <c r="AL83" s="78">
        <f t="shared" ca="1" si="111"/>
        <v>-5.7299999999999997E-2</v>
      </c>
    </row>
    <row r="84" spans="2:38" ht="15" customHeight="1" outlineLevel="1" x14ac:dyDescent="0.3">
      <c r="B84" s="14" t="s">
        <v>794</v>
      </c>
      <c r="C84" s="14" t="s">
        <v>795</v>
      </c>
      <c r="D84" s="4">
        <f ca="1">-SUMIFS(INDIRECT("Tab_000.Trial["&amp;D$4&amp;"]"),Tab_000.Trial[CONTA],$B84)</f>
        <v>-67.97</v>
      </c>
      <c r="E84" s="78">
        <f t="shared" ca="1" si="89"/>
        <v>-1E-4</v>
      </c>
      <c r="F84" s="4">
        <f ca="1">-SUMIFS(INDIRECT("Tab_000.Trial["&amp;F$4&amp;"]"),Tab_000.Trial[CONTA],$B84)</f>
        <v>22.69</v>
      </c>
      <c r="G84" s="78">
        <f t="shared" ca="1" si="91"/>
        <v>0</v>
      </c>
      <c r="H84" s="78">
        <f t="shared" ca="1" si="90"/>
        <v>1.3338000000000001</v>
      </c>
      <c r="I84" s="4">
        <f ca="1">-SUMIFS(INDIRECT("Tab_000.Trial["&amp;I$4&amp;"]"),Tab_000.Trial[CONTA],$B84)</f>
        <v>-69.150000000000006</v>
      </c>
      <c r="J84" s="78">
        <f t="shared" ca="1" si="92"/>
        <v>-1E-4</v>
      </c>
      <c r="K84" s="78">
        <f t="shared" ca="1" si="93"/>
        <v>-4.0476000000000001</v>
      </c>
      <c r="L84" s="4">
        <f ca="1">-SUMIFS(INDIRECT("Tab_000.Trial["&amp;L$4&amp;"]"),Tab_000.Trial[CONTA],$B84)</f>
        <v>-73.290000000000006</v>
      </c>
      <c r="M84" s="78">
        <f t="shared" ca="1" si="94"/>
        <v>-1E-4</v>
      </c>
      <c r="N84" s="78">
        <f t="shared" ca="1" si="95"/>
        <v>-5.9900000000000002E-2</v>
      </c>
      <c r="O84" s="4">
        <f ca="1">-SUMIFS(INDIRECT("Tab_000.Trial["&amp;O$4&amp;"]"),Tab_000.Trial[CONTA],$B84)</f>
        <v>-75.510000000000005</v>
      </c>
      <c r="P84" s="78">
        <f t="shared" ca="1" si="96"/>
        <v>-1E-4</v>
      </c>
      <c r="Q84" s="78">
        <f t="shared" ca="1" si="97"/>
        <v>-3.0300000000000001E-2</v>
      </c>
      <c r="R84" s="4">
        <f ca="1">-SUMIFS(INDIRECT("Tab_000.Trial["&amp;R$4&amp;"]"),Tab_000.Trial[CONTA],$B84)</f>
        <v>-67.260000000000005</v>
      </c>
      <c r="S84" s="78">
        <f t="shared" ca="1" si="98"/>
        <v>-1E-4</v>
      </c>
      <c r="T84" s="78">
        <f t="shared" ca="1" si="99"/>
        <v>0.10929999999999999</v>
      </c>
      <c r="U84" s="4">
        <f ca="1">-SUMIFS(INDIRECT("Tab_000.Trial["&amp;U$4&amp;"]"),Tab_000.Trial[CONTA],$B84)</f>
        <v>-67.28</v>
      </c>
      <c r="V84" s="78">
        <f t="shared" ca="1" si="100"/>
        <v>-1E-4</v>
      </c>
      <c r="W84" s="78">
        <f t="shared" ca="1" si="101"/>
        <v>-2.9999999999999997E-4</v>
      </c>
      <c r="X84" s="4">
        <f ca="1">-SUMIFS(INDIRECT("Tab_000.Trial["&amp;X$4&amp;"]"),Tab_000.Trial[CONTA],$B84)</f>
        <v>-67.260000000000005</v>
      </c>
      <c r="Y84" s="78">
        <f t="shared" ca="1" si="102"/>
        <v>-1E-4</v>
      </c>
      <c r="Z84" s="78">
        <f t="shared" ca="1" si="103"/>
        <v>2.9999999999999997E-4</v>
      </c>
      <c r="AA84" s="4">
        <f ca="1">-SUMIFS(INDIRECT("Tab_000.Trial["&amp;AA$4&amp;"]"),Tab_000.Trial[CONTA],$B84)</f>
        <v>99.47</v>
      </c>
      <c r="AB84" s="78">
        <f t="shared" ca="1" si="104"/>
        <v>1E-4</v>
      </c>
      <c r="AC84" s="78">
        <f t="shared" ca="1" si="105"/>
        <v>2.4788999999999999</v>
      </c>
      <c r="AD84" s="4">
        <f ca="1">-SUMIFS(INDIRECT("Tab_000.Trial["&amp;AD$4&amp;"]"),Tab_000.Trial[CONTA],$B84)</f>
        <v>0</v>
      </c>
      <c r="AE84" s="78">
        <f t="shared" ca="1" si="106"/>
        <v>0</v>
      </c>
      <c r="AF84" s="78">
        <f t="shared" ca="1" si="107"/>
        <v>-1</v>
      </c>
      <c r="AG84" s="4">
        <f ca="1">-SUMIFS(INDIRECT("Tab_000.Trial["&amp;AG$4&amp;"]"),Tab_000.Trial[CONTA],$B84)</f>
        <v>0</v>
      </c>
      <c r="AH84" s="78">
        <f t="shared" ca="1" si="108"/>
        <v>0</v>
      </c>
      <c r="AI84" s="78">
        <f t="shared" ca="1" si="109"/>
        <v>0</v>
      </c>
      <c r="AJ84" s="4">
        <f ca="1">-SUMIFS(INDIRECT("Tab_000.Trial["&amp;AJ$4&amp;"]"),Tab_000.Trial[CONTA],$B84)</f>
        <v>0</v>
      </c>
      <c r="AK84" s="78">
        <f t="shared" ca="1" si="110"/>
        <v>0</v>
      </c>
      <c r="AL84" s="78">
        <f t="shared" ca="1" si="111"/>
        <v>0</v>
      </c>
    </row>
    <row r="85" spans="2:38" ht="15" customHeight="1" outlineLevel="1" x14ac:dyDescent="0.3">
      <c r="B85" s="14" t="s">
        <v>796</v>
      </c>
      <c r="C85" s="14" t="s">
        <v>797</v>
      </c>
      <c r="D85" s="4">
        <f ca="1">-SUMIFS(INDIRECT("Tab_000.Trial["&amp;D$4&amp;"]"),Tab_000.Trial[CONTA],$B85)</f>
        <v>-1352.06</v>
      </c>
      <c r="E85" s="78">
        <f t="shared" ca="1" si="89"/>
        <v>-1.4E-3</v>
      </c>
      <c r="F85" s="4">
        <f ca="1">-SUMIFS(INDIRECT("Tab_000.Trial["&amp;F$4&amp;"]"),Tab_000.Trial[CONTA],$B85)</f>
        <v>-1352.02</v>
      </c>
      <c r="G85" s="78">
        <f t="shared" ca="1" si="91"/>
        <v>-1.4E-3</v>
      </c>
      <c r="H85" s="78">
        <f t="shared" ca="1" si="90"/>
        <v>0</v>
      </c>
      <c r="I85" s="4">
        <f ca="1">-SUMIFS(INDIRECT("Tab_000.Trial["&amp;I$4&amp;"]"),Tab_000.Trial[CONTA],$B85)</f>
        <v>-1352.06</v>
      </c>
      <c r="J85" s="78">
        <f t="shared" ca="1" si="92"/>
        <v>-1.2999999999999999E-3</v>
      </c>
      <c r="K85" s="78">
        <f t="shared" ca="1" si="93"/>
        <v>0</v>
      </c>
      <c r="L85" s="4">
        <f ca="1">-SUMIFS(INDIRECT("Tab_000.Trial["&amp;L$4&amp;"]"),Tab_000.Trial[CONTA],$B85)</f>
        <v>-1352.07</v>
      </c>
      <c r="M85" s="78">
        <f t="shared" ca="1" si="94"/>
        <v>-1.1999999999999999E-3</v>
      </c>
      <c r="N85" s="78">
        <f t="shared" ca="1" si="95"/>
        <v>0</v>
      </c>
      <c r="O85" s="4">
        <f ca="1">-SUMIFS(INDIRECT("Tab_000.Trial["&amp;O$4&amp;"]"),Tab_000.Trial[CONTA],$B85)</f>
        <v>-1352.1</v>
      </c>
      <c r="P85" s="78">
        <f t="shared" ca="1" si="96"/>
        <v>-1.1000000000000001E-3</v>
      </c>
      <c r="Q85" s="78">
        <f t="shared" ca="1" si="97"/>
        <v>0</v>
      </c>
      <c r="R85" s="4">
        <f ca="1">-SUMIFS(INDIRECT("Tab_000.Trial["&amp;R$4&amp;"]"),Tab_000.Trial[CONTA],$B85)</f>
        <v>-1352.05</v>
      </c>
      <c r="S85" s="78">
        <f t="shared" ca="1" si="98"/>
        <v>-1.2999999999999999E-3</v>
      </c>
      <c r="T85" s="78">
        <f t="shared" ca="1" si="99"/>
        <v>0</v>
      </c>
      <c r="U85" s="4">
        <f ca="1">-SUMIFS(INDIRECT("Tab_000.Trial["&amp;U$4&amp;"]"),Tab_000.Trial[CONTA],$B85)</f>
        <v>-1695.5</v>
      </c>
      <c r="V85" s="78">
        <f t="shared" ca="1" si="100"/>
        <v>-1.6000000000000001E-3</v>
      </c>
      <c r="W85" s="78">
        <f t="shared" ca="1" si="101"/>
        <v>-0.254</v>
      </c>
      <c r="X85" s="4">
        <f ca="1">-SUMIFS(INDIRECT("Tab_000.Trial["&amp;X$4&amp;"]"),Tab_000.Trial[CONTA],$B85)</f>
        <v>-1352.07</v>
      </c>
      <c r="Y85" s="78">
        <f t="shared" ca="1" si="102"/>
        <v>-1.2999999999999999E-3</v>
      </c>
      <c r="Z85" s="78">
        <f t="shared" ca="1" si="103"/>
        <v>0.2026</v>
      </c>
      <c r="AA85" s="4">
        <f ca="1">-SUMIFS(INDIRECT("Tab_000.Trial["&amp;AA$4&amp;"]"),Tab_000.Trial[CONTA],$B85)</f>
        <v>-1783.72</v>
      </c>
      <c r="AB85" s="78">
        <f t="shared" ca="1" si="104"/>
        <v>-1.8E-3</v>
      </c>
      <c r="AC85" s="78">
        <f t="shared" ca="1" si="105"/>
        <v>-0.31929999999999997</v>
      </c>
      <c r="AD85" s="4">
        <f ca="1">-SUMIFS(INDIRECT("Tab_000.Trial["&amp;AD$4&amp;"]"),Tab_000.Trial[CONTA],$B85)</f>
        <v>0</v>
      </c>
      <c r="AE85" s="78">
        <f t="shared" ca="1" si="106"/>
        <v>0</v>
      </c>
      <c r="AF85" s="78">
        <f t="shared" ca="1" si="107"/>
        <v>1</v>
      </c>
      <c r="AG85" s="4">
        <f ca="1">-SUMIFS(INDIRECT("Tab_000.Trial["&amp;AG$4&amp;"]"),Tab_000.Trial[CONTA],$B85)</f>
        <v>0</v>
      </c>
      <c r="AH85" s="78">
        <f t="shared" ca="1" si="108"/>
        <v>0</v>
      </c>
      <c r="AI85" s="78">
        <f t="shared" ca="1" si="109"/>
        <v>0</v>
      </c>
      <c r="AJ85" s="4">
        <f ca="1">-SUMIFS(INDIRECT("Tab_000.Trial["&amp;AJ$4&amp;"]"),Tab_000.Trial[CONTA],$B85)</f>
        <v>-989.74</v>
      </c>
      <c r="AK85" s="78">
        <f t="shared" ca="1" si="110"/>
        <v>-6.9999999999999999E-4</v>
      </c>
      <c r="AL85" s="78">
        <f t="shared" ca="1" si="111"/>
        <v>0</v>
      </c>
    </row>
    <row r="86" spans="2:38" ht="15" customHeight="1" outlineLevel="1" x14ac:dyDescent="0.3">
      <c r="B86" s="14" t="s">
        <v>798</v>
      </c>
      <c r="C86" s="14" t="s">
        <v>799</v>
      </c>
      <c r="D86" s="4">
        <f ca="1">-SUMIFS(INDIRECT("Tab_000.Trial["&amp;D$4&amp;"]"),Tab_000.Trial[CONTA],$B86)</f>
        <v>-403.57</v>
      </c>
      <c r="E86" s="78">
        <f t="shared" ca="1" si="89"/>
        <v>-4.0000000000000002E-4</v>
      </c>
      <c r="F86" s="4">
        <f ca="1">-SUMIFS(INDIRECT("Tab_000.Trial["&amp;F$4&amp;"]"),Tab_000.Trial[CONTA],$B86)</f>
        <v>-403.61</v>
      </c>
      <c r="G86" s="78">
        <f t="shared" ca="1" si="91"/>
        <v>-4.0000000000000002E-4</v>
      </c>
      <c r="H86" s="78">
        <f t="shared" ca="1" si="90"/>
        <v>-1E-4</v>
      </c>
      <c r="I86" s="4">
        <f ca="1">-SUMIFS(INDIRECT("Tab_000.Trial["&amp;I$4&amp;"]"),Tab_000.Trial[CONTA],$B86)</f>
        <v>-403.6</v>
      </c>
      <c r="J86" s="78">
        <f t="shared" ca="1" si="92"/>
        <v>-4.0000000000000002E-4</v>
      </c>
      <c r="K86" s="78">
        <f t="shared" ca="1" si="93"/>
        <v>0</v>
      </c>
      <c r="L86" s="4">
        <f ca="1">-SUMIFS(INDIRECT("Tab_000.Trial["&amp;L$4&amp;"]"),Tab_000.Trial[CONTA],$B86)</f>
        <v>-403.59</v>
      </c>
      <c r="M86" s="78">
        <f t="shared" ca="1" si="94"/>
        <v>-4.0000000000000002E-4</v>
      </c>
      <c r="N86" s="78">
        <f t="shared" ca="1" si="95"/>
        <v>0</v>
      </c>
      <c r="O86" s="4">
        <f ca="1">-SUMIFS(INDIRECT("Tab_000.Trial["&amp;O$4&amp;"]"),Tab_000.Trial[CONTA],$B86)</f>
        <v>-403.61</v>
      </c>
      <c r="P86" s="78">
        <f t="shared" ca="1" si="96"/>
        <v>-2.9999999999999997E-4</v>
      </c>
      <c r="Q86" s="78">
        <f t="shared" ca="1" si="97"/>
        <v>0</v>
      </c>
      <c r="R86" s="4">
        <f ca="1">-SUMIFS(INDIRECT("Tab_000.Trial["&amp;R$4&amp;"]"),Tab_000.Trial[CONTA],$B86)</f>
        <v>-403.61</v>
      </c>
      <c r="S86" s="78">
        <f t="shared" ca="1" si="98"/>
        <v>-4.0000000000000002E-4</v>
      </c>
      <c r="T86" s="78">
        <f t="shared" ca="1" si="99"/>
        <v>0</v>
      </c>
      <c r="U86" s="4">
        <f ca="1">-SUMIFS(INDIRECT("Tab_000.Trial["&amp;U$4&amp;"]"),Tab_000.Trial[CONTA],$B86)</f>
        <v>-506.41</v>
      </c>
      <c r="V86" s="78">
        <f t="shared" ca="1" si="100"/>
        <v>-5.0000000000000001E-4</v>
      </c>
      <c r="W86" s="78">
        <f t="shared" ca="1" si="101"/>
        <v>-0.25469999999999998</v>
      </c>
      <c r="X86" s="4">
        <f ca="1">-SUMIFS(INDIRECT("Tab_000.Trial["&amp;X$4&amp;"]"),Tab_000.Trial[CONTA],$B86)</f>
        <v>-403.59</v>
      </c>
      <c r="Y86" s="78">
        <f t="shared" ca="1" si="102"/>
        <v>-4.0000000000000002E-4</v>
      </c>
      <c r="Z86" s="78">
        <f t="shared" ca="1" si="103"/>
        <v>0.20300000000000001</v>
      </c>
      <c r="AA86" s="4">
        <f ca="1">-SUMIFS(INDIRECT("Tab_000.Trial["&amp;AA$4&amp;"]"),Tab_000.Trial[CONTA],$B86)</f>
        <v>-581.41</v>
      </c>
      <c r="AB86" s="78">
        <f t="shared" ca="1" si="104"/>
        <v>-5.9999999999999995E-4</v>
      </c>
      <c r="AC86" s="78">
        <f t="shared" ca="1" si="105"/>
        <v>-0.44059999999999999</v>
      </c>
      <c r="AD86" s="4">
        <f ca="1">-SUMIFS(INDIRECT("Tab_000.Trial["&amp;AD$4&amp;"]"),Tab_000.Trial[CONTA],$B86)</f>
        <v>0</v>
      </c>
      <c r="AE86" s="78">
        <f t="shared" ca="1" si="106"/>
        <v>0</v>
      </c>
      <c r="AF86" s="78">
        <f t="shared" ca="1" si="107"/>
        <v>1</v>
      </c>
      <c r="AG86" s="4">
        <f ca="1">-SUMIFS(INDIRECT("Tab_000.Trial["&amp;AG$4&amp;"]"),Tab_000.Trial[CONTA],$B86)</f>
        <v>0</v>
      </c>
      <c r="AH86" s="78">
        <f t="shared" ca="1" si="108"/>
        <v>0</v>
      </c>
      <c r="AI86" s="78">
        <f t="shared" ca="1" si="109"/>
        <v>0</v>
      </c>
      <c r="AJ86" s="4">
        <f ca="1">-SUMIFS(INDIRECT("Tab_000.Trial["&amp;AJ$4&amp;"]"),Tab_000.Trial[CONTA],$B86)</f>
        <v>-303.47000000000003</v>
      </c>
      <c r="AK86" s="78">
        <f t="shared" ca="1" si="110"/>
        <v>-2.0000000000000001E-4</v>
      </c>
      <c r="AL86" s="78">
        <f t="shared" ca="1" si="111"/>
        <v>0</v>
      </c>
    </row>
    <row r="87" spans="2:38" ht="15" customHeight="1" outlineLevel="1" x14ac:dyDescent="0.3">
      <c r="B87" s="14" t="s">
        <v>800</v>
      </c>
      <c r="C87" s="14" t="s">
        <v>801</v>
      </c>
      <c r="D87" s="4">
        <f ca="1">-SUMIFS(INDIRECT("Tab_000.Trial["&amp;D$4&amp;"]"),Tab_000.Trial[CONTA],$B87)</f>
        <v>-50.45</v>
      </c>
      <c r="E87" s="78">
        <f t="shared" ca="1" si="89"/>
        <v>-1E-4</v>
      </c>
      <c r="F87" s="4">
        <f ca="1">-SUMIFS(INDIRECT("Tab_000.Trial["&amp;F$4&amp;"]"),Tab_000.Trial[CONTA],$B87)</f>
        <v>-50.46</v>
      </c>
      <c r="G87" s="78">
        <f t="shared" ca="1" si="91"/>
        <v>-1E-4</v>
      </c>
      <c r="H87" s="78">
        <f t="shared" ca="1" si="90"/>
        <v>-2.0000000000000001E-4</v>
      </c>
      <c r="I87" s="4">
        <f ca="1">-SUMIFS(INDIRECT("Tab_000.Trial["&amp;I$4&amp;"]"),Tab_000.Trial[CONTA],$B87)</f>
        <v>-50.44</v>
      </c>
      <c r="J87" s="78">
        <f t="shared" ca="1" si="92"/>
        <v>0</v>
      </c>
      <c r="K87" s="78">
        <f t="shared" ca="1" si="93"/>
        <v>4.0000000000000002E-4</v>
      </c>
      <c r="L87" s="4">
        <f ca="1">-SUMIFS(INDIRECT("Tab_000.Trial["&amp;L$4&amp;"]"),Tab_000.Trial[CONTA],$B87)</f>
        <v>-50.46</v>
      </c>
      <c r="M87" s="78">
        <f t="shared" ca="1" si="94"/>
        <v>0</v>
      </c>
      <c r="N87" s="78">
        <f t="shared" ca="1" si="95"/>
        <v>-4.0000000000000002E-4</v>
      </c>
      <c r="O87" s="4">
        <f ca="1">-SUMIFS(INDIRECT("Tab_000.Trial["&amp;O$4&amp;"]"),Tab_000.Trial[CONTA],$B87)</f>
        <v>-50.43</v>
      </c>
      <c r="P87" s="78">
        <f t="shared" ca="1" si="96"/>
        <v>0</v>
      </c>
      <c r="Q87" s="78">
        <f t="shared" ca="1" si="97"/>
        <v>5.9999999999999995E-4</v>
      </c>
      <c r="R87" s="4">
        <f ca="1">-SUMIFS(INDIRECT("Tab_000.Trial["&amp;R$4&amp;"]"),Tab_000.Trial[CONTA],$B87)</f>
        <v>-50.45</v>
      </c>
      <c r="S87" s="78">
        <f t="shared" ca="1" si="98"/>
        <v>-1E-4</v>
      </c>
      <c r="T87" s="78">
        <f t="shared" ca="1" si="99"/>
        <v>-4.0000000000000002E-4</v>
      </c>
      <c r="U87" s="4">
        <f ca="1">-SUMIFS(INDIRECT("Tab_000.Trial["&amp;U$4&amp;"]"),Tab_000.Trial[CONTA],$B87)</f>
        <v>-50.45</v>
      </c>
      <c r="V87" s="78">
        <f t="shared" ca="1" si="100"/>
        <v>0</v>
      </c>
      <c r="W87" s="78">
        <f t="shared" ca="1" si="101"/>
        <v>0</v>
      </c>
      <c r="X87" s="4">
        <f ca="1">-SUMIFS(INDIRECT("Tab_000.Trial["&amp;X$4&amp;"]"),Tab_000.Trial[CONTA],$B87)</f>
        <v>-50.48</v>
      </c>
      <c r="Y87" s="78">
        <f t="shared" ca="1" si="102"/>
        <v>0</v>
      </c>
      <c r="Z87" s="78">
        <f t="shared" ca="1" si="103"/>
        <v>-5.9999999999999995E-4</v>
      </c>
      <c r="AA87" s="4">
        <f ca="1">-SUMIFS(INDIRECT("Tab_000.Trial["&amp;AA$4&amp;"]"),Tab_000.Trial[CONTA],$B87)</f>
        <v>138.96</v>
      </c>
      <c r="AB87" s="78">
        <f t="shared" ca="1" si="104"/>
        <v>1E-4</v>
      </c>
      <c r="AC87" s="78">
        <f t="shared" ca="1" si="105"/>
        <v>3.7528000000000001</v>
      </c>
      <c r="AD87" s="4">
        <f ca="1">-SUMIFS(INDIRECT("Tab_000.Trial["&amp;AD$4&amp;"]"),Tab_000.Trial[CONTA],$B87)</f>
        <v>-125.39</v>
      </c>
      <c r="AE87" s="78">
        <f t="shared" ca="1" si="106"/>
        <v>-1E-4</v>
      </c>
      <c r="AF87" s="78">
        <f t="shared" ca="1" si="107"/>
        <v>-1.9023000000000001</v>
      </c>
      <c r="AG87" s="4">
        <f ca="1">-SUMIFS(INDIRECT("Tab_000.Trial["&amp;AG$4&amp;"]"),Tab_000.Trial[CONTA],$B87)</f>
        <v>-125.41</v>
      </c>
      <c r="AH87" s="78">
        <f t="shared" ca="1" si="108"/>
        <v>-1E-4</v>
      </c>
      <c r="AI87" s="78">
        <f t="shared" ca="1" si="109"/>
        <v>-2.0000000000000001E-4</v>
      </c>
      <c r="AJ87" s="4">
        <f ca="1">-SUMIFS(INDIRECT("Tab_000.Trial["&amp;AJ$4&amp;"]"),Tab_000.Trial[CONTA],$B87)</f>
        <v>-152.31</v>
      </c>
      <c r="AK87" s="78">
        <f t="shared" ca="1" si="110"/>
        <v>-1E-4</v>
      </c>
      <c r="AL87" s="78">
        <f t="shared" ca="1" si="111"/>
        <v>-0.2145</v>
      </c>
    </row>
    <row r="88" spans="2:38" ht="15" customHeight="1" outlineLevel="1" x14ac:dyDescent="0.3">
      <c r="B88" s="14" t="s">
        <v>802</v>
      </c>
      <c r="C88" s="14" t="s">
        <v>791</v>
      </c>
      <c r="D88" s="4">
        <f ca="1">-SUMIFS(INDIRECT("Tab_000.Trial["&amp;D$4&amp;"]"),Tab_000.Trial[CONTA],$B88)</f>
        <v>-862.74</v>
      </c>
      <c r="E88" s="78">
        <f t="shared" ca="1" si="89"/>
        <v>-8.9999999999999998E-4</v>
      </c>
      <c r="F88" s="4">
        <f ca="1">-SUMIFS(INDIRECT("Tab_000.Trial["&amp;F$4&amp;"]"),Tab_000.Trial[CONTA],$B88)</f>
        <v>0</v>
      </c>
      <c r="G88" s="78">
        <f t="shared" ca="1" si="91"/>
        <v>0</v>
      </c>
      <c r="H88" s="78">
        <f t="shared" ca="1" si="90"/>
        <v>1</v>
      </c>
      <c r="I88" s="4">
        <f ca="1">-SUMIFS(INDIRECT("Tab_000.Trial["&amp;I$4&amp;"]"),Tab_000.Trial[CONTA],$B88)</f>
        <v>0</v>
      </c>
      <c r="J88" s="78">
        <f t="shared" ca="1" si="92"/>
        <v>0</v>
      </c>
      <c r="K88" s="78">
        <f t="shared" ca="1" si="93"/>
        <v>0</v>
      </c>
      <c r="L88" s="4">
        <f ca="1">-SUMIFS(INDIRECT("Tab_000.Trial["&amp;L$4&amp;"]"),Tab_000.Trial[CONTA],$B88)</f>
        <v>-1157.1500000000001</v>
      </c>
      <c r="M88" s="78">
        <f t="shared" ca="1" si="94"/>
        <v>-1E-3</v>
      </c>
      <c r="N88" s="78">
        <f t="shared" ca="1" si="95"/>
        <v>0</v>
      </c>
      <c r="O88" s="4">
        <f ca="1">-SUMIFS(INDIRECT("Tab_000.Trial["&amp;O$4&amp;"]"),Tab_000.Trial[CONTA],$B88)</f>
        <v>-1252.44</v>
      </c>
      <c r="P88" s="78">
        <f t="shared" ca="1" si="96"/>
        <v>-1E-3</v>
      </c>
      <c r="Q88" s="78">
        <f t="shared" ca="1" si="97"/>
        <v>-8.2299999999999998E-2</v>
      </c>
      <c r="R88" s="4">
        <f ca="1">-SUMIFS(INDIRECT("Tab_000.Trial["&amp;R$4&amp;"]"),Tab_000.Trial[CONTA],$B88)</f>
        <v>-1252.48</v>
      </c>
      <c r="S88" s="78">
        <f t="shared" ca="1" si="98"/>
        <v>-1.1999999999999999E-3</v>
      </c>
      <c r="T88" s="78">
        <f t="shared" ca="1" si="99"/>
        <v>0</v>
      </c>
      <c r="U88" s="4">
        <f ca="1">-SUMIFS(INDIRECT("Tab_000.Trial["&amp;U$4&amp;"]"),Tab_000.Trial[CONTA],$B88)</f>
        <v>-1252.46</v>
      </c>
      <c r="V88" s="78">
        <f t="shared" ca="1" si="100"/>
        <v>-1.1999999999999999E-3</v>
      </c>
      <c r="W88" s="78">
        <f t="shared" ca="1" si="101"/>
        <v>0</v>
      </c>
      <c r="X88" s="4">
        <f ca="1">-SUMIFS(INDIRECT("Tab_000.Trial["&amp;X$4&amp;"]"),Tab_000.Trial[CONTA],$B88)</f>
        <v>-1517.83</v>
      </c>
      <c r="Y88" s="78">
        <f t="shared" ca="1" si="102"/>
        <v>-1.5E-3</v>
      </c>
      <c r="Z88" s="78">
        <f t="shared" ca="1" si="103"/>
        <v>-0.21190000000000001</v>
      </c>
      <c r="AA88" s="4">
        <f ca="1">-SUMIFS(INDIRECT("Tab_000.Trial["&amp;AA$4&amp;"]"),Tab_000.Trial[CONTA],$B88)</f>
        <v>-932.15</v>
      </c>
      <c r="AB88" s="78">
        <f t="shared" ca="1" si="104"/>
        <v>-1E-3</v>
      </c>
      <c r="AC88" s="78">
        <f t="shared" ca="1" si="105"/>
        <v>0.38590000000000002</v>
      </c>
      <c r="AD88" s="4">
        <f ca="1">-SUMIFS(INDIRECT("Tab_000.Trial["&amp;AD$4&amp;"]"),Tab_000.Trial[CONTA],$B88)</f>
        <v>0</v>
      </c>
      <c r="AE88" s="78">
        <f t="shared" ca="1" si="106"/>
        <v>0</v>
      </c>
      <c r="AF88" s="78">
        <f t="shared" ca="1" si="107"/>
        <v>1</v>
      </c>
      <c r="AG88" s="4">
        <f ca="1">-SUMIFS(INDIRECT("Tab_000.Trial["&amp;AG$4&amp;"]"),Tab_000.Trial[CONTA],$B88)</f>
        <v>0</v>
      </c>
      <c r="AH88" s="78">
        <f t="shared" ca="1" si="108"/>
        <v>0</v>
      </c>
      <c r="AI88" s="78">
        <f t="shared" ca="1" si="109"/>
        <v>0</v>
      </c>
      <c r="AJ88" s="4">
        <f ca="1">-SUMIFS(INDIRECT("Tab_000.Trial["&amp;AJ$4&amp;"]"),Tab_000.Trial[CONTA],$B88)</f>
        <v>0</v>
      </c>
      <c r="AK88" s="78">
        <f t="shared" ca="1" si="110"/>
        <v>0</v>
      </c>
      <c r="AL88" s="78">
        <f t="shared" ca="1" si="111"/>
        <v>0</v>
      </c>
    </row>
    <row r="89" spans="2:38" ht="15" customHeight="1" outlineLevel="1" x14ac:dyDescent="0.3">
      <c r="B89" s="14" t="s">
        <v>803</v>
      </c>
      <c r="C89" s="14" t="s">
        <v>793</v>
      </c>
      <c r="D89" s="4">
        <f ca="1">-SUMIFS(INDIRECT("Tab_000.Trial["&amp;D$4&amp;"]"),Tab_000.Trial[CONTA],$B89)</f>
        <v>-14346.41</v>
      </c>
      <c r="E89" s="78">
        <f t="shared" ca="1" si="89"/>
        <v>-1.5100000000000001E-2</v>
      </c>
      <c r="F89" s="4">
        <f ca="1">-SUMIFS(INDIRECT("Tab_000.Trial["&amp;F$4&amp;"]"),Tab_000.Trial[CONTA],$B89)</f>
        <v>5232.99</v>
      </c>
      <c r="G89" s="78">
        <f t="shared" ca="1" si="91"/>
        <v>5.4000000000000003E-3</v>
      </c>
      <c r="H89" s="78">
        <f t="shared" ca="1" si="90"/>
        <v>1.3648</v>
      </c>
      <c r="I89" s="4">
        <f ca="1">-SUMIFS(INDIRECT("Tab_000.Trial["&amp;I$4&amp;"]"),Tab_000.Trial[CONTA],$B89)</f>
        <v>-345.44</v>
      </c>
      <c r="J89" s="78">
        <f t="shared" ca="1" si="92"/>
        <v>-2.9999999999999997E-4</v>
      </c>
      <c r="K89" s="78">
        <f t="shared" ca="1" si="93"/>
        <v>-1.0660000000000001</v>
      </c>
      <c r="L89" s="4">
        <f ca="1">-SUMIFS(INDIRECT("Tab_000.Trial["&amp;L$4&amp;"]"),Tab_000.Trial[CONTA],$B89)</f>
        <v>-567.08000000000004</v>
      </c>
      <c r="M89" s="78">
        <f t="shared" ca="1" si="94"/>
        <v>-5.0000000000000001E-4</v>
      </c>
      <c r="N89" s="78">
        <f t="shared" ca="1" si="95"/>
        <v>-0.64159999999999995</v>
      </c>
      <c r="O89" s="4">
        <f ca="1">-SUMIFS(INDIRECT("Tab_000.Trial["&amp;O$4&amp;"]"),Tab_000.Trial[CONTA],$B89)</f>
        <v>-373.86</v>
      </c>
      <c r="P89" s="78">
        <f t="shared" ca="1" si="96"/>
        <v>-2.9999999999999997E-4</v>
      </c>
      <c r="Q89" s="78">
        <f t="shared" ca="1" si="97"/>
        <v>0.3407</v>
      </c>
      <c r="R89" s="4">
        <f ca="1">-SUMIFS(INDIRECT("Tab_000.Trial["&amp;R$4&amp;"]"),Tab_000.Trial[CONTA],$B89)</f>
        <v>-373.86</v>
      </c>
      <c r="S89" s="78">
        <f t="shared" ca="1" si="98"/>
        <v>-4.0000000000000002E-4</v>
      </c>
      <c r="T89" s="78">
        <f t="shared" ca="1" si="99"/>
        <v>0</v>
      </c>
      <c r="U89" s="4">
        <f ca="1">-SUMIFS(INDIRECT("Tab_000.Trial["&amp;U$4&amp;"]"),Tab_000.Trial[CONTA],$B89)</f>
        <v>-373.87</v>
      </c>
      <c r="V89" s="78">
        <f t="shared" ca="1" si="100"/>
        <v>-2.9999999999999997E-4</v>
      </c>
      <c r="W89" s="78">
        <f t="shared" ca="1" si="101"/>
        <v>0</v>
      </c>
      <c r="X89" s="4">
        <f ca="1">-SUMIFS(INDIRECT("Tab_000.Trial["&amp;X$4&amp;"]"),Tab_000.Trial[CONTA],$B89)</f>
        <v>-453.09</v>
      </c>
      <c r="Y89" s="78">
        <f t="shared" ca="1" si="102"/>
        <v>-4.0000000000000002E-4</v>
      </c>
      <c r="Z89" s="78">
        <f t="shared" ca="1" si="103"/>
        <v>-0.21190000000000001</v>
      </c>
      <c r="AA89" s="4">
        <f ca="1">-SUMIFS(INDIRECT("Tab_000.Trial["&amp;AA$4&amp;"]"),Tab_000.Trial[CONTA],$B89)</f>
        <v>-278.25</v>
      </c>
      <c r="AB89" s="78">
        <f t="shared" ca="1" si="104"/>
        <v>-2.9999999999999997E-4</v>
      </c>
      <c r="AC89" s="78">
        <f t="shared" ca="1" si="105"/>
        <v>0.38590000000000002</v>
      </c>
      <c r="AD89" s="4">
        <f ca="1">-SUMIFS(INDIRECT("Tab_000.Trial["&amp;AD$4&amp;"]"),Tab_000.Trial[CONTA],$B89)</f>
        <v>0</v>
      </c>
      <c r="AE89" s="78">
        <f t="shared" ca="1" si="106"/>
        <v>0</v>
      </c>
      <c r="AF89" s="78">
        <f t="shared" ca="1" si="107"/>
        <v>1</v>
      </c>
      <c r="AG89" s="4">
        <f ca="1">-SUMIFS(INDIRECT("Tab_000.Trial["&amp;AG$4&amp;"]"),Tab_000.Trial[CONTA],$B89)</f>
        <v>0</v>
      </c>
      <c r="AH89" s="78">
        <f t="shared" ca="1" si="108"/>
        <v>0</v>
      </c>
      <c r="AI89" s="78">
        <f t="shared" ca="1" si="109"/>
        <v>0</v>
      </c>
      <c r="AJ89" s="4">
        <f ca="1">-SUMIFS(INDIRECT("Tab_000.Trial["&amp;AJ$4&amp;"]"),Tab_000.Trial[CONTA],$B89)</f>
        <v>0</v>
      </c>
      <c r="AK89" s="78">
        <f t="shared" ca="1" si="110"/>
        <v>0</v>
      </c>
      <c r="AL89" s="78">
        <f t="shared" ca="1" si="111"/>
        <v>0</v>
      </c>
    </row>
    <row r="90" spans="2:38" ht="15" customHeight="1" outlineLevel="1" x14ac:dyDescent="0.3">
      <c r="B90" s="14" t="s">
        <v>804</v>
      </c>
      <c r="C90" s="14" t="s">
        <v>795</v>
      </c>
      <c r="D90" s="4">
        <f ca="1">-SUMIFS(INDIRECT("Tab_000.Trial["&amp;D$4&amp;"]"),Tab_000.Trial[CONTA],$B90)</f>
        <v>-82.97</v>
      </c>
      <c r="E90" s="78">
        <f t="shared" ca="1" si="89"/>
        <v>-1E-4</v>
      </c>
      <c r="F90" s="4">
        <f ca="1">-SUMIFS(INDIRECT("Tab_000.Trial["&amp;F$4&amp;"]"),Tab_000.Trial[CONTA],$B90)</f>
        <v>0</v>
      </c>
      <c r="G90" s="78">
        <f t="shared" ca="1" si="91"/>
        <v>0</v>
      </c>
      <c r="H90" s="78">
        <f t="shared" ca="1" si="90"/>
        <v>1</v>
      </c>
      <c r="I90" s="4">
        <f ca="1">-SUMIFS(INDIRECT("Tab_000.Trial["&amp;I$4&amp;"]"),Tab_000.Trial[CONTA],$B90)</f>
        <v>11.13</v>
      </c>
      <c r="J90" s="78">
        <f t="shared" ca="1" si="92"/>
        <v>0</v>
      </c>
      <c r="K90" s="78">
        <f t="shared" ca="1" si="93"/>
        <v>0</v>
      </c>
      <c r="L90" s="4">
        <f ca="1">-SUMIFS(INDIRECT("Tab_000.Trial["&amp;L$4&amp;"]"),Tab_000.Trial[CONTA],$B90)</f>
        <v>-29.6</v>
      </c>
      <c r="M90" s="78">
        <f t="shared" ca="1" si="94"/>
        <v>0</v>
      </c>
      <c r="N90" s="78">
        <f t="shared" ca="1" si="95"/>
        <v>-3.6595</v>
      </c>
      <c r="O90" s="4">
        <f ca="1">-SUMIFS(INDIRECT("Tab_000.Trial["&amp;O$4&amp;"]"),Tab_000.Trial[CONTA],$B90)</f>
        <v>-29.59</v>
      </c>
      <c r="P90" s="78">
        <f t="shared" ca="1" si="96"/>
        <v>0</v>
      </c>
      <c r="Q90" s="78">
        <f t="shared" ca="1" si="97"/>
        <v>2.9999999999999997E-4</v>
      </c>
      <c r="R90" s="4">
        <f ca="1">-SUMIFS(INDIRECT("Tab_000.Trial["&amp;R$4&amp;"]"),Tab_000.Trial[CONTA],$B90)</f>
        <v>-46.74</v>
      </c>
      <c r="S90" s="78">
        <f t="shared" ca="1" si="98"/>
        <v>0</v>
      </c>
      <c r="T90" s="78">
        <f t="shared" ca="1" si="99"/>
        <v>-0.5796</v>
      </c>
      <c r="U90" s="4">
        <f ca="1">-SUMIFS(INDIRECT("Tab_000.Trial["&amp;U$4&amp;"]"),Tab_000.Trial[CONTA],$B90)</f>
        <v>-46.74</v>
      </c>
      <c r="V90" s="78">
        <f t="shared" ca="1" si="100"/>
        <v>0</v>
      </c>
      <c r="W90" s="78">
        <f t="shared" ca="1" si="101"/>
        <v>0</v>
      </c>
      <c r="X90" s="4">
        <f ca="1">-SUMIFS(INDIRECT("Tab_000.Trial["&amp;X$4&amp;"]"),Tab_000.Trial[CONTA],$B90)</f>
        <v>0.4</v>
      </c>
      <c r="Y90" s="78">
        <f t="shared" ca="1" si="102"/>
        <v>0</v>
      </c>
      <c r="Z90" s="78">
        <f t="shared" ca="1" si="103"/>
        <v>1.0085999999999999</v>
      </c>
      <c r="AA90" s="4">
        <f ca="1">-SUMIFS(INDIRECT("Tab_000.Trial["&amp;AA$4&amp;"]"),Tab_000.Trial[CONTA],$B90)</f>
        <v>-48.14</v>
      </c>
      <c r="AB90" s="78">
        <f t="shared" ca="1" si="104"/>
        <v>0</v>
      </c>
      <c r="AC90" s="78">
        <f t="shared" ca="1" si="105"/>
        <v>-121.35</v>
      </c>
      <c r="AD90" s="4">
        <f ca="1">-SUMIFS(INDIRECT("Tab_000.Trial["&amp;AD$4&amp;"]"),Tab_000.Trial[CONTA],$B90)</f>
        <v>0</v>
      </c>
      <c r="AE90" s="78">
        <f t="shared" ca="1" si="106"/>
        <v>0</v>
      </c>
      <c r="AF90" s="78">
        <f t="shared" ca="1" si="107"/>
        <v>1</v>
      </c>
      <c r="AG90" s="4">
        <f ca="1">-SUMIFS(INDIRECT("Tab_000.Trial["&amp;AG$4&amp;"]"),Tab_000.Trial[CONTA],$B90)</f>
        <v>0</v>
      </c>
      <c r="AH90" s="78">
        <f t="shared" ca="1" si="108"/>
        <v>0</v>
      </c>
      <c r="AI90" s="78">
        <f t="shared" ca="1" si="109"/>
        <v>0</v>
      </c>
      <c r="AJ90" s="4">
        <f ca="1">-SUMIFS(INDIRECT("Tab_000.Trial["&amp;AJ$4&amp;"]"),Tab_000.Trial[CONTA],$B90)</f>
        <v>0</v>
      </c>
      <c r="AK90" s="78">
        <f t="shared" ca="1" si="110"/>
        <v>0</v>
      </c>
      <c r="AL90" s="78">
        <f t="shared" ca="1" si="111"/>
        <v>0</v>
      </c>
    </row>
    <row r="91" spans="2:38" ht="15" customHeight="1" outlineLevel="1" x14ac:dyDescent="0.3">
      <c r="B91" s="14" t="s">
        <v>805</v>
      </c>
      <c r="C91" s="14" t="s">
        <v>797</v>
      </c>
      <c r="D91" s="4">
        <f ca="1">-SUMIFS(INDIRECT("Tab_000.Trial["&amp;D$4&amp;"]"),Tab_000.Trial[CONTA],$B91)</f>
        <v>-1667.78</v>
      </c>
      <c r="E91" s="78">
        <f t="shared" ca="1" si="89"/>
        <v>-1.8E-3</v>
      </c>
      <c r="F91" s="4">
        <f ca="1">-SUMIFS(INDIRECT("Tab_000.Trial["&amp;F$4&amp;"]"),Tab_000.Trial[CONTA],$B91)</f>
        <v>-1667.83</v>
      </c>
      <c r="G91" s="78">
        <f t="shared" ca="1" si="91"/>
        <v>-1.6999999999999999E-3</v>
      </c>
      <c r="H91" s="78">
        <f t="shared" ca="1" si="90"/>
        <v>0</v>
      </c>
      <c r="I91" s="4">
        <f ca="1">-SUMIFS(INDIRECT("Tab_000.Trial["&amp;I$4&amp;"]"),Tab_000.Trial[CONTA],$B91)</f>
        <v>-867.9</v>
      </c>
      <c r="J91" s="78">
        <f t="shared" ca="1" si="92"/>
        <v>-8.0000000000000004E-4</v>
      </c>
      <c r="K91" s="78">
        <f t="shared" ca="1" si="93"/>
        <v>0.47960000000000003</v>
      </c>
      <c r="L91" s="4">
        <f ca="1">-SUMIFS(INDIRECT("Tab_000.Trial["&amp;L$4&amp;"]"),Tab_000.Trial[CONTA],$B91)</f>
        <v>-867.85</v>
      </c>
      <c r="M91" s="78">
        <f t="shared" ca="1" si="94"/>
        <v>-8.0000000000000004E-4</v>
      </c>
      <c r="N91" s="78">
        <f t="shared" ca="1" si="95"/>
        <v>1E-4</v>
      </c>
      <c r="O91" s="4">
        <f ca="1">-SUMIFS(INDIRECT("Tab_000.Trial["&amp;O$4&amp;"]"),Tab_000.Trial[CONTA],$B91)</f>
        <v>-939.31</v>
      </c>
      <c r="P91" s="78">
        <f t="shared" ca="1" si="96"/>
        <v>-8.0000000000000004E-4</v>
      </c>
      <c r="Q91" s="78">
        <f t="shared" ca="1" si="97"/>
        <v>-8.2299999999999998E-2</v>
      </c>
      <c r="R91" s="4">
        <f ca="1">-SUMIFS(INDIRECT("Tab_000.Trial["&amp;R$4&amp;"]"),Tab_000.Trial[CONTA],$B91)</f>
        <v>-939.34</v>
      </c>
      <c r="S91" s="78">
        <f t="shared" ca="1" si="98"/>
        <v>-8.9999999999999998E-4</v>
      </c>
      <c r="T91" s="78">
        <f t="shared" ca="1" si="99"/>
        <v>0</v>
      </c>
      <c r="U91" s="4">
        <f ca="1">-SUMIFS(INDIRECT("Tab_000.Trial["&amp;U$4&amp;"]"),Tab_000.Trial[CONTA],$B91)</f>
        <v>-594.92999999999995</v>
      </c>
      <c r="V91" s="78">
        <f t="shared" ca="1" si="100"/>
        <v>-5.9999999999999995E-4</v>
      </c>
      <c r="W91" s="78">
        <f t="shared" ca="1" si="101"/>
        <v>0.36670000000000003</v>
      </c>
      <c r="X91" s="4">
        <f ca="1">-SUMIFS(INDIRECT("Tab_000.Trial["&amp;X$4&amp;"]"),Tab_000.Trial[CONTA],$B91)</f>
        <v>-1138.44</v>
      </c>
      <c r="Y91" s="78">
        <f t="shared" ca="1" si="102"/>
        <v>-1.1000000000000001E-3</v>
      </c>
      <c r="Z91" s="78">
        <f t="shared" ca="1" si="103"/>
        <v>-0.91359999999999997</v>
      </c>
      <c r="AA91" s="4">
        <f ca="1">-SUMIFS(INDIRECT("Tab_000.Trial["&amp;AA$4&amp;"]"),Tab_000.Trial[CONTA],$B91)</f>
        <v>-758.23</v>
      </c>
      <c r="AB91" s="78">
        <f t="shared" ca="1" si="104"/>
        <v>-8.0000000000000004E-4</v>
      </c>
      <c r="AC91" s="78">
        <f t="shared" ca="1" si="105"/>
        <v>0.33400000000000002</v>
      </c>
      <c r="AD91" s="4">
        <f ca="1">-SUMIFS(INDIRECT("Tab_000.Trial["&amp;AD$4&amp;"]"),Tab_000.Trial[CONTA],$B91)</f>
        <v>-2316.54</v>
      </c>
      <c r="AE91" s="78">
        <f t="shared" ca="1" si="106"/>
        <v>-1.9E-3</v>
      </c>
      <c r="AF91" s="78">
        <f t="shared" ca="1" si="107"/>
        <v>-2.0552000000000001</v>
      </c>
      <c r="AG91" s="4">
        <f ca="1">-SUMIFS(INDIRECT("Tab_000.Trial["&amp;AG$4&amp;"]"),Tab_000.Trial[CONTA],$B91)</f>
        <v>-2316.7800000000002</v>
      </c>
      <c r="AH91" s="78">
        <f t="shared" ca="1" si="108"/>
        <v>-2.5000000000000001E-3</v>
      </c>
      <c r="AI91" s="78">
        <f t="shared" ca="1" si="109"/>
        <v>-1E-4</v>
      </c>
      <c r="AJ91" s="4">
        <f ca="1">-SUMIFS(INDIRECT("Tab_000.Trial["&amp;AJ$4&amp;"]"),Tab_000.Trial[CONTA],$B91)</f>
        <v>-965.67</v>
      </c>
      <c r="AK91" s="78">
        <f t="shared" ca="1" si="110"/>
        <v>-6.9999999999999999E-4</v>
      </c>
      <c r="AL91" s="78">
        <f t="shared" ca="1" si="111"/>
        <v>0.58320000000000005</v>
      </c>
    </row>
    <row r="92" spans="2:38" ht="15" customHeight="1" outlineLevel="1" x14ac:dyDescent="0.3">
      <c r="B92" s="14" t="s">
        <v>806</v>
      </c>
      <c r="C92" s="14" t="s">
        <v>799</v>
      </c>
      <c r="D92" s="4">
        <f ca="1">-SUMIFS(INDIRECT("Tab_000.Trial["&amp;D$4&amp;"]"),Tab_000.Trial[CONTA],$B92)</f>
        <v>-497.81</v>
      </c>
      <c r="E92" s="78">
        <f t="shared" ca="1" si="89"/>
        <v>-5.0000000000000001E-4</v>
      </c>
      <c r="F92" s="4">
        <f ca="1">-SUMIFS(INDIRECT("Tab_000.Trial["&amp;F$4&amp;"]"),Tab_000.Trial[CONTA],$B92)</f>
        <v>-497.85</v>
      </c>
      <c r="G92" s="78">
        <f t="shared" ca="1" si="91"/>
        <v>-5.0000000000000001E-4</v>
      </c>
      <c r="H92" s="78">
        <f t="shared" ca="1" si="90"/>
        <v>-1E-4</v>
      </c>
      <c r="I92" s="4">
        <f ca="1">-SUMIFS(INDIRECT("Tab_000.Trial["&amp;I$4&amp;"]"),Tab_000.Trial[CONTA],$B92)</f>
        <v>-259.08</v>
      </c>
      <c r="J92" s="78">
        <f t="shared" ca="1" si="92"/>
        <v>-2.0000000000000001E-4</v>
      </c>
      <c r="K92" s="78">
        <f t="shared" ca="1" si="93"/>
        <v>0.47960000000000003</v>
      </c>
      <c r="L92" s="4">
        <f ca="1">-SUMIFS(INDIRECT("Tab_000.Trial["&amp;L$4&amp;"]"),Tab_000.Trial[CONTA],$B92)</f>
        <v>-259.06</v>
      </c>
      <c r="M92" s="78">
        <f t="shared" ca="1" si="94"/>
        <v>-2.0000000000000001E-4</v>
      </c>
      <c r="N92" s="78">
        <f t="shared" ca="1" si="95"/>
        <v>1E-4</v>
      </c>
      <c r="O92" s="4">
        <f ca="1">-SUMIFS(INDIRECT("Tab_000.Trial["&amp;O$4&amp;"]"),Tab_000.Trial[CONTA],$B92)</f>
        <v>-280.41000000000003</v>
      </c>
      <c r="P92" s="78">
        <f t="shared" ca="1" si="96"/>
        <v>-2.0000000000000001E-4</v>
      </c>
      <c r="Q92" s="78">
        <f t="shared" ca="1" si="97"/>
        <v>-8.2400000000000001E-2</v>
      </c>
      <c r="R92" s="4">
        <f ca="1">-SUMIFS(INDIRECT("Tab_000.Trial["&amp;R$4&amp;"]"),Tab_000.Trial[CONTA],$B92)</f>
        <v>-280.38</v>
      </c>
      <c r="S92" s="78">
        <f t="shared" ca="1" si="98"/>
        <v>-2.9999999999999997E-4</v>
      </c>
      <c r="T92" s="78">
        <f t="shared" ca="1" si="99"/>
        <v>1E-4</v>
      </c>
      <c r="U92" s="4">
        <f ca="1">-SUMIFS(INDIRECT("Tab_000.Trial["&amp;U$4&amp;"]"),Tab_000.Trial[CONTA],$B92)</f>
        <v>-177.59</v>
      </c>
      <c r="V92" s="78">
        <f t="shared" ca="1" si="100"/>
        <v>-2.0000000000000001E-4</v>
      </c>
      <c r="W92" s="78">
        <f t="shared" ca="1" si="101"/>
        <v>0.36659999999999998</v>
      </c>
      <c r="X92" s="4">
        <f ca="1">-SUMIFS(INDIRECT("Tab_000.Trial["&amp;X$4&amp;"]"),Tab_000.Trial[CONTA],$B92)</f>
        <v>-339.81</v>
      </c>
      <c r="Y92" s="78">
        <f t="shared" ca="1" si="102"/>
        <v>-2.9999999999999997E-4</v>
      </c>
      <c r="Z92" s="78">
        <f t="shared" ca="1" si="103"/>
        <v>-0.91349999999999998</v>
      </c>
      <c r="AA92" s="4">
        <f ca="1">-SUMIFS(INDIRECT("Tab_000.Trial["&amp;AA$4&amp;"]"),Tab_000.Trial[CONTA],$B92)</f>
        <v>-226.33</v>
      </c>
      <c r="AB92" s="78">
        <f t="shared" ca="1" si="104"/>
        <v>-2.0000000000000001E-4</v>
      </c>
      <c r="AC92" s="78">
        <f t="shared" ca="1" si="105"/>
        <v>0.33400000000000002</v>
      </c>
      <c r="AD92" s="4">
        <f ca="1">-SUMIFS(INDIRECT("Tab_000.Trial["&amp;AD$4&amp;"]"),Tab_000.Trial[CONTA],$B92)</f>
        <v>-692.14</v>
      </c>
      <c r="AE92" s="78">
        <f t="shared" ca="1" si="106"/>
        <v>-5.9999999999999995E-4</v>
      </c>
      <c r="AF92" s="78">
        <f t="shared" ca="1" si="107"/>
        <v>-2.0581</v>
      </c>
      <c r="AG92" s="4">
        <f ca="1">-SUMIFS(INDIRECT("Tab_000.Trial["&amp;AG$4&amp;"]"),Tab_000.Trial[CONTA],$B92)</f>
        <v>-692.11</v>
      </c>
      <c r="AH92" s="78">
        <f t="shared" ca="1" si="108"/>
        <v>-8.0000000000000004E-4</v>
      </c>
      <c r="AI92" s="78">
        <f t="shared" ca="1" si="109"/>
        <v>0</v>
      </c>
      <c r="AJ92" s="4">
        <f ca="1">-SUMIFS(INDIRECT("Tab_000.Trial["&amp;AJ$4&amp;"]"),Tab_000.Trial[CONTA],$B92)</f>
        <v>-288.26</v>
      </c>
      <c r="AK92" s="78">
        <f t="shared" ca="1" si="110"/>
        <v>-2.0000000000000001E-4</v>
      </c>
      <c r="AL92" s="78">
        <f t="shared" ca="1" si="111"/>
        <v>0.58350000000000002</v>
      </c>
    </row>
    <row r="93" spans="2:38" ht="15" customHeight="1" outlineLevel="1" x14ac:dyDescent="0.3">
      <c r="B93" s="14" t="s">
        <v>807</v>
      </c>
      <c r="C93" s="14" t="s">
        <v>801</v>
      </c>
      <c r="D93" s="4">
        <f ca="1">-SUMIFS(INDIRECT("Tab_000.Trial["&amp;D$4&amp;"]"),Tab_000.Trial[CONTA],$B93)</f>
        <v>-62.22</v>
      </c>
      <c r="E93" s="78">
        <f t="shared" ca="1" si="89"/>
        <v>-1E-4</v>
      </c>
      <c r="F93" s="4">
        <f ca="1">-SUMIFS(INDIRECT("Tab_000.Trial["&amp;F$4&amp;"]"),Tab_000.Trial[CONTA],$B93)</f>
        <v>-62.24</v>
      </c>
      <c r="G93" s="78">
        <f t="shared" ca="1" si="91"/>
        <v>-1E-4</v>
      </c>
      <c r="H93" s="78">
        <f t="shared" ca="1" si="90"/>
        <v>-2.9999999999999997E-4</v>
      </c>
      <c r="I93" s="4">
        <f ca="1">-SUMIFS(INDIRECT("Tab_000.Trial["&amp;I$4&amp;"]"),Tab_000.Trial[CONTA],$B93)</f>
        <v>-32.380000000000003</v>
      </c>
      <c r="J93" s="78">
        <f t="shared" ca="1" si="92"/>
        <v>0</v>
      </c>
      <c r="K93" s="78">
        <f t="shared" ca="1" si="93"/>
        <v>0.4798</v>
      </c>
      <c r="L93" s="4">
        <f ca="1">-SUMIFS(INDIRECT("Tab_000.Trial["&amp;L$4&amp;"]"),Tab_000.Trial[CONTA],$B93)</f>
        <v>-32.380000000000003</v>
      </c>
      <c r="M93" s="78">
        <f t="shared" ca="1" si="94"/>
        <v>0</v>
      </c>
      <c r="N93" s="78">
        <f t="shared" ca="1" si="95"/>
        <v>0</v>
      </c>
      <c r="O93" s="4">
        <f ca="1">-SUMIFS(INDIRECT("Tab_000.Trial["&amp;O$4&amp;"]"),Tab_000.Trial[CONTA],$B93)</f>
        <v>-35.06</v>
      </c>
      <c r="P93" s="78">
        <f t="shared" ca="1" si="96"/>
        <v>0</v>
      </c>
      <c r="Q93" s="78">
        <f t="shared" ca="1" si="97"/>
        <v>-8.2799999999999999E-2</v>
      </c>
      <c r="R93" s="4">
        <f ca="1">-SUMIFS(INDIRECT("Tab_000.Trial["&amp;R$4&amp;"]"),Tab_000.Trial[CONTA],$B93)</f>
        <v>-35.04</v>
      </c>
      <c r="S93" s="78">
        <f t="shared" ca="1" si="98"/>
        <v>0</v>
      </c>
      <c r="T93" s="78">
        <f t="shared" ca="1" si="99"/>
        <v>5.9999999999999995E-4</v>
      </c>
      <c r="U93" s="4">
        <f ca="1">-SUMIFS(INDIRECT("Tab_000.Trial["&amp;U$4&amp;"]"),Tab_000.Trial[CONTA],$B93)</f>
        <v>-35.04</v>
      </c>
      <c r="V93" s="78">
        <f t="shared" ca="1" si="100"/>
        <v>0</v>
      </c>
      <c r="W93" s="78">
        <f t="shared" ca="1" si="101"/>
        <v>0</v>
      </c>
      <c r="X93" s="4">
        <f ca="1">-SUMIFS(INDIRECT("Tab_000.Trial["&amp;X$4&amp;"]"),Tab_000.Trial[CONTA],$B93)</f>
        <v>-42.5</v>
      </c>
      <c r="Y93" s="78">
        <f t="shared" ca="1" si="102"/>
        <v>0</v>
      </c>
      <c r="Z93" s="78">
        <f t="shared" ca="1" si="103"/>
        <v>-0.21290000000000001</v>
      </c>
      <c r="AA93" s="4">
        <f ca="1">-SUMIFS(INDIRECT("Tab_000.Trial["&amp;AA$4&amp;"]"),Tab_000.Trial[CONTA],$B93)</f>
        <v>-28.29</v>
      </c>
      <c r="AB93" s="78">
        <f t="shared" ca="1" si="104"/>
        <v>0</v>
      </c>
      <c r="AC93" s="78">
        <f t="shared" ca="1" si="105"/>
        <v>0.33439999999999998</v>
      </c>
      <c r="AD93" s="4">
        <f ca="1">-SUMIFS(INDIRECT("Tab_000.Trial["&amp;AD$4&amp;"]"),Tab_000.Trial[CONTA],$B93)</f>
        <v>-86.45</v>
      </c>
      <c r="AE93" s="78">
        <f t="shared" ca="1" si="106"/>
        <v>-1E-4</v>
      </c>
      <c r="AF93" s="78">
        <f t="shared" ca="1" si="107"/>
        <v>-2.0558999999999998</v>
      </c>
      <c r="AG93" s="4">
        <f ca="1">-SUMIFS(INDIRECT("Tab_000.Trial["&amp;AG$4&amp;"]"),Tab_000.Trial[CONTA],$B93)</f>
        <v>-86.45</v>
      </c>
      <c r="AH93" s="78">
        <f t="shared" ca="1" si="108"/>
        <v>-1E-4</v>
      </c>
      <c r="AI93" s="78">
        <f t="shared" ca="1" si="109"/>
        <v>0</v>
      </c>
      <c r="AJ93" s="4">
        <f ca="1">-SUMIFS(INDIRECT("Tab_000.Trial["&amp;AJ$4&amp;"]"),Tab_000.Trial[CONTA],$B93)</f>
        <v>-36.020000000000003</v>
      </c>
      <c r="AK93" s="78">
        <f t="shared" ca="1" si="110"/>
        <v>0</v>
      </c>
      <c r="AL93" s="78">
        <f t="shared" ca="1" si="111"/>
        <v>0.58330000000000004</v>
      </c>
    </row>
    <row r="94" spans="2:38" ht="15" customHeight="1" outlineLevel="1" x14ac:dyDescent="0.3">
      <c r="B94" s="14"/>
      <c r="C94" s="14"/>
      <c r="D94" s="4">
        <f ca="1">-SUMIFS(INDIRECT("Tab_000.Trial["&amp;D$4&amp;"]"),Tab_000.Trial[CONTA],$B94)</f>
        <v>0</v>
      </c>
      <c r="E94" s="78">
        <f t="shared" ca="1" si="89"/>
        <v>0</v>
      </c>
      <c r="F94" s="4">
        <f ca="1">-SUMIFS(INDIRECT("Tab_000.Trial["&amp;F$4&amp;"]"),Tab_000.Trial[CONTA],$B94)</f>
        <v>0</v>
      </c>
      <c r="G94" s="78">
        <f t="shared" ca="1" si="91"/>
        <v>0</v>
      </c>
      <c r="H94" s="78">
        <f t="shared" ca="1" si="90"/>
        <v>0</v>
      </c>
      <c r="I94" s="4">
        <f ca="1">-SUMIFS(INDIRECT("Tab_000.Trial["&amp;I$4&amp;"]"),Tab_000.Trial[CONTA],$B94)</f>
        <v>0</v>
      </c>
      <c r="J94" s="78">
        <f t="shared" ca="1" si="92"/>
        <v>0</v>
      </c>
      <c r="K94" s="78">
        <f t="shared" ca="1" si="93"/>
        <v>0</v>
      </c>
      <c r="L94" s="4">
        <f ca="1">-SUMIFS(INDIRECT("Tab_000.Trial["&amp;L$4&amp;"]"),Tab_000.Trial[CONTA],$B94)</f>
        <v>0</v>
      </c>
      <c r="M94" s="78">
        <f t="shared" ca="1" si="94"/>
        <v>0</v>
      </c>
      <c r="N94" s="78">
        <f t="shared" ca="1" si="95"/>
        <v>0</v>
      </c>
      <c r="O94" s="4">
        <f ca="1">-SUMIFS(INDIRECT("Tab_000.Trial["&amp;O$4&amp;"]"),Tab_000.Trial[CONTA],$B94)</f>
        <v>0</v>
      </c>
      <c r="P94" s="78">
        <f t="shared" ca="1" si="96"/>
        <v>0</v>
      </c>
      <c r="Q94" s="78">
        <f t="shared" ca="1" si="97"/>
        <v>0</v>
      </c>
      <c r="R94" s="4">
        <f ca="1">-SUMIFS(INDIRECT("Tab_000.Trial["&amp;R$4&amp;"]"),Tab_000.Trial[CONTA],$B94)</f>
        <v>0</v>
      </c>
      <c r="S94" s="78">
        <f t="shared" ca="1" si="98"/>
        <v>0</v>
      </c>
      <c r="T94" s="78">
        <f t="shared" ca="1" si="99"/>
        <v>0</v>
      </c>
      <c r="U94" s="4">
        <f ca="1">-SUMIFS(INDIRECT("Tab_000.Trial["&amp;U$4&amp;"]"),Tab_000.Trial[CONTA],$B94)</f>
        <v>0</v>
      </c>
      <c r="V94" s="78">
        <f t="shared" ca="1" si="100"/>
        <v>0</v>
      </c>
      <c r="W94" s="78">
        <f t="shared" ca="1" si="101"/>
        <v>0</v>
      </c>
      <c r="X94" s="4">
        <f ca="1">-SUMIFS(INDIRECT("Tab_000.Trial["&amp;X$4&amp;"]"),Tab_000.Trial[CONTA],$B94)</f>
        <v>0</v>
      </c>
      <c r="Y94" s="78">
        <f t="shared" ca="1" si="102"/>
        <v>0</v>
      </c>
      <c r="Z94" s="78">
        <f t="shared" ca="1" si="103"/>
        <v>0</v>
      </c>
      <c r="AA94" s="4">
        <f ca="1">-SUMIFS(INDIRECT("Tab_000.Trial["&amp;AA$4&amp;"]"),Tab_000.Trial[CONTA],$B94)</f>
        <v>0</v>
      </c>
      <c r="AB94" s="78">
        <f t="shared" ca="1" si="104"/>
        <v>0</v>
      </c>
      <c r="AC94" s="78">
        <f t="shared" ca="1" si="105"/>
        <v>0</v>
      </c>
      <c r="AD94" s="4">
        <f ca="1">-SUMIFS(INDIRECT("Tab_000.Trial["&amp;AD$4&amp;"]"),Tab_000.Trial[CONTA],$B94)</f>
        <v>0</v>
      </c>
      <c r="AE94" s="78">
        <f t="shared" ca="1" si="106"/>
        <v>0</v>
      </c>
      <c r="AF94" s="78">
        <f t="shared" ca="1" si="107"/>
        <v>0</v>
      </c>
      <c r="AG94" s="4">
        <f ca="1">-SUMIFS(INDIRECT("Tab_000.Trial["&amp;AG$4&amp;"]"),Tab_000.Trial[CONTA],$B94)</f>
        <v>0</v>
      </c>
      <c r="AH94" s="78">
        <f t="shared" ca="1" si="108"/>
        <v>0</v>
      </c>
      <c r="AI94" s="78">
        <f t="shared" ca="1" si="109"/>
        <v>0</v>
      </c>
      <c r="AJ94" s="4">
        <f ca="1">-SUMIFS(INDIRECT("Tab_000.Trial["&amp;AJ$4&amp;"]"),Tab_000.Trial[CONTA],$B94)</f>
        <v>0</v>
      </c>
      <c r="AK94" s="78">
        <f t="shared" ca="1" si="110"/>
        <v>0</v>
      </c>
      <c r="AL94" s="78">
        <f t="shared" ca="1" si="111"/>
        <v>0</v>
      </c>
    </row>
    <row r="95" spans="2:38" ht="15" customHeight="1" outlineLevel="1" x14ac:dyDescent="0.3">
      <c r="B95" s="14"/>
      <c r="C95" s="14"/>
      <c r="D95" s="4">
        <f ca="1">-SUMIFS(INDIRECT("Tab_000.Trial["&amp;D$4&amp;"]"),Tab_000.Trial[CONTA],$B95)</f>
        <v>0</v>
      </c>
      <c r="E95" s="78">
        <f t="shared" ca="1" si="89"/>
        <v>0</v>
      </c>
      <c r="F95" s="4">
        <f ca="1">-SUMIFS(INDIRECT("Tab_000.Trial["&amp;F$4&amp;"]"),Tab_000.Trial[CONTA],$B95)</f>
        <v>0</v>
      </c>
      <c r="G95" s="78">
        <f t="shared" ca="1" si="91"/>
        <v>0</v>
      </c>
      <c r="H95" s="78">
        <f t="shared" ca="1" si="90"/>
        <v>0</v>
      </c>
      <c r="I95" s="4">
        <f ca="1">-SUMIFS(INDIRECT("Tab_000.Trial["&amp;I$4&amp;"]"),Tab_000.Trial[CONTA],$B95)</f>
        <v>0</v>
      </c>
      <c r="J95" s="78">
        <f t="shared" ca="1" si="92"/>
        <v>0</v>
      </c>
      <c r="K95" s="78">
        <f t="shared" ca="1" si="93"/>
        <v>0</v>
      </c>
      <c r="L95" s="4">
        <f ca="1">-SUMIFS(INDIRECT("Tab_000.Trial["&amp;L$4&amp;"]"),Tab_000.Trial[CONTA],$B95)</f>
        <v>0</v>
      </c>
      <c r="M95" s="78">
        <f t="shared" ca="1" si="94"/>
        <v>0</v>
      </c>
      <c r="N95" s="78">
        <f t="shared" ca="1" si="95"/>
        <v>0</v>
      </c>
      <c r="O95" s="4">
        <f ca="1">-SUMIFS(INDIRECT("Tab_000.Trial["&amp;O$4&amp;"]"),Tab_000.Trial[CONTA],$B95)</f>
        <v>0</v>
      </c>
      <c r="P95" s="78">
        <f t="shared" ca="1" si="96"/>
        <v>0</v>
      </c>
      <c r="Q95" s="78">
        <f t="shared" ca="1" si="97"/>
        <v>0</v>
      </c>
      <c r="R95" s="4">
        <f ca="1">-SUMIFS(INDIRECT("Tab_000.Trial["&amp;R$4&amp;"]"),Tab_000.Trial[CONTA],$B95)</f>
        <v>0</v>
      </c>
      <c r="S95" s="78">
        <f t="shared" ca="1" si="98"/>
        <v>0</v>
      </c>
      <c r="T95" s="78">
        <f t="shared" ca="1" si="99"/>
        <v>0</v>
      </c>
      <c r="U95" s="4">
        <f ca="1">-SUMIFS(INDIRECT("Tab_000.Trial["&amp;U$4&amp;"]"),Tab_000.Trial[CONTA],$B95)</f>
        <v>0</v>
      </c>
      <c r="V95" s="78">
        <f t="shared" ca="1" si="100"/>
        <v>0</v>
      </c>
      <c r="W95" s="78">
        <f t="shared" ca="1" si="101"/>
        <v>0</v>
      </c>
      <c r="X95" s="4">
        <f ca="1">-SUMIFS(INDIRECT("Tab_000.Trial["&amp;X$4&amp;"]"),Tab_000.Trial[CONTA],$B95)</f>
        <v>0</v>
      </c>
      <c r="Y95" s="78">
        <f t="shared" ca="1" si="102"/>
        <v>0</v>
      </c>
      <c r="Z95" s="78">
        <f t="shared" ca="1" si="103"/>
        <v>0</v>
      </c>
      <c r="AA95" s="4">
        <f ca="1">-SUMIFS(INDIRECT("Tab_000.Trial["&amp;AA$4&amp;"]"),Tab_000.Trial[CONTA],$B95)</f>
        <v>0</v>
      </c>
      <c r="AB95" s="78">
        <f t="shared" ca="1" si="104"/>
        <v>0</v>
      </c>
      <c r="AC95" s="78">
        <f t="shared" ca="1" si="105"/>
        <v>0</v>
      </c>
      <c r="AD95" s="4">
        <f ca="1">-SUMIFS(INDIRECT("Tab_000.Trial["&amp;AD$4&amp;"]"),Tab_000.Trial[CONTA],$B95)</f>
        <v>0</v>
      </c>
      <c r="AE95" s="78">
        <f t="shared" ca="1" si="106"/>
        <v>0</v>
      </c>
      <c r="AF95" s="78">
        <f t="shared" ca="1" si="107"/>
        <v>0</v>
      </c>
      <c r="AG95" s="4">
        <f ca="1">-SUMIFS(INDIRECT("Tab_000.Trial["&amp;AG$4&amp;"]"),Tab_000.Trial[CONTA],$B95)</f>
        <v>0</v>
      </c>
      <c r="AH95" s="78">
        <f t="shared" ca="1" si="108"/>
        <v>0</v>
      </c>
      <c r="AI95" s="78">
        <f t="shared" ca="1" si="109"/>
        <v>0</v>
      </c>
      <c r="AJ95" s="4">
        <f ca="1">-SUMIFS(INDIRECT("Tab_000.Trial["&amp;AJ$4&amp;"]"),Tab_000.Trial[CONTA],$B95)</f>
        <v>0</v>
      </c>
      <c r="AK95" s="78">
        <f t="shared" ca="1" si="110"/>
        <v>0</v>
      </c>
      <c r="AL95" s="78">
        <f t="shared" ca="1" si="111"/>
        <v>0</v>
      </c>
    </row>
    <row r="96" spans="2:38" ht="5.0999999999999996" customHeight="1" outlineLevel="1" x14ac:dyDescent="0.3">
      <c r="B96" s="74"/>
      <c r="C96" s="75"/>
      <c r="D96" s="76"/>
      <c r="E96" s="77"/>
      <c r="F96" s="76"/>
      <c r="G96" s="77"/>
      <c r="H96" s="77"/>
      <c r="I96" s="76"/>
      <c r="J96" s="77"/>
      <c r="K96" s="77"/>
      <c r="L96" s="76"/>
      <c r="M96" s="77"/>
      <c r="N96" s="77"/>
      <c r="O96" s="76"/>
      <c r="P96" s="77"/>
      <c r="Q96" s="77"/>
      <c r="R96" s="76"/>
      <c r="S96" s="77"/>
      <c r="T96" s="77"/>
      <c r="U96" s="76"/>
      <c r="V96" s="77"/>
      <c r="W96" s="77"/>
      <c r="X96" s="76"/>
      <c r="Y96" s="77"/>
      <c r="Z96" s="77"/>
      <c r="AA96" s="76"/>
      <c r="AB96" s="77"/>
      <c r="AC96" s="77"/>
      <c r="AD96" s="76"/>
      <c r="AE96" s="77"/>
      <c r="AF96" s="77"/>
      <c r="AG96" s="76"/>
      <c r="AH96" s="77"/>
      <c r="AI96" s="77"/>
      <c r="AJ96" s="76"/>
      <c r="AK96" s="77"/>
      <c r="AL96" s="77"/>
    </row>
    <row r="97" spans="2:39" ht="15" customHeight="1" x14ac:dyDescent="0.3">
      <c r="B97" s="3" t="s">
        <v>105</v>
      </c>
      <c r="C97" s="3" t="s">
        <v>82</v>
      </c>
      <c r="D97" s="4">
        <f ca="1">SUBTOTAL(9,D$98:D$136)</f>
        <v>-108248.42</v>
      </c>
      <c r="E97" s="78">
        <f t="shared" ref="E97:E135" ca="1" si="112">IFERROR($D97/$D$6,0)</f>
        <v>-0.114</v>
      </c>
      <c r="F97" s="4">
        <f ca="1">SUBTOTAL(9,F$98:F$136)</f>
        <v>-103731.27</v>
      </c>
      <c r="G97" s="78">
        <f ca="1">IFERROR($F97/$F$6,0)</f>
        <v>-0.10639999999999999</v>
      </c>
      <c r="H97" s="78">
        <f t="shared" ref="H97:H135" ca="1" si="113">IFERROR(($F97-$D97)/ABS($D97),0)</f>
        <v>4.1700000000000001E-2</v>
      </c>
      <c r="I97" s="4">
        <f ca="1">SUBTOTAL(9,I$98:I$136)</f>
        <v>-109169.7</v>
      </c>
      <c r="J97" s="78">
        <f ca="1">IFERROR($I97/$I$6,0)</f>
        <v>-0.10390000000000001</v>
      </c>
      <c r="K97" s="78">
        <f ca="1">IFERROR(($I97-$F97)/ABS($F97),0)</f>
        <v>-5.2400000000000002E-2</v>
      </c>
      <c r="L97" s="4">
        <f ca="1">SUBTOTAL(9,L$98:L$136)</f>
        <v>-127784.68</v>
      </c>
      <c r="M97" s="78">
        <f ca="1">IFERROR($L97/$L$6,0)</f>
        <v>-0.11550000000000001</v>
      </c>
      <c r="N97" s="78">
        <f ca="1">IFERROR(($L97-$I97)/ABS($I97),0)</f>
        <v>-0.17050000000000001</v>
      </c>
      <c r="O97" s="4">
        <f ca="1">SUBTOTAL(9,O$98:O$136)</f>
        <v>-106123.84</v>
      </c>
      <c r="P97" s="78">
        <f ca="1">IFERROR($O97/$O$6,0)</f>
        <v>-8.7499999999999994E-2</v>
      </c>
      <c r="Q97" s="78">
        <f ca="1">IFERROR(($O97-$L97)/ABS($L97),0)</f>
        <v>0.16950000000000001</v>
      </c>
      <c r="R97" s="4">
        <f ca="1">SUBTOTAL(9,R$98:R$136)</f>
        <v>-107676.46</v>
      </c>
      <c r="S97" s="78">
        <f ca="1">IFERROR($R97/$R$6,0)</f>
        <v>-0.10680000000000001</v>
      </c>
      <c r="T97" s="78">
        <f ca="1">IFERROR(($R97-$O97)/ABS($O97),0)</f>
        <v>-1.46E-2</v>
      </c>
      <c r="U97" s="4">
        <f ca="1">SUBTOTAL(9,U$98:U$136)</f>
        <v>-105468.78</v>
      </c>
      <c r="V97" s="78">
        <f ca="1">IFERROR($U97/$U$6,0)</f>
        <v>-9.8100000000000007E-2</v>
      </c>
      <c r="W97" s="78">
        <f ca="1">IFERROR(($U97-$R97)/ABS($R97),0)</f>
        <v>2.0500000000000001E-2</v>
      </c>
      <c r="X97" s="4">
        <f ca="1">SUBTOTAL(9,X$98:X$136)</f>
        <v>-105290.1</v>
      </c>
      <c r="Y97" s="78">
        <f ca="1">IFERROR($X97/$X$6,0)</f>
        <v>-0.1011</v>
      </c>
      <c r="Z97" s="78">
        <f ca="1">IFERROR(($X97-$U97)/ABS($U97),0)</f>
        <v>1.6999999999999999E-3</v>
      </c>
      <c r="AA97" s="4">
        <f ca="1">SUBTOTAL(9,AA$98:AA$136)</f>
        <v>-116191.26</v>
      </c>
      <c r="AB97" s="78">
        <f ca="1">IFERROR($AA97/$AA$6,0)</f>
        <v>-0.1193</v>
      </c>
      <c r="AC97" s="78">
        <f ca="1">IFERROR(($AA97-$X97)/ABS($X97),0)</f>
        <v>-0.10349999999999999</v>
      </c>
      <c r="AD97" s="4">
        <f ca="1">SUBTOTAL(9,AD$98:AD$136)</f>
        <v>-117054.75</v>
      </c>
      <c r="AE97" s="78">
        <f ca="1">IFERROR($AD97/$AD$6,0)</f>
        <v>-9.4100000000000003E-2</v>
      </c>
      <c r="AF97" s="78">
        <f ca="1">IFERROR(($AD97-$AA97)/ABS($AA97),0)</f>
        <v>-7.4000000000000003E-3</v>
      </c>
      <c r="AG97" s="4">
        <f ca="1">SUBTOTAL(9,AG$98:AG$136)</f>
        <v>-109731.75</v>
      </c>
      <c r="AH97" s="78">
        <f ca="1">IFERROR($AG97/$AG$6,0)</f>
        <v>-0.1196</v>
      </c>
      <c r="AI97" s="78">
        <f ca="1">IFERROR(($AG97-$AD97)/ABS($AD97),0)</f>
        <v>6.2600000000000003E-2</v>
      </c>
      <c r="AJ97" s="4">
        <f ca="1">SUBTOTAL(9,AJ$98:AJ$136)</f>
        <v>-130830.2</v>
      </c>
      <c r="AK97" s="78">
        <f ca="1">IFERROR($AJ97/$AJ$6,0)</f>
        <v>-8.8200000000000001E-2</v>
      </c>
      <c r="AL97" s="78">
        <f ca="1">IFERROR(($AJ97-$AG97)/ABS($AG97),0)</f>
        <v>-0.1923</v>
      </c>
    </row>
    <row r="98" spans="2:39" ht="15" customHeight="1" outlineLevel="1" x14ac:dyDescent="0.3">
      <c r="B98" s="14" t="s">
        <v>455</v>
      </c>
      <c r="C98" s="14" t="s">
        <v>456</v>
      </c>
      <c r="D98" s="4">
        <f ca="1">-SUMIFS(INDIRECT("Tab_000.Trial["&amp;D$4&amp;"]"),Tab_000.Trial[CONTA],$B98)</f>
        <v>-1014</v>
      </c>
      <c r="E98" s="78">
        <f t="shared" ca="1" si="112"/>
        <v>-1.1000000000000001E-3</v>
      </c>
      <c r="F98" s="4">
        <f ca="1">-SUMIFS(INDIRECT("Tab_000.Trial["&amp;F$4&amp;"]"),Tab_000.Trial[CONTA],$B98)</f>
        <v>0</v>
      </c>
      <c r="G98" s="78">
        <f t="shared" ca="1" si="91"/>
        <v>0</v>
      </c>
      <c r="H98" s="78">
        <f t="shared" ca="1" si="113"/>
        <v>1</v>
      </c>
      <c r="I98" s="4">
        <f ca="1">-SUMIFS(INDIRECT("Tab_000.Trial["&amp;I$4&amp;"]"),Tab_000.Trial[CONTA],$B98)</f>
        <v>0</v>
      </c>
      <c r="J98" s="78">
        <f t="shared" ca="1" si="92"/>
        <v>0</v>
      </c>
      <c r="K98" s="78">
        <f t="shared" ca="1" si="93"/>
        <v>0</v>
      </c>
      <c r="L98" s="4">
        <f ca="1">-SUMIFS(INDIRECT("Tab_000.Trial["&amp;L$4&amp;"]"),Tab_000.Trial[CONTA],$B98)</f>
        <v>0</v>
      </c>
      <c r="M98" s="78">
        <f t="shared" ca="1" si="94"/>
        <v>0</v>
      </c>
      <c r="N98" s="78">
        <f t="shared" ca="1" si="95"/>
        <v>0</v>
      </c>
      <c r="O98" s="4">
        <f ca="1">-SUMIFS(INDIRECT("Tab_000.Trial["&amp;O$4&amp;"]"),Tab_000.Trial[CONTA],$B98)</f>
        <v>0</v>
      </c>
      <c r="P98" s="78">
        <f t="shared" ref="P98:P135" ca="1" si="114">IFERROR($O98/$O$6,0)</f>
        <v>0</v>
      </c>
      <c r="Q98" s="78">
        <f t="shared" ref="Q98:Q135" ca="1" si="115">IFERROR(($O98-$L98)/ABS($L98),0)</f>
        <v>0</v>
      </c>
      <c r="R98" s="4">
        <f ca="1">-SUMIFS(INDIRECT("Tab_000.Trial["&amp;R$4&amp;"]"),Tab_000.Trial[CONTA],$B98)</f>
        <v>0</v>
      </c>
      <c r="S98" s="78">
        <f t="shared" ca="1" si="98"/>
        <v>0</v>
      </c>
      <c r="T98" s="78">
        <f t="shared" ca="1" si="99"/>
        <v>0</v>
      </c>
      <c r="U98" s="4">
        <f ca="1">-SUMIFS(INDIRECT("Tab_000.Trial["&amp;U$4&amp;"]"),Tab_000.Trial[CONTA],$B98)</f>
        <v>0</v>
      </c>
      <c r="V98" s="78">
        <f t="shared" ca="1" si="100"/>
        <v>0</v>
      </c>
      <c r="W98" s="78">
        <f t="shared" ca="1" si="101"/>
        <v>0</v>
      </c>
      <c r="X98" s="4">
        <f ca="1">-SUMIFS(INDIRECT("Tab_000.Trial["&amp;X$4&amp;"]"),Tab_000.Trial[CONTA],$B98)</f>
        <v>0</v>
      </c>
      <c r="Y98" s="78">
        <f t="shared" ref="Y98:Y135" ca="1" si="116">IFERROR($X98/$X$6,0)</f>
        <v>0</v>
      </c>
      <c r="Z98" s="78">
        <f t="shared" ref="Z98:Z135" ca="1" si="117">IFERROR(($X98-$U98)/ABS($U98),0)</f>
        <v>0</v>
      </c>
      <c r="AA98" s="4">
        <f ca="1">-SUMIFS(INDIRECT("Tab_000.Trial["&amp;AA$4&amp;"]"),Tab_000.Trial[CONTA],$B98)</f>
        <v>0</v>
      </c>
      <c r="AB98" s="78">
        <f t="shared" ca="1" si="104"/>
        <v>0</v>
      </c>
      <c r="AC98" s="78">
        <f t="shared" ca="1" si="105"/>
        <v>0</v>
      </c>
      <c r="AD98" s="4">
        <f ca="1">-SUMIFS(INDIRECT("Tab_000.Trial["&amp;AD$4&amp;"]"),Tab_000.Trial[CONTA],$B98)</f>
        <v>0</v>
      </c>
      <c r="AE98" s="78">
        <f t="shared" ca="1" si="106"/>
        <v>0</v>
      </c>
      <c r="AF98" s="78">
        <f t="shared" ca="1" si="107"/>
        <v>0</v>
      </c>
      <c r="AG98" s="4">
        <f ca="1">-SUMIFS(INDIRECT("Tab_000.Trial["&amp;AG$4&amp;"]"),Tab_000.Trial[CONTA],$B98)</f>
        <v>0</v>
      </c>
      <c r="AH98" s="78">
        <f t="shared" ca="1" si="108"/>
        <v>0</v>
      </c>
      <c r="AI98" s="78">
        <f t="shared" ca="1" si="109"/>
        <v>0</v>
      </c>
      <c r="AJ98" s="4">
        <f ca="1">-SUMIFS(INDIRECT("Tab_000.Trial["&amp;AJ$4&amp;"]"),Tab_000.Trial[CONTA],$B98)</f>
        <v>-119.61</v>
      </c>
      <c r="AK98" s="78">
        <f t="shared" ca="1" si="110"/>
        <v>-1E-4</v>
      </c>
      <c r="AL98" s="78">
        <f t="shared" ca="1" si="111"/>
        <v>0</v>
      </c>
      <c r="AM98" s="142" t="s">
        <v>766</v>
      </c>
    </row>
    <row r="99" spans="2:39" ht="15" customHeight="1" outlineLevel="1" x14ac:dyDescent="0.3">
      <c r="B99" s="14" t="s">
        <v>457</v>
      </c>
      <c r="C99" s="14" t="s">
        <v>458</v>
      </c>
      <c r="D99" s="4">
        <f ca="1">-SUMIFS(INDIRECT("Tab_000.Trial["&amp;D$4&amp;"]"),Tab_000.Trial[CONTA],$B99)</f>
        <v>-190</v>
      </c>
      <c r="E99" s="78">
        <f t="shared" ca="1" si="112"/>
        <v>-2.0000000000000001E-4</v>
      </c>
      <c r="F99" s="4">
        <f ca="1">-SUMIFS(INDIRECT("Tab_000.Trial["&amp;F$4&amp;"]"),Tab_000.Trial[CONTA],$B99)</f>
        <v>-235</v>
      </c>
      <c r="G99" s="78">
        <f t="shared" ca="1" si="91"/>
        <v>-2.0000000000000001E-4</v>
      </c>
      <c r="H99" s="78">
        <f t="shared" ca="1" si="113"/>
        <v>-0.23680000000000001</v>
      </c>
      <c r="I99" s="4">
        <f ca="1">-SUMIFS(INDIRECT("Tab_000.Trial["&amp;I$4&amp;"]"),Tab_000.Trial[CONTA],$B99)</f>
        <v>-235</v>
      </c>
      <c r="J99" s="78">
        <f t="shared" ca="1" si="92"/>
        <v>-2.0000000000000001E-4</v>
      </c>
      <c r="K99" s="78">
        <f t="shared" ca="1" si="93"/>
        <v>0</v>
      </c>
      <c r="L99" s="4">
        <f ca="1">-SUMIFS(INDIRECT("Tab_000.Trial["&amp;L$4&amp;"]"),Tab_000.Trial[CONTA],$B99)</f>
        <v>-230</v>
      </c>
      <c r="M99" s="78">
        <f t="shared" ca="1" si="94"/>
        <v>-2.0000000000000001E-4</v>
      </c>
      <c r="N99" s="78">
        <f t="shared" ca="1" si="95"/>
        <v>2.1299999999999999E-2</v>
      </c>
      <c r="O99" s="4">
        <f ca="1">-SUMIFS(INDIRECT("Tab_000.Trial["&amp;O$4&amp;"]"),Tab_000.Trial[CONTA],$B99)</f>
        <v>-190</v>
      </c>
      <c r="P99" s="78">
        <f t="shared" ca="1" si="114"/>
        <v>-2.0000000000000001E-4</v>
      </c>
      <c r="Q99" s="78">
        <f t="shared" ca="1" si="115"/>
        <v>0.1739</v>
      </c>
      <c r="R99" s="4">
        <f ca="1">-SUMIFS(INDIRECT("Tab_000.Trial["&amp;R$4&amp;"]"),Tab_000.Trial[CONTA],$B99)</f>
        <v>-275</v>
      </c>
      <c r="S99" s="78">
        <f t="shared" ca="1" si="98"/>
        <v>-2.9999999999999997E-4</v>
      </c>
      <c r="T99" s="78">
        <f t="shared" ca="1" si="99"/>
        <v>-0.44740000000000002</v>
      </c>
      <c r="U99" s="4">
        <f ca="1">-SUMIFS(INDIRECT("Tab_000.Trial["&amp;U$4&amp;"]"),Tab_000.Trial[CONTA],$B99)</f>
        <v>-190</v>
      </c>
      <c r="V99" s="78">
        <f t="shared" ca="1" si="100"/>
        <v>-2.0000000000000001E-4</v>
      </c>
      <c r="W99" s="78">
        <f t="shared" ca="1" si="101"/>
        <v>0.30909999999999999</v>
      </c>
      <c r="X99" s="4">
        <f ca="1">-SUMIFS(INDIRECT("Tab_000.Trial["&amp;X$4&amp;"]"),Tab_000.Trial[CONTA],$B99)</f>
        <v>-190</v>
      </c>
      <c r="Y99" s="78">
        <f t="shared" ca="1" si="116"/>
        <v>-2.0000000000000001E-4</v>
      </c>
      <c r="Z99" s="78">
        <f t="shared" ca="1" si="117"/>
        <v>0</v>
      </c>
      <c r="AA99" s="4">
        <f ca="1">-SUMIFS(INDIRECT("Tab_000.Trial["&amp;AA$4&amp;"]"),Tab_000.Trial[CONTA],$B99)</f>
        <v>-1190</v>
      </c>
      <c r="AB99" s="78">
        <f t="shared" ca="1" si="104"/>
        <v>-1.1999999999999999E-3</v>
      </c>
      <c r="AC99" s="78">
        <f t="shared" ca="1" si="105"/>
        <v>-5.2632000000000003</v>
      </c>
      <c r="AD99" s="4">
        <f ca="1">-SUMIFS(INDIRECT("Tab_000.Trial["&amp;AD$4&amp;"]"),Tab_000.Trial[CONTA],$B99)</f>
        <v>-280</v>
      </c>
      <c r="AE99" s="78">
        <f t="shared" ca="1" si="106"/>
        <v>-2.0000000000000001E-4</v>
      </c>
      <c r="AF99" s="78">
        <f t="shared" ca="1" si="107"/>
        <v>0.76470000000000005</v>
      </c>
      <c r="AG99" s="4">
        <f ca="1">-SUMIFS(INDIRECT("Tab_000.Trial["&amp;AG$4&amp;"]"),Tab_000.Trial[CONTA],$B99)</f>
        <v>-190</v>
      </c>
      <c r="AH99" s="78">
        <f t="shared" ca="1" si="108"/>
        <v>-2.0000000000000001E-4</v>
      </c>
      <c r="AI99" s="78">
        <f t="shared" ca="1" si="109"/>
        <v>0.32140000000000002</v>
      </c>
      <c r="AJ99" s="4">
        <f ca="1">-SUMIFS(INDIRECT("Tab_000.Trial["&amp;AJ$4&amp;"]"),Tab_000.Trial[CONTA],$B99)</f>
        <v>-230</v>
      </c>
      <c r="AK99" s="78">
        <f t="shared" ca="1" si="110"/>
        <v>-2.0000000000000001E-4</v>
      </c>
      <c r="AL99" s="78">
        <f t="shared" ca="1" si="111"/>
        <v>-0.21049999999999999</v>
      </c>
      <c r="AM99" s="142" t="s">
        <v>766</v>
      </c>
    </row>
    <row r="100" spans="2:39" ht="15" customHeight="1" outlineLevel="1" x14ac:dyDescent="0.3">
      <c r="B100" s="14" t="s">
        <v>473</v>
      </c>
      <c r="C100" s="14" t="s">
        <v>474</v>
      </c>
      <c r="D100" s="4">
        <f ca="1">-SUMIFS(INDIRECT("Tab_000.Trial["&amp;D$4&amp;"]"),Tab_000.Trial[CONTA],$B100)</f>
        <v>-4500</v>
      </c>
      <c r="E100" s="78">
        <f t="shared" ca="1" si="112"/>
        <v>-4.7000000000000002E-3</v>
      </c>
      <c r="F100" s="4">
        <f ca="1">-SUMIFS(INDIRECT("Tab_000.Trial["&amp;F$4&amp;"]"),Tab_000.Trial[CONTA],$B100)</f>
        <v>-4500</v>
      </c>
      <c r="G100" s="78">
        <f t="shared" ca="1" si="91"/>
        <v>-4.5999999999999999E-3</v>
      </c>
      <c r="H100" s="78">
        <f t="shared" ca="1" si="113"/>
        <v>0</v>
      </c>
      <c r="I100" s="4">
        <f ca="1">-SUMIFS(INDIRECT("Tab_000.Trial["&amp;I$4&amp;"]"),Tab_000.Trial[CONTA],$B100)</f>
        <v>-4500</v>
      </c>
      <c r="J100" s="78">
        <f t="shared" ca="1" si="92"/>
        <v>-4.3E-3</v>
      </c>
      <c r="K100" s="78">
        <f t="shared" ca="1" si="93"/>
        <v>0</v>
      </c>
      <c r="L100" s="4">
        <f ca="1">-SUMIFS(INDIRECT("Tab_000.Trial["&amp;L$4&amp;"]"),Tab_000.Trial[CONTA],$B100)</f>
        <v>-4500</v>
      </c>
      <c r="M100" s="78">
        <f t="shared" ca="1" si="94"/>
        <v>-4.1000000000000003E-3</v>
      </c>
      <c r="N100" s="78">
        <f t="shared" ca="1" si="95"/>
        <v>0</v>
      </c>
      <c r="O100" s="4">
        <f ca="1">-SUMIFS(INDIRECT("Tab_000.Trial["&amp;O$4&amp;"]"),Tab_000.Trial[CONTA],$B100)</f>
        <v>-4500</v>
      </c>
      <c r="P100" s="78">
        <f t="shared" ca="1" si="114"/>
        <v>-3.7000000000000002E-3</v>
      </c>
      <c r="Q100" s="78">
        <f t="shared" ca="1" si="115"/>
        <v>0</v>
      </c>
      <c r="R100" s="4">
        <f ca="1">-SUMIFS(INDIRECT("Tab_000.Trial["&amp;R$4&amp;"]"),Tab_000.Trial[CONTA],$B100)</f>
        <v>-4500</v>
      </c>
      <c r="S100" s="78">
        <f t="shared" ca="1" si="98"/>
        <v>-4.4999999999999997E-3</v>
      </c>
      <c r="T100" s="78">
        <f t="shared" ca="1" si="99"/>
        <v>0</v>
      </c>
      <c r="U100" s="4">
        <f ca="1">-SUMIFS(INDIRECT("Tab_000.Trial["&amp;U$4&amp;"]"),Tab_000.Trial[CONTA],$B100)</f>
        <v>-4500</v>
      </c>
      <c r="V100" s="78">
        <f t="shared" ca="1" si="100"/>
        <v>-4.1999999999999997E-3</v>
      </c>
      <c r="W100" s="78">
        <f t="shared" ca="1" si="101"/>
        <v>0</v>
      </c>
      <c r="X100" s="4">
        <f ca="1">-SUMIFS(INDIRECT("Tab_000.Trial["&amp;X$4&amp;"]"),Tab_000.Trial[CONTA],$B100)</f>
        <v>-4500</v>
      </c>
      <c r="Y100" s="78">
        <f t="shared" ca="1" si="116"/>
        <v>-4.3E-3</v>
      </c>
      <c r="Z100" s="78">
        <f t="shared" ca="1" si="117"/>
        <v>0</v>
      </c>
      <c r="AA100" s="4">
        <f ca="1">-SUMIFS(INDIRECT("Tab_000.Trial["&amp;AA$4&amp;"]"),Tab_000.Trial[CONTA],$B100)</f>
        <v>-4500</v>
      </c>
      <c r="AB100" s="78">
        <f t="shared" ca="1" si="104"/>
        <v>-4.5999999999999999E-3</v>
      </c>
      <c r="AC100" s="78">
        <f t="shared" ca="1" si="105"/>
        <v>0</v>
      </c>
      <c r="AD100" s="4">
        <f ca="1">-SUMIFS(INDIRECT("Tab_000.Trial["&amp;AD$4&amp;"]"),Tab_000.Trial[CONTA],$B100)</f>
        <v>-4500</v>
      </c>
      <c r="AE100" s="78">
        <f t="shared" ca="1" si="106"/>
        <v>-3.5999999999999999E-3</v>
      </c>
      <c r="AF100" s="78">
        <f t="shared" ca="1" si="107"/>
        <v>0</v>
      </c>
      <c r="AG100" s="4">
        <f ca="1">-SUMIFS(INDIRECT("Tab_000.Trial["&amp;AG$4&amp;"]"),Tab_000.Trial[CONTA],$B100)</f>
        <v>-4500</v>
      </c>
      <c r="AH100" s="78">
        <f t="shared" ca="1" si="108"/>
        <v>-4.8999999999999998E-3</v>
      </c>
      <c r="AI100" s="78">
        <f t="shared" ca="1" si="109"/>
        <v>0</v>
      </c>
      <c r="AJ100" s="4">
        <f ca="1">-SUMIFS(INDIRECT("Tab_000.Trial["&amp;AJ$4&amp;"]"),Tab_000.Trial[CONTA],$B100)</f>
        <v>-4500</v>
      </c>
      <c r="AK100" s="78">
        <f t="shared" ca="1" si="110"/>
        <v>-3.0000000000000001E-3</v>
      </c>
      <c r="AL100" s="78">
        <f t="shared" ca="1" si="111"/>
        <v>0</v>
      </c>
      <c r="AM100" s="142" t="s">
        <v>766</v>
      </c>
    </row>
    <row r="101" spans="2:39" ht="15" customHeight="1" outlineLevel="1" x14ac:dyDescent="0.3">
      <c r="B101" s="14" t="s">
        <v>475</v>
      </c>
      <c r="C101" s="14" t="s">
        <v>476</v>
      </c>
      <c r="D101" s="4">
        <f ca="1">-SUMIFS(INDIRECT("Tab_000.Trial["&amp;D$4&amp;"]"),Tab_000.Trial[CONTA],$B101)</f>
        <v>0</v>
      </c>
      <c r="E101" s="78">
        <f t="shared" ca="1" si="112"/>
        <v>0</v>
      </c>
      <c r="F101" s="4">
        <f ca="1">-SUMIFS(INDIRECT("Tab_000.Trial["&amp;F$4&amp;"]"),Tab_000.Trial[CONTA],$B101)</f>
        <v>0</v>
      </c>
      <c r="G101" s="78">
        <f t="shared" ca="1" si="91"/>
        <v>0</v>
      </c>
      <c r="H101" s="78">
        <f t="shared" ca="1" si="113"/>
        <v>0</v>
      </c>
      <c r="I101" s="4">
        <f ca="1">-SUMIFS(INDIRECT("Tab_000.Trial["&amp;I$4&amp;"]"),Tab_000.Trial[CONTA],$B101)</f>
        <v>0</v>
      </c>
      <c r="J101" s="78">
        <f t="shared" ca="1" si="92"/>
        <v>0</v>
      </c>
      <c r="K101" s="78">
        <f t="shared" ca="1" si="93"/>
        <v>0</v>
      </c>
      <c r="L101" s="4">
        <f ca="1">-SUMIFS(INDIRECT("Tab_000.Trial["&amp;L$4&amp;"]"),Tab_000.Trial[CONTA],$B101)</f>
        <v>0</v>
      </c>
      <c r="M101" s="78">
        <f t="shared" ca="1" si="94"/>
        <v>0</v>
      </c>
      <c r="N101" s="78">
        <f t="shared" ca="1" si="95"/>
        <v>0</v>
      </c>
      <c r="O101" s="4">
        <f ca="1">-SUMIFS(INDIRECT("Tab_000.Trial["&amp;O$4&amp;"]"),Tab_000.Trial[CONTA],$B101)</f>
        <v>0</v>
      </c>
      <c r="P101" s="78">
        <f t="shared" ca="1" si="114"/>
        <v>0</v>
      </c>
      <c r="Q101" s="78">
        <f t="shared" ca="1" si="115"/>
        <v>0</v>
      </c>
      <c r="R101" s="4">
        <f ca="1">-SUMIFS(INDIRECT("Tab_000.Trial["&amp;R$4&amp;"]"),Tab_000.Trial[CONTA],$B101)</f>
        <v>0</v>
      </c>
      <c r="S101" s="78">
        <f t="shared" ca="1" si="98"/>
        <v>0</v>
      </c>
      <c r="T101" s="78">
        <f t="shared" ca="1" si="99"/>
        <v>0</v>
      </c>
      <c r="U101" s="4">
        <f ca="1">-SUMIFS(INDIRECT("Tab_000.Trial["&amp;U$4&amp;"]"),Tab_000.Trial[CONTA],$B101)</f>
        <v>0</v>
      </c>
      <c r="V101" s="78">
        <f t="shared" ca="1" si="100"/>
        <v>0</v>
      </c>
      <c r="W101" s="78">
        <f t="shared" ca="1" si="101"/>
        <v>0</v>
      </c>
      <c r="X101" s="4">
        <f ca="1">-SUMIFS(INDIRECT("Tab_000.Trial["&amp;X$4&amp;"]"),Tab_000.Trial[CONTA],$B101)</f>
        <v>0</v>
      </c>
      <c r="Y101" s="78">
        <f t="shared" ca="1" si="116"/>
        <v>0</v>
      </c>
      <c r="Z101" s="78">
        <f t="shared" ca="1" si="117"/>
        <v>0</v>
      </c>
      <c r="AA101" s="4">
        <f ca="1">-SUMIFS(INDIRECT("Tab_000.Trial["&amp;AA$4&amp;"]"),Tab_000.Trial[CONTA],$B101)</f>
        <v>0</v>
      </c>
      <c r="AB101" s="78">
        <f t="shared" ca="1" si="104"/>
        <v>0</v>
      </c>
      <c r="AC101" s="78">
        <f t="shared" ca="1" si="105"/>
        <v>0</v>
      </c>
      <c r="AD101" s="4">
        <f ca="1">-SUMIFS(INDIRECT("Tab_000.Trial["&amp;AD$4&amp;"]"),Tab_000.Trial[CONTA],$B101)</f>
        <v>0</v>
      </c>
      <c r="AE101" s="78">
        <f t="shared" ca="1" si="106"/>
        <v>0</v>
      </c>
      <c r="AF101" s="78">
        <f t="shared" ca="1" si="107"/>
        <v>0</v>
      </c>
      <c r="AG101" s="4">
        <f ca="1">-SUMIFS(INDIRECT("Tab_000.Trial["&amp;AG$4&amp;"]"),Tab_000.Trial[CONTA],$B101)</f>
        <v>0</v>
      </c>
      <c r="AH101" s="78">
        <f t="shared" ca="1" si="108"/>
        <v>0</v>
      </c>
      <c r="AI101" s="78">
        <f t="shared" ca="1" si="109"/>
        <v>0</v>
      </c>
      <c r="AJ101" s="4">
        <f ca="1">-SUMIFS(INDIRECT("Tab_000.Trial["&amp;AJ$4&amp;"]"),Tab_000.Trial[CONTA],$B101)</f>
        <v>0</v>
      </c>
      <c r="AK101" s="78">
        <f t="shared" ca="1" si="110"/>
        <v>0</v>
      </c>
      <c r="AL101" s="78">
        <f t="shared" ca="1" si="111"/>
        <v>0</v>
      </c>
      <c r="AM101" s="142" t="s">
        <v>766</v>
      </c>
    </row>
    <row r="102" spans="2:39" ht="15" customHeight="1" outlineLevel="1" x14ac:dyDescent="0.3">
      <c r="B102" s="14" t="s">
        <v>477</v>
      </c>
      <c r="C102" s="14" t="s">
        <v>478</v>
      </c>
      <c r="D102" s="4">
        <f ca="1">-SUMIFS(INDIRECT("Tab_000.Trial["&amp;D$4&amp;"]"),Tab_000.Trial[CONTA],$B102)</f>
        <v>0</v>
      </c>
      <c r="E102" s="78">
        <f t="shared" ca="1" si="112"/>
        <v>0</v>
      </c>
      <c r="F102" s="4">
        <f ca="1">-SUMIFS(INDIRECT("Tab_000.Trial["&amp;F$4&amp;"]"),Tab_000.Trial[CONTA],$B102)</f>
        <v>0</v>
      </c>
      <c r="G102" s="78">
        <f t="shared" ca="1" si="91"/>
        <v>0</v>
      </c>
      <c r="H102" s="78">
        <f t="shared" ca="1" si="113"/>
        <v>0</v>
      </c>
      <c r="I102" s="4">
        <f ca="1">-SUMIFS(INDIRECT("Tab_000.Trial["&amp;I$4&amp;"]"),Tab_000.Trial[CONTA],$B102)</f>
        <v>0</v>
      </c>
      <c r="J102" s="78">
        <f t="shared" ca="1" si="92"/>
        <v>0</v>
      </c>
      <c r="K102" s="78">
        <f t="shared" ca="1" si="93"/>
        <v>0</v>
      </c>
      <c r="L102" s="4">
        <f ca="1">-SUMIFS(INDIRECT("Tab_000.Trial["&amp;L$4&amp;"]"),Tab_000.Trial[CONTA],$B102)</f>
        <v>0</v>
      </c>
      <c r="M102" s="78">
        <f t="shared" ca="1" si="94"/>
        <v>0</v>
      </c>
      <c r="N102" s="78">
        <f t="shared" ca="1" si="95"/>
        <v>0</v>
      </c>
      <c r="O102" s="4">
        <f ca="1">-SUMIFS(INDIRECT("Tab_000.Trial["&amp;O$4&amp;"]"),Tab_000.Trial[CONTA],$B102)</f>
        <v>0</v>
      </c>
      <c r="P102" s="78">
        <f t="shared" ca="1" si="114"/>
        <v>0</v>
      </c>
      <c r="Q102" s="78">
        <f t="shared" ca="1" si="115"/>
        <v>0</v>
      </c>
      <c r="R102" s="4">
        <f ca="1">-SUMIFS(INDIRECT("Tab_000.Trial["&amp;R$4&amp;"]"),Tab_000.Trial[CONTA],$B102)</f>
        <v>0</v>
      </c>
      <c r="S102" s="78">
        <f t="shared" ca="1" si="98"/>
        <v>0</v>
      </c>
      <c r="T102" s="78">
        <f t="shared" ca="1" si="99"/>
        <v>0</v>
      </c>
      <c r="U102" s="4">
        <f ca="1">-SUMIFS(INDIRECT("Tab_000.Trial["&amp;U$4&amp;"]"),Tab_000.Trial[CONTA],$B102)</f>
        <v>0</v>
      </c>
      <c r="V102" s="78">
        <f t="shared" ca="1" si="100"/>
        <v>0</v>
      </c>
      <c r="W102" s="78">
        <f t="shared" ca="1" si="101"/>
        <v>0</v>
      </c>
      <c r="X102" s="4">
        <f ca="1">-SUMIFS(INDIRECT("Tab_000.Trial["&amp;X$4&amp;"]"),Tab_000.Trial[CONTA],$B102)</f>
        <v>0</v>
      </c>
      <c r="Y102" s="78">
        <f t="shared" ca="1" si="116"/>
        <v>0</v>
      </c>
      <c r="Z102" s="78">
        <f t="shared" ca="1" si="117"/>
        <v>0</v>
      </c>
      <c r="AA102" s="4">
        <f ca="1">-SUMIFS(INDIRECT("Tab_000.Trial["&amp;AA$4&amp;"]"),Tab_000.Trial[CONTA],$B102)</f>
        <v>0</v>
      </c>
      <c r="AB102" s="78">
        <f t="shared" ca="1" si="104"/>
        <v>0</v>
      </c>
      <c r="AC102" s="78">
        <f t="shared" ca="1" si="105"/>
        <v>0</v>
      </c>
      <c r="AD102" s="4">
        <f ca="1">-SUMIFS(INDIRECT("Tab_000.Trial["&amp;AD$4&amp;"]"),Tab_000.Trial[CONTA],$B102)</f>
        <v>0</v>
      </c>
      <c r="AE102" s="78">
        <f t="shared" ca="1" si="106"/>
        <v>0</v>
      </c>
      <c r="AF102" s="78">
        <f t="shared" ca="1" si="107"/>
        <v>0</v>
      </c>
      <c r="AG102" s="4">
        <f ca="1">-SUMIFS(INDIRECT("Tab_000.Trial["&amp;AG$4&amp;"]"),Tab_000.Trial[CONTA],$B102)</f>
        <v>0</v>
      </c>
      <c r="AH102" s="78">
        <f t="shared" ca="1" si="108"/>
        <v>0</v>
      </c>
      <c r="AI102" s="78">
        <f t="shared" ca="1" si="109"/>
        <v>0</v>
      </c>
      <c r="AJ102" s="4">
        <f ca="1">-SUMIFS(INDIRECT("Tab_000.Trial["&amp;AJ$4&amp;"]"),Tab_000.Trial[CONTA],$B102)</f>
        <v>0</v>
      </c>
      <c r="AK102" s="78">
        <f t="shared" ca="1" si="110"/>
        <v>0</v>
      </c>
      <c r="AL102" s="78">
        <f t="shared" ca="1" si="111"/>
        <v>0</v>
      </c>
      <c r="AM102" s="142" t="s">
        <v>766</v>
      </c>
    </row>
    <row r="103" spans="2:39" s="177" customFormat="1" ht="15" customHeight="1" outlineLevel="1" x14ac:dyDescent="0.3">
      <c r="B103" s="14" t="s">
        <v>480</v>
      </c>
      <c r="C103" s="14" t="s">
        <v>481</v>
      </c>
      <c r="D103" s="4">
        <f ca="1">-SUMIFS(INDIRECT("Tab_000.Trial["&amp;D$4&amp;"]"),Tab_000.Trial[CONTA],$B103)</f>
        <v>-57486</v>
      </c>
      <c r="E103" s="78">
        <f t="shared" ca="1" si="112"/>
        <v>-6.0499999999999998E-2</v>
      </c>
      <c r="F103" s="4">
        <f ca="1">-SUMIFS(INDIRECT("Tab_000.Trial["&amp;F$4&amp;"]"),Tab_000.Trial[CONTA],$B103)</f>
        <v>-57486</v>
      </c>
      <c r="G103" s="78">
        <f t="shared" ca="1" si="91"/>
        <v>-5.8900000000000001E-2</v>
      </c>
      <c r="H103" s="78">
        <f t="shared" ca="1" si="113"/>
        <v>0</v>
      </c>
      <c r="I103" s="4">
        <f ca="1">-SUMIFS(INDIRECT("Tab_000.Trial["&amp;I$4&amp;"]"),Tab_000.Trial[CONTA],$B103)</f>
        <v>-57486</v>
      </c>
      <c r="J103" s="78">
        <f t="shared" ca="1" si="92"/>
        <v>-5.4699999999999999E-2</v>
      </c>
      <c r="K103" s="78">
        <f t="shared" ca="1" si="93"/>
        <v>0</v>
      </c>
      <c r="L103" s="4">
        <f ca="1">-SUMIFS(INDIRECT("Tab_000.Trial["&amp;L$4&amp;"]"),Tab_000.Trial[CONTA],$B103)</f>
        <v>-57486</v>
      </c>
      <c r="M103" s="78">
        <f t="shared" ca="1" si="94"/>
        <v>-5.1900000000000002E-2</v>
      </c>
      <c r="N103" s="78">
        <f t="shared" ca="1" si="95"/>
        <v>0</v>
      </c>
      <c r="O103" s="4">
        <f ca="1">-SUMIFS(INDIRECT("Tab_000.Trial["&amp;O$4&amp;"]"),Tab_000.Trial[CONTA],$B103)</f>
        <v>-57486</v>
      </c>
      <c r="P103" s="78">
        <f t="shared" ca="1" si="114"/>
        <v>-4.7399999999999998E-2</v>
      </c>
      <c r="Q103" s="78">
        <f t="shared" ca="1" si="115"/>
        <v>0</v>
      </c>
      <c r="R103" s="4">
        <f ca="1">-SUMIFS(INDIRECT("Tab_000.Trial["&amp;R$4&amp;"]"),Tab_000.Trial[CONTA],$B103)</f>
        <v>-57486</v>
      </c>
      <c r="S103" s="78">
        <f t="shared" ca="1" si="98"/>
        <v>-5.7000000000000002E-2</v>
      </c>
      <c r="T103" s="78">
        <f t="shared" ca="1" si="99"/>
        <v>0</v>
      </c>
      <c r="U103" s="4">
        <f ca="1">-SUMIFS(INDIRECT("Tab_000.Trial["&amp;U$4&amp;"]"),Tab_000.Trial[CONTA],$B103)</f>
        <v>-57486</v>
      </c>
      <c r="V103" s="78">
        <f t="shared" ca="1" si="100"/>
        <v>-5.3499999999999999E-2</v>
      </c>
      <c r="W103" s="78">
        <f t="shared" ca="1" si="101"/>
        <v>0</v>
      </c>
      <c r="X103" s="4">
        <f ca="1">-SUMIFS(INDIRECT("Tab_000.Trial["&amp;X$4&amp;"]"),Tab_000.Trial[CONTA],$B103)</f>
        <v>-57486</v>
      </c>
      <c r="Y103" s="78">
        <f t="shared" ca="1" si="116"/>
        <v>-5.5199999999999999E-2</v>
      </c>
      <c r="Z103" s="78">
        <f t="shared" ca="1" si="117"/>
        <v>0</v>
      </c>
      <c r="AA103" s="4">
        <f ca="1">-SUMIFS(INDIRECT("Tab_000.Trial["&amp;AA$4&amp;"]"),Tab_000.Trial[CONTA],$B103)</f>
        <v>-57486</v>
      </c>
      <c r="AB103" s="78">
        <f t="shared" ca="1" si="104"/>
        <v>-5.8999999999999997E-2</v>
      </c>
      <c r="AC103" s="78">
        <f t="shared" ca="1" si="105"/>
        <v>0</v>
      </c>
      <c r="AD103" s="4">
        <f ca="1">-SUMIFS(INDIRECT("Tab_000.Trial["&amp;AD$4&amp;"]"),Tab_000.Trial[CONTA],$B103)</f>
        <v>-57486</v>
      </c>
      <c r="AE103" s="78">
        <f t="shared" ca="1" si="106"/>
        <v>-4.6199999999999998E-2</v>
      </c>
      <c r="AF103" s="78">
        <f t="shared" ca="1" si="107"/>
        <v>0</v>
      </c>
      <c r="AG103" s="4">
        <f ca="1">-SUMIFS(INDIRECT("Tab_000.Trial["&amp;AG$4&amp;"]"),Tab_000.Trial[CONTA],$B103)</f>
        <v>-57486</v>
      </c>
      <c r="AH103" s="78">
        <f t="shared" ca="1" si="108"/>
        <v>-6.2600000000000003E-2</v>
      </c>
      <c r="AI103" s="78">
        <f t="shared" ca="1" si="109"/>
        <v>0</v>
      </c>
      <c r="AJ103" s="4">
        <f ca="1">-SUMIFS(INDIRECT("Tab_000.Trial["&amp;AJ$4&amp;"]"),Tab_000.Trial[CONTA],$B103)</f>
        <v>-57486</v>
      </c>
      <c r="AK103" s="78">
        <f t="shared" ca="1" si="110"/>
        <v>-3.8699999999999998E-2</v>
      </c>
      <c r="AL103" s="78">
        <f t="shared" ca="1" si="111"/>
        <v>0</v>
      </c>
      <c r="AM103" s="142" t="s">
        <v>766</v>
      </c>
    </row>
    <row r="104" spans="2:39" ht="15" customHeight="1" outlineLevel="1" x14ac:dyDescent="0.3">
      <c r="B104" s="14" t="s">
        <v>482</v>
      </c>
      <c r="C104" s="14" t="s">
        <v>483</v>
      </c>
      <c r="D104" s="4">
        <f ca="1">-SUMIFS(INDIRECT("Tab_000.Trial["&amp;D$4&amp;"]"),Tab_000.Trial[CONTA],$B104)</f>
        <v>-236.9</v>
      </c>
      <c r="E104" s="78">
        <f t="shared" ca="1" si="112"/>
        <v>-2.0000000000000001E-4</v>
      </c>
      <c r="F104" s="4">
        <f ca="1">-SUMIFS(INDIRECT("Tab_000.Trial["&amp;F$4&amp;"]"),Tab_000.Trial[CONTA],$B104)</f>
        <v>-1061.57</v>
      </c>
      <c r="G104" s="78">
        <f t="shared" ca="1" si="91"/>
        <v>-1.1000000000000001E-3</v>
      </c>
      <c r="H104" s="78">
        <f t="shared" ca="1" si="113"/>
        <v>-3.4811000000000001</v>
      </c>
      <c r="I104" s="4">
        <f ca="1">-SUMIFS(INDIRECT("Tab_000.Trial["&amp;I$4&amp;"]"),Tab_000.Trial[CONTA],$B104)</f>
        <v>-937.8</v>
      </c>
      <c r="J104" s="78">
        <f t="shared" ca="1" si="92"/>
        <v>-8.9999999999999998E-4</v>
      </c>
      <c r="K104" s="78">
        <f t="shared" ca="1" si="93"/>
        <v>0.1166</v>
      </c>
      <c r="L104" s="4">
        <f ca="1">-SUMIFS(INDIRECT("Tab_000.Trial["&amp;L$4&amp;"]"),Tab_000.Trial[CONTA],$B104)</f>
        <v>-738.03</v>
      </c>
      <c r="M104" s="78">
        <f t="shared" ca="1" si="94"/>
        <v>-6.9999999999999999E-4</v>
      </c>
      <c r="N104" s="78">
        <f t="shared" ca="1" si="95"/>
        <v>0.21299999999999999</v>
      </c>
      <c r="O104" s="4">
        <f ca="1">-SUMIFS(INDIRECT("Tab_000.Trial["&amp;O$4&amp;"]"),Tab_000.Trial[CONTA],$B104)</f>
        <v>-463.94</v>
      </c>
      <c r="P104" s="78">
        <f t="shared" ca="1" si="114"/>
        <v>-4.0000000000000002E-4</v>
      </c>
      <c r="Q104" s="78">
        <f t="shared" ca="1" si="115"/>
        <v>0.37140000000000001</v>
      </c>
      <c r="R104" s="4">
        <f ca="1">-SUMIFS(INDIRECT("Tab_000.Trial["&amp;R$4&amp;"]"),Tab_000.Trial[CONTA],$B104)</f>
        <v>-700.75</v>
      </c>
      <c r="S104" s="78">
        <f t="shared" ca="1" si="98"/>
        <v>-6.9999999999999999E-4</v>
      </c>
      <c r="T104" s="78">
        <f t="shared" ca="1" si="99"/>
        <v>-0.51039999999999996</v>
      </c>
      <c r="U104" s="4">
        <f ca="1">-SUMIFS(INDIRECT("Tab_000.Trial["&amp;U$4&amp;"]"),Tab_000.Trial[CONTA],$B104)</f>
        <v>-866.32</v>
      </c>
      <c r="V104" s="78">
        <f t="shared" ca="1" si="100"/>
        <v>-8.0000000000000004E-4</v>
      </c>
      <c r="W104" s="78">
        <f t="shared" ca="1" si="101"/>
        <v>-0.23630000000000001</v>
      </c>
      <c r="X104" s="4">
        <f ca="1">-SUMIFS(INDIRECT("Tab_000.Trial["&amp;X$4&amp;"]"),Tab_000.Trial[CONTA],$B104)</f>
        <v>-115.2</v>
      </c>
      <c r="Y104" s="78">
        <f t="shared" ca="1" si="116"/>
        <v>-1E-4</v>
      </c>
      <c r="Z104" s="78">
        <f t="shared" ca="1" si="117"/>
        <v>0.86699999999999999</v>
      </c>
      <c r="AA104" s="4">
        <f ca="1">-SUMIFS(INDIRECT("Tab_000.Trial["&amp;AA$4&amp;"]"),Tab_000.Trial[CONTA],$B104)</f>
        <v>-316.10000000000002</v>
      </c>
      <c r="AB104" s="78">
        <f t="shared" ca="1" si="104"/>
        <v>-2.9999999999999997E-4</v>
      </c>
      <c r="AC104" s="78">
        <f t="shared" ca="1" si="105"/>
        <v>-1.7439</v>
      </c>
      <c r="AD104" s="4">
        <f ca="1">-SUMIFS(INDIRECT("Tab_000.Trial["&amp;AD$4&amp;"]"),Tab_000.Trial[CONTA],$B104)</f>
        <v>-456</v>
      </c>
      <c r="AE104" s="78">
        <f t="shared" ca="1" si="106"/>
        <v>-4.0000000000000002E-4</v>
      </c>
      <c r="AF104" s="78">
        <f t="shared" ca="1" si="107"/>
        <v>-0.44259999999999999</v>
      </c>
      <c r="AG104" s="4">
        <f ca="1">-SUMIFS(INDIRECT("Tab_000.Trial["&amp;AG$4&amp;"]"),Tab_000.Trial[CONTA],$B104)</f>
        <v>-1743.62</v>
      </c>
      <c r="AH104" s="78">
        <f t="shared" ca="1" si="108"/>
        <v>-1.9E-3</v>
      </c>
      <c r="AI104" s="78">
        <f t="shared" ca="1" si="109"/>
        <v>-2.8237000000000001</v>
      </c>
      <c r="AJ104" s="4">
        <f ca="1">-SUMIFS(INDIRECT("Tab_000.Trial["&amp;AJ$4&amp;"]"),Tab_000.Trial[CONTA],$B104)</f>
        <v>-168</v>
      </c>
      <c r="AK104" s="78">
        <f t="shared" ca="1" si="110"/>
        <v>-1E-4</v>
      </c>
      <c r="AL104" s="78">
        <f t="shared" ca="1" si="111"/>
        <v>0.90359999999999996</v>
      </c>
      <c r="AM104" s="142" t="s">
        <v>766</v>
      </c>
    </row>
    <row r="105" spans="2:39" ht="15" customHeight="1" outlineLevel="1" x14ac:dyDescent="0.3">
      <c r="B105" s="14" t="s">
        <v>484</v>
      </c>
      <c r="C105" s="14" t="s">
        <v>485</v>
      </c>
      <c r="D105" s="4">
        <f ca="1">-SUMIFS(INDIRECT("Tab_000.Trial["&amp;D$4&amp;"]"),Tab_000.Trial[CONTA],$B105)</f>
        <v>-1202.05</v>
      </c>
      <c r="E105" s="78">
        <f t="shared" ca="1" si="112"/>
        <v>-1.2999999999999999E-3</v>
      </c>
      <c r="F105" s="4">
        <f ca="1">-SUMIFS(INDIRECT("Tab_000.Trial["&amp;F$4&amp;"]"),Tab_000.Trial[CONTA],$B105)</f>
        <v>0</v>
      </c>
      <c r="G105" s="78">
        <f t="shared" ca="1" si="91"/>
        <v>0</v>
      </c>
      <c r="H105" s="78">
        <f t="shared" ca="1" si="113"/>
        <v>1</v>
      </c>
      <c r="I105" s="4">
        <f ca="1">-SUMIFS(INDIRECT("Tab_000.Trial["&amp;I$4&amp;"]"),Tab_000.Trial[CONTA],$B105)</f>
        <v>-1453.43</v>
      </c>
      <c r="J105" s="78">
        <f t="shared" ca="1" si="92"/>
        <v>-1.4E-3</v>
      </c>
      <c r="K105" s="78">
        <f t="shared" ca="1" si="93"/>
        <v>0</v>
      </c>
      <c r="L105" s="4">
        <f ca="1">-SUMIFS(INDIRECT("Tab_000.Trial["&amp;L$4&amp;"]"),Tab_000.Trial[CONTA],$B105)</f>
        <v>-780</v>
      </c>
      <c r="M105" s="78">
        <f t="shared" ca="1" si="94"/>
        <v>-6.9999999999999999E-4</v>
      </c>
      <c r="N105" s="78">
        <f t="shared" ca="1" si="95"/>
        <v>0.46329999999999999</v>
      </c>
      <c r="O105" s="4">
        <f ca="1">-SUMIFS(INDIRECT("Tab_000.Trial["&amp;O$4&amp;"]"),Tab_000.Trial[CONTA],$B105)</f>
        <v>-53.56</v>
      </c>
      <c r="P105" s="78">
        <f t="shared" ca="1" si="114"/>
        <v>0</v>
      </c>
      <c r="Q105" s="78">
        <f t="shared" ca="1" si="115"/>
        <v>0.93130000000000002</v>
      </c>
      <c r="R105" s="4">
        <f ca="1">-SUMIFS(INDIRECT("Tab_000.Trial["&amp;R$4&amp;"]"),Tab_000.Trial[CONTA],$B105)</f>
        <v>-864.36</v>
      </c>
      <c r="S105" s="78">
        <f t="shared" ca="1" si="98"/>
        <v>-8.9999999999999998E-4</v>
      </c>
      <c r="T105" s="78">
        <f t="shared" ca="1" si="99"/>
        <v>-15.138199999999999</v>
      </c>
      <c r="U105" s="4">
        <f ca="1">-SUMIFS(INDIRECT("Tab_000.Trial["&amp;U$4&amp;"]"),Tab_000.Trial[CONTA],$B105)</f>
        <v>-946.94</v>
      </c>
      <c r="V105" s="78">
        <f t="shared" ca="1" si="100"/>
        <v>-8.9999999999999998E-4</v>
      </c>
      <c r="W105" s="78">
        <f t="shared" ca="1" si="101"/>
        <v>-9.5500000000000002E-2</v>
      </c>
      <c r="X105" s="4">
        <f ca="1">-SUMIFS(INDIRECT("Tab_000.Trial["&amp;X$4&amp;"]"),Tab_000.Trial[CONTA],$B105)</f>
        <v>-1288.23</v>
      </c>
      <c r="Y105" s="78">
        <f t="shared" ca="1" si="116"/>
        <v>-1.1999999999999999E-3</v>
      </c>
      <c r="Z105" s="78">
        <f t="shared" ca="1" si="117"/>
        <v>-0.3604</v>
      </c>
      <c r="AA105" s="4">
        <f ca="1">-SUMIFS(INDIRECT("Tab_000.Trial["&amp;AA$4&amp;"]"),Tab_000.Trial[CONTA],$B105)</f>
        <v>-543.71</v>
      </c>
      <c r="AB105" s="78">
        <f t="shared" ca="1" si="104"/>
        <v>-5.9999999999999995E-4</v>
      </c>
      <c r="AC105" s="78">
        <f t="shared" ca="1" si="105"/>
        <v>0.57789999999999997</v>
      </c>
      <c r="AD105" s="4">
        <f ca="1">-SUMIFS(INDIRECT("Tab_000.Trial["&amp;AD$4&amp;"]"),Tab_000.Trial[CONTA],$B105)</f>
        <v>-844.33</v>
      </c>
      <c r="AE105" s="78">
        <f t="shared" ca="1" si="106"/>
        <v>-6.9999999999999999E-4</v>
      </c>
      <c r="AF105" s="78">
        <f t="shared" ca="1" si="107"/>
        <v>-0.55289999999999995</v>
      </c>
      <c r="AG105" s="4">
        <f ca="1">-SUMIFS(INDIRECT("Tab_000.Trial["&amp;AG$4&amp;"]"),Tab_000.Trial[CONTA],$B105)</f>
        <v>-1182.74</v>
      </c>
      <c r="AH105" s="78">
        <f t="shared" ca="1" si="108"/>
        <v>-1.2999999999999999E-3</v>
      </c>
      <c r="AI105" s="78">
        <f t="shared" ca="1" si="109"/>
        <v>-0.40079999999999999</v>
      </c>
      <c r="AJ105" s="4">
        <f ca="1">-SUMIFS(INDIRECT("Tab_000.Trial["&amp;AJ$4&amp;"]"),Tab_000.Trial[CONTA],$B105)</f>
        <v>0</v>
      </c>
      <c r="AK105" s="78">
        <f t="shared" ca="1" si="110"/>
        <v>0</v>
      </c>
      <c r="AL105" s="78">
        <f t="shared" ca="1" si="111"/>
        <v>1</v>
      </c>
      <c r="AM105" s="142" t="s">
        <v>766</v>
      </c>
    </row>
    <row r="106" spans="2:39" ht="15" customHeight="1" outlineLevel="1" x14ac:dyDescent="0.3">
      <c r="B106" s="14" t="s">
        <v>486</v>
      </c>
      <c r="C106" s="14" t="s">
        <v>487</v>
      </c>
      <c r="D106" s="4">
        <f ca="1">-SUMIFS(INDIRECT("Tab_000.Trial["&amp;D$4&amp;"]"),Tab_000.Trial[CONTA],$B106)</f>
        <v>0</v>
      </c>
      <c r="E106" s="78">
        <f t="shared" ca="1" si="112"/>
        <v>0</v>
      </c>
      <c r="F106" s="4">
        <f ca="1">-SUMIFS(INDIRECT("Tab_000.Trial["&amp;F$4&amp;"]"),Tab_000.Trial[CONTA],$B106)</f>
        <v>0</v>
      </c>
      <c r="G106" s="78">
        <f t="shared" ca="1" si="91"/>
        <v>0</v>
      </c>
      <c r="H106" s="78">
        <f t="shared" ca="1" si="113"/>
        <v>0</v>
      </c>
      <c r="I106" s="4">
        <f ca="1">-SUMIFS(INDIRECT("Tab_000.Trial["&amp;I$4&amp;"]"),Tab_000.Trial[CONTA],$B106)</f>
        <v>0</v>
      </c>
      <c r="J106" s="78">
        <f t="shared" ca="1" si="92"/>
        <v>0</v>
      </c>
      <c r="K106" s="78">
        <f t="shared" ca="1" si="93"/>
        <v>0</v>
      </c>
      <c r="L106" s="4">
        <f ca="1">-SUMIFS(INDIRECT("Tab_000.Trial["&amp;L$4&amp;"]"),Tab_000.Trial[CONTA],$B106)</f>
        <v>0</v>
      </c>
      <c r="M106" s="78">
        <f t="shared" ca="1" si="94"/>
        <v>0</v>
      </c>
      <c r="N106" s="78">
        <f t="shared" ca="1" si="95"/>
        <v>0</v>
      </c>
      <c r="O106" s="4">
        <f ca="1">-SUMIFS(INDIRECT("Tab_000.Trial["&amp;O$4&amp;"]"),Tab_000.Trial[CONTA],$B106)</f>
        <v>0</v>
      </c>
      <c r="P106" s="78">
        <f t="shared" ca="1" si="114"/>
        <v>0</v>
      </c>
      <c r="Q106" s="78">
        <f t="shared" ca="1" si="115"/>
        <v>0</v>
      </c>
      <c r="R106" s="4">
        <f ca="1">-SUMIFS(INDIRECT("Tab_000.Trial["&amp;R$4&amp;"]"),Tab_000.Trial[CONTA],$B106)</f>
        <v>0</v>
      </c>
      <c r="S106" s="78">
        <f t="shared" ca="1" si="98"/>
        <v>0</v>
      </c>
      <c r="T106" s="78">
        <f t="shared" ca="1" si="99"/>
        <v>0</v>
      </c>
      <c r="U106" s="4">
        <f ca="1">-SUMIFS(INDIRECT("Tab_000.Trial["&amp;U$4&amp;"]"),Tab_000.Trial[CONTA],$B106)</f>
        <v>0</v>
      </c>
      <c r="V106" s="78">
        <f t="shared" ca="1" si="100"/>
        <v>0</v>
      </c>
      <c r="W106" s="78">
        <f t="shared" ca="1" si="101"/>
        <v>0</v>
      </c>
      <c r="X106" s="4">
        <f ca="1">-SUMIFS(INDIRECT("Tab_000.Trial["&amp;X$4&amp;"]"),Tab_000.Trial[CONTA],$B106)</f>
        <v>0</v>
      </c>
      <c r="Y106" s="78">
        <f t="shared" ca="1" si="116"/>
        <v>0</v>
      </c>
      <c r="Z106" s="78">
        <f t="shared" ca="1" si="117"/>
        <v>0</v>
      </c>
      <c r="AA106" s="4">
        <f ca="1">-SUMIFS(INDIRECT("Tab_000.Trial["&amp;AA$4&amp;"]"),Tab_000.Trial[CONTA],$B106)</f>
        <v>0</v>
      </c>
      <c r="AB106" s="78">
        <f t="shared" ca="1" si="104"/>
        <v>0</v>
      </c>
      <c r="AC106" s="78">
        <f t="shared" ca="1" si="105"/>
        <v>0</v>
      </c>
      <c r="AD106" s="4">
        <f ca="1">-SUMIFS(INDIRECT("Tab_000.Trial["&amp;AD$4&amp;"]"),Tab_000.Trial[CONTA],$B106)</f>
        <v>0</v>
      </c>
      <c r="AE106" s="78">
        <f t="shared" ca="1" si="106"/>
        <v>0</v>
      </c>
      <c r="AF106" s="78">
        <f t="shared" ca="1" si="107"/>
        <v>0</v>
      </c>
      <c r="AG106" s="4">
        <f ca="1">-SUMIFS(INDIRECT("Tab_000.Trial["&amp;AG$4&amp;"]"),Tab_000.Trial[CONTA],$B106)</f>
        <v>0</v>
      </c>
      <c r="AH106" s="78">
        <f t="shared" ca="1" si="108"/>
        <v>0</v>
      </c>
      <c r="AI106" s="78">
        <f t="shared" ca="1" si="109"/>
        <v>0</v>
      </c>
      <c r="AJ106" s="4">
        <f ca="1">-SUMIFS(INDIRECT("Tab_000.Trial["&amp;AJ$4&amp;"]"),Tab_000.Trial[CONTA],$B106)</f>
        <v>0</v>
      </c>
      <c r="AK106" s="78">
        <f t="shared" ca="1" si="110"/>
        <v>0</v>
      </c>
      <c r="AL106" s="78">
        <f t="shared" ca="1" si="111"/>
        <v>0</v>
      </c>
      <c r="AM106" s="142" t="s">
        <v>766</v>
      </c>
    </row>
    <row r="107" spans="2:39" ht="15" customHeight="1" outlineLevel="1" x14ac:dyDescent="0.3">
      <c r="B107" s="176" t="s">
        <v>488</v>
      </c>
      <c r="C107" s="176" t="s">
        <v>414</v>
      </c>
      <c r="D107" s="4">
        <f ca="1">-SUMIFS(INDIRECT("Tab_000.Trial["&amp;D$4&amp;"]"),Tab_000.Trial[CONTA],$B107)</f>
        <v>0</v>
      </c>
      <c r="E107" s="78">
        <f t="shared" ca="1" si="112"/>
        <v>0</v>
      </c>
      <c r="F107" s="4">
        <f ca="1">-SUMIFS(INDIRECT("Tab_000.Trial["&amp;F$4&amp;"]"),Tab_000.Trial[CONTA],$B107)</f>
        <v>0</v>
      </c>
      <c r="G107" s="78">
        <f t="shared" ca="1" si="91"/>
        <v>0</v>
      </c>
      <c r="H107" s="78">
        <f t="shared" ca="1" si="113"/>
        <v>0</v>
      </c>
      <c r="I107" s="4">
        <f ca="1">-SUMIFS(INDIRECT("Tab_000.Trial["&amp;I$4&amp;"]"),Tab_000.Trial[CONTA],$B107)</f>
        <v>0</v>
      </c>
      <c r="J107" s="78">
        <f t="shared" ca="1" si="92"/>
        <v>0</v>
      </c>
      <c r="K107" s="78">
        <f t="shared" ca="1" si="93"/>
        <v>0</v>
      </c>
      <c r="L107" s="4">
        <f ca="1">-SUMIFS(INDIRECT("Tab_000.Trial["&amp;L$4&amp;"]"),Tab_000.Trial[CONTA],$B107)</f>
        <v>0</v>
      </c>
      <c r="M107" s="78">
        <f t="shared" ca="1" si="94"/>
        <v>0</v>
      </c>
      <c r="N107" s="78">
        <f t="shared" ca="1" si="95"/>
        <v>0</v>
      </c>
      <c r="O107" s="4">
        <f ca="1">-SUMIFS(INDIRECT("Tab_000.Trial["&amp;O$4&amp;"]"),Tab_000.Trial[CONTA],$B107)</f>
        <v>0</v>
      </c>
      <c r="P107" s="78">
        <f t="shared" ca="1" si="114"/>
        <v>0</v>
      </c>
      <c r="Q107" s="78">
        <f t="shared" ca="1" si="115"/>
        <v>0</v>
      </c>
      <c r="R107" s="4">
        <f ca="1">-SUMIFS(INDIRECT("Tab_000.Trial["&amp;R$4&amp;"]"),Tab_000.Trial[CONTA],$B107)</f>
        <v>0</v>
      </c>
      <c r="S107" s="78">
        <f t="shared" ca="1" si="98"/>
        <v>0</v>
      </c>
      <c r="T107" s="78">
        <f t="shared" ca="1" si="99"/>
        <v>0</v>
      </c>
      <c r="U107" s="4">
        <f ca="1">-SUMIFS(INDIRECT("Tab_000.Trial["&amp;U$4&amp;"]"),Tab_000.Trial[CONTA],$B107)</f>
        <v>0</v>
      </c>
      <c r="V107" s="78">
        <f t="shared" ca="1" si="100"/>
        <v>0</v>
      </c>
      <c r="W107" s="78">
        <f t="shared" ca="1" si="101"/>
        <v>0</v>
      </c>
      <c r="X107" s="4">
        <f ca="1">-SUMIFS(INDIRECT("Tab_000.Trial["&amp;X$4&amp;"]"),Tab_000.Trial[CONTA],$B107)</f>
        <v>0</v>
      </c>
      <c r="Y107" s="78">
        <f t="shared" ca="1" si="116"/>
        <v>0</v>
      </c>
      <c r="Z107" s="78">
        <f t="shared" ca="1" si="117"/>
        <v>0</v>
      </c>
      <c r="AA107" s="4">
        <f ca="1">-SUMIFS(INDIRECT("Tab_000.Trial["&amp;AA$4&amp;"]"),Tab_000.Trial[CONTA],$B107)</f>
        <v>0</v>
      </c>
      <c r="AB107" s="78">
        <f t="shared" ca="1" si="104"/>
        <v>0</v>
      </c>
      <c r="AC107" s="78">
        <f t="shared" ca="1" si="105"/>
        <v>0</v>
      </c>
      <c r="AD107" s="4">
        <f ca="1">-SUMIFS(INDIRECT("Tab_000.Trial["&amp;AD$4&amp;"]"),Tab_000.Trial[CONTA],$B107)</f>
        <v>0</v>
      </c>
      <c r="AE107" s="78">
        <f t="shared" ca="1" si="106"/>
        <v>0</v>
      </c>
      <c r="AF107" s="78">
        <f t="shared" ca="1" si="107"/>
        <v>0</v>
      </c>
      <c r="AG107" s="4">
        <f ca="1">-SUMIFS(INDIRECT("Tab_000.Trial["&amp;AG$4&amp;"]"),Tab_000.Trial[CONTA],$B107)</f>
        <v>0</v>
      </c>
      <c r="AH107" s="78">
        <f t="shared" ca="1" si="108"/>
        <v>0</v>
      </c>
      <c r="AI107" s="78">
        <f t="shared" ca="1" si="109"/>
        <v>0</v>
      </c>
      <c r="AJ107" s="4">
        <f ca="1">-SUMIFS(INDIRECT("Tab_000.Trial["&amp;AJ$4&amp;"]"),Tab_000.Trial[CONTA],$B107)</f>
        <v>0</v>
      </c>
      <c r="AK107" s="78">
        <f t="shared" ca="1" si="110"/>
        <v>0</v>
      </c>
      <c r="AL107" s="78">
        <f t="shared" ca="1" si="111"/>
        <v>0</v>
      </c>
      <c r="AM107" s="142" t="s">
        <v>766</v>
      </c>
    </row>
    <row r="108" spans="2:39" ht="15" customHeight="1" outlineLevel="1" x14ac:dyDescent="0.3">
      <c r="B108" s="14" t="s">
        <v>489</v>
      </c>
      <c r="C108" s="14" t="s">
        <v>490</v>
      </c>
      <c r="D108" s="4">
        <f ca="1">-SUMIFS(INDIRECT("Tab_000.Trial["&amp;D$4&amp;"]"),Tab_000.Trial[CONTA],$B108)</f>
        <v>0</v>
      </c>
      <c r="E108" s="78">
        <f t="shared" ca="1" si="112"/>
        <v>0</v>
      </c>
      <c r="F108" s="4">
        <f ca="1">-SUMIFS(INDIRECT("Tab_000.Trial["&amp;F$4&amp;"]"),Tab_000.Trial[CONTA],$B108)</f>
        <v>0</v>
      </c>
      <c r="G108" s="78">
        <f t="shared" ca="1" si="91"/>
        <v>0</v>
      </c>
      <c r="H108" s="78">
        <f t="shared" ca="1" si="113"/>
        <v>0</v>
      </c>
      <c r="I108" s="4">
        <f ca="1">-SUMIFS(INDIRECT("Tab_000.Trial["&amp;I$4&amp;"]"),Tab_000.Trial[CONTA],$B108)</f>
        <v>0</v>
      </c>
      <c r="J108" s="78">
        <f t="shared" ca="1" si="92"/>
        <v>0</v>
      </c>
      <c r="K108" s="78">
        <f t="shared" ca="1" si="93"/>
        <v>0</v>
      </c>
      <c r="L108" s="4">
        <f ca="1">-SUMIFS(INDIRECT("Tab_000.Trial["&amp;L$4&amp;"]"),Tab_000.Trial[CONTA],$B108)</f>
        <v>0</v>
      </c>
      <c r="M108" s="78">
        <f t="shared" ca="1" si="94"/>
        <v>0</v>
      </c>
      <c r="N108" s="78">
        <f t="shared" ca="1" si="95"/>
        <v>0</v>
      </c>
      <c r="O108" s="4">
        <f ca="1">-SUMIFS(INDIRECT("Tab_000.Trial["&amp;O$4&amp;"]"),Tab_000.Trial[CONTA],$B108)</f>
        <v>0</v>
      </c>
      <c r="P108" s="78">
        <f t="shared" ca="1" si="114"/>
        <v>0</v>
      </c>
      <c r="Q108" s="78">
        <f t="shared" ca="1" si="115"/>
        <v>0</v>
      </c>
      <c r="R108" s="4">
        <f ca="1">-SUMIFS(INDIRECT("Tab_000.Trial["&amp;R$4&amp;"]"),Tab_000.Trial[CONTA],$B108)</f>
        <v>0</v>
      </c>
      <c r="S108" s="78">
        <f t="shared" ca="1" si="98"/>
        <v>0</v>
      </c>
      <c r="T108" s="78">
        <f t="shared" ca="1" si="99"/>
        <v>0</v>
      </c>
      <c r="U108" s="4">
        <f ca="1">-SUMIFS(INDIRECT("Tab_000.Trial["&amp;U$4&amp;"]"),Tab_000.Trial[CONTA],$B108)</f>
        <v>0</v>
      </c>
      <c r="V108" s="78">
        <f t="shared" ca="1" si="100"/>
        <v>0</v>
      </c>
      <c r="W108" s="78">
        <f t="shared" ca="1" si="101"/>
        <v>0</v>
      </c>
      <c r="X108" s="4">
        <f ca="1">-SUMIFS(INDIRECT("Tab_000.Trial["&amp;X$4&amp;"]"),Tab_000.Trial[CONTA],$B108)</f>
        <v>0</v>
      </c>
      <c r="Y108" s="78">
        <f t="shared" ca="1" si="116"/>
        <v>0</v>
      </c>
      <c r="Z108" s="78">
        <f t="shared" ca="1" si="117"/>
        <v>0</v>
      </c>
      <c r="AA108" s="4">
        <f ca="1">-SUMIFS(INDIRECT("Tab_000.Trial["&amp;AA$4&amp;"]"),Tab_000.Trial[CONTA],$B108)</f>
        <v>-228</v>
      </c>
      <c r="AB108" s="78">
        <f t="shared" ca="1" si="104"/>
        <v>-2.0000000000000001E-4</v>
      </c>
      <c r="AC108" s="78">
        <f t="shared" ca="1" si="105"/>
        <v>0</v>
      </c>
      <c r="AD108" s="4">
        <f ca="1">-SUMIFS(INDIRECT("Tab_000.Trial["&amp;AD$4&amp;"]"),Tab_000.Trial[CONTA],$B108)</f>
        <v>0</v>
      </c>
      <c r="AE108" s="78">
        <f t="shared" ca="1" si="106"/>
        <v>0</v>
      </c>
      <c r="AF108" s="78">
        <f t="shared" ca="1" si="107"/>
        <v>1</v>
      </c>
      <c r="AG108" s="4">
        <f ca="1">-SUMIFS(INDIRECT("Tab_000.Trial["&amp;AG$4&amp;"]"),Tab_000.Trial[CONTA],$B108)</f>
        <v>0</v>
      </c>
      <c r="AH108" s="78">
        <f t="shared" ca="1" si="108"/>
        <v>0</v>
      </c>
      <c r="AI108" s="78">
        <f t="shared" ca="1" si="109"/>
        <v>0</v>
      </c>
      <c r="AJ108" s="4">
        <f ca="1">-SUMIFS(INDIRECT("Tab_000.Trial["&amp;AJ$4&amp;"]"),Tab_000.Trial[CONTA],$B108)</f>
        <v>0</v>
      </c>
      <c r="AK108" s="78">
        <f t="shared" ca="1" si="110"/>
        <v>0</v>
      </c>
      <c r="AL108" s="78">
        <f t="shared" ca="1" si="111"/>
        <v>0</v>
      </c>
      <c r="AM108" s="142" t="s">
        <v>766</v>
      </c>
    </row>
    <row r="109" spans="2:39" ht="15" customHeight="1" outlineLevel="1" x14ac:dyDescent="0.3">
      <c r="B109" s="14" t="s">
        <v>491</v>
      </c>
      <c r="C109" s="14" t="s">
        <v>492</v>
      </c>
      <c r="D109" s="4">
        <f ca="1">-SUMIFS(INDIRECT("Tab_000.Trial["&amp;D$4&amp;"]"),Tab_000.Trial[CONTA],$B109)</f>
        <v>-3476.84</v>
      </c>
      <c r="E109" s="78">
        <f t="shared" ca="1" si="112"/>
        <v>-3.7000000000000002E-3</v>
      </c>
      <c r="F109" s="4">
        <f ca="1">-SUMIFS(INDIRECT("Tab_000.Trial["&amp;F$4&amp;"]"),Tab_000.Trial[CONTA],$B109)</f>
        <v>-3315.03</v>
      </c>
      <c r="G109" s="78">
        <f t="shared" ca="1" si="91"/>
        <v>-3.3999999999999998E-3</v>
      </c>
      <c r="H109" s="78">
        <f t="shared" ca="1" si="113"/>
        <v>4.65E-2</v>
      </c>
      <c r="I109" s="4">
        <f ca="1">-SUMIFS(INDIRECT("Tab_000.Trial["&amp;I$4&amp;"]"),Tab_000.Trial[CONTA],$B109)</f>
        <v>-3703.93</v>
      </c>
      <c r="J109" s="78">
        <f t="shared" ca="1" si="92"/>
        <v>-3.5000000000000001E-3</v>
      </c>
      <c r="K109" s="78">
        <f t="shared" ca="1" si="93"/>
        <v>-0.1173</v>
      </c>
      <c r="L109" s="4">
        <f ca="1">-SUMIFS(INDIRECT("Tab_000.Trial["&amp;L$4&amp;"]"),Tab_000.Trial[CONTA],$B109)</f>
        <v>-2664.43</v>
      </c>
      <c r="M109" s="78">
        <f t="shared" ca="1" si="94"/>
        <v>-2.3999999999999998E-3</v>
      </c>
      <c r="N109" s="78">
        <f t="shared" ca="1" si="95"/>
        <v>0.28060000000000002</v>
      </c>
      <c r="O109" s="4">
        <f ca="1">-SUMIFS(INDIRECT("Tab_000.Trial["&amp;O$4&amp;"]"),Tab_000.Trial[CONTA],$B109)</f>
        <v>-3313.41</v>
      </c>
      <c r="P109" s="78">
        <f t="shared" ca="1" si="114"/>
        <v>-2.7000000000000001E-3</v>
      </c>
      <c r="Q109" s="78">
        <f t="shared" ca="1" si="115"/>
        <v>-0.24360000000000001</v>
      </c>
      <c r="R109" s="4">
        <f ca="1">-SUMIFS(INDIRECT("Tab_000.Trial["&amp;R$4&amp;"]"),Tab_000.Trial[CONTA],$B109)</f>
        <v>-2166.44</v>
      </c>
      <c r="S109" s="78">
        <f t="shared" ca="1" si="98"/>
        <v>-2.0999999999999999E-3</v>
      </c>
      <c r="T109" s="78">
        <f t="shared" ca="1" si="99"/>
        <v>0.34620000000000001</v>
      </c>
      <c r="U109" s="4">
        <f ca="1">-SUMIFS(INDIRECT("Tab_000.Trial["&amp;U$4&amp;"]"),Tab_000.Trial[CONTA],$B109)</f>
        <v>-1918.54</v>
      </c>
      <c r="V109" s="78">
        <f t="shared" ca="1" si="100"/>
        <v>-1.8E-3</v>
      </c>
      <c r="W109" s="78">
        <f t="shared" ca="1" si="101"/>
        <v>0.1144</v>
      </c>
      <c r="X109" s="4">
        <f ca="1">-SUMIFS(INDIRECT("Tab_000.Trial["&amp;X$4&amp;"]"),Tab_000.Trial[CONTA],$B109)</f>
        <v>-1817.16</v>
      </c>
      <c r="Y109" s="78">
        <f t="shared" ca="1" si="116"/>
        <v>-1.6999999999999999E-3</v>
      </c>
      <c r="Z109" s="78">
        <f t="shared" ca="1" si="117"/>
        <v>5.28E-2</v>
      </c>
      <c r="AA109" s="4">
        <f ca="1">-SUMIFS(INDIRECT("Tab_000.Trial["&amp;AA$4&amp;"]"),Tab_000.Trial[CONTA],$B109)</f>
        <v>0</v>
      </c>
      <c r="AB109" s="78">
        <f t="shared" ca="1" si="104"/>
        <v>0</v>
      </c>
      <c r="AC109" s="78">
        <f t="shared" ca="1" si="105"/>
        <v>1</v>
      </c>
      <c r="AD109" s="4">
        <f ca="1">-SUMIFS(INDIRECT("Tab_000.Trial["&amp;AD$4&amp;"]"),Tab_000.Trial[CONTA],$B109)</f>
        <v>-1970.55</v>
      </c>
      <c r="AE109" s="78">
        <f t="shared" ca="1" si="106"/>
        <v>-1.6000000000000001E-3</v>
      </c>
      <c r="AF109" s="78">
        <f t="shared" ca="1" si="107"/>
        <v>0</v>
      </c>
      <c r="AG109" s="4">
        <f ca="1">-SUMIFS(INDIRECT("Tab_000.Trial["&amp;AG$4&amp;"]"),Tab_000.Trial[CONTA],$B109)</f>
        <v>-5054.1499999999996</v>
      </c>
      <c r="AH109" s="78">
        <f t="shared" ca="1" si="108"/>
        <v>-5.4999999999999997E-3</v>
      </c>
      <c r="AI109" s="78">
        <f t="shared" ca="1" si="109"/>
        <v>-1.5648</v>
      </c>
      <c r="AJ109" s="4">
        <f ca="1">-SUMIFS(INDIRECT("Tab_000.Trial["&amp;AJ$4&amp;"]"),Tab_000.Trial[CONTA],$B109)</f>
        <v>0</v>
      </c>
      <c r="AK109" s="78">
        <f t="shared" ca="1" si="110"/>
        <v>0</v>
      </c>
      <c r="AL109" s="78">
        <f t="shared" ca="1" si="111"/>
        <v>1</v>
      </c>
      <c r="AM109" s="142" t="s">
        <v>766</v>
      </c>
    </row>
    <row r="110" spans="2:39" ht="15" customHeight="1" outlineLevel="1" x14ac:dyDescent="0.3">
      <c r="B110" s="14" t="s">
        <v>493</v>
      </c>
      <c r="C110" s="14" t="s">
        <v>494</v>
      </c>
      <c r="D110" s="4">
        <f ca="1">-SUMIFS(INDIRECT("Tab_000.Trial["&amp;D$4&amp;"]"),Tab_000.Trial[CONTA],$B110)</f>
        <v>-3157.37</v>
      </c>
      <c r="E110" s="78">
        <f t="shared" ca="1" si="112"/>
        <v>-3.3E-3</v>
      </c>
      <c r="F110" s="4">
        <f ca="1">-SUMIFS(INDIRECT("Tab_000.Trial["&amp;F$4&amp;"]"),Tab_000.Trial[CONTA],$B110)</f>
        <v>-846.95</v>
      </c>
      <c r="G110" s="78">
        <f t="shared" ca="1" si="91"/>
        <v>-8.9999999999999998E-4</v>
      </c>
      <c r="H110" s="78">
        <f t="shared" ca="1" si="113"/>
        <v>0.73180000000000001</v>
      </c>
      <c r="I110" s="4">
        <f ca="1">-SUMIFS(INDIRECT("Tab_000.Trial["&amp;I$4&amp;"]"),Tab_000.Trial[CONTA],$B110)</f>
        <v>-1145.3800000000001</v>
      </c>
      <c r="J110" s="78">
        <f t="shared" ca="1" si="92"/>
        <v>-1.1000000000000001E-3</v>
      </c>
      <c r="K110" s="78">
        <f t="shared" ca="1" si="93"/>
        <v>-0.35239999999999999</v>
      </c>
      <c r="L110" s="4">
        <f ca="1">-SUMIFS(INDIRECT("Tab_000.Trial["&amp;L$4&amp;"]"),Tab_000.Trial[CONTA],$B110)</f>
        <v>-2390.13</v>
      </c>
      <c r="M110" s="78">
        <f t="shared" ca="1" si="94"/>
        <v>-2.2000000000000001E-3</v>
      </c>
      <c r="N110" s="78">
        <f t="shared" ca="1" si="95"/>
        <v>-1.0868</v>
      </c>
      <c r="O110" s="4">
        <f ca="1">-SUMIFS(INDIRECT("Tab_000.Trial["&amp;O$4&amp;"]"),Tab_000.Trial[CONTA],$B110)</f>
        <v>-1448.96</v>
      </c>
      <c r="P110" s="78">
        <f t="shared" ca="1" si="114"/>
        <v>-1.1999999999999999E-3</v>
      </c>
      <c r="Q110" s="78">
        <f t="shared" ca="1" si="115"/>
        <v>0.39379999999999998</v>
      </c>
      <c r="R110" s="4">
        <f ca="1">-SUMIFS(INDIRECT("Tab_000.Trial["&amp;R$4&amp;"]"),Tab_000.Trial[CONTA],$B110)</f>
        <v>-1374.07</v>
      </c>
      <c r="S110" s="78">
        <f t="shared" ca="1" si="98"/>
        <v>-1.4E-3</v>
      </c>
      <c r="T110" s="78">
        <f t="shared" ca="1" si="99"/>
        <v>5.1700000000000003E-2</v>
      </c>
      <c r="U110" s="4">
        <f ca="1">-SUMIFS(INDIRECT("Tab_000.Trial["&amp;U$4&amp;"]"),Tab_000.Trial[CONTA],$B110)</f>
        <v>-1523.82</v>
      </c>
      <c r="V110" s="78">
        <f t="shared" ca="1" si="100"/>
        <v>-1.4E-3</v>
      </c>
      <c r="W110" s="78">
        <f t="shared" ca="1" si="101"/>
        <v>-0.109</v>
      </c>
      <c r="X110" s="4">
        <f ca="1">-SUMIFS(INDIRECT("Tab_000.Trial["&amp;X$4&amp;"]"),Tab_000.Trial[CONTA],$B110)</f>
        <v>-1374.07</v>
      </c>
      <c r="Y110" s="78">
        <f t="shared" ca="1" si="116"/>
        <v>-1.2999999999999999E-3</v>
      </c>
      <c r="Z110" s="78">
        <f t="shared" ca="1" si="117"/>
        <v>9.8299999999999998E-2</v>
      </c>
      <c r="AA110" s="4">
        <f ca="1">-SUMIFS(INDIRECT("Tab_000.Trial["&amp;AA$4&amp;"]"),Tab_000.Trial[CONTA],$B110)</f>
        <v>-1598.69</v>
      </c>
      <c r="AB110" s="78">
        <f t="shared" ca="1" si="104"/>
        <v>-1.6000000000000001E-3</v>
      </c>
      <c r="AC110" s="78">
        <f t="shared" ca="1" si="105"/>
        <v>-0.16350000000000001</v>
      </c>
      <c r="AD110" s="4">
        <f ca="1">-SUMIFS(INDIRECT("Tab_000.Trial["&amp;AD$4&amp;"]"),Tab_000.Trial[CONTA],$B110)</f>
        <v>0</v>
      </c>
      <c r="AE110" s="78">
        <f t="shared" ca="1" si="106"/>
        <v>0</v>
      </c>
      <c r="AF110" s="78">
        <f t="shared" ca="1" si="107"/>
        <v>1</v>
      </c>
      <c r="AG110" s="4">
        <f ca="1">-SUMIFS(INDIRECT("Tab_000.Trial["&amp;AG$4&amp;"]"),Tab_000.Trial[CONTA],$B110)</f>
        <v>-1678.69</v>
      </c>
      <c r="AH110" s="78">
        <f t="shared" ca="1" si="108"/>
        <v>-1.8E-3</v>
      </c>
      <c r="AI110" s="78">
        <f t="shared" ca="1" si="109"/>
        <v>0</v>
      </c>
      <c r="AJ110" s="4">
        <f ca="1">-SUMIFS(INDIRECT("Tab_000.Trial["&amp;AJ$4&amp;"]"),Tab_000.Trial[CONTA],$B110)</f>
        <v>-1374.07</v>
      </c>
      <c r="AK110" s="78">
        <f t="shared" ca="1" si="110"/>
        <v>-8.9999999999999998E-4</v>
      </c>
      <c r="AL110" s="78">
        <f t="shared" ca="1" si="111"/>
        <v>0.18149999999999999</v>
      </c>
      <c r="AM110" s="142" t="s">
        <v>766</v>
      </c>
    </row>
    <row r="111" spans="2:39" ht="15" customHeight="1" outlineLevel="1" x14ac:dyDescent="0.3">
      <c r="B111" s="14" t="s">
        <v>495</v>
      </c>
      <c r="C111" s="14" t="s">
        <v>496</v>
      </c>
      <c r="D111" s="4">
        <f ca="1">-SUMIFS(INDIRECT("Tab_000.Trial["&amp;D$4&amp;"]"),Tab_000.Trial[CONTA],$B111)</f>
        <v>-1397.52</v>
      </c>
      <c r="E111" s="78">
        <f t="shared" ca="1" si="112"/>
        <v>-1.5E-3</v>
      </c>
      <c r="F111" s="4">
        <f ca="1">-SUMIFS(INDIRECT("Tab_000.Trial["&amp;F$4&amp;"]"),Tab_000.Trial[CONTA],$B111)</f>
        <v>-1408.65</v>
      </c>
      <c r="G111" s="78">
        <f t="shared" ca="1" si="91"/>
        <v>-1.4E-3</v>
      </c>
      <c r="H111" s="78">
        <f t="shared" ca="1" si="113"/>
        <v>-8.0000000000000002E-3</v>
      </c>
      <c r="I111" s="4">
        <f ca="1">-SUMIFS(INDIRECT("Tab_000.Trial["&amp;I$4&amp;"]"),Tab_000.Trial[CONTA],$B111)</f>
        <v>-1410.52</v>
      </c>
      <c r="J111" s="78">
        <f t="shared" ca="1" si="92"/>
        <v>-1.2999999999999999E-3</v>
      </c>
      <c r="K111" s="78">
        <f t="shared" ca="1" si="93"/>
        <v>-1.2999999999999999E-3</v>
      </c>
      <c r="L111" s="4">
        <f ca="1">-SUMIFS(INDIRECT("Tab_000.Trial["&amp;L$4&amp;"]"),Tab_000.Trial[CONTA],$B111)</f>
        <v>-1439.89</v>
      </c>
      <c r="M111" s="78">
        <f t="shared" ca="1" si="94"/>
        <v>-1.2999999999999999E-3</v>
      </c>
      <c r="N111" s="78">
        <f t="shared" ca="1" si="95"/>
        <v>-2.0799999999999999E-2</v>
      </c>
      <c r="O111" s="4">
        <f ca="1">-SUMIFS(INDIRECT("Tab_000.Trial["&amp;O$4&amp;"]"),Tab_000.Trial[CONTA],$B111)</f>
        <v>-1439.89</v>
      </c>
      <c r="P111" s="78">
        <f t="shared" ca="1" si="114"/>
        <v>-1.1999999999999999E-3</v>
      </c>
      <c r="Q111" s="78">
        <f t="shared" ca="1" si="115"/>
        <v>0</v>
      </c>
      <c r="R111" s="4">
        <f ca="1">-SUMIFS(INDIRECT("Tab_000.Trial["&amp;R$4&amp;"]"),Tab_000.Trial[CONTA],$B111)</f>
        <v>-1303.23</v>
      </c>
      <c r="S111" s="78">
        <f t="shared" ca="1" si="98"/>
        <v>-1.2999999999999999E-3</v>
      </c>
      <c r="T111" s="78">
        <f t="shared" ca="1" si="99"/>
        <v>9.4899999999999998E-2</v>
      </c>
      <c r="U111" s="4">
        <f ca="1">-SUMIFS(INDIRECT("Tab_000.Trial["&amp;U$4&amp;"]"),Tab_000.Trial[CONTA],$B111)</f>
        <v>-1576.55</v>
      </c>
      <c r="V111" s="78">
        <f t="shared" ca="1" si="100"/>
        <v>-1.5E-3</v>
      </c>
      <c r="W111" s="78">
        <f t="shared" ca="1" si="101"/>
        <v>-0.2097</v>
      </c>
      <c r="X111" s="4">
        <f ca="1">-SUMIFS(INDIRECT("Tab_000.Trial["&amp;X$4&amp;"]"),Tab_000.Trial[CONTA],$B111)</f>
        <v>-1439.89</v>
      </c>
      <c r="Y111" s="78">
        <f t="shared" ca="1" si="116"/>
        <v>-1.4E-3</v>
      </c>
      <c r="Z111" s="78">
        <f t="shared" ca="1" si="117"/>
        <v>8.6699999999999999E-2</v>
      </c>
      <c r="AA111" s="4">
        <f ca="1">-SUMIFS(INDIRECT("Tab_000.Trial["&amp;AA$4&amp;"]"),Tab_000.Trial[CONTA],$B111)</f>
        <v>-1303.23</v>
      </c>
      <c r="AB111" s="78">
        <f t="shared" ca="1" si="104"/>
        <v>-1.2999999999999999E-3</v>
      </c>
      <c r="AC111" s="78">
        <f t="shared" ca="1" si="105"/>
        <v>9.4899999999999998E-2</v>
      </c>
      <c r="AD111" s="4">
        <f ca="1">-SUMIFS(INDIRECT("Tab_000.Trial["&amp;AD$4&amp;"]"),Tab_000.Trial[CONTA],$B111)</f>
        <v>-1597.06</v>
      </c>
      <c r="AE111" s="78">
        <f t="shared" ca="1" si="106"/>
        <v>-1.2999999999999999E-3</v>
      </c>
      <c r="AF111" s="78">
        <f t="shared" ca="1" si="107"/>
        <v>-0.22550000000000001</v>
      </c>
      <c r="AG111" s="4">
        <f ca="1">-SUMIFS(INDIRECT("Tab_000.Trial["&amp;AG$4&amp;"]"),Tab_000.Trial[CONTA],$B111)</f>
        <v>-1459.86</v>
      </c>
      <c r="AH111" s="78">
        <f t="shared" ca="1" si="108"/>
        <v>-1.6000000000000001E-3</v>
      </c>
      <c r="AI111" s="78">
        <f t="shared" ca="1" si="109"/>
        <v>8.5900000000000004E-2</v>
      </c>
      <c r="AJ111" s="4">
        <f ca="1">-SUMIFS(INDIRECT("Tab_000.Trial["&amp;AJ$4&amp;"]"),Tab_000.Trial[CONTA],$B111)</f>
        <v>-1459.86</v>
      </c>
      <c r="AK111" s="78">
        <f t="shared" ca="1" si="110"/>
        <v>-1E-3</v>
      </c>
      <c r="AL111" s="78">
        <f t="shared" ca="1" si="111"/>
        <v>0</v>
      </c>
      <c r="AM111" s="142" t="s">
        <v>766</v>
      </c>
    </row>
    <row r="112" spans="2:39" ht="15" customHeight="1" outlineLevel="1" x14ac:dyDescent="0.3">
      <c r="B112" s="14" t="s">
        <v>497</v>
      </c>
      <c r="C112" s="14" t="s">
        <v>498</v>
      </c>
      <c r="D112" s="4">
        <f ca="1">-SUMIFS(INDIRECT("Tab_000.Trial["&amp;D$4&amp;"]"),Tab_000.Trial[CONTA],$B112)</f>
        <v>0</v>
      </c>
      <c r="E112" s="78">
        <f t="shared" ca="1" si="112"/>
        <v>0</v>
      </c>
      <c r="F112" s="4">
        <f ca="1">-SUMIFS(INDIRECT("Tab_000.Trial["&amp;F$4&amp;"]"),Tab_000.Trial[CONTA],$B112)</f>
        <v>0</v>
      </c>
      <c r="G112" s="78">
        <f t="shared" ca="1" si="91"/>
        <v>0</v>
      </c>
      <c r="H112" s="78">
        <f t="shared" ca="1" si="113"/>
        <v>0</v>
      </c>
      <c r="I112" s="4">
        <f ca="1">-SUMIFS(INDIRECT("Tab_000.Trial["&amp;I$4&amp;"]"),Tab_000.Trial[CONTA],$B112)</f>
        <v>0</v>
      </c>
      <c r="J112" s="78">
        <f t="shared" ca="1" si="92"/>
        <v>0</v>
      </c>
      <c r="K112" s="78">
        <f t="shared" ca="1" si="93"/>
        <v>0</v>
      </c>
      <c r="L112" s="4">
        <f ca="1">-SUMIFS(INDIRECT("Tab_000.Trial["&amp;L$4&amp;"]"),Tab_000.Trial[CONTA],$B112)</f>
        <v>-95</v>
      </c>
      <c r="M112" s="78">
        <f t="shared" ca="1" si="94"/>
        <v>-1E-4</v>
      </c>
      <c r="N112" s="78">
        <f t="shared" ca="1" si="95"/>
        <v>0</v>
      </c>
      <c r="O112" s="4">
        <f ca="1">-SUMIFS(INDIRECT("Tab_000.Trial["&amp;O$4&amp;"]"),Tab_000.Trial[CONTA],$B112)</f>
        <v>0</v>
      </c>
      <c r="P112" s="78">
        <f t="shared" ca="1" si="114"/>
        <v>0</v>
      </c>
      <c r="Q112" s="78">
        <f t="shared" ca="1" si="115"/>
        <v>1</v>
      </c>
      <c r="R112" s="4">
        <f ca="1">-SUMIFS(INDIRECT("Tab_000.Trial["&amp;R$4&amp;"]"),Tab_000.Trial[CONTA],$B112)</f>
        <v>0</v>
      </c>
      <c r="S112" s="78">
        <f t="shared" ca="1" si="98"/>
        <v>0</v>
      </c>
      <c r="T112" s="78">
        <f t="shared" ca="1" si="99"/>
        <v>0</v>
      </c>
      <c r="U112" s="4">
        <f ca="1">-SUMIFS(INDIRECT("Tab_000.Trial["&amp;U$4&amp;"]"),Tab_000.Trial[CONTA],$B112)</f>
        <v>0</v>
      </c>
      <c r="V112" s="78">
        <f t="shared" ca="1" si="100"/>
        <v>0</v>
      </c>
      <c r="W112" s="78">
        <f t="shared" ca="1" si="101"/>
        <v>0</v>
      </c>
      <c r="X112" s="4">
        <f ca="1">-SUMIFS(INDIRECT("Tab_000.Trial["&amp;X$4&amp;"]"),Tab_000.Trial[CONTA],$B112)</f>
        <v>0</v>
      </c>
      <c r="Y112" s="78">
        <f t="shared" ca="1" si="116"/>
        <v>0</v>
      </c>
      <c r="Z112" s="78">
        <f t="shared" ca="1" si="117"/>
        <v>0</v>
      </c>
      <c r="AA112" s="4">
        <f ca="1">-SUMIFS(INDIRECT("Tab_000.Trial["&amp;AA$4&amp;"]"),Tab_000.Trial[CONTA],$B112)</f>
        <v>0</v>
      </c>
      <c r="AB112" s="78">
        <f t="shared" ca="1" si="104"/>
        <v>0</v>
      </c>
      <c r="AC112" s="78">
        <f t="shared" ca="1" si="105"/>
        <v>0</v>
      </c>
      <c r="AD112" s="4">
        <f ca="1">-SUMIFS(INDIRECT("Tab_000.Trial["&amp;AD$4&amp;"]"),Tab_000.Trial[CONTA],$B112)</f>
        <v>0</v>
      </c>
      <c r="AE112" s="78">
        <f t="shared" ca="1" si="106"/>
        <v>0</v>
      </c>
      <c r="AF112" s="78">
        <f t="shared" ca="1" si="107"/>
        <v>0</v>
      </c>
      <c r="AG112" s="4">
        <f ca="1">-SUMIFS(INDIRECT("Tab_000.Trial["&amp;AG$4&amp;"]"),Tab_000.Trial[CONTA],$B112)</f>
        <v>0</v>
      </c>
      <c r="AH112" s="78">
        <f t="shared" ca="1" si="108"/>
        <v>0</v>
      </c>
      <c r="AI112" s="78">
        <f t="shared" ca="1" si="109"/>
        <v>0</v>
      </c>
      <c r="AJ112" s="4">
        <f ca="1">-SUMIFS(INDIRECT("Tab_000.Trial["&amp;AJ$4&amp;"]"),Tab_000.Trial[CONTA],$B112)</f>
        <v>0</v>
      </c>
      <c r="AK112" s="78">
        <f t="shared" ca="1" si="110"/>
        <v>0</v>
      </c>
      <c r="AL112" s="78">
        <f t="shared" ca="1" si="111"/>
        <v>0</v>
      </c>
      <c r="AM112" s="142" t="s">
        <v>766</v>
      </c>
    </row>
    <row r="113" spans="2:39" ht="15" customHeight="1" outlineLevel="1" x14ac:dyDescent="0.3">
      <c r="B113" s="14" t="s">
        <v>499</v>
      </c>
      <c r="C113" s="14" t="s">
        <v>500</v>
      </c>
      <c r="D113" s="4">
        <f ca="1">-SUMIFS(INDIRECT("Tab_000.Trial["&amp;D$4&amp;"]"),Tab_000.Trial[CONTA],$B113)</f>
        <v>-146.94</v>
      </c>
      <c r="E113" s="78">
        <f t="shared" ca="1" si="112"/>
        <v>-2.0000000000000001E-4</v>
      </c>
      <c r="F113" s="4">
        <f ca="1">-SUMIFS(INDIRECT("Tab_000.Trial["&amp;F$4&amp;"]"),Tab_000.Trial[CONTA],$B113)</f>
        <v>0</v>
      </c>
      <c r="G113" s="78">
        <f t="shared" ca="1" si="91"/>
        <v>0</v>
      </c>
      <c r="H113" s="78">
        <f t="shared" ca="1" si="113"/>
        <v>1</v>
      </c>
      <c r="I113" s="4">
        <f ca="1">-SUMIFS(INDIRECT("Tab_000.Trial["&amp;I$4&amp;"]"),Tab_000.Trial[CONTA],$B113)</f>
        <v>-1215</v>
      </c>
      <c r="J113" s="78">
        <f t="shared" ca="1" si="92"/>
        <v>-1.1999999999999999E-3</v>
      </c>
      <c r="K113" s="78">
        <f t="shared" ca="1" si="93"/>
        <v>0</v>
      </c>
      <c r="L113" s="4">
        <f ca="1">-SUMIFS(INDIRECT("Tab_000.Trial["&amp;L$4&amp;"]"),Tab_000.Trial[CONTA],$B113)</f>
        <v>-2247.4</v>
      </c>
      <c r="M113" s="78">
        <f t="shared" ca="1" si="94"/>
        <v>-2E-3</v>
      </c>
      <c r="N113" s="78">
        <f t="shared" ca="1" si="95"/>
        <v>-0.84970000000000001</v>
      </c>
      <c r="O113" s="4">
        <f ca="1">-SUMIFS(INDIRECT("Tab_000.Trial["&amp;O$4&amp;"]"),Tab_000.Trial[CONTA],$B113)</f>
        <v>-2080</v>
      </c>
      <c r="P113" s="78">
        <f t="shared" ca="1" si="114"/>
        <v>-1.6999999999999999E-3</v>
      </c>
      <c r="Q113" s="78">
        <f t="shared" ca="1" si="115"/>
        <v>7.4499999999999997E-2</v>
      </c>
      <c r="R113" s="4">
        <f ca="1">-SUMIFS(INDIRECT("Tab_000.Trial["&amp;R$4&amp;"]"),Tab_000.Trial[CONTA],$B113)</f>
        <v>-3937.4</v>
      </c>
      <c r="S113" s="78">
        <f t="shared" ca="1" si="98"/>
        <v>-3.8999999999999998E-3</v>
      </c>
      <c r="T113" s="78">
        <f t="shared" ca="1" si="99"/>
        <v>-0.89300000000000002</v>
      </c>
      <c r="U113" s="4">
        <f ca="1">-SUMIFS(INDIRECT("Tab_000.Trial["&amp;U$4&amp;"]"),Tab_000.Trial[CONTA],$B113)</f>
        <v>-167.4</v>
      </c>
      <c r="V113" s="78">
        <f t="shared" ca="1" si="100"/>
        <v>-2.0000000000000001E-4</v>
      </c>
      <c r="W113" s="78">
        <f t="shared" ca="1" si="101"/>
        <v>0.95750000000000002</v>
      </c>
      <c r="X113" s="4">
        <f ca="1">-SUMIFS(INDIRECT("Tab_000.Trial["&amp;X$4&amp;"]"),Tab_000.Trial[CONTA],$B113)</f>
        <v>-1127.4000000000001</v>
      </c>
      <c r="Y113" s="78">
        <f t="shared" ca="1" si="116"/>
        <v>-1.1000000000000001E-3</v>
      </c>
      <c r="Z113" s="78">
        <f t="shared" ca="1" si="117"/>
        <v>-5.7347999999999999</v>
      </c>
      <c r="AA113" s="4">
        <f ca="1">-SUMIFS(INDIRECT("Tab_000.Trial["&amp;AA$4&amp;"]"),Tab_000.Trial[CONTA],$B113)</f>
        <v>-10487.9</v>
      </c>
      <c r="AB113" s="78">
        <f t="shared" ca="1" si="104"/>
        <v>-1.0800000000000001E-2</v>
      </c>
      <c r="AC113" s="78">
        <f t="shared" ca="1" si="105"/>
        <v>-8.3026999999999997</v>
      </c>
      <c r="AD113" s="4">
        <f ca="1">-SUMIFS(INDIRECT("Tab_000.Trial["&amp;AD$4&amp;"]"),Tab_000.Trial[CONTA],$B113)</f>
        <v>-334.8</v>
      </c>
      <c r="AE113" s="78">
        <f t="shared" ca="1" si="106"/>
        <v>-2.9999999999999997E-4</v>
      </c>
      <c r="AF113" s="78">
        <f t="shared" ca="1" si="107"/>
        <v>0.96809999999999996</v>
      </c>
      <c r="AG113" s="4">
        <f ca="1">-SUMIFS(INDIRECT("Tab_000.Trial["&amp;AG$4&amp;"]"),Tab_000.Trial[CONTA],$B113)</f>
        <v>-1028</v>
      </c>
      <c r="AH113" s="78">
        <f t="shared" ca="1" si="108"/>
        <v>-1.1000000000000001E-3</v>
      </c>
      <c r="AI113" s="78">
        <f t="shared" ca="1" si="109"/>
        <v>-2.0705</v>
      </c>
      <c r="AJ113" s="4">
        <f ca="1">-SUMIFS(INDIRECT("Tab_000.Trial["&amp;AJ$4&amp;"]"),Tab_000.Trial[CONTA],$B113)</f>
        <v>-50</v>
      </c>
      <c r="AK113" s="78">
        <f t="shared" ca="1" si="110"/>
        <v>0</v>
      </c>
      <c r="AL113" s="78">
        <f t="shared" ca="1" si="111"/>
        <v>0.95140000000000002</v>
      </c>
      <c r="AM113" s="142" t="s">
        <v>766</v>
      </c>
    </row>
    <row r="114" spans="2:39" ht="15" customHeight="1" outlineLevel="1" x14ac:dyDescent="0.3">
      <c r="B114" s="14" t="s">
        <v>501</v>
      </c>
      <c r="C114" s="14" t="s">
        <v>502</v>
      </c>
      <c r="D114" s="4">
        <f ca="1">-SUMIFS(INDIRECT("Tab_000.Trial["&amp;D$4&amp;"]"),Tab_000.Trial[CONTA],$B114)</f>
        <v>-2241.66</v>
      </c>
      <c r="E114" s="78">
        <f t="shared" ca="1" si="112"/>
        <v>-2.3999999999999998E-3</v>
      </c>
      <c r="F114" s="4">
        <f ca="1">-SUMIFS(INDIRECT("Tab_000.Trial["&amp;F$4&amp;"]"),Tab_000.Trial[CONTA],$B114)</f>
        <v>-213.22</v>
      </c>
      <c r="G114" s="78">
        <f t="shared" ca="1" si="91"/>
        <v>-2.0000000000000001E-4</v>
      </c>
      <c r="H114" s="78">
        <f t="shared" ca="1" si="113"/>
        <v>0.90490000000000004</v>
      </c>
      <c r="I114" s="4">
        <f ca="1">-SUMIFS(INDIRECT("Tab_000.Trial["&amp;I$4&amp;"]"),Tab_000.Trial[CONTA],$B114)</f>
        <v>-96.29</v>
      </c>
      <c r="J114" s="78">
        <f t="shared" ca="1" si="92"/>
        <v>-1E-4</v>
      </c>
      <c r="K114" s="78">
        <f t="shared" ca="1" si="93"/>
        <v>0.5484</v>
      </c>
      <c r="L114" s="4">
        <f ca="1">-SUMIFS(INDIRECT("Tab_000.Trial["&amp;L$4&amp;"]"),Tab_000.Trial[CONTA],$B114)</f>
        <v>-4810.78</v>
      </c>
      <c r="M114" s="78">
        <f t="shared" ca="1" si="94"/>
        <v>-4.3E-3</v>
      </c>
      <c r="N114" s="78">
        <f t="shared" ca="1" si="95"/>
        <v>-48.961399999999998</v>
      </c>
      <c r="O114" s="4">
        <f ca="1">-SUMIFS(INDIRECT("Tab_000.Trial["&amp;O$4&amp;"]"),Tab_000.Trial[CONTA],$B114)</f>
        <v>-115.5</v>
      </c>
      <c r="P114" s="78">
        <f t="shared" ca="1" si="114"/>
        <v>-1E-4</v>
      </c>
      <c r="Q114" s="78">
        <f t="shared" ca="1" si="115"/>
        <v>0.97599999999999998</v>
      </c>
      <c r="R114" s="4">
        <f ca="1">-SUMIFS(INDIRECT("Tab_000.Trial["&amp;R$4&amp;"]"),Tab_000.Trial[CONTA],$B114)</f>
        <v>-162.99</v>
      </c>
      <c r="S114" s="78">
        <f t="shared" ca="1" si="98"/>
        <v>-2.0000000000000001E-4</v>
      </c>
      <c r="T114" s="78">
        <f t="shared" ca="1" si="99"/>
        <v>-0.41120000000000001</v>
      </c>
      <c r="U114" s="4">
        <f ca="1">-SUMIFS(INDIRECT("Tab_000.Trial["&amp;U$4&amp;"]"),Tab_000.Trial[CONTA],$B114)</f>
        <v>-2024.25</v>
      </c>
      <c r="V114" s="78">
        <f t="shared" ca="1" si="100"/>
        <v>-1.9E-3</v>
      </c>
      <c r="W114" s="78">
        <f t="shared" ca="1" si="101"/>
        <v>-11.419499999999999</v>
      </c>
      <c r="X114" s="4">
        <f ca="1">-SUMIFS(INDIRECT("Tab_000.Trial["&amp;X$4&amp;"]"),Tab_000.Trial[CONTA],$B114)</f>
        <v>-755.33</v>
      </c>
      <c r="Y114" s="78">
        <f t="shared" ca="1" si="116"/>
        <v>-6.9999999999999999E-4</v>
      </c>
      <c r="Z114" s="78">
        <f t="shared" ca="1" si="117"/>
        <v>0.62690000000000001</v>
      </c>
      <c r="AA114" s="4">
        <f ca="1">-SUMIFS(INDIRECT("Tab_000.Trial["&amp;AA$4&amp;"]"),Tab_000.Trial[CONTA],$B114)</f>
        <v>-3976</v>
      </c>
      <c r="AB114" s="78">
        <f t="shared" ca="1" si="104"/>
        <v>-4.1000000000000003E-3</v>
      </c>
      <c r="AC114" s="78">
        <f t="shared" ca="1" si="105"/>
        <v>-4.2638999999999996</v>
      </c>
      <c r="AD114" s="4">
        <f ca="1">-SUMIFS(INDIRECT("Tab_000.Trial["&amp;AD$4&amp;"]"),Tab_000.Trial[CONTA],$B114)</f>
        <v>-166</v>
      </c>
      <c r="AE114" s="78">
        <f t="shared" ca="1" si="106"/>
        <v>-1E-4</v>
      </c>
      <c r="AF114" s="78">
        <f t="shared" ca="1" si="107"/>
        <v>0.95820000000000005</v>
      </c>
      <c r="AG114" s="4">
        <f ca="1">-SUMIFS(INDIRECT("Tab_000.Trial["&amp;AG$4&amp;"]"),Tab_000.Trial[CONTA],$B114)</f>
        <v>-449.18</v>
      </c>
      <c r="AH114" s="78">
        <f t="shared" ca="1" si="108"/>
        <v>-5.0000000000000001E-4</v>
      </c>
      <c r="AI114" s="78">
        <f t="shared" ca="1" si="109"/>
        <v>-1.7059</v>
      </c>
      <c r="AJ114" s="4">
        <f ca="1">-SUMIFS(INDIRECT("Tab_000.Trial["&amp;AJ$4&amp;"]"),Tab_000.Trial[CONTA],$B114)</f>
        <v>-24298</v>
      </c>
      <c r="AK114" s="78">
        <f t="shared" ca="1" si="110"/>
        <v>-1.6400000000000001E-2</v>
      </c>
      <c r="AL114" s="78">
        <f t="shared" ca="1" si="111"/>
        <v>-53.094099999999997</v>
      </c>
      <c r="AM114" s="142" t="s">
        <v>766</v>
      </c>
    </row>
    <row r="115" spans="2:39" ht="15" customHeight="1" outlineLevel="1" x14ac:dyDescent="0.3">
      <c r="B115" s="14" t="s">
        <v>507</v>
      </c>
      <c r="C115" s="14" t="s">
        <v>508</v>
      </c>
      <c r="D115" s="4">
        <f ca="1">-SUMIFS(INDIRECT("Tab_000.Trial["&amp;D$4&amp;"]"),Tab_000.Trial[CONTA],$B115)</f>
        <v>0</v>
      </c>
      <c r="E115" s="78">
        <f t="shared" ca="1" si="112"/>
        <v>0</v>
      </c>
      <c r="F115" s="4">
        <f ca="1">-SUMIFS(INDIRECT("Tab_000.Trial["&amp;F$4&amp;"]"),Tab_000.Trial[CONTA],$B115)</f>
        <v>0</v>
      </c>
      <c r="G115" s="78">
        <f t="shared" ca="1" si="91"/>
        <v>0</v>
      </c>
      <c r="H115" s="78">
        <f t="shared" ca="1" si="113"/>
        <v>0</v>
      </c>
      <c r="I115" s="4">
        <f ca="1">-SUMIFS(INDIRECT("Tab_000.Trial["&amp;I$4&amp;"]"),Tab_000.Trial[CONTA],$B115)</f>
        <v>0</v>
      </c>
      <c r="J115" s="78">
        <f t="shared" ca="1" si="92"/>
        <v>0</v>
      </c>
      <c r="K115" s="78">
        <f t="shared" ca="1" si="93"/>
        <v>0</v>
      </c>
      <c r="L115" s="4">
        <f ca="1">-SUMIFS(INDIRECT("Tab_000.Trial["&amp;L$4&amp;"]"),Tab_000.Trial[CONTA],$B115)</f>
        <v>0</v>
      </c>
      <c r="M115" s="78">
        <f t="shared" ca="1" si="94"/>
        <v>0</v>
      </c>
      <c r="N115" s="78">
        <f t="shared" ca="1" si="95"/>
        <v>0</v>
      </c>
      <c r="O115" s="4">
        <f ca="1">-SUMIFS(INDIRECT("Tab_000.Trial["&amp;O$4&amp;"]"),Tab_000.Trial[CONTA],$B115)</f>
        <v>0</v>
      </c>
      <c r="P115" s="78">
        <f t="shared" ca="1" si="114"/>
        <v>0</v>
      </c>
      <c r="Q115" s="78">
        <f t="shared" ca="1" si="115"/>
        <v>0</v>
      </c>
      <c r="R115" s="4">
        <f ca="1">-SUMIFS(INDIRECT("Tab_000.Trial["&amp;R$4&amp;"]"),Tab_000.Trial[CONTA],$B115)</f>
        <v>0</v>
      </c>
      <c r="S115" s="78">
        <f t="shared" ca="1" si="98"/>
        <v>0</v>
      </c>
      <c r="T115" s="78">
        <f t="shared" ca="1" si="99"/>
        <v>0</v>
      </c>
      <c r="U115" s="4">
        <f ca="1">-SUMIFS(INDIRECT("Tab_000.Trial["&amp;U$4&amp;"]"),Tab_000.Trial[CONTA],$B115)</f>
        <v>0</v>
      </c>
      <c r="V115" s="78">
        <f t="shared" ca="1" si="100"/>
        <v>0</v>
      </c>
      <c r="W115" s="78">
        <f t="shared" ca="1" si="101"/>
        <v>0</v>
      </c>
      <c r="X115" s="4">
        <f ca="1">-SUMIFS(INDIRECT("Tab_000.Trial["&amp;X$4&amp;"]"),Tab_000.Trial[CONTA],$B115)</f>
        <v>0</v>
      </c>
      <c r="Y115" s="78">
        <f t="shared" ca="1" si="116"/>
        <v>0</v>
      </c>
      <c r="Z115" s="78">
        <f t="shared" ca="1" si="117"/>
        <v>0</v>
      </c>
      <c r="AA115" s="4">
        <f ca="1">-SUMIFS(INDIRECT("Tab_000.Trial["&amp;AA$4&amp;"]"),Tab_000.Trial[CONTA],$B115)</f>
        <v>0</v>
      </c>
      <c r="AB115" s="78">
        <f t="shared" ca="1" si="104"/>
        <v>0</v>
      </c>
      <c r="AC115" s="78">
        <f t="shared" ca="1" si="105"/>
        <v>0</v>
      </c>
      <c r="AD115" s="4">
        <f ca="1">-SUMIFS(INDIRECT("Tab_000.Trial["&amp;AD$4&amp;"]"),Tab_000.Trial[CONTA],$B115)</f>
        <v>0</v>
      </c>
      <c r="AE115" s="78">
        <f t="shared" ca="1" si="106"/>
        <v>0</v>
      </c>
      <c r="AF115" s="78">
        <f t="shared" ca="1" si="107"/>
        <v>0</v>
      </c>
      <c r="AG115" s="4">
        <f ca="1">-SUMIFS(INDIRECT("Tab_000.Trial["&amp;AG$4&amp;"]"),Tab_000.Trial[CONTA],$B115)</f>
        <v>0</v>
      </c>
      <c r="AH115" s="78">
        <f t="shared" ca="1" si="108"/>
        <v>0</v>
      </c>
      <c r="AI115" s="78">
        <f t="shared" ca="1" si="109"/>
        <v>0</v>
      </c>
      <c r="AJ115" s="4">
        <f ca="1">-SUMIFS(INDIRECT("Tab_000.Trial["&amp;AJ$4&amp;"]"),Tab_000.Trial[CONTA],$B115)</f>
        <v>0</v>
      </c>
      <c r="AK115" s="78">
        <f t="shared" ca="1" si="110"/>
        <v>0</v>
      </c>
      <c r="AL115" s="78">
        <f t="shared" ca="1" si="111"/>
        <v>0</v>
      </c>
      <c r="AM115" s="142" t="s">
        <v>766</v>
      </c>
    </row>
    <row r="116" spans="2:39" ht="15" customHeight="1" outlineLevel="1" x14ac:dyDescent="0.3">
      <c r="B116" s="14" t="s">
        <v>509</v>
      </c>
      <c r="C116" s="14" t="s">
        <v>510</v>
      </c>
      <c r="D116" s="4">
        <f ca="1">-SUMIFS(INDIRECT("Tab_000.Trial["&amp;D$4&amp;"]"),Tab_000.Trial[CONTA],$B116)</f>
        <v>0</v>
      </c>
      <c r="E116" s="78">
        <f t="shared" ca="1" si="112"/>
        <v>0</v>
      </c>
      <c r="F116" s="4">
        <f ca="1">-SUMIFS(INDIRECT("Tab_000.Trial["&amp;F$4&amp;"]"),Tab_000.Trial[CONTA],$B116)</f>
        <v>0</v>
      </c>
      <c r="G116" s="78">
        <f t="shared" ca="1" si="91"/>
        <v>0</v>
      </c>
      <c r="H116" s="78">
        <f t="shared" ca="1" si="113"/>
        <v>0</v>
      </c>
      <c r="I116" s="4">
        <f ca="1">-SUMIFS(INDIRECT("Tab_000.Trial["&amp;I$4&amp;"]"),Tab_000.Trial[CONTA],$B116)</f>
        <v>0</v>
      </c>
      <c r="J116" s="78">
        <f t="shared" ca="1" si="92"/>
        <v>0</v>
      </c>
      <c r="K116" s="78">
        <f t="shared" ca="1" si="93"/>
        <v>0</v>
      </c>
      <c r="L116" s="4">
        <f ca="1">-SUMIFS(INDIRECT("Tab_000.Trial["&amp;L$4&amp;"]"),Tab_000.Trial[CONTA],$B116)</f>
        <v>0</v>
      </c>
      <c r="M116" s="78">
        <f t="shared" ca="1" si="94"/>
        <v>0</v>
      </c>
      <c r="N116" s="78">
        <f t="shared" ca="1" si="95"/>
        <v>0</v>
      </c>
      <c r="O116" s="4">
        <f ca="1">-SUMIFS(INDIRECT("Tab_000.Trial["&amp;O$4&amp;"]"),Tab_000.Trial[CONTA],$B116)</f>
        <v>0</v>
      </c>
      <c r="P116" s="78">
        <f t="shared" ca="1" si="114"/>
        <v>0</v>
      </c>
      <c r="Q116" s="78">
        <f t="shared" ca="1" si="115"/>
        <v>0</v>
      </c>
      <c r="R116" s="4">
        <f ca="1">-SUMIFS(INDIRECT("Tab_000.Trial["&amp;R$4&amp;"]"),Tab_000.Trial[CONTA],$B116)</f>
        <v>0</v>
      </c>
      <c r="S116" s="78">
        <f t="shared" ca="1" si="98"/>
        <v>0</v>
      </c>
      <c r="T116" s="78">
        <f t="shared" ca="1" si="99"/>
        <v>0</v>
      </c>
      <c r="U116" s="4">
        <f ca="1">-SUMIFS(INDIRECT("Tab_000.Trial["&amp;U$4&amp;"]"),Tab_000.Trial[CONTA],$B116)</f>
        <v>0</v>
      </c>
      <c r="V116" s="78">
        <f t="shared" ca="1" si="100"/>
        <v>0</v>
      </c>
      <c r="W116" s="78">
        <f t="shared" ca="1" si="101"/>
        <v>0</v>
      </c>
      <c r="X116" s="4">
        <f ca="1">-SUMIFS(INDIRECT("Tab_000.Trial["&amp;X$4&amp;"]"),Tab_000.Trial[CONTA],$B116)</f>
        <v>0</v>
      </c>
      <c r="Y116" s="78">
        <f t="shared" ca="1" si="116"/>
        <v>0</v>
      </c>
      <c r="Z116" s="78">
        <f t="shared" ca="1" si="117"/>
        <v>0</v>
      </c>
      <c r="AA116" s="4">
        <f ca="1">-SUMIFS(INDIRECT("Tab_000.Trial["&amp;AA$4&amp;"]"),Tab_000.Trial[CONTA],$B116)</f>
        <v>0</v>
      </c>
      <c r="AB116" s="78">
        <f t="shared" ca="1" si="104"/>
        <v>0</v>
      </c>
      <c r="AC116" s="78">
        <f t="shared" ca="1" si="105"/>
        <v>0</v>
      </c>
      <c r="AD116" s="4">
        <f ca="1">-SUMIFS(INDIRECT("Tab_000.Trial["&amp;AD$4&amp;"]"),Tab_000.Trial[CONTA],$B116)</f>
        <v>0</v>
      </c>
      <c r="AE116" s="78">
        <f t="shared" ca="1" si="106"/>
        <v>0</v>
      </c>
      <c r="AF116" s="78">
        <f t="shared" ca="1" si="107"/>
        <v>0</v>
      </c>
      <c r="AG116" s="4">
        <f ca="1">-SUMIFS(INDIRECT("Tab_000.Trial["&amp;AG$4&amp;"]"),Tab_000.Trial[CONTA],$B116)</f>
        <v>0</v>
      </c>
      <c r="AH116" s="78">
        <f t="shared" ca="1" si="108"/>
        <v>0</v>
      </c>
      <c r="AI116" s="78">
        <f t="shared" ca="1" si="109"/>
        <v>0</v>
      </c>
      <c r="AJ116" s="4">
        <f ca="1">-SUMIFS(INDIRECT("Tab_000.Trial["&amp;AJ$4&amp;"]"),Tab_000.Trial[CONTA],$B116)</f>
        <v>0</v>
      </c>
      <c r="AK116" s="78">
        <f t="shared" ca="1" si="110"/>
        <v>0</v>
      </c>
      <c r="AL116" s="78">
        <f t="shared" ca="1" si="111"/>
        <v>0</v>
      </c>
      <c r="AM116" s="142" t="s">
        <v>766</v>
      </c>
    </row>
    <row r="117" spans="2:39" ht="15" customHeight="1" outlineLevel="1" x14ac:dyDescent="0.3">
      <c r="B117" s="194" t="s">
        <v>511</v>
      </c>
      <c r="C117" s="194" t="s">
        <v>512</v>
      </c>
      <c r="D117" s="4">
        <f ca="1">-SUMIFS(INDIRECT("Tab_000.Trial["&amp;D$4&amp;"]"),Tab_000.Trial[CONTA],$B117)</f>
        <v>-2260.8200000000002</v>
      </c>
      <c r="E117" s="78">
        <f t="shared" ca="1" si="112"/>
        <v>-2.3999999999999998E-3</v>
      </c>
      <c r="F117" s="4">
        <f ca="1">-SUMIFS(INDIRECT("Tab_000.Trial["&amp;F$4&amp;"]"),Tab_000.Trial[CONTA],$B117)</f>
        <v>-2755.8</v>
      </c>
      <c r="G117" s="78">
        <f t="shared" ca="1" si="91"/>
        <v>-2.8E-3</v>
      </c>
      <c r="H117" s="78">
        <f t="shared" ca="1" si="113"/>
        <v>-0.21890000000000001</v>
      </c>
      <c r="I117" s="4">
        <f ca="1">-SUMIFS(INDIRECT("Tab_000.Trial["&amp;I$4&amp;"]"),Tab_000.Trial[CONTA],$B117)</f>
        <v>-2497.5</v>
      </c>
      <c r="J117" s="78">
        <f t="shared" ca="1" si="92"/>
        <v>-2.3999999999999998E-3</v>
      </c>
      <c r="K117" s="78">
        <f t="shared" ca="1" si="93"/>
        <v>9.3700000000000006E-2</v>
      </c>
      <c r="L117" s="4">
        <f ca="1">-SUMIFS(INDIRECT("Tab_000.Trial["&amp;L$4&amp;"]"),Tab_000.Trial[CONTA],$B117)</f>
        <v>-2716.14</v>
      </c>
      <c r="M117" s="78">
        <f t="shared" ca="1" si="94"/>
        <v>-2.5000000000000001E-3</v>
      </c>
      <c r="N117" s="78">
        <f t="shared" ca="1" si="95"/>
        <v>-8.7499999999999994E-2</v>
      </c>
      <c r="O117" s="4">
        <f ca="1">-SUMIFS(INDIRECT("Tab_000.Trial["&amp;O$4&amp;"]"),Tab_000.Trial[CONTA],$B117)</f>
        <v>-2582.0300000000002</v>
      </c>
      <c r="P117" s="78">
        <f t="shared" ca="1" si="114"/>
        <v>-2.0999999999999999E-3</v>
      </c>
      <c r="Q117" s="78">
        <f t="shared" ca="1" si="115"/>
        <v>4.9399999999999999E-2</v>
      </c>
      <c r="R117" s="4">
        <f ca="1">-SUMIFS(INDIRECT("Tab_000.Trial["&amp;R$4&amp;"]"),Tab_000.Trial[CONTA],$B117)</f>
        <v>-2651.27</v>
      </c>
      <c r="S117" s="78">
        <f t="shared" ca="1" si="98"/>
        <v>-2.5999999999999999E-3</v>
      </c>
      <c r="T117" s="78">
        <f t="shared" ca="1" si="99"/>
        <v>-2.6800000000000001E-2</v>
      </c>
      <c r="U117" s="4">
        <f ca="1">-SUMIFS(INDIRECT("Tab_000.Trial["&amp;U$4&amp;"]"),Tab_000.Trial[CONTA],$B117)</f>
        <v>-2592.38</v>
      </c>
      <c r="V117" s="78">
        <f t="shared" ca="1" si="100"/>
        <v>-2.3999999999999998E-3</v>
      </c>
      <c r="W117" s="78">
        <f t="shared" ca="1" si="101"/>
        <v>2.2200000000000001E-2</v>
      </c>
      <c r="X117" s="4">
        <f ca="1">-SUMIFS(INDIRECT("Tab_000.Trial["&amp;X$4&amp;"]"),Tab_000.Trial[CONTA],$B117)</f>
        <v>-2906.29</v>
      </c>
      <c r="Y117" s="78">
        <f t="shared" ca="1" si="116"/>
        <v>-2.8E-3</v>
      </c>
      <c r="Z117" s="78">
        <f t="shared" ca="1" si="117"/>
        <v>-0.1211</v>
      </c>
      <c r="AA117" s="4">
        <f ca="1">-SUMIFS(INDIRECT("Tab_000.Trial["&amp;AA$4&amp;"]"),Tab_000.Trial[CONTA],$B117)</f>
        <v>-2752.18</v>
      </c>
      <c r="AB117" s="78">
        <f t="shared" ca="1" si="104"/>
        <v>-2.8E-3</v>
      </c>
      <c r="AC117" s="78">
        <f t="shared" ca="1" si="105"/>
        <v>5.2999999999999999E-2</v>
      </c>
      <c r="AD117" s="4">
        <f ca="1">-SUMIFS(INDIRECT("Tab_000.Trial["&amp;AD$4&amp;"]"),Tab_000.Trial[CONTA],$B117)</f>
        <v>-3235.8</v>
      </c>
      <c r="AE117" s="78">
        <f t="shared" ca="1" si="106"/>
        <v>-2.5999999999999999E-3</v>
      </c>
      <c r="AF117" s="78">
        <f t="shared" ca="1" si="107"/>
        <v>-0.1757</v>
      </c>
      <c r="AG117" s="4">
        <f ca="1">-SUMIFS(INDIRECT("Tab_000.Trial["&amp;AG$4&amp;"]"),Tab_000.Trial[CONTA],$B117)</f>
        <v>-2261.4699999999998</v>
      </c>
      <c r="AH117" s="78">
        <f t="shared" ca="1" si="108"/>
        <v>-2.5000000000000001E-3</v>
      </c>
      <c r="AI117" s="78">
        <f t="shared" ca="1" si="109"/>
        <v>0.30109999999999998</v>
      </c>
      <c r="AJ117" s="4">
        <f ca="1">-SUMIFS(INDIRECT("Tab_000.Trial["&amp;AJ$4&amp;"]"),Tab_000.Trial[CONTA],$B117)</f>
        <v>-2708.67</v>
      </c>
      <c r="AK117" s="78">
        <f t="shared" ca="1" si="110"/>
        <v>-1.8E-3</v>
      </c>
      <c r="AL117" s="78">
        <f t="shared" ca="1" si="111"/>
        <v>-0.19769999999999999</v>
      </c>
      <c r="AM117" s="142" t="s">
        <v>766</v>
      </c>
    </row>
    <row r="118" spans="2:39" ht="15" customHeight="1" outlineLevel="1" x14ac:dyDescent="0.3">
      <c r="B118" s="14" t="s">
        <v>513</v>
      </c>
      <c r="C118" s="14" t="s">
        <v>514</v>
      </c>
      <c r="D118" s="4">
        <f ca="1">-SUMIFS(INDIRECT("Tab_000.Trial["&amp;D$4&amp;"]"),Tab_000.Trial[CONTA],$B118)</f>
        <v>0</v>
      </c>
      <c r="E118" s="78">
        <f t="shared" ca="1" si="112"/>
        <v>0</v>
      </c>
      <c r="F118" s="4">
        <f ca="1">-SUMIFS(INDIRECT("Tab_000.Trial["&amp;F$4&amp;"]"),Tab_000.Trial[CONTA],$B118)</f>
        <v>0</v>
      </c>
      <c r="G118" s="78">
        <f t="shared" ca="1" si="91"/>
        <v>0</v>
      </c>
      <c r="H118" s="78">
        <f t="shared" ca="1" si="113"/>
        <v>0</v>
      </c>
      <c r="I118" s="4">
        <f ca="1">-SUMIFS(INDIRECT("Tab_000.Trial["&amp;I$4&amp;"]"),Tab_000.Trial[CONTA],$B118)</f>
        <v>0</v>
      </c>
      <c r="J118" s="78">
        <f t="shared" ca="1" si="92"/>
        <v>0</v>
      </c>
      <c r="K118" s="78">
        <f t="shared" ca="1" si="93"/>
        <v>0</v>
      </c>
      <c r="L118" s="4">
        <f ca="1">-SUMIFS(INDIRECT("Tab_000.Trial["&amp;L$4&amp;"]"),Tab_000.Trial[CONTA],$B118)</f>
        <v>0</v>
      </c>
      <c r="M118" s="78">
        <f t="shared" ca="1" si="94"/>
        <v>0</v>
      </c>
      <c r="N118" s="78">
        <f t="shared" ca="1" si="95"/>
        <v>0</v>
      </c>
      <c r="O118" s="4">
        <f ca="1">-SUMIFS(INDIRECT("Tab_000.Trial["&amp;O$4&amp;"]"),Tab_000.Trial[CONTA],$B118)</f>
        <v>0</v>
      </c>
      <c r="P118" s="78">
        <f t="shared" ca="1" si="114"/>
        <v>0</v>
      </c>
      <c r="Q118" s="78">
        <f t="shared" ca="1" si="115"/>
        <v>0</v>
      </c>
      <c r="R118" s="4">
        <f ca="1">-SUMIFS(INDIRECT("Tab_000.Trial["&amp;R$4&amp;"]"),Tab_000.Trial[CONTA],$B118)</f>
        <v>0</v>
      </c>
      <c r="S118" s="78">
        <f t="shared" ca="1" si="98"/>
        <v>0</v>
      </c>
      <c r="T118" s="78">
        <f t="shared" ca="1" si="99"/>
        <v>0</v>
      </c>
      <c r="U118" s="4">
        <f ca="1">-SUMIFS(INDIRECT("Tab_000.Trial["&amp;U$4&amp;"]"),Tab_000.Trial[CONTA],$B118)</f>
        <v>0</v>
      </c>
      <c r="V118" s="78">
        <f t="shared" ca="1" si="100"/>
        <v>0</v>
      </c>
      <c r="W118" s="78">
        <f t="shared" ca="1" si="101"/>
        <v>0</v>
      </c>
      <c r="X118" s="4">
        <f ca="1">-SUMIFS(INDIRECT("Tab_000.Trial["&amp;X$4&amp;"]"),Tab_000.Trial[CONTA],$B118)</f>
        <v>0</v>
      </c>
      <c r="Y118" s="78">
        <f t="shared" ca="1" si="116"/>
        <v>0</v>
      </c>
      <c r="Z118" s="78">
        <f t="shared" ca="1" si="117"/>
        <v>0</v>
      </c>
      <c r="AA118" s="4">
        <f ca="1">-SUMIFS(INDIRECT("Tab_000.Trial["&amp;AA$4&amp;"]"),Tab_000.Trial[CONTA],$B118)</f>
        <v>0</v>
      </c>
      <c r="AB118" s="78">
        <f t="shared" ca="1" si="104"/>
        <v>0</v>
      </c>
      <c r="AC118" s="78">
        <f t="shared" ca="1" si="105"/>
        <v>0</v>
      </c>
      <c r="AD118" s="4">
        <f ca="1">-SUMIFS(INDIRECT("Tab_000.Trial["&amp;AD$4&amp;"]"),Tab_000.Trial[CONTA],$B118)</f>
        <v>0</v>
      </c>
      <c r="AE118" s="78">
        <f t="shared" ca="1" si="106"/>
        <v>0</v>
      </c>
      <c r="AF118" s="78">
        <f t="shared" ca="1" si="107"/>
        <v>0</v>
      </c>
      <c r="AG118" s="4">
        <f ca="1">-SUMIFS(INDIRECT("Tab_000.Trial["&amp;AG$4&amp;"]"),Tab_000.Trial[CONTA],$B118)</f>
        <v>0</v>
      </c>
      <c r="AH118" s="78">
        <f t="shared" ca="1" si="108"/>
        <v>0</v>
      </c>
      <c r="AI118" s="78">
        <f t="shared" ca="1" si="109"/>
        <v>0</v>
      </c>
      <c r="AJ118" s="4">
        <f ca="1">-SUMIFS(INDIRECT("Tab_000.Trial["&amp;AJ$4&amp;"]"),Tab_000.Trial[CONTA],$B118)</f>
        <v>0</v>
      </c>
      <c r="AK118" s="78">
        <f t="shared" ca="1" si="110"/>
        <v>0</v>
      </c>
      <c r="AL118" s="78">
        <f t="shared" ca="1" si="111"/>
        <v>0</v>
      </c>
      <c r="AM118" s="142" t="s">
        <v>766</v>
      </c>
    </row>
    <row r="119" spans="2:39" ht="15" customHeight="1" outlineLevel="1" x14ac:dyDescent="0.3">
      <c r="B119" s="14" t="s">
        <v>515</v>
      </c>
      <c r="C119" s="14" t="s">
        <v>420</v>
      </c>
      <c r="D119" s="4">
        <f ca="1">-SUMIFS(INDIRECT("Tab_000.Trial["&amp;D$4&amp;"]"),Tab_000.Trial[CONTA],$B119)</f>
        <v>-1716.83</v>
      </c>
      <c r="E119" s="78">
        <f t="shared" ca="1" si="112"/>
        <v>-1.8E-3</v>
      </c>
      <c r="F119" s="4">
        <f ca="1">-SUMIFS(INDIRECT("Tab_000.Trial["&amp;F$4&amp;"]"),Tab_000.Trial[CONTA],$B119)</f>
        <v>-1642.61</v>
      </c>
      <c r="G119" s="78">
        <f t="shared" ca="1" si="91"/>
        <v>-1.6999999999999999E-3</v>
      </c>
      <c r="H119" s="78">
        <f t="shared" ca="1" si="113"/>
        <v>4.3200000000000002E-2</v>
      </c>
      <c r="I119" s="4">
        <f ca="1">-SUMIFS(INDIRECT("Tab_000.Trial["&amp;I$4&amp;"]"),Tab_000.Trial[CONTA],$B119)</f>
        <v>-1624.03</v>
      </c>
      <c r="J119" s="78">
        <f t="shared" ca="1" si="92"/>
        <v>-1.5E-3</v>
      </c>
      <c r="K119" s="78">
        <f t="shared" ca="1" si="93"/>
        <v>1.1299999999999999E-2</v>
      </c>
      <c r="L119" s="4">
        <f ca="1">-SUMIFS(INDIRECT("Tab_000.Trial["&amp;L$4&amp;"]"),Tab_000.Trial[CONTA],$B119)</f>
        <v>-12885.31</v>
      </c>
      <c r="M119" s="78">
        <f t="shared" ca="1" si="94"/>
        <v>-1.1599999999999999E-2</v>
      </c>
      <c r="N119" s="78">
        <f t="shared" ca="1" si="95"/>
        <v>-6.9341999999999997</v>
      </c>
      <c r="O119" s="4">
        <f ca="1">-SUMIFS(INDIRECT("Tab_000.Trial["&amp;O$4&amp;"]"),Tab_000.Trial[CONTA],$B119)</f>
        <v>-1634.35</v>
      </c>
      <c r="P119" s="78">
        <f t="shared" ca="1" si="114"/>
        <v>-1.2999999999999999E-3</v>
      </c>
      <c r="Q119" s="78">
        <f t="shared" ca="1" si="115"/>
        <v>0.87319999999999998</v>
      </c>
      <c r="R119" s="4">
        <f ca="1">-SUMIFS(INDIRECT("Tab_000.Trial["&amp;R$4&amp;"]"),Tab_000.Trial[CONTA],$B119)</f>
        <v>-1703.21</v>
      </c>
      <c r="S119" s="78">
        <f t="shared" ca="1" si="98"/>
        <v>-1.6999999999999999E-3</v>
      </c>
      <c r="T119" s="78">
        <f t="shared" ca="1" si="99"/>
        <v>-4.2099999999999999E-2</v>
      </c>
      <c r="U119" s="4">
        <f ca="1">-SUMIFS(INDIRECT("Tab_000.Trial["&amp;U$4&amp;"]"),Tab_000.Trial[CONTA],$B119)</f>
        <v>-1482.86</v>
      </c>
      <c r="V119" s="78">
        <f t="shared" ca="1" si="100"/>
        <v>-1.4E-3</v>
      </c>
      <c r="W119" s="78">
        <f t="shared" ca="1" si="101"/>
        <v>0.12939999999999999</v>
      </c>
      <c r="X119" s="4">
        <f ca="1">-SUMIFS(INDIRECT("Tab_000.Trial["&amp;X$4&amp;"]"),Tab_000.Trial[CONTA],$B119)</f>
        <v>-1633.37</v>
      </c>
      <c r="Y119" s="78">
        <f t="shared" ca="1" si="116"/>
        <v>-1.6000000000000001E-3</v>
      </c>
      <c r="Z119" s="78">
        <f t="shared" ca="1" si="117"/>
        <v>-0.10150000000000001</v>
      </c>
      <c r="AA119" s="4">
        <f ca="1">-SUMIFS(INDIRECT("Tab_000.Trial["&amp;AA$4&amp;"]"),Tab_000.Trial[CONTA],$B119)</f>
        <v>-1673.81</v>
      </c>
      <c r="AB119" s="78">
        <f t="shared" ca="1" si="104"/>
        <v>-1.6999999999999999E-3</v>
      </c>
      <c r="AC119" s="78">
        <f t="shared" ca="1" si="105"/>
        <v>-2.4799999999999999E-2</v>
      </c>
      <c r="AD119" s="4">
        <f ca="1">-SUMIFS(INDIRECT("Tab_000.Trial["&amp;AD$4&amp;"]"),Tab_000.Trial[CONTA],$B119)</f>
        <v>-3113.73</v>
      </c>
      <c r="AE119" s="78">
        <f t="shared" ca="1" si="106"/>
        <v>-2.5000000000000001E-3</v>
      </c>
      <c r="AF119" s="78">
        <f t="shared" ca="1" si="107"/>
        <v>-0.86029999999999995</v>
      </c>
      <c r="AG119" s="4">
        <f ca="1">-SUMIFS(INDIRECT("Tab_000.Trial["&amp;AG$4&amp;"]"),Tab_000.Trial[CONTA],$B119)</f>
        <v>-1898.53</v>
      </c>
      <c r="AH119" s="78">
        <f t="shared" ca="1" si="108"/>
        <v>-2.0999999999999999E-3</v>
      </c>
      <c r="AI119" s="78">
        <f t="shared" ca="1" si="109"/>
        <v>0.39029999999999998</v>
      </c>
      <c r="AJ119" s="4">
        <f ca="1">-SUMIFS(INDIRECT("Tab_000.Trial["&amp;AJ$4&amp;"]"),Tab_000.Trial[CONTA],$B119)</f>
        <v>-2374.71</v>
      </c>
      <c r="AK119" s="78">
        <f t="shared" ca="1" si="110"/>
        <v>-1.6000000000000001E-3</v>
      </c>
      <c r="AL119" s="78">
        <f t="shared" ca="1" si="111"/>
        <v>-0.25080000000000002</v>
      </c>
      <c r="AM119" s="142" t="s">
        <v>766</v>
      </c>
    </row>
    <row r="120" spans="2:39" ht="15" customHeight="1" outlineLevel="1" x14ac:dyDescent="0.3">
      <c r="B120" s="14" t="s">
        <v>516</v>
      </c>
      <c r="C120" s="14" t="s">
        <v>517</v>
      </c>
      <c r="D120" s="4">
        <f ca="1">-SUMIFS(INDIRECT("Tab_000.Trial["&amp;D$4&amp;"]"),Tab_000.Trial[CONTA],$B120)</f>
        <v>0</v>
      </c>
      <c r="E120" s="78">
        <f t="shared" ca="1" si="112"/>
        <v>0</v>
      </c>
      <c r="F120" s="4">
        <f ca="1">-SUMIFS(INDIRECT("Tab_000.Trial["&amp;F$4&amp;"]"),Tab_000.Trial[CONTA],$B120)</f>
        <v>0</v>
      </c>
      <c r="G120" s="78">
        <f t="shared" ca="1" si="91"/>
        <v>0</v>
      </c>
      <c r="H120" s="78">
        <f t="shared" ca="1" si="113"/>
        <v>0</v>
      </c>
      <c r="I120" s="4">
        <f ca="1">-SUMIFS(INDIRECT("Tab_000.Trial["&amp;I$4&amp;"]"),Tab_000.Trial[CONTA],$B120)</f>
        <v>0</v>
      </c>
      <c r="J120" s="78">
        <f t="shared" ca="1" si="92"/>
        <v>0</v>
      </c>
      <c r="K120" s="78">
        <f t="shared" ca="1" si="93"/>
        <v>0</v>
      </c>
      <c r="L120" s="4">
        <f ca="1">-SUMIFS(INDIRECT("Tab_000.Trial["&amp;L$4&amp;"]"),Tab_000.Trial[CONTA],$B120)</f>
        <v>0</v>
      </c>
      <c r="M120" s="78">
        <f t="shared" ca="1" si="94"/>
        <v>0</v>
      </c>
      <c r="N120" s="78">
        <f t="shared" ca="1" si="95"/>
        <v>0</v>
      </c>
      <c r="O120" s="4">
        <f ca="1">-SUMIFS(INDIRECT("Tab_000.Trial["&amp;O$4&amp;"]"),Tab_000.Trial[CONTA],$B120)</f>
        <v>0</v>
      </c>
      <c r="P120" s="78">
        <f t="shared" ca="1" si="114"/>
        <v>0</v>
      </c>
      <c r="Q120" s="78">
        <f t="shared" ca="1" si="115"/>
        <v>0</v>
      </c>
      <c r="R120" s="4">
        <f ca="1">-SUMIFS(INDIRECT("Tab_000.Trial["&amp;R$4&amp;"]"),Tab_000.Trial[CONTA],$B120)</f>
        <v>0</v>
      </c>
      <c r="S120" s="78">
        <f t="shared" ca="1" si="98"/>
        <v>0</v>
      </c>
      <c r="T120" s="78">
        <f t="shared" ca="1" si="99"/>
        <v>0</v>
      </c>
      <c r="U120" s="4">
        <f ca="1">-SUMIFS(INDIRECT("Tab_000.Trial["&amp;U$4&amp;"]"),Tab_000.Trial[CONTA],$B120)</f>
        <v>0</v>
      </c>
      <c r="V120" s="78">
        <f t="shared" ca="1" si="100"/>
        <v>0</v>
      </c>
      <c r="W120" s="78">
        <f t="shared" ca="1" si="101"/>
        <v>0</v>
      </c>
      <c r="X120" s="4">
        <f ca="1">-SUMIFS(INDIRECT("Tab_000.Trial["&amp;X$4&amp;"]"),Tab_000.Trial[CONTA],$B120)</f>
        <v>0</v>
      </c>
      <c r="Y120" s="78">
        <f t="shared" ca="1" si="116"/>
        <v>0</v>
      </c>
      <c r="Z120" s="78">
        <f t="shared" ca="1" si="117"/>
        <v>0</v>
      </c>
      <c r="AA120" s="4">
        <f ca="1">-SUMIFS(INDIRECT("Tab_000.Trial["&amp;AA$4&amp;"]"),Tab_000.Trial[CONTA],$B120)</f>
        <v>0</v>
      </c>
      <c r="AB120" s="78">
        <f t="shared" ca="1" si="104"/>
        <v>0</v>
      </c>
      <c r="AC120" s="78">
        <f t="shared" ca="1" si="105"/>
        <v>0</v>
      </c>
      <c r="AD120" s="4">
        <f ca="1">-SUMIFS(INDIRECT("Tab_000.Trial["&amp;AD$4&amp;"]"),Tab_000.Trial[CONTA],$B120)</f>
        <v>0</v>
      </c>
      <c r="AE120" s="78">
        <f t="shared" ca="1" si="106"/>
        <v>0</v>
      </c>
      <c r="AF120" s="78">
        <f t="shared" ca="1" si="107"/>
        <v>0</v>
      </c>
      <c r="AG120" s="4">
        <f ca="1">-SUMIFS(INDIRECT("Tab_000.Trial["&amp;AG$4&amp;"]"),Tab_000.Trial[CONTA],$B120)</f>
        <v>0</v>
      </c>
      <c r="AH120" s="78">
        <f t="shared" ca="1" si="108"/>
        <v>0</v>
      </c>
      <c r="AI120" s="78">
        <f t="shared" ca="1" si="109"/>
        <v>0</v>
      </c>
      <c r="AJ120" s="4">
        <f ca="1">-SUMIFS(INDIRECT("Tab_000.Trial["&amp;AJ$4&amp;"]"),Tab_000.Trial[CONTA],$B120)</f>
        <v>0</v>
      </c>
      <c r="AK120" s="78">
        <f t="shared" ca="1" si="110"/>
        <v>0</v>
      </c>
      <c r="AL120" s="78">
        <f t="shared" ca="1" si="111"/>
        <v>0</v>
      </c>
      <c r="AM120" s="142" t="s">
        <v>766</v>
      </c>
    </row>
    <row r="121" spans="2:39" ht="15" customHeight="1" outlineLevel="1" x14ac:dyDescent="0.3">
      <c r="B121" s="14" t="s">
        <v>518</v>
      </c>
      <c r="C121" s="14" t="s">
        <v>519</v>
      </c>
      <c r="D121" s="4">
        <f ca="1">-SUMIFS(INDIRECT("Tab_000.Trial["&amp;D$4&amp;"]"),Tab_000.Trial[CONTA],$B121)</f>
        <v>-1467.2</v>
      </c>
      <c r="E121" s="78">
        <f t="shared" ca="1" si="112"/>
        <v>-1.5E-3</v>
      </c>
      <c r="F121" s="4">
        <f ca="1">-SUMIFS(INDIRECT("Tab_000.Trial["&amp;F$4&amp;"]"),Tab_000.Trial[CONTA],$B121)</f>
        <v>-1901.38</v>
      </c>
      <c r="G121" s="78">
        <f t="shared" ca="1" si="91"/>
        <v>-1.9E-3</v>
      </c>
      <c r="H121" s="78">
        <f t="shared" ca="1" si="113"/>
        <v>-0.2959</v>
      </c>
      <c r="I121" s="4">
        <f ca="1">-SUMIFS(INDIRECT("Tab_000.Trial["&amp;I$4&amp;"]"),Tab_000.Trial[CONTA],$B121)</f>
        <v>-1291.93</v>
      </c>
      <c r="J121" s="78">
        <f t="shared" ca="1" si="92"/>
        <v>-1.1999999999999999E-3</v>
      </c>
      <c r="K121" s="78">
        <f t="shared" ca="1" si="93"/>
        <v>0.32050000000000001</v>
      </c>
      <c r="L121" s="4">
        <f ca="1">-SUMIFS(INDIRECT("Tab_000.Trial["&amp;L$4&amp;"]"),Tab_000.Trial[CONTA],$B121)</f>
        <v>-2476.92</v>
      </c>
      <c r="M121" s="78">
        <f t="shared" ca="1" si="94"/>
        <v>-2.2000000000000001E-3</v>
      </c>
      <c r="N121" s="78">
        <f t="shared" ca="1" si="95"/>
        <v>-0.91720000000000002</v>
      </c>
      <c r="O121" s="4">
        <f ca="1">-SUMIFS(INDIRECT("Tab_000.Trial["&amp;O$4&amp;"]"),Tab_000.Trial[CONTA],$B121)</f>
        <v>-1451.38</v>
      </c>
      <c r="P121" s="78">
        <f t="shared" ca="1" si="114"/>
        <v>-1.1999999999999999E-3</v>
      </c>
      <c r="Q121" s="78">
        <f t="shared" ca="1" si="115"/>
        <v>0.41399999999999998</v>
      </c>
      <c r="R121" s="4">
        <f ca="1">-SUMIFS(INDIRECT("Tab_000.Trial["&amp;R$4&amp;"]"),Tab_000.Trial[CONTA],$B121)</f>
        <v>-1291.92</v>
      </c>
      <c r="S121" s="78">
        <f t="shared" ca="1" si="98"/>
        <v>-1.2999999999999999E-3</v>
      </c>
      <c r="T121" s="78">
        <f t="shared" ca="1" si="99"/>
        <v>0.1099</v>
      </c>
      <c r="U121" s="4">
        <f ca="1">-SUMIFS(INDIRECT("Tab_000.Trial["&amp;U$4&amp;"]"),Tab_000.Trial[CONTA],$B121)</f>
        <v>-1860.58</v>
      </c>
      <c r="V121" s="78">
        <f t="shared" ca="1" si="100"/>
        <v>-1.6999999999999999E-3</v>
      </c>
      <c r="W121" s="78">
        <f t="shared" ca="1" si="101"/>
        <v>-0.44019999999999998</v>
      </c>
      <c r="X121" s="4">
        <f ca="1">-SUMIFS(INDIRECT("Tab_000.Trial["&amp;X$4&amp;"]"),Tab_000.Trial[CONTA],$B121)</f>
        <v>-1309.06</v>
      </c>
      <c r="Y121" s="78">
        <f t="shared" ca="1" si="116"/>
        <v>-1.2999999999999999E-3</v>
      </c>
      <c r="Z121" s="78">
        <f t="shared" ca="1" si="117"/>
        <v>0.2964</v>
      </c>
      <c r="AA121" s="4">
        <f ca="1">-SUMIFS(INDIRECT("Tab_000.Trial["&amp;AA$4&amp;"]"),Tab_000.Trial[CONTA],$B121)</f>
        <v>-1263.6300000000001</v>
      </c>
      <c r="AB121" s="78">
        <f t="shared" ca="1" si="104"/>
        <v>-1.2999999999999999E-3</v>
      </c>
      <c r="AC121" s="78">
        <f t="shared" ca="1" si="105"/>
        <v>3.4700000000000002E-2</v>
      </c>
      <c r="AD121" s="4">
        <f ca="1">-SUMIFS(INDIRECT("Tab_000.Trial["&amp;AD$4&amp;"]"),Tab_000.Trial[CONTA],$B121)</f>
        <v>-12142.14</v>
      </c>
      <c r="AE121" s="78">
        <f t="shared" ca="1" si="106"/>
        <v>-9.7999999999999997E-3</v>
      </c>
      <c r="AF121" s="78">
        <f t="shared" ca="1" si="107"/>
        <v>-8.6089000000000002</v>
      </c>
      <c r="AG121" s="4">
        <f ca="1">-SUMIFS(INDIRECT("Tab_000.Trial["&amp;AG$4&amp;"]"),Tab_000.Trial[CONTA],$B121)</f>
        <v>-1164.04</v>
      </c>
      <c r="AH121" s="78">
        <f t="shared" ca="1" si="108"/>
        <v>-1.2999999999999999E-3</v>
      </c>
      <c r="AI121" s="78">
        <f t="shared" ca="1" si="109"/>
        <v>0.90410000000000001</v>
      </c>
      <c r="AJ121" s="4">
        <f ca="1">-SUMIFS(INDIRECT("Tab_000.Trial["&amp;AJ$4&amp;"]"),Tab_000.Trial[CONTA],$B121)</f>
        <v>-879.34</v>
      </c>
      <c r="AK121" s="78">
        <f t="shared" ca="1" si="110"/>
        <v>-5.9999999999999995E-4</v>
      </c>
      <c r="AL121" s="78">
        <f t="shared" ca="1" si="111"/>
        <v>0.24460000000000001</v>
      </c>
      <c r="AM121" s="142" t="s">
        <v>766</v>
      </c>
    </row>
    <row r="122" spans="2:39" ht="15" customHeight="1" outlineLevel="1" x14ac:dyDescent="0.3">
      <c r="B122" s="193" t="s">
        <v>528</v>
      </c>
      <c r="C122" s="193" t="s">
        <v>416</v>
      </c>
      <c r="D122" s="4">
        <f ca="1">-SUMIFS(INDIRECT("Tab_000.Trial["&amp;D$4&amp;"]"),Tab_000.Trial[CONTA],$B122)</f>
        <v>-100.59</v>
      </c>
      <c r="E122" s="78">
        <f t="shared" ca="1" si="112"/>
        <v>-1E-4</v>
      </c>
      <c r="F122" s="4">
        <f ca="1">-SUMIFS(INDIRECT("Tab_000.Trial["&amp;F$4&amp;"]"),Tab_000.Trial[CONTA],$B122)</f>
        <v>-49.87</v>
      </c>
      <c r="G122" s="78">
        <f t="shared" ca="1" si="91"/>
        <v>-1E-4</v>
      </c>
      <c r="H122" s="78">
        <f t="shared" ca="1" si="113"/>
        <v>0.50419999999999998</v>
      </c>
      <c r="I122" s="4">
        <f ca="1">-SUMIFS(INDIRECT("Tab_000.Trial["&amp;I$4&amp;"]"),Tab_000.Trial[CONTA],$B122)</f>
        <v>-199.18</v>
      </c>
      <c r="J122" s="78">
        <f t="shared" ca="1" si="92"/>
        <v>-2.0000000000000001E-4</v>
      </c>
      <c r="K122" s="78">
        <f t="shared" ca="1" si="93"/>
        <v>-2.9940000000000002</v>
      </c>
      <c r="L122" s="4">
        <f ca="1">-SUMIFS(INDIRECT("Tab_000.Trial["&amp;L$4&amp;"]"),Tab_000.Trial[CONTA],$B122)</f>
        <v>-50</v>
      </c>
      <c r="M122" s="78">
        <f t="shared" ca="1" si="94"/>
        <v>0</v>
      </c>
      <c r="N122" s="78">
        <f t="shared" ca="1" si="95"/>
        <v>0.749</v>
      </c>
      <c r="O122" s="4">
        <f ca="1">-SUMIFS(INDIRECT("Tab_000.Trial["&amp;O$4&amp;"]"),Tab_000.Trial[CONTA],$B122)</f>
        <v>-94.81</v>
      </c>
      <c r="P122" s="78">
        <f t="shared" ca="1" si="114"/>
        <v>-1E-4</v>
      </c>
      <c r="Q122" s="78">
        <f t="shared" ca="1" si="115"/>
        <v>-0.8962</v>
      </c>
      <c r="R122" s="4">
        <f ca="1">-SUMIFS(INDIRECT("Tab_000.Trial["&amp;R$4&amp;"]"),Tab_000.Trial[CONTA],$B122)</f>
        <v>-133.66999999999999</v>
      </c>
      <c r="S122" s="78">
        <f t="shared" ca="1" si="98"/>
        <v>-1E-4</v>
      </c>
      <c r="T122" s="78">
        <f t="shared" ca="1" si="99"/>
        <v>-0.40989999999999999</v>
      </c>
      <c r="U122" s="4">
        <f ca="1">-SUMIFS(INDIRECT("Tab_000.Trial["&amp;U$4&amp;"]"),Tab_000.Trial[CONTA],$B122)</f>
        <v>-121.89</v>
      </c>
      <c r="V122" s="78">
        <f t="shared" ca="1" si="100"/>
        <v>-1E-4</v>
      </c>
      <c r="W122" s="78">
        <f t="shared" ca="1" si="101"/>
        <v>8.8099999999999998E-2</v>
      </c>
      <c r="X122" s="4">
        <f ca="1">-SUMIFS(INDIRECT("Tab_000.Trial["&amp;X$4&amp;"]"),Tab_000.Trial[CONTA],$B122)</f>
        <v>-645.41</v>
      </c>
      <c r="Y122" s="78">
        <f t="shared" ca="1" si="116"/>
        <v>-5.9999999999999995E-4</v>
      </c>
      <c r="Z122" s="78">
        <f t="shared" ca="1" si="117"/>
        <v>-4.2949999999999999</v>
      </c>
      <c r="AA122" s="4">
        <f ca="1">-SUMIFS(INDIRECT("Tab_000.Trial["&amp;AA$4&amp;"]"),Tab_000.Trial[CONTA],$B122)</f>
        <v>-282</v>
      </c>
      <c r="AB122" s="78">
        <f t="shared" ca="1" si="104"/>
        <v>-2.9999999999999997E-4</v>
      </c>
      <c r="AC122" s="78">
        <f t="shared" ca="1" si="105"/>
        <v>0.56310000000000004</v>
      </c>
      <c r="AD122" s="4">
        <f ca="1">-SUMIFS(INDIRECT("Tab_000.Trial["&amp;AD$4&amp;"]"),Tab_000.Trial[CONTA],$B122)</f>
        <v>-787.32</v>
      </c>
      <c r="AE122" s="78">
        <f t="shared" ca="1" si="106"/>
        <v>-5.9999999999999995E-4</v>
      </c>
      <c r="AF122" s="78">
        <f t="shared" ca="1" si="107"/>
        <v>-1.7919</v>
      </c>
      <c r="AG122" s="4">
        <f ca="1">-SUMIFS(INDIRECT("Tab_000.Trial["&amp;AG$4&amp;"]"),Tab_000.Trial[CONTA],$B122)</f>
        <v>0</v>
      </c>
      <c r="AH122" s="78">
        <f t="shared" ca="1" si="108"/>
        <v>0</v>
      </c>
      <c r="AI122" s="78">
        <f t="shared" ca="1" si="109"/>
        <v>1</v>
      </c>
      <c r="AJ122" s="4">
        <f ca="1">-SUMIFS(INDIRECT("Tab_000.Trial["&amp;AJ$4&amp;"]"),Tab_000.Trial[CONTA],$B122)</f>
        <v>0</v>
      </c>
      <c r="AK122" s="78">
        <f t="shared" ca="1" si="110"/>
        <v>0</v>
      </c>
      <c r="AL122" s="78">
        <f t="shared" ca="1" si="111"/>
        <v>0</v>
      </c>
      <c r="AM122" s="142" t="s">
        <v>766</v>
      </c>
    </row>
    <row r="123" spans="2:39" ht="15" customHeight="1" outlineLevel="1" x14ac:dyDescent="0.3">
      <c r="B123" s="14" t="s">
        <v>529</v>
      </c>
      <c r="C123" s="14" t="s">
        <v>530</v>
      </c>
      <c r="D123" s="4">
        <f ca="1">-SUMIFS(INDIRECT("Tab_000.Trial["&amp;D$4&amp;"]"),Tab_000.Trial[CONTA],$B123)</f>
        <v>0</v>
      </c>
      <c r="E123" s="78">
        <f t="shared" ca="1" si="112"/>
        <v>0</v>
      </c>
      <c r="F123" s="4">
        <f ca="1">-SUMIFS(INDIRECT("Tab_000.Trial["&amp;F$4&amp;"]"),Tab_000.Trial[CONTA],$B123)</f>
        <v>0</v>
      </c>
      <c r="G123" s="78">
        <f t="shared" ca="1" si="91"/>
        <v>0</v>
      </c>
      <c r="H123" s="78">
        <f t="shared" ca="1" si="113"/>
        <v>0</v>
      </c>
      <c r="I123" s="4">
        <f ca="1">-SUMIFS(INDIRECT("Tab_000.Trial["&amp;I$4&amp;"]"),Tab_000.Trial[CONTA],$B123)</f>
        <v>0</v>
      </c>
      <c r="J123" s="78">
        <f t="shared" ca="1" si="92"/>
        <v>0</v>
      </c>
      <c r="K123" s="78">
        <f t="shared" ca="1" si="93"/>
        <v>0</v>
      </c>
      <c r="L123" s="4">
        <f ca="1">-SUMIFS(INDIRECT("Tab_000.Trial["&amp;L$4&amp;"]"),Tab_000.Trial[CONTA],$B123)</f>
        <v>0</v>
      </c>
      <c r="M123" s="78">
        <f t="shared" ca="1" si="94"/>
        <v>0</v>
      </c>
      <c r="N123" s="78">
        <f t="shared" ca="1" si="95"/>
        <v>0</v>
      </c>
      <c r="O123" s="4">
        <f ca="1">-SUMIFS(INDIRECT("Tab_000.Trial["&amp;O$4&amp;"]"),Tab_000.Trial[CONTA],$B123)</f>
        <v>0</v>
      </c>
      <c r="P123" s="78">
        <f t="shared" ca="1" si="114"/>
        <v>0</v>
      </c>
      <c r="Q123" s="78">
        <f t="shared" ca="1" si="115"/>
        <v>0</v>
      </c>
      <c r="R123" s="4">
        <f ca="1">-SUMIFS(INDIRECT("Tab_000.Trial["&amp;R$4&amp;"]"),Tab_000.Trial[CONTA],$B123)</f>
        <v>-258</v>
      </c>
      <c r="S123" s="78">
        <f t="shared" ca="1" si="98"/>
        <v>-2.9999999999999997E-4</v>
      </c>
      <c r="T123" s="78">
        <f t="shared" ca="1" si="99"/>
        <v>0</v>
      </c>
      <c r="U123" s="4">
        <f ca="1">-SUMIFS(INDIRECT("Tab_000.Trial["&amp;U$4&amp;"]"),Tab_000.Trial[CONTA],$B123)</f>
        <v>0</v>
      </c>
      <c r="V123" s="78">
        <f t="shared" ca="1" si="100"/>
        <v>0</v>
      </c>
      <c r="W123" s="78">
        <f t="shared" ca="1" si="101"/>
        <v>1</v>
      </c>
      <c r="X123" s="4">
        <f ca="1">-SUMIFS(INDIRECT("Tab_000.Trial["&amp;X$4&amp;"]"),Tab_000.Trial[CONTA],$B123)</f>
        <v>0</v>
      </c>
      <c r="Y123" s="78">
        <f t="shared" ca="1" si="116"/>
        <v>0</v>
      </c>
      <c r="Z123" s="78">
        <f t="shared" ca="1" si="117"/>
        <v>0</v>
      </c>
      <c r="AA123" s="4">
        <f ca="1">-SUMIFS(INDIRECT("Tab_000.Trial["&amp;AA$4&amp;"]"),Tab_000.Trial[CONTA],$B123)</f>
        <v>-91.32</v>
      </c>
      <c r="AB123" s="78">
        <f t="shared" ca="1" si="104"/>
        <v>-1E-4</v>
      </c>
      <c r="AC123" s="78">
        <f t="shared" ca="1" si="105"/>
        <v>0</v>
      </c>
      <c r="AD123" s="4">
        <f ca="1">-SUMIFS(INDIRECT("Tab_000.Trial["&amp;AD$4&amp;"]"),Tab_000.Trial[CONTA],$B123)</f>
        <v>-500</v>
      </c>
      <c r="AE123" s="78">
        <f t="shared" ca="1" si="106"/>
        <v>-4.0000000000000002E-4</v>
      </c>
      <c r="AF123" s="78">
        <f t="shared" ca="1" si="107"/>
        <v>-4.4752999999999998</v>
      </c>
      <c r="AG123" s="4">
        <f ca="1">-SUMIFS(INDIRECT("Tab_000.Trial["&amp;AG$4&amp;"]"),Tab_000.Trial[CONTA],$B123)</f>
        <v>0</v>
      </c>
      <c r="AH123" s="78">
        <f t="shared" ca="1" si="108"/>
        <v>0</v>
      </c>
      <c r="AI123" s="78">
        <f t="shared" ca="1" si="109"/>
        <v>1</v>
      </c>
      <c r="AJ123" s="4">
        <f ca="1">-SUMIFS(INDIRECT("Tab_000.Trial["&amp;AJ$4&amp;"]"),Tab_000.Trial[CONTA],$B123)</f>
        <v>0</v>
      </c>
      <c r="AK123" s="78">
        <f t="shared" ca="1" si="110"/>
        <v>0</v>
      </c>
      <c r="AL123" s="78">
        <f t="shared" ca="1" si="111"/>
        <v>0</v>
      </c>
      <c r="AM123" s="142" t="s">
        <v>766</v>
      </c>
    </row>
    <row r="124" spans="2:39" ht="15" customHeight="1" outlineLevel="1" x14ac:dyDescent="0.3">
      <c r="B124" s="14" t="s">
        <v>531</v>
      </c>
      <c r="C124" s="14" t="s">
        <v>532</v>
      </c>
      <c r="D124" s="4">
        <f ca="1">-SUMIFS(INDIRECT("Tab_000.Trial["&amp;D$4&amp;"]"),Tab_000.Trial[CONTA],$B124)</f>
        <v>-114</v>
      </c>
      <c r="E124" s="78">
        <f t="shared" ca="1" si="112"/>
        <v>-1E-4</v>
      </c>
      <c r="F124" s="4">
        <f ca="1">-SUMIFS(INDIRECT("Tab_000.Trial["&amp;F$4&amp;"]"),Tab_000.Trial[CONTA],$B124)</f>
        <v>-62.97</v>
      </c>
      <c r="G124" s="78">
        <f t="shared" ca="1" si="91"/>
        <v>-1E-4</v>
      </c>
      <c r="H124" s="78">
        <f t="shared" ca="1" si="113"/>
        <v>0.4476</v>
      </c>
      <c r="I124" s="4">
        <f ca="1">-SUMIFS(INDIRECT("Tab_000.Trial["&amp;I$4&amp;"]"),Tab_000.Trial[CONTA],$B124)</f>
        <v>0</v>
      </c>
      <c r="J124" s="78">
        <f t="shared" ca="1" si="92"/>
        <v>0</v>
      </c>
      <c r="K124" s="78">
        <f t="shared" ca="1" si="93"/>
        <v>1</v>
      </c>
      <c r="L124" s="4">
        <f ca="1">-SUMIFS(INDIRECT("Tab_000.Trial["&amp;L$4&amp;"]"),Tab_000.Trial[CONTA],$B124)</f>
        <v>-93.26</v>
      </c>
      <c r="M124" s="78">
        <f t="shared" ca="1" si="94"/>
        <v>-1E-4</v>
      </c>
      <c r="N124" s="78">
        <f t="shared" ca="1" si="95"/>
        <v>0</v>
      </c>
      <c r="O124" s="4">
        <f ca="1">-SUMIFS(INDIRECT("Tab_000.Trial["&amp;O$4&amp;"]"),Tab_000.Trial[CONTA],$B124)</f>
        <v>-153.81</v>
      </c>
      <c r="P124" s="78">
        <f t="shared" ca="1" si="114"/>
        <v>-1E-4</v>
      </c>
      <c r="Q124" s="78">
        <f t="shared" ca="1" si="115"/>
        <v>-0.64929999999999999</v>
      </c>
      <c r="R124" s="4">
        <f ca="1">-SUMIFS(INDIRECT("Tab_000.Trial["&amp;R$4&amp;"]"),Tab_000.Trial[CONTA],$B124)</f>
        <v>-50.54</v>
      </c>
      <c r="S124" s="78">
        <f t="shared" ca="1" si="98"/>
        <v>-1E-4</v>
      </c>
      <c r="T124" s="78">
        <f t="shared" ca="1" si="99"/>
        <v>0.6714</v>
      </c>
      <c r="U124" s="4">
        <f ca="1">-SUMIFS(INDIRECT("Tab_000.Trial["&amp;U$4&amp;"]"),Tab_000.Trial[CONTA],$B124)</f>
        <v>-616.04999999999995</v>
      </c>
      <c r="V124" s="78">
        <f t="shared" ca="1" si="100"/>
        <v>-5.9999999999999995E-4</v>
      </c>
      <c r="W124" s="78">
        <f t="shared" ca="1" si="101"/>
        <v>-11.189399999999999</v>
      </c>
      <c r="X124" s="4">
        <f ca="1">-SUMIFS(INDIRECT("Tab_000.Trial["&amp;X$4&amp;"]"),Tab_000.Trial[CONTA],$B124)</f>
        <v>-170.37</v>
      </c>
      <c r="Y124" s="78">
        <f t="shared" ca="1" si="116"/>
        <v>-2.0000000000000001E-4</v>
      </c>
      <c r="Z124" s="78">
        <f t="shared" ca="1" si="117"/>
        <v>0.72340000000000004</v>
      </c>
      <c r="AA124" s="4">
        <f ca="1">-SUMIFS(INDIRECT("Tab_000.Trial["&amp;AA$4&amp;"]"),Tab_000.Trial[CONTA],$B124)</f>
        <v>-176.92</v>
      </c>
      <c r="AB124" s="78">
        <f t="shared" ca="1" si="104"/>
        <v>-2.0000000000000001E-4</v>
      </c>
      <c r="AC124" s="78">
        <f t="shared" ca="1" si="105"/>
        <v>-3.8399999999999997E-2</v>
      </c>
      <c r="AD124" s="4">
        <f ca="1">-SUMIFS(INDIRECT("Tab_000.Trial["&amp;AD$4&amp;"]"),Tab_000.Trial[CONTA],$B124)</f>
        <v>-169.5</v>
      </c>
      <c r="AE124" s="78">
        <f t="shared" ca="1" si="106"/>
        <v>-1E-4</v>
      </c>
      <c r="AF124" s="78">
        <f t="shared" ca="1" si="107"/>
        <v>4.19E-2</v>
      </c>
      <c r="AG124" s="4">
        <f ca="1">-SUMIFS(INDIRECT("Tab_000.Trial["&amp;AG$4&amp;"]"),Tab_000.Trial[CONTA],$B124)</f>
        <v>-56.68</v>
      </c>
      <c r="AH124" s="78">
        <f t="shared" ca="1" si="108"/>
        <v>-1E-4</v>
      </c>
      <c r="AI124" s="78">
        <f t="shared" ca="1" si="109"/>
        <v>0.66559999999999997</v>
      </c>
      <c r="AJ124" s="4">
        <f ca="1">-SUMIFS(INDIRECT("Tab_000.Trial["&amp;AJ$4&amp;"]"),Tab_000.Trial[CONTA],$B124)</f>
        <v>-44.28</v>
      </c>
      <c r="AK124" s="78">
        <f t="shared" ca="1" si="110"/>
        <v>0</v>
      </c>
      <c r="AL124" s="78">
        <f t="shared" ca="1" si="111"/>
        <v>0.21879999999999999</v>
      </c>
      <c r="AM124" s="142" t="s">
        <v>766</v>
      </c>
    </row>
    <row r="125" spans="2:39" ht="15" customHeight="1" outlineLevel="1" x14ac:dyDescent="0.3">
      <c r="B125" s="14" t="s">
        <v>533</v>
      </c>
      <c r="C125" s="14" t="s">
        <v>534</v>
      </c>
      <c r="D125" s="4">
        <f ca="1">-SUMIFS(INDIRECT("Tab_000.Trial["&amp;D$4&amp;"]"),Tab_000.Trial[CONTA],$B125)</f>
        <v>-350</v>
      </c>
      <c r="E125" s="78">
        <f t="shared" ca="1" si="112"/>
        <v>-4.0000000000000002E-4</v>
      </c>
      <c r="F125" s="4">
        <f ca="1">-SUMIFS(INDIRECT("Tab_000.Trial["&amp;F$4&amp;"]"),Tab_000.Trial[CONTA],$B125)</f>
        <v>0</v>
      </c>
      <c r="G125" s="78">
        <f t="shared" ca="1" si="91"/>
        <v>0</v>
      </c>
      <c r="H125" s="78">
        <f t="shared" ca="1" si="113"/>
        <v>1</v>
      </c>
      <c r="I125" s="4">
        <f ca="1">-SUMIFS(INDIRECT("Tab_000.Trial["&amp;I$4&amp;"]"),Tab_000.Trial[CONTA],$B125)</f>
        <v>0</v>
      </c>
      <c r="J125" s="78">
        <f t="shared" ca="1" si="92"/>
        <v>0</v>
      </c>
      <c r="K125" s="78">
        <f t="shared" ca="1" si="93"/>
        <v>0</v>
      </c>
      <c r="L125" s="4">
        <f ca="1">-SUMIFS(INDIRECT("Tab_000.Trial["&amp;L$4&amp;"]"),Tab_000.Trial[CONTA],$B125)</f>
        <v>0</v>
      </c>
      <c r="M125" s="78">
        <f t="shared" ca="1" si="94"/>
        <v>0</v>
      </c>
      <c r="N125" s="78">
        <f t="shared" ca="1" si="95"/>
        <v>0</v>
      </c>
      <c r="O125" s="4">
        <f ca="1">-SUMIFS(INDIRECT("Tab_000.Trial["&amp;O$4&amp;"]"),Tab_000.Trial[CONTA],$B125)</f>
        <v>-1400</v>
      </c>
      <c r="P125" s="78">
        <f t="shared" ca="1" si="114"/>
        <v>-1.1999999999999999E-3</v>
      </c>
      <c r="Q125" s="78">
        <f t="shared" ca="1" si="115"/>
        <v>0</v>
      </c>
      <c r="R125" s="4">
        <f ca="1">-SUMIFS(INDIRECT("Tab_000.Trial["&amp;R$4&amp;"]"),Tab_000.Trial[CONTA],$B125)</f>
        <v>0</v>
      </c>
      <c r="S125" s="78">
        <f t="shared" ca="1" si="98"/>
        <v>0</v>
      </c>
      <c r="T125" s="78">
        <f t="shared" ca="1" si="99"/>
        <v>1</v>
      </c>
      <c r="U125" s="4">
        <f ca="1">-SUMIFS(INDIRECT("Tab_000.Trial["&amp;U$4&amp;"]"),Tab_000.Trial[CONTA],$B125)</f>
        <v>-350</v>
      </c>
      <c r="V125" s="78">
        <f t="shared" ca="1" si="100"/>
        <v>-2.9999999999999997E-4</v>
      </c>
      <c r="W125" s="78">
        <f t="shared" ca="1" si="101"/>
        <v>0</v>
      </c>
      <c r="X125" s="4">
        <f ca="1">-SUMIFS(INDIRECT("Tab_000.Trial["&amp;X$4&amp;"]"),Tab_000.Trial[CONTA],$B125)</f>
        <v>-600</v>
      </c>
      <c r="Y125" s="78">
        <f t="shared" ca="1" si="116"/>
        <v>-5.9999999999999995E-4</v>
      </c>
      <c r="Z125" s="78">
        <f t="shared" ca="1" si="117"/>
        <v>-0.71430000000000005</v>
      </c>
      <c r="AA125" s="4">
        <f ca="1">-SUMIFS(INDIRECT("Tab_000.Trial["&amp;AA$4&amp;"]"),Tab_000.Trial[CONTA],$B125)</f>
        <v>-1098.9100000000001</v>
      </c>
      <c r="AB125" s="78">
        <f t="shared" ca="1" si="104"/>
        <v>-1.1000000000000001E-3</v>
      </c>
      <c r="AC125" s="78">
        <f t="shared" ca="1" si="105"/>
        <v>-0.83150000000000002</v>
      </c>
      <c r="AD125" s="4">
        <f ca="1">-SUMIFS(INDIRECT("Tab_000.Trial["&amp;AD$4&amp;"]"),Tab_000.Trial[CONTA],$B125)</f>
        <v>-1190</v>
      </c>
      <c r="AE125" s="78">
        <f t="shared" ca="1" si="106"/>
        <v>-1E-3</v>
      </c>
      <c r="AF125" s="78">
        <f t="shared" ca="1" si="107"/>
        <v>-8.2900000000000001E-2</v>
      </c>
      <c r="AG125" s="4">
        <f ca="1">-SUMIFS(INDIRECT("Tab_000.Trial["&amp;AG$4&amp;"]"),Tab_000.Trial[CONTA],$B125)</f>
        <v>-2071.2800000000002</v>
      </c>
      <c r="AH125" s="78">
        <f t="shared" ca="1" si="108"/>
        <v>-2.3E-3</v>
      </c>
      <c r="AI125" s="78">
        <f t="shared" ca="1" si="109"/>
        <v>-0.74060000000000004</v>
      </c>
      <c r="AJ125" s="4">
        <f ca="1">-SUMIFS(INDIRECT("Tab_000.Trial["&amp;AJ$4&amp;"]"),Tab_000.Trial[CONTA],$B125)</f>
        <v>-7010</v>
      </c>
      <c r="AK125" s="78">
        <f t="shared" ca="1" si="110"/>
        <v>-4.7000000000000002E-3</v>
      </c>
      <c r="AL125" s="78">
        <f t="shared" ca="1" si="111"/>
        <v>-2.3843999999999999</v>
      </c>
      <c r="AM125" s="142" t="s">
        <v>766</v>
      </c>
    </row>
    <row r="126" spans="2:39" ht="15" customHeight="1" outlineLevel="1" x14ac:dyDescent="0.3">
      <c r="B126" s="14" t="s">
        <v>535</v>
      </c>
      <c r="C126" s="14" t="s">
        <v>536</v>
      </c>
      <c r="D126" s="4">
        <f ca="1">-SUMIFS(INDIRECT("Tab_000.Trial["&amp;D$4&amp;"]"),Tab_000.Trial[CONTA],$B126)</f>
        <v>0</v>
      </c>
      <c r="E126" s="78">
        <f t="shared" ca="1" si="112"/>
        <v>0</v>
      </c>
      <c r="F126" s="4">
        <f ca="1">-SUMIFS(INDIRECT("Tab_000.Trial["&amp;F$4&amp;"]"),Tab_000.Trial[CONTA],$B126)</f>
        <v>0</v>
      </c>
      <c r="G126" s="78">
        <f t="shared" ca="1" si="91"/>
        <v>0</v>
      </c>
      <c r="H126" s="78">
        <f t="shared" ca="1" si="113"/>
        <v>0</v>
      </c>
      <c r="I126" s="4">
        <f ca="1">-SUMIFS(INDIRECT("Tab_000.Trial["&amp;I$4&amp;"]"),Tab_000.Trial[CONTA],$B126)</f>
        <v>0</v>
      </c>
      <c r="J126" s="78">
        <f t="shared" ca="1" si="92"/>
        <v>0</v>
      </c>
      <c r="K126" s="78">
        <f t="shared" ca="1" si="93"/>
        <v>0</v>
      </c>
      <c r="L126" s="4">
        <f ca="1">-SUMIFS(INDIRECT("Tab_000.Trial["&amp;L$4&amp;"]"),Tab_000.Trial[CONTA],$B126)</f>
        <v>0</v>
      </c>
      <c r="M126" s="78">
        <f t="shared" ca="1" si="94"/>
        <v>0</v>
      </c>
      <c r="N126" s="78">
        <f t="shared" ca="1" si="95"/>
        <v>0</v>
      </c>
      <c r="O126" s="4">
        <f ca="1">-SUMIFS(INDIRECT("Tab_000.Trial["&amp;O$4&amp;"]"),Tab_000.Trial[CONTA],$B126)</f>
        <v>0</v>
      </c>
      <c r="P126" s="78">
        <f t="shared" ca="1" si="114"/>
        <v>0</v>
      </c>
      <c r="Q126" s="78">
        <f t="shared" ca="1" si="115"/>
        <v>0</v>
      </c>
      <c r="R126" s="4">
        <f ca="1">-SUMIFS(INDIRECT("Tab_000.Trial["&amp;R$4&amp;"]"),Tab_000.Trial[CONTA],$B126)</f>
        <v>0</v>
      </c>
      <c r="S126" s="78">
        <f t="shared" ca="1" si="98"/>
        <v>0</v>
      </c>
      <c r="T126" s="78">
        <f t="shared" ca="1" si="99"/>
        <v>0</v>
      </c>
      <c r="U126" s="4">
        <f ca="1">-SUMIFS(INDIRECT("Tab_000.Trial["&amp;U$4&amp;"]"),Tab_000.Trial[CONTA],$B126)</f>
        <v>0</v>
      </c>
      <c r="V126" s="78">
        <f t="shared" ca="1" si="100"/>
        <v>0</v>
      </c>
      <c r="W126" s="78">
        <f t="shared" ca="1" si="101"/>
        <v>0</v>
      </c>
      <c r="X126" s="4">
        <f ca="1">-SUMIFS(INDIRECT("Tab_000.Trial["&amp;X$4&amp;"]"),Tab_000.Trial[CONTA],$B126)</f>
        <v>0</v>
      </c>
      <c r="Y126" s="78">
        <f t="shared" ca="1" si="116"/>
        <v>0</v>
      </c>
      <c r="Z126" s="78">
        <f t="shared" ca="1" si="117"/>
        <v>0</v>
      </c>
      <c r="AA126" s="4">
        <f ca="1">-SUMIFS(INDIRECT("Tab_000.Trial["&amp;AA$4&amp;"]"),Tab_000.Trial[CONTA],$B126)</f>
        <v>0</v>
      </c>
      <c r="AB126" s="78">
        <f t="shared" ca="1" si="104"/>
        <v>0</v>
      </c>
      <c r="AC126" s="78">
        <f t="shared" ca="1" si="105"/>
        <v>0</v>
      </c>
      <c r="AD126" s="4">
        <f ca="1">-SUMIFS(INDIRECT("Tab_000.Trial["&amp;AD$4&amp;"]"),Tab_000.Trial[CONTA],$B126)</f>
        <v>0</v>
      </c>
      <c r="AE126" s="78">
        <f t="shared" ca="1" si="106"/>
        <v>0</v>
      </c>
      <c r="AF126" s="78">
        <f t="shared" ca="1" si="107"/>
        <v>0</v>
      </c>
      <c r="AG126" s="4">
        <f ca="1">-SUMIFS(INDIRECT("Tab_000.Trial["&amp;AG$4&amp;"]"),Tab_000.Trial[CONTA],$B126)</f>
        <v>0</v>
      </c>
      <c r="AH126" s="78">
        <f t="shared" ca="1" si="108"/>
        <v>0</v>
      </c>
      <c r="AI126" s="78">
        <f t="shared" ca="1" si="109"/>
        <v>0</v>
      </c>
      <c r="AJ126" s="4">
        <f ca="1">-SUMIFS(INDIRECT("Tab_000.Trial["&amp;AJ$4&amp;"]"),Tab_000.Trial[CONTA],$B126)</f>
        <v>0</v>
      </c>
      <c r="AK126" s="78">
        <f t="shared" ca="1" si="110"/>
        <v>0</v>
      </c>
      <c r="AL126" s="78">
        <f t="shared" ca="1" si="111"/>
        <v>0</v>
      </c>
      <c r="AM126" s="142" t="s">
        <v>766</v>
      </c>
    </row>
    <row r="127" spans="2:39" ht="15" customHeight="1" outlineLevel="1" x14ac:dyDescent="0.3">
      <c r="B127" s="14" t="s">
        <v>537</v>
      </c>
      <c r="C127" s="14" t="s">
        <v>538</v>
      </c>
      <c r="D127" s="4">
        <f ca="1">-SUMIFS(INDIRECT("Tab_000.Trial["&amp;D$4&amp;"]"),Tab_000.Trial[CONTA],$B127)</f>
        <v>-1059.06</v>
      </c>
      <c r="E127" s="78">
        <f t="shared" ca="1" si="112"/>
        <v>-1.1000000000000001E-3</v>
      </c>
      <c r="F127" s="4">
        <f ca="1">-SUMIFS(INDIRECT("Tab_000.Trial["&amp;F$4&amp;"]"),Tab_000.Trial[CONTA],$B127)</f>
        <v>0</v>
      </c>
      <c r="G127" s="78">
        <f t="shared" ca="1" si="91"/>
        <v>0</v>
      </c>
      <c r="H127" s="78">
        <f t="shared" ca="1" si="113"/>
        <v>1</v>
      </c>
      <c r="I127" s="4">
        <f ca="1">-SUMIFS(INDIRECT("Tab_000.Trial["&amp;I$4&amp;"]"),Tab_000.Trial[CONTA],$B127)</f>
        <v>-3685.72</v>
      </c>
      <c r="J127" s="78">
        <f t="shared" ca="1" si="92"/>
        <v>-3.5000000000000001E-3</v>
      </c>
      <c r="K127" s="78">
        <f t="shared" ca="1" si="93"/>
        <v>0</v>
      </c>
      <c r="L127" s="4">
        <f ca="1">-SUMIFS(INDIRECT("Tab_000.Trial["&amp;L$4&amp;"]"),Tab_000.Trial[CONTA],$B127)</f>
        <v>0</v>
      </c>
      <c r="M127" s="78">
        <f t="shared" ca="1" si="94"/>
        <v>0</v>
      </c>
      <c r="N127" s="78">
        <f t="shared" ca="1" si="95"/>
        <v>1</v>
      </c>
      <c r="O127" s="4">
        <f ca="1">-SUMIFS(INDIRECT("Tab_000.Trial["&amp;O$4&amp;"]"),Tab_000.Trial[CONTA],$B127)</f>
        <v>0</v>
      </c>
      <c r="P127" s="78">
        <f t="shared" ca="1" si="114"/>
        <v>0</v>
      </c>
      <c r="Q127" s="78">
        <f t="shared" ca="1" si="115"/>
        <v>0</v>
      </c>
      <c r="R127" s="4">
        <f ca="1">-SUMIFS(INDIRECT("Tab_000.Trial["&amp;R$4&amp;"]"),Tab_000.Trial[CONTA],$B127)</f>
        <v>-0.01</v>
      </c>
      <c r="S127" s="78">
        <f t="shared" ca="1" si="98"/>
        <v>0</v>
      </c>
      <c r="T127" s="78">
        <f t="shared" ca="1" si="99"/>
        <v>0</v>
      </c>
      <c r="U127" s="4">
        <f ca="1">-SUMIFS(INDIRECT("Tab_000.Trial["&amp;U$4&amp;"]"),Tab_000.Trial[CONTA],$B127)</f>
        <v>-5.0999999999999996</v>
      </c>
      <c r="V127" s="78">
        <f t="shared" ca="1" si="100"/>
        <v>0</v>
      </c>
      <c r="W127" s="78">
        <f t="shared" ca="1" si="101"/>
        <v>-509</v>
      </c>
      <c r="X127" s="4">
        <f ca="1">-SUMIFS(INDIRECT("Tab_000.Trial["&amp;X$4&amp;"]"),Tab_000.Trial[CONTA],$B127)</f>
        <v>0</v>
      </c>
      <c r="Y127" s="78">
        <f t="shared" ca="1" si="116"/>
        <v>0</v>
      </c>
      <c r="Z127" s="78">
        <f t="shared" ca="1" si="117"/>
        <v>1</v>
      </c>
      <c r="AA127" s="4">
        <f ca="1">-SUMIFS(INDIRECT("Tab_000.Trial["&amp;AA$4&amp;"]"),Tab_000.Trial[CONTA],$B127)</f>
        <v>0</v>
      </c>
      <c r="AB127" s="78">
        <f t="shared" ca="1" si="104"/>
        <v>0</v>
      </c>
      <c r="AC127" s="78">
        <f t="shared" ca="1" si="105"/>
        <v>0</v>
      </c>
      <c r="AD127" s="4">
        <f ca="1">-SUMIFS(INDIRECT("Tab_000.Trial["&amp;AD$4&amp;"]"),Tab_000.Trial[CONTA],$B127)</f>
        <v>0</v>
      </c>
      <c r="AE127" s="78">
        <f t="shared" ca="1" si="106"/>
        <v>0</v>
      </c>
      <c r="AF127" s="78">
        <f t="shared" ca="1" si="107"/>
        <v>0</v>
      </c>
      <c r="AG127" s="4">
        <f ca="1">-SUMIFS(INDIRECT("Tab_000.Trial["&amp;AG$4&amp;"]"),Tab_000.Trial[CONTA],$B127)</f>
        <v>0</v>
      </c>
      <c r="AH127" s="78">
        <f t="shared" ca="1" si="108"/>
        <v>0</v>
      </c>
      <c r="AI127" s="78">
        <f t="shared" ca="1" si="109"/>
        <v>0</v>
      </c>
      <c r="AJ127" s="4">
        <f ca="1">-SUMIFS(INDIRECT("Tab_000.Trial["&amp;AJ$4&amp;"]"),Tab_000.Trial[CONTA],$B127)</f>
        <v>-6.2</v>
      </c>
      <c r="AK127" s="78">
        <f t="shared" ca="1" si="110"/>
        <v>0</v>
      </c>
      <c r="AL127" s="78">
        <f t="shared" ca="1" si="111"/>
        <v>0</v>
      </c>
      <c r="AM127" s="142" t="s">
        <v>766</v>
      </c>
    </row>
    <row r="128" spans="2:39" ht="15" customHeight="1" outlineLevel="1" x14ac:dyDescent="0.3">
      <c r="B128" s="14" t="s">
        <v>539</v>
      </c>
      <c r="C128" s="14" t="s">
        <v>540</v>
      </c>
      <c r="D128" s="4">
        <f ca="1">-SUMIFS(INDIRECT("Tab_000.Trial["&amp;D$4&amp;"]"),Tab_000.Trial[CONTA],$B128)</f>
        <v>0</v>
      </c>
      <c r="E128" s="78">
        <f t="shared" ca="1" si="112"/>
        <v>0</v>
      </c>
      <c r="F128" s="4">
        <f ca="1">-SUMIFS(INDIRECT("Tab_000.Trial["&amp;F$4&amp;"]"),Tab_000.Trial[CONTA],$B128)</f>
        <v>-2484.4</v>
      </c>
      <c r="G128" s="78">
        <f t="shared" ca="1" si="91"/>
        <v>-2.5000000000000001E-3</v>
      </c>
      <c r="H128" s="78">
        <f t="shared" ca="1" si="113"/>
        <v>0</v>
      </c>
      <c r="I128" s="4">
        <f ca="1">-SUMIFS(INDIRECT("Tab_000.Trial["&amp;I$4&amp;"]"),Tab_000.Trial[CONTA],$B128)</f>
        <v>-1742.12</v>
      </c>
      <c r="J128" s="78">
        <f t="shared" ca="1" si="92"/>
        <v>-1.6999999999999999E-3</v>
      </c>
      <c r="K128" s="78">
        <f t="shared" ca="1" si="93"/>
        <v>0.29880000000000001</v>
      </c>
      <c r="L128" s="4">
        <f ca="1">-SUMIFS(INDIRECT("Tab_000.Trial["&amp;L$4&amp;"]"),Tab_000.Trial[CONTA],$B128)</f>
        <v>-1253.57</v>
      </c>
      <c r="M128" s="78">
        <f t="shared" ca="1" si="94"/>
        <v>-1.1000000000000001E-3</v>
      </c>
      <c r="N128" s="78">
        <f t="shared" ca="1" si="95"/>
        <v>0.28039999999999998</v>
      </c>
      <c r="O128" s="4">
        <f ca="1">-SUMIFS(INDIRECT("Tab_000.Trial["&amp;O$4&amp;"]"),Tab_000.Trial[CONTA],$B128)</f>
        <v>-1648.48</v>
      </c>
      <c r="P128" s="78">
        <f t="shared" ca="1" si="114"/>
        <v>-1.4E-3</v>
      </c>
      <c r="Q128" s="78">
        <f t="shared" ca="1" si="115"/>
        <v>-0.315</v>
      </c>
      <c r="R128" s="4">
        <f ca="1">-SUMIFS(INDIRECT("Tab_000.Trial["&amp;R$4&amp;"]"),Tab_000.Trial[CONTA],$B128)</f>
        <v>-2621.68</v>
      </c>
      <c r="S128" s="78">
        <f t="shared" ca="1" si="98"/>
        <v>-2.5999999999999999E-3</v>
      </c>
      <c r="T128" s="78">
        <f t="shared" ca="1" si="99"/>
        <v>-0.59040000000000004</v>
      </c>
      <c r="U128" s="4">
        <f ca="1">-SUMIFS(INDIRECT("Tab_000.Trial["&amp;U$4&amp;"]"),Tab_000.Trial[CONTA],$B128)</f>
        <v>-1214.8800000000001</v>
      </c>
      <c r="V128" s="78">
        <f t="shared" ca="1" si="100"/>
        <v>-1.1000000000000001E-3</v>
      </c>
      <c r="W128" s="78">
        <f t="shared" ca="1" si="101"/>
        <v>0.53659999999999997</v>
      </c>
      <c r="X128" s="4">
        <f ca="1">-SUMIFS(INDIRECT("Tab_000.Trial["&amp;X$4&amp;"]"),Tab_000.Trial[CONTA],$B128)</f>
        <v>-1175.6500000000001</v>
      </c>
      <c r="Y128" s="78">
        <f t="shared" ca="1" si="116"/>
        <v>-1.1000000000000001E-3</v>
      </c>
      <c r="Z128" s="78">
        <f t="shared" ca="1" si="117"/>
        <v>3.2300000000000002E-2</v>
      </c>
      <c r="AA128" s="4">
        <f ca="1">-SUMIFS(INDIRECT("Tab_000.Trial["&amp;AA$4&amp;"]"),Tab_000.Trial[CONTA],$B128)</f>
        <v>-1456.02</v>
      </c>
      <c r="AB128" s="78">
        <f t="shared" ca="1" si="104"/>
        <v>-1.5E-3</v>
      </c>
      <c r="AC128" s="78">
        <f t="shared" ca="1" si="105"/>
        <v>-0.23849999999999999</v>
      </c>
      <c r="AD128" s="4">
        <f ca="1">-SUMIFS(INDIRECT("Tab_000.Trial["&amp;AD$4&amp;"]"),Tab_000.Trial[CONTA],$B128)</f>
        <v>-1304.8</v>
      </c>
      <c r="AE128" s="78">
        <f t="shared" ca="1" si="106"/>
        <v>-1E-3</v>
      </c>
      <c r="AF128" s="78">
        <f t="shared" ca="1" si="107"/>
        <v>0.10390000000000001</v>
      </c>
      <c r="AG128" s="4">
        <f ca="1">-SUMIFS(INDIRECT("Tab_000.Trial["&amp;AG$4&amp;"]"),Tab_000.Trial[CONTA],$B128)</f>
        <v>-1401.17</v>
      </c>
      <c r="AH128" s="78">
        <f t="shared" ca="1" si="108"/>
        <v>-1.5E-3</v>
      </c>
      <c r="AI128" s="78">
        <f t="shared" ca="1" si="109"/>
        <v>-7.3899999999999993E-2</v>
      </c>
      <c r="AJ128" s="4">
        <f ca="1">-SUMIFS(INDIRECT("Tab_000.Trial["&amp;AJ$4&amp;"]"),Tab_000.Trial[CONTA],$B128)</f>
        <v>-1348.07</v>
      </c>
      <c r="AK128" s="78">
        <f t="shared" ca="1" si="110"/>
        <v>-8.9999999999999998E-4</v>
      </c>
      <c r="AL128" s="78">
        <f t="shared" ca="1" si="111"/>
        <v>3.7900000000000003E-2</v>
      </c>
      <c r="AM128" s="142" t="s">
        <v>766</v>
      </c>
    </row>
    <row r="129" spans="2:39" ht="15" customHeight="1" outlineLevel="1" x14ac:dyDescent="0.3">
      <c r="B129" s="14" t="s">
        <v>541</v>
      </c>
      <c r="C129" s="14" t="s">
        <v>542</v>
      </c>
      <c r="D129" s="4">
        <f ca="1">-SUMIFS(INDIRECT("Tab_000.Trial["&amp;D$4&amp;"]"),Tab_000.Trial[CONTA],$B129)</f>
        <v>-362.82</v>
      </c>
      <c r="E129" s="78">
        <f t="shared" ca="1" si="112"/>
        <v>-4.0000000000000002E-4</v>
      </c>
      <c r="F129" s="4">
        <f ca="1">-SUMIFS(INDIRECT("Tab_000.Trial["&amp;F$4&amp;"]"),Tab_000.Trial[CONTA],$B129)</f>
        <v>0</v>
      </c>
      <c r="G129" s="78">
        <f t="shared" ca="1" si="91"/>
        <v>0</v>
      </c>
      <c r="H129" s="78">
        <f t="shared" ca="1" si="113"/>
        <v>1</v>
      </c>
      <c r="I129" s="4">
        <f ca="1">-SUMIFS(INDIRECT("Tab_000.Trial["&amp;I$4&amp;"]"),Tab_000.Trial[CONTA],$B129)</f>
        <v>-178.05</v>
      </c>
      <c r="J129" s="78">
        <f t="shared" ca="1" si="92"/>
        <v>-2.0000000000000001E-4</v>
      </c>
      <c r="K129" s="78">
        <f t="shared" ca="1" si="93"/>
        <v>0</v>
      </c>
      <c r="L129" s="4">
        <f ca="1">-SUMIFS(INDIRECT("Tab_000.Trial["&amp;L$4&amp;"]"),Tab_000.Trial[CONTA],$B129)</f>
        <v>-160</v>
      </c>
      <c r="M129" s="78">
        <f t="shared" ca="1" si="94"/>
        <v>-1E-4</v>
      </c>
      <c r="N129" s="78">
        <f t="shared" ca="1" si="95"/>
        <v>0.1014</v>
      </c>
      <c r="O129" s="4">
        <f ca="1">-SUMIFS(INDIRECT("Tab_000.Trial["&amp;O$4&amp;"]"),Tab_000.Trial[CONTA],$B129)</f>
        <v>-299.89999999999998</v>
      </c>
      <c r="P129" s="78">
        <f t="shared" ca="1" si="114"/>
        <v>-2.0000000000000001E-4</v>
      </c>
      <c r="Q129" s="78">
        <f t="shared" ca="1" si="115"/>
        <v>-0.87439999999999996</v>
      </c>
      <c r="R129" s="4">
        <f ca="1">-SUMIFS(INDIRECT("Tab_000.Trial["&amp;R$4&amp;"]"),Tab_000.Trial[CONTA],$B129)</f>
        <v>-428.1</v>
      </c>
      <c r="S129" s="78">
        <f t="shared" ca="1" si="98"/>
        <v>-4.0000000000000002E-4</v>
      </c>
      <c r="T129" s="78">
        <f t="shared" ca="1" si="99"/>
        <v>-0.42749999999999999</v>
      </c>
      <c r="U129" s="4">
        <f ca="1">-SUMIFS(INDIRECT("Tab_000.Trial["&amp;U$4&amp;"]"),Tab_000.Trial[CONTA],$B129)</f>
        <v>-257.39999999999998</v>
      </c>
      <c r="V129" s="78">
        <f t="shared" ca="1" si="100"/>
        <v>-2.0000000000000001E-4</v>
      </c>
      <c r="W129" s="78">
        <f t="shared" ca="1" si="101"/>
        <v>0.3987</v>
      </c>
      <c r="X129" s="4">
        <f ca="1">-SUMIFS(INDIRECT("Tab_000.Trial["&amp;X$4&amp;"]"),Tab_000.Trial[CONTA],$B129)</f>
        <v>-602.69000000000005</v>
      </c>
      <c r="Y129" s="78">
        <f t="shared" ca="1" si="116"/>
        <v>-5.9999999999999995E-4</v>
      </c>
      <c r="Z129" s="78">
        <f t="shared" ca="1" si="117"/>
        <v>-1.3414999999999999</v>
      </c>
      <c r="AA129" s="4">
        <f ca="1">-SUMIFS(INDIRECT("Tab_000.Trial["&amp;AA$4&amp;"]"),Tab_000.Trial[CONTA],$B129)</f>
        <v>-397.76</v>
      </c>
      <c r="AB129" s="78">
        <f t="shared" ca="1" si="104"/>
        <v>-4.0000000000000002E-4</v>
      </c>
      <c r="AC129" s="78">
        <f t="shared" ca="1" si="105"/>
        <v>0.34</v>
      </c>
      <c r="AD129" s="4">
        <f ca="1">-SUMIFS(INDIRECT("Tab_000.Trial["&amp;AD$4&amp;"]"),Tab_000.Trial[CONTA],$B129)</f>
        <v>-1204.8800000000001</v>
      </c>
      <c r="AE129" s="78">
        <f t="shared" ca="1" si="106"/>
        <v>-1E-3</v>
      </c>
      <c r="AF129" s="78">
        <f t="shared" ca="1" si="107"/>
        <v>-2.0291999999999999</v>
      </c>
      <c r="AG129" s="4">
        <f ca="1">-SUMIFS(INDIRECT("Tab_000.Trial["&amp;AG$4&amp;"]"),Tab_000.Trial[CONTA],$B129)</f>
        <v>-334.5</v>
      </c>
      <c r="AH129" s="78">
        <f t="shared" ca="1" si="108"/>
        <v>-4.0000000000000002E-4</v>
      </c>
      <c r="AI129" s="78">
        <f t="shared" ca="1" si="109"/>
        <v>0.72240000000000004</v>
      </c>
      <c r="AJ129" s="4">
        <f ca="1">-SUMIFS(INDIRECT("Tab_000.Trial["&amp;AJ$4&amp;"]"),Tab_000.Trial[CONTA],$B129)</f>
        <v>-1001.55</v>
      </c>
      <c r="AK129" s="78">
        <f t="shared" ca="1" si="110"/>
        <v>-6.9999999999999999E-4</v>
      </c>
      <c r="AL129" s="78">
        <f t="shared" ca="1" si="111"/>
        <v>-1.9942</v>
      </c>
      <c r="AM129" s="142" t="s">
        <v>766</v>
      </c>
    </row>
    <row r="130" spans="2:39" ht="15" customHeight="1" outlineLevel="1" x14ac:dyDescent="0.3">
      <c r="B130" s="14" t="s">
        <v>739</v>
      </c>
      <c r="C130" s="14" t="s">
        <v>740</v>
      </c>
      <c r="D130" s="4">
        <f ca="1">-SUMIFS(INDIRECT("Tab_000.Trial["&amp;D$4&amp;"]"),Tab_000.Trial[CONTA],$B130)</f>
        <v>-287.74</v>
      </c>
      <c r="E130" s="78">
        <f t="shared" ca="1" si="112"/>
        <v>-2.9999999999999997E-4</v>
      </c>
      <c r="F130" s="4">
        <f ca="1">-SUMIFS(INDIRECT("Tab_000.Trial["&amp;F$4&amp;"]"),Tab_000.Trial[CONTA],$B130)</f>
        <v>-287.74</v>
      </c>
      <c r="G130" s="78">
        <f t="shared" ca="1" si="91"/>
        <v>-2.9999999999999997E-4</v>
      </c>
      <c r="H130" s="78">
        <f t="shared" ca="1" si="113"/>
        <v>0</v>
      </c>
      <c r="I130" s="4">
        <f ca="1">-SUMIFS(INDIRECT("Tab_000.Trial["&amp;I$4&amp;"]"),Tab_000.Trial[CONTA],$B130)</f>
        <v>-287.74</v>
      </c>
      <c r="J130" s="78">
        <f t="shared" ca="1" si="92"/>
        <v>-2.9999999999999997E-4</v>
      </c>
      <c r="K130" s="78">
        <f t="shared" ca="1" si="93"/>
        <v>0</v>
      </c>
      <c r="L130" s="4">
        <f ca="1">-SUMIFS(INDIRECT("Tab_000.Trial["&amp;L$4&amp;"]"),Tab_000.Trial[CONTA],$B130)</f>
        <v>-287.74</v>
      </c>
      <c r="M130" s="78">
        <f t="shared" ca="1" si="94"/>
        <v>-2.9999999999999997E-4</v>
      </c>
      <c r="N130" s="78">
        <f t="shared" ca="1" si="95"/>
        <v>0</v>
      </c>
      <c r="O130" s="4">
        <f ca="1">-SUMIFS(INDIRECT("Tab_000.Trial["&amp;O$4&amp;"]"),Tab_000.Trial[CONTA],$B130)</f>
        <v>-287.74</v>
      </c>
      <c r="P130" s="78">
        <f t="shared" ca="1" si="114"/>
        <v>-2.0000000000000001E-4</v>
      </c>
      <c r="Q130" s="78">
        <f t="shared" ca="1" si="115"/>
        <v>0</v>
      </c>
      <c r="R130" s="4">
        <f ca="1">-SUMIFS(INDIRECT("Tab_000.Trial["&amp;R$4&amp;"]"),Tab_000.Trial[CONTA],$B130)</f>
        <v>-287.74</v>
      </c>
      <c r="S130" s="78">
        <f t="shared" ca="1" si="98"/>
        <v>-2.9999999999999997E-4</v>
      </c>
      <c r="T130" s="78">
        <f t="shared" ca="1" si="99"/>
        <v>0</v>
      </c>
      <c r="U130" s="4">
        <f ca="1">-SUMIFS(INDIRECT("Tab_000.Trial["&amp;U$4&amp;"]"),Tab_000.Trial[CONTA],$B130)</f>
        <v>-287.74</v>
      </c>
      <c r="V130" s="78">
        <f t="shared" ca="1" si="100"/>
        <v>-2.9999999999999997E-4</v>
      </c>
      <c r="W130" s="78">
        <f t="shared" ca="1" si="101"/>
        <v>0</v>
      </c>
      <c r="X130" s="4">
        <f ca="1">-SUMIFS(INDIRECT("Tab_000.Trial["&amp;X$4&amp;"]"),Tab_000.Trial[CONTA],$B130)</f>
        <v>-287.74</v>
      </c>
      <c r="Y130" s="78">
        <f t="shared" ca="1" si="116"/>
        <v>-2.9999999999999997E-4</v>
      </c>
      <c r="Z130" s="78">
        <f t="shared" ca="1" si="117"/>
        <v>0</v>
      </c>
      <c r="AA130" s="4">
        <f ca="1">-SUMIFS(INDIRECT("Tab_000.Trial["&amp;AA$4&amp;"]"),Tab_000.Trial[CONTA],$B130)</f>
        <v>-275.14999999999998</v>
      </c>
      <c r="AB130" s="78">
        <f t="shared" ca="1" si="104"/>
        <v>-2.9999999999999997E-4</v>
      </c>
      <c r="AC130" s="78">
        <f t="shared" ca="1" si="105"/>
        <v>4.3799999999999999E-2</v>
      </c>
      <c r="AD130" s="4">
        <f ca="1">-SUMIFS(INDIRECT("Tab_000.Trial["&amp;AD$4&amp;"]"),Tab_000.Trial[CONTA],$B130)</f>
        <v>-291.76</v>
      </c>
      <c r="AE130" s="78">
        <f t="shared" ca="1" si="106"/>
        <v>-2.0000000000000001E-4</v>
      </c>
      <c r="AF130" s="78">
        <f t="shared" ca="1" si="107"/>
        <v>-6.0400000000000002E-2</v>
      </c>
      <c r="AG130" s="4">
        <f ca="1">-SUMIFS(INDIRECT("Tab_000.Trial["&amp;AG$4&amp;"]"),Tab_000.Trial[CONTA],$B130)</f>
        <v>-291.76</v>
      </c>
      <c r="AH130" s="78">
        <f t="shared" ca="1" si="108"/>
        <v>-2.9999999999999997E-4</v>
      </c>
      <c r="AI130" s="78">
        <f t="shared" ca="1" si="109"/>
        <v>0</v>
      </c>
      <c r="AJ130" s="4">
        <f ca="1">-SUMIFS(INDIRECT("Tab_000.Trial["&amp;AJ$4&amp;"]"),Tab_000.Trial[CONTA],$B130)</f>
        <v>-291.76</v>
      </c>
      <c r="AK130" s="78">
        <f t="shared" ca="1" si="110"/>
        <v>-2.0000000000000001E-4</v>
      </c>
      <c r="AL130" s="78">
        <f t="shared" ca="1" si="111"/>
        <v>0</v>
      </c>
      <c r="AM130" s="142" t="s">
        <v>766</v>
      </c>
    </row>
    <row r="131" spans="2:39" ht="15" customHeight="1" outlineLevel="1" x14ac:dyDescent="0.3">
      <c r="B131" s="14" t="s">
        <v>741</v>
      </c>
      <c r="C131" s="14" t="s">
        <v>742</v>
      </c>
      <c r="D131" s="4">
        <f ca="1">-SUMIFS(INDIRECT("Tab_000.Trial["&amp;D$4&amp;"]"),Tab_000.Trial[CONTA],$B131)</f>
        <v>-17980.080000000002</v>
      </c>
      <c r="E131" s="78">
        <f t="shared" ca="1" si="112"/>
        <v>-1.89E-2</v>
      </c>
      <c r="F131" s="4">
        <f ca="1">-SUMIFS(INDIRECT("Tab_000.Trial["&amp;F$4&amp;"]"),Tab_000.Trial[CONTA],$B131)</f>
        <v>-17980.080000000002</v>
      </c>
      <c r="G131" s="78">
        <f t="shared" ca="1" si="91"/>
        <v>-1.84E-2</v>
      </c>
      <c r="H131" s="78">
        <f t="shared" ca="1" si="113"/>
        <v>0</v>
      </c>
      <c r="I131" s="4">
        <f ca="1">-SUMIFS(INDIRECT("Tab_000.Trial["&amp;I$4&amp;"]"),Tab_000.Trial[CONTA],$B131)</f>
        <v>-17980.080000000002</v>
      </c>
      <c r="J131" s="78">
        <f t="shared" ca="1" si="92"/>
        <v>-1.7100000000000001E-2</v>
      </c>
      <c r="K131" s="78">
        <f t="shared" ca="1" si="93"/>
        <v>0</v>
      </c>
      <c r="L131" s="4">
        <f ca="1">-SUMIFS(INDIRECT("Tab_000.Trial["&amp;L$4&amp;"]"),Tab_000.Trial[CONTA],$B131)</f>
        <v>-17980.080000000002</v>
      </c>
      <c r="M131" s="78">
        <f t="shared" ca="1" si="94"/>
        <v>-1.6199999999999999E-2</v>
      </c>
      <c r="N131" s="78">
        <f t="shared" ca="1" si="95"/>
        <v>0</v>
      </c>
      <c r="O131" s="4">
        <f ca="1">-SUMIFS(INDIRECT("Tab_000.Trial["&amp;O$4&amp;"]"),Tab_000.Trial[CONTA],$B131)</f>
        <v>-17980.080000000002</v>
      </c>
      <c r="P131" s="78">
        <f t="shared" ca="1" si="114"/>
        <v>-1.4800000000000001E-2</v>
      </c>
      <c r="Q131" s="78">
        <f t="shared" ca="1" si="115"/>
        <v>0</v>
      </c>
      <c r="R131" s="4">
        <f ca="1">-SUMIFS(INDIRECT("Tab_000.Trial["&amp;R$4&amp;"]"),Tab_000.Trial[CONTA],$B131)</f>
        <v>-17980.080000000002</v>
      </c>
      <c r="S131" s="78">
        <f t="shared" ca="1" si="98"/>
        <v>-1.78E-2</v>
      </c>
      <c r="T131" s="78">
        <f t="shared" ca="1" si="99"/>
        <v>0</v>
      </c>
      <c r="U131" s="4">
        <f ca="1">-SUMIFS(INDIRECT("Tab_000.Trial["&amp;U$4&amp;"]"),Tab_000.Trial[CONTA],$B131)</f>
        <v>-17980.080000000002</v>
      </c>
      <c r="V131" s="78">
        <f t="shared" ca="1" si="100"/>
        <v>-1.67E-2</v>
      </c>
      <c r="W131" s="78">
        <f t="shared" ca="1" si="101"/>
        <v>0</v>
      </c>
      <c r="X131" s="4">
        <f ca="1">-SUMIFS(INDIRECT("Tab_000.Trial["&amp;X$4&amp;"]"),Tab_000.Trial[CONTA],$B131)</f>
        <v>-17980.080000000002</v>
      </c>
      <c r="Y131" s="78">
        <f t="shared" ca="1" si="116"/>
        <v>-1.7299999999999999E-2</v>
      </c>
      <c r="Z131" s="78">
        <f t="shared" ca="1" si="117"/>
        <v>0</v>
      </c>
      <c r="AA131" s="4">
        <f ca="1">-SUMIFS(INDIRECT("Tab_000.Trial["&amp;AA$4&amp;"]"),Tab_000.Trial[CONTA],$B131)</f>
        <v>-17980.09</v>
      </c>
      <c r="AB131" s="78">
        <f t="shared" ca="1" si="104"/>
        <v>-1.8499999999999999E-2</v>
      </c>
      <c r="AC131" s="78">
        <f t="shared" ca="1" si="105"/>
        <v>0</v>
      </c>
      <c r="AD131" s="4">
        <f ca="1">-SUMIFS(INDIRECT("Tab_000.Trial["&amp;AD$4&amp;"]"),Tab_000.Trial[CONTA],$B131)</f>
        <v>-17980.080000000002</v>
      </c>
      <c r="AE131" s="78">
        <f t="shared" ca="1" si="106"/>
        <v>-1.4500000000000001E-2</v>
      </c>
      <c r="AF131" s="78">
        <f t="shared" ca="1" si="107"/>
        <v>0</v>
      </c>
      <c r="AG131" s="4">
        <f ca="1">-SUMIFS(INDIRECT("Tab_000.Trial["&amp;AG$4&amp;"]"),Tab_000.Trial[CONTA],$B131)</f>
        <v>-17980.080000000002</v>
      </c>
      <c r="AH131" s="78">
        <f t="shared" ca="1" si="108"/>
        <v>-1.9599999999999999E-2</v>
      </c>
      <c r="AI131" s="78">
        <f t="shared" ca="1" si="109"/>
        <v>0</v>
      </c>
      <c r="AJ131" s="4">
        <f ca="1">-SUMIFS(INDIRECT("Tab_000.Trial["&amp;AJ$4&amp;"]"),Tab_000.Trial[CONTA],$B131)</f>
        <v>-17980.080000000002</v>
      </c>
      <c r="AK131" s="78">
        <f t="shared" ca="1" si="110"/>
        <v>-1.21E-2</v>
      </c>
      <c r="AL131" s="78">
        <f t="shared" ca="1" si="111"/>
        <v>0</v>
      </c>
      <c r="AM131" s="142" t="s">
        <v>766</v>
      </c>
    </row>
    <row r="132" spans="2:39" ht="15" customHeight="1" outlineLevel="1" x14ac:dyDescent="0.3">
      <c r="B132" s="14" t="s">
        <v>752</v>
      </c>
      <c r="C132" s="14" t="s">
        <v>753</v>
      </c>
      <c r="D132" s="4">
        <f ca="1">-SUMIFS(INDIRECT("Tab_000.Trial["&amp;D$4&amp;"]"),Tab_000.Trial[CONTA],$B132)</f>
        <v>0</v>
      </c>
      <c r="E132" s="78">
        <f t="shared" ca="1" si="112"/>
        <v>0</v>
      </c>
      <c r="F132" s="4">
        <f ca="1">-SUMIFS(INDIRECT("Tab_000.Trial["&amp;F$4&amp;"]"),Tab_000.Trial[CONTA],$B132)</f>
        <v>0</v>
      </c>
      <c r="G132" s="78">
        <f t="shared" ca="1" si="91"/>
        <v>0</v>
      </c>
      <c r="H132" s="78">
        <f t="shared" ca="1" si="113"/>
        <v>0</v>
      </c>
      <c r="I132" s="4">
        <f ca="1">-SUMIFS(INDIRECT("Tab_000.Trial["&amp;I$4&amp;"]"),Tab_000.Trial[CONTA],$B132)</f>
        <v>0</v>
      </c>
      <c r="J132" s="78">
        <f t="shared" ca="1" si="92"/>
        <v>0</v>
      </c>
      <c r="K132" s="78">
        <f t="shared" ca="1" si="93"/>
        <v>0</v>
      </c>
      <c r="L132" s="4">
        <f ca="1">-SUMIFS(INDIRECT("Tab_000.Trial["&amp;L$4&amp;"]"),Tab_000.Trial[CONTA],$B132)</f>
        <v>-5000</v>
      </c>
      <c r="M132" s="78">
        <f t="shared" ca="1" si="94"/>
        <v>-4.4999999999999997E-3</v>
      </c>
      <c r="N132" s="78">
        <f t="shared" ca="1" si="95"/>
        <v>0</v>
      </c>
      <c r="O132" s="4">
        <f ca="1">-SUMIFS(INDIRECT("Tab_000.Trial["&amp;O$4&amp;"]"),Tab_000.Trial[CONTA],$B132)</f>
        <v>0</v>
      </c>
      <c r="P132" s="78">
        <f t="shared" ca="1" si="114"/>
        <v>0</v>
      </c>
      <c r="Q132" s="78">
        <f t="shared" ca="1" si="115"/>
        <v>1</v>
      </c>
      <c r="R132" s="4">
        <f ca="1">-SUMIFS(INDIRECT("Tab_000.Trial["&amp;R$4&amp;"]"),Tab_000.Trial[CONTA],$B132)</f>
        <v>0</v>
      </c>
      <c r="S132" s="78">
        <f t="shared" ca="1" si="98"/>
        <v>0</v>
      </c>
      <c r="T132" s="78">
        <f t="shared" ca="1" si="99"/>
        <v>0</v>
      </c>
      <c r="U132" s="4">
        <f ca="1">-SUMIFS(INDIRECT("Tab_000.Trial["&amp;U$4&amp;"]"),Tab_000.Trial[CONTA],$B132)</f>
        <v>0</v>
      </c>
      <c r="V132" s="78">
        <f t="shared" ca="1" si="100"/>
        <v>0</v>
      </c>
      <c r="W132" s="78">
        <f t="shared" ca="1" si="101"/>
        <v>0</v>
      </c>
      <c r="X132" s="4">
        <f ca="1">-SUMIFS(INDIRECT("Tab_000.Trial["&amp;X$4&amp;"]"),Tab_000.Trial[CONTA],$B132)</f>
        <v>0</v>
      </c>
      <c r="Y132" s="78">
        <f t="shared" ca="1" si="116"/>
        <v>0</v>
      </c>
      <c r="Z132" s="78">
        <f t="shared" ca="1" si="117"/>
        <v>0</v>
      </c>
      <c r="AA132" s="4">
        <f ca="1">-SUMIFS(INDIRECT("Tab_000.Trial["&amp;AA$4&amp;"]"),Tab_000.Trial[CONTA],$B132)</f>
        <v>0</v>
      </c>
      <c r="AB132" s="78">
        <f t="shared" ca="1" si="104"/>
        <v>0</v>
      </c>
      <c r="AC132" s="78">
        <f t="shared" ca="1" si="105"/>
        <v>0</v>
      </c>
      <c r="AD132" s="4">
        <f ca="1">-SUMIFS(INDIRECT("Tab_000.Trial["&amp;AD$4&amp;"]"),Tab_000.Trial[CONTA],$B132)</f>
        <v>0</v>
      </c>
      <c r="AE132" s="78">
        <f t="shared" ca="1" si="106"/>
        <v>0</v>
      </c>
      <c r="AF132" s="78">
        <f t="shared" ca="1" si="107"/>
        <v>0</v>
      </c>
      <c r="AG132" s="4">
        <f ca="1">-SUMIFS(INDIRECT("Tab_000.Trial["&amp;AG$4&amp;"]"),Tab_000.Trial[CONTA],$B132)</f>
        <v>0</v>
      </c>
      <c r="AH132" s="78">
        <f t="shared" ca="1" si="108"/>
        <v>0</v>
      </c>
      <c r="AI132" s="78">
        <f t="shared" ca="1" si="109"/>
        <v>0</v>
      </c>
      <c r="AJ132" s="4">
        <f ca="1">-SUMIFS(INDIRECT("Tab_000.Trial["&amp;AJ$4&amp;"]"),Tab_000.Trial[CONTA],$B132)</f>
        <v>0</v>
      </c>
      <c r="AK132" s="78">
        <f t="shared" ca="1" si="110"/>
        <v>0</v>
      </c>
      <c r="AL132" s="78">
        <f t="shared" ca="1" si="111"/>
        <v>0</v>
      </c>
      <c r="AM132" s="142" t="s">
        <v>766</v>
      </c>
    </row>
    <row r="133" spans="2:39" ht="15" customHeight="1" outlineLevel="1" x14ac:dyDescent="0.3">
      <c r="B133" s="14" t="s">
        <v>772</v>
      </c>
      <c r="C133" s="14" t="s">
        <v>435</v>
      </c>
      <c r="D133" s="4">
        <f ca="1">-SUMIFS(INDIRECT("Tab_000.Trial["&amp;D$4&amp;"]"),Tab_000.Trial[CONTA],$B133)</f>
        <v>0</v>
      </c>
      <c r="E133" s="78">
        <f t="shared" ca="1" si="112"/>
        <v>0</v>
      </c>
      <c r="F133" s="4">
        <f ca="1">-SUMIFS(INDIRECT("Tab_000.Trial["&amp;F$4&amp;"]"),Tab_000.Trial[CONTA],$B133)</f>
        <v>0</v>
      </c>
      <c r="G133" s="78">
        <f t="shared" ca="1" si="91"/>
        <v>0</v>
      </c>
      <c r="H133" s="78">
        <f t="shared" ca="1" si="113"/>
        <v>0</v>
      </c>
      <c r="I133" s="4">
        <f ca="1">-SUMIFS(INDIRECT("Tab_000.Trial["&amp;I$4&amp;"]"),Tab_000.Trial[CONTA],$B133)</f>
        <v>0</v>
      </c>
      <c r="J133" s="78">
        <f t="shared" ca="1" si="92"/>
        <v>0</v>
      </c>
      <c r="K133" s="78">
        <f t="shared" ca="1" si="93"/>
        <v>0</v>
      </c>
      <c r="L133" s="4">
        <f ca="1">-SUMIFS(INDIRECT("Tab_000.Trial["&amp;L$4&amp;"]"),Tab_000.Trial[CONTA],$B133)</f>
        <v>0</v>
      </c>
      <c r="M133" s="78">
        <f t="shared" ca="1" si="94"/>
        <v>0</v>
      </c>
      <c r="N133" s="78">
        <f t="shared" ca="1" si="95"/>
        <v>0</v>
      </c>
      <c r="O133" s="4">
        <f ca="1">-SUMIFS(INDIRECT("Tab_000.Trial["&amp;O$4&amp;"]"),Tab_000.Trial[CONTA],$B133)</f>
        <v>0</v>
      </c>
      <c r="P133" s="78">
        <f t="shared" ca="1" si="114"/>
        <v>0</v>
      </c>
      <c r="Q133" s="78">
        <f t="shared" ca="1" si="115"/>
        <v>0</v>
      </c>
      <c r="R133" s="4">
        <f ca="1">-SUMIFS(INDIRECT("Tab_000.Trial["&amp;R$4&amp;"]"),Tab_000.Trial[CONTA],$B133)</f>
        <v>0</v>
      </c>
      <c r="S133" s="78">
        <f t="shared" ca="1" si="98"/>
        <v>0</v>
      </c>
      <c r="T133" s="78">
        <f t="shared" ca="1" si="99"/>
        <v>0</v>
      </c>
      <c r="U133" s="4">
        <f ca="1">-SUMIFS(INDIRECT("Tab_000.Trial["&amp;U$4&amp;"]"),Tab_000.Trial[CONTA],$B133)</f>
        <v>0</v>
      </c>
      <c r="V133" s="78">
        <f t="shared" ca="1" si="100"/>
        <v>0</v>
      </c>
      <c r="W133" s="78">
        <f t="shared" ca="1" si="101"/>
        <v>0</v>
      </c>
      <c r="X133" s="4">
        <f ca="1">-SUMIFS(INDIRECT("Tab_000.Trial["&amp;X$4&amp;"]"),Tab_000.Trial[CONTA],$B133)</f>
        <v>0</v>
      </c>
      <c r="Y133" s="78">
        <f t="shared" ca="1" si="116"/>
        <v>0</v>
      </c>
      <c r="Z133" s="78">
        <f t="shared" ca="1" si="117"/>
        <v>0</v>
      </c>
      <c r="AA133" s="4">
        <f ca="1">-SUMIFS(INDIRECT("Tab_000.Trial["&amp;AA$4&amp;"]"),Tab_000.Trial[CONTA],$B133)</f>
        <v>0</v>
      </c>
      <c r="AB133" s="78">
        <f t="shared" ca="1" si="104"/>
        <v>0</v>
      </c>
      <c r="AC133" s="78">
        <f t="shared" ca="1" si="105"/>
        <v>0</v>
      </c>
      <c r="AD133" s="4">
        <f ca="1">-SUMIFS(INDIRECT("Tab_000.Trial["&amp;AD$4&amp;"]"),Tab_000.Trial[CONTA],$B133)</f>
        <v>0</v>
      </c>
      <c r="AE133" s="78">
        <f t="shared" ca="1" si="106"/>
        <v>0</v>
      </c>
      <c r="AF133" s="78">
        <f t="shared" ca="1" si="107"/>
        <v>0</v>
      </c>
      <c r="AG133" s="4">
        <f ca="1">-SUMIFS(INDIRECT("Tab_000.Trial["&amp;AG$4&amp;"]"),Tab_000.Trial[CONTA],$B133)</f>
        <v>0</v>
      </c>
      <c r="AH133" s="78">
        <f t="shared" ca="1" si="108"/>
        <v>0</v>
      </c>
      <c r="AI133" s="78">
        <f t="shared" ca="1" si="109"/>
        <v>0</v>
      </c>
      <c r="AJ133" s="4">
        <f ca="1">-SUMIFS(INDIRECT("Tab_000.Trial["&amp;AJ$4&amp;"]"),Tab_000.Trial[CONTA],$B133)</f>
        <v>0</v>
      </c>
      <c r="AK133" s="78">
        <f t="shared" ca="1" si="110"/>
        <v>0</v>
      </c>
      <c r="AL133" s="78">
        <f t="shared" ca="1" si="111"/>
        <v>0</v>
      </c>
      <c r="AM133" s="142" t="s">
        <v>766</v>
      </c>
    </row>
    <row r="134" spans="2:39" ht="15" customHeight="1" outlineLevel="1" x14ac:dyDescent="0.3">
      <c r="B134" s="14" t="s">
        <v>773</v>
      </c>
      <c r="C134" s="14" t="s">
        <v>751</v>
      </c>
      <c r="D134" s="4">
        <f ca="1">-SUMIFS(INDIRECT("Tab_000.Trial["&amp;D$4&amp;"]"),Tab_000.Trial[CONTA],$B134)</f>
        <v>0</v>
      </c>
      <c r="E134" s="78">
        <f t="shared" ca="1" si="112"/>
        <v>0</v>
      </c>
      <c r="F134" s="4">
        <f ca="1">-SUMIFS(INDIRECT("Tab_000.Trial["&amp;F$4&amp;"]"),Tab_000.Trial[CONTA],$B134)</f>
        <v>0</v>
      </c>
      <c r="G134" s="78">
        <f t="shared" ca="1" si="91"/>
        <v>0</v>
      </c>
      <c r="H134" s="78">
        <f t="shared" ca="1" si="113"/>
        <v>0</v>
      </c>
      <c r="I134" s="4">
        <f ca="1">-SUMIFS(INDIRECT("Tab_000.Trial["&amp;I$4&amp;"]"),Tab_000.Trial[CONTA],$B134)</f>
        <v>0</v>
      </c>
      <c r="J134" s="78">
        <f t="shared" ca="1" si="92"/>
        <v>0</v>
      </c>
      <c r="K134" s="78">
        <f t="shared" ca="1" si="93"/>
        <v>0</v>
      </c>
      <c r="L134" s="4">
        <f ca="1">-SUMIFS(INDIRECT("Tab_000.Trial["&amp;L$4&amp;"]"),Tab_000.Trial[CONTA],$B134)</f>
        <v>0</v>
      </c>
      <c r="M134" s="78">
        <f t="shared" ca="1" si="94"/>
        <v>0</v>
      </c>
      <c r="N134" s="78">
        <f t="shared" ca="1" si="95"/>
        <v>0</v>
      </c>
      <c r="O134" s="4">
        <f ca="1">-SUMIFS(INDIRECT("Tab_000.Trial["&amp;O$4&amp;"]"),Tab_000.Trial[CONTA],$B134)</f>
        <v>0</v>
      </c>
      <c r="P134" s="78">
        <f t="shared" ca="1" si="114"/>
        <v>0</v>
      </c>
      <c r="Q134" s="78">
        <f t="shared" ca="1" si="115"/>
        <v>0</v>
      </c>
      <c r="R134" s="4">
        <f ca="1">-SUMIFS(INDIRECT("Tab_000.Trial["&amp;R$4&amp;"]"),Tab_000.Trial[CONTA],$B134)</f>
        <v>0</v>
      </c>
      <c r="S134" s="78">
        <f t="shared" ca="1" si="98"/>
        <v>0</v>
      </c>
      <c r="T134" s="78">
        <f t="shared" ca="1" si="99"/>
        <v>0</v>
      </c>
      <c r="U134" s="4">
        <f ca="1">-SUMIFS(INDIRECT("Tab_000.Trial["&amp;U$4&amp;"]"),Tab_000.Trial[CONTA],$B134)</f>
        <v>0</v>
      </c>
      <c r="V134" s="78">
        <f t="shared" ca="1" si="100"/>
        <v>0</v>
      </c>
      <c r="W134" s="78">
        <f t="shared" ca="1" si="101"/>
        <v>0</v>
      </c>
      <c r="X134" s="4">
        <f ca="1">-SUMIFS(INDIRECT("Tab_000.Trial["&amp;X$4&amp;"]"),Tab_000.Trial[CONTA],$B134)</f>
        <v>-386.16</v>
      </c>
      <c r="Y134" s="78">
        <f t="shared" ca="1" si="116"/>
        <v>-4.0000000000000002E-4</v>
      </c>
      <c r="Z134" s="78">
        <f t="shared" ca="1" si="117"/>
        <v>0</v>
      </c>
      <c r="AA134" s="4">
        <f ca="1">-SUMIFS(INDIRECT("Tab_000.Trial["&amp;AA$4&amp;"]"),Tab_000.Trial[CONTA],$B134)</f>
        <v>386.16</v>
      </c>
      <c r="AB134" s="78">
        <f t="shared" ca="1" si="104"/>
        <v>4.0000000000000002E-4</v>
      </c>
      <c r="AC134" s="78">
        <f t="shared" ca="1" si="105"/>
        <v>2</v>
      </c>
      <c r="AD134" s="4">
        <f ca="1">-SUMIFS(INDIRECT("Tab_000.Trial["&amp;AD$4&amp;"]"),Tab_000.Trial[CONTA],$B134)</f>
        <v>0</v>
      </c>
      <c r="AE134" s="78">
        <f t="shared" ca="1" si="106"/>
        <v>0</v>
      </c>
      <c r="AF134" s="78">
        <f t="shared" ca="1" si="107"/>
        <v>-1</v>
      </c>
      <c r="AG134" s="4">
        <f ca="1">-SUMIFS(INDIRECT("Tab_000.Trial["&amp;AG$4&amp;"]"),Tab_000.Trial[CONTA],$B134)</f>
        <v>0</v>
      </c>
      <c r="AH134" s="78">
        <f t="shared" ca="1" si="108"/>
        <v>0</v>
      </c>
      <c r="AI134" s="78">
        <f t="shared" ca="1" si="109"/>
        <v>0</v>
      </c>
      <c r="AJ134" s="4">
        <f ca="1">-SUMIFS(INDIRECT("Tab_000.Trial["&amp;AJ$4&amp;"]"),Tab_000.Trial[CONTA],$B134)</f>
        <v>0</v>
      </c>
      <c r="AK134" s="78">
        <f t="shared" ca="1" si="110"/>
        <v>0</v>
      </c>
      <c r="AL134" s="78">
        <f t="shared" ca="1" si="111"/>
        <v>0</v>
      </c>
      <c r="AM134" s="142" t="s">
        <v>766</v>
      </c>
    </row>
    <row r="135" spans="2:39" ht="15" customHeight="1" outlineLevel="1" x14ac:dyDescent="0.3">
      <c r="B135" s="14" t="s">
        <v>833</v>
      </c>
      <c r="C135" s="14" t="s">
        <v>834</v>
      </c>
      <c r="D135" s="4">
        <f ca="1">-SUMIFS(INDIRECT("Tab_000.Trial["&amp;D$4&amp;"]"),Tab_000.Trial[CONTA],$B135)</f>
        <v>-7500</v>
      </c>
      <c r="E135" s="78">
        <f t="shared" ca="1" si="112"/>
        <v>-7.9000000000000008E-3</v>
      </c>
      <c r="F135" s="4">
        <f ca="1">-SUMIFS(INDIRECT("Tab_000.Trial["&amp;F$4&amp;"]"),Tab_000.Trial[CONTA],$B135)</f>
        <v>-7500</v>
      </c>
      <c r="G135" s="78">
        <f t="shared" ca="1" si="91"/>
        <v>-7.7000000000000002E-3</v>
      </c>
      <c r="H135" s="78">
        <f t="shared" ca="1" si="113"/>
        <v>0</v>
      </c>
      <c r="I135" s="4">
        <f ca="1">-SUMIFS(INDIRECT("Tab_000.Trial["&amp;I$4&amp;"]"),Tab_000.Trial[CONTA],$B135)</f>
        <v>-7500</v>
      </c>
      <c r="J135" s="78">
        <f t="shared" ca="1" si="92"/>
        <v>-7.1000000000000004E-3</v>
      </c>
      <c r="K135" s="78">
        <f t="shared" ca="1" si="93"/>
        <v>0</v>
      </c>
      <c r="L135" s="4">
        <f ca="1">-SUMIFS(INDIRECT("Tab_000.Trial["&amp;L$4&amp;"]"),Tab_000.Trial[CONTA],$B135)</f>
        <v>-7500</v>
      </c>
      <c r="M135" s="78">
        <f t="shared" ca="1" si="94"/>
        <v>-6.7999999999999996E-3</v>
      </c>
      <c r="N135" s="78">
        <f t="shared" ca="1" si="95"/>
        <v>0</v>
      </c>
      <c r="O135" s="4">
        <f ca="1">-SUMIFS(INDIRECT("Tab_000.Trial["&amp;O$4&amp;"]"),Tab_000.Trial[CONTA],$B135)</f>
        <v>-7500</v>
      </c>
      <c r="P135" s="78">
        <f t="shared" ca="1" si="114"/>
        <v>-6.1999999999999998E-3</v>
      </c>
      <c r="Q135" s="78">
        <f t="shared" ca="1" si="115"/>
        <v>0</v>
      </c>
      <c r="R135" s="4">
        <f ca="1">-SUMIFS(INDIRECT("Tab_000.Trial["&amp;R$4&amp;"]"),Tab_000.Trial[CONTA],$B135)</f>
        <v>-7500</v>
      </c>
      <c r="S135" s="78">
        <f t="shared" ca="1" si="98"/>
        <v>-7.4000000000000003E-3</v>
      </c>
      <c r="T135" s="78">
        <f t="shared" ca="1" si="99"/>
        <v>0</v>
      </c>
      <c r="U135" s="4">
        <f ca="1">-SUMIFS(INDIRECT("Tab_000.Trial["&amp;U$4&amp;"]"),Tab_000.Trial[CONTA],$B135)</f>
        <v>-7500</v>
      </c>
      <c r="V135" s="78">
        <f t="shared" ca="1" si="100"/>
        <v>-7.0000000000000001E-3</v>
      </c>
      <c r="W135" s="78">
        <f t="shared" ca="1" si="101"/>
        <v>0</v>
      </c>
      <c r="X135" s="4">
        <f ca="1">-SUMIFS(INDIRECT("Tab_000.Trial["&amp;X$4&amp;"]"),Tab_000.Trial[CONTA],$B135)</f>
        <v>-7500</v>
      </c>
      <c r="Y135" s="78">
        <f t="shared" ca="1" si="116"/>
        <v>-7.1999999999999998E-3</v>
      </c>
      <c r="Z135" s="78">
        <f t="shared" ca="1" si="117"/>
        <v>0</v>
      </c>
      <c r="AA135" s="4">
        <f ca="1">-SUMIFS(INDIRECT("Tab_000.Trial["&amp;AA$4&amp;"]"),Tab_000.Trial[CONTA],$B135)</f>
        <v>-7500</v>
      </c>
      <c r="AB135" s="78">
        <f t="shared" ca="1" si="104"/>
        <v>-7.7000000000000002E-3</v>
      </c>
      <c r="AC135" s="78">
        <f t="shared" ca="1" si="105"/>
        <v>0</v>
      </c>
      <c r="AD135" s="4">
        <f ca="1">-SUMIFS(INDIRECT("Tab_000.Trial["&amp;AD$4&amp;"]"),Tab_000.Trial[CONTA],$B135)</f>
        <v>-7500</v>
      </c>
      <c r="AE135" s="78">
        <f t="shared" ca="1" si="106"/>
        <v>-6.0000000000000001E-3</v>
      </c>
      <c r="AF135" s="78">
        <f t="shared" ca="1" si="107"/>
        <v>0</v>
      </c>
      <c r="AG135" s="4">
        <f ca="1">-SUMIFS(INDIRECT("Tab_000.Trial["&amp;AG$4&amp;"]"),Tab_000.Trial[CONTA],$B135)</f>
        <v>-7500</v>
      </c>
      <c r="AH135" s="78">
        <f t="shared" ca="1" si="108"/>
        <v>-8.2000000000000007E-3</v>
      </c>
      <c r="AI135" s="78">
        <f t="shared" ca="1" si="109"/>
        <v>0</v>
      </c>
      <c r="AJ135" s="4">
        <f ca="1">-SUMIFS(INDIRECT("Tab_000.Trial["&amp;AJ$4&amp;"]"),Tab_000.Trial[CONTA],$B135)</f>
        <v>-7500</v>
      </c>
      <c r="AK135" s="78">
        <f t="shared" ca="1" si="110"/>
        <v>-5.1000000000000004E-3</v>
      </c>
      <c r="AL135" s="78">
        <f t="shared" ca="1" si="111"/>
        <v>0</v>
      </c>
      <c r="AM135" s="142" t="s">
        <v>766</v>
      </c>
    </row>
    <row r="136" spans="2:39" ht="5.0999999999999996" customHeight="1" outlineLevel="1" x14ac:dyDescent="0.3">
      <c r="B136" s="74"/>
      <c r="C136" s="75"/>
      <c r="D136" s="76"/>
      <c r="E136" s="77"/>
      <c r="F136" s="76"/>
      <c r="G136" s="77"/>
      <c r="H136" s="77"/>
      <c r="I136" s="76"/>
      <c r="J136" s="77"/>
      <c r="K136" s="77"/>
      <c r="L136" s="76"/>
      <c r="M136" s="77"/>
      <c r="N136" s="77"/>
      <c r="O136" s="76"/>
      <c r="P136" s="77"/>
      <c r="Q136" s="77"/>
      <c r="R136" s="76"/>
      <c r="S136" s="77"/>
      <c r="T136" s="77"/>
      <c r="U136" s="76"/>
      <c r="V136" s="77"/>
      <c r="W136" s="77"/>
      <c r="X136" s="76"/>
      <c r="Y136" s="77"/>
      <c r="Z136" s="77"/>
      <c r="AA136" s="76"/>
      <c r="AB136" s="77"/>
      <c r="AC136" s="77"/>
      <c r="AD136" s="76"/>
      <c r="AE136" s="77"/>
      <c r="AF136" s="77"/>
      <c r="AG136" s="76"/>
      <c r="AH136" s="77"/>
      <c r="AI136" s="77"/>
      <c r="AJ136" s="76"/>
      <c r="AK136" s="77"/>
      <c r="AL136" s="77"/>
    </row>
    <row r="137" spans="2:39" ht="15" customHeight="1" x14ac:dyDescent="0.3">
      <c r="B137" s="3" t="s">
        <v>106</v>
      </c>
      <c r="C137" s="3" t="s">
        <v>147</v>
      </c>
      <c r="D137" s="4">
        <f ca="1">SUBTOTAL(9,D$138:D$147)</f>
        <v>-40945.24</v>
      </c>
      <c r="E137" s="78">
        <f t="shared" ref="E137:E146" ca="1" si="118">IFERROR($D137/$D$6,0)</f>
        <v>-4.3099999999999999E-2</v>
      </c>
      <c r="F137" s="4">
        <f ca="1">SUBTOTAL(9,F$138:F$147)</f>
        <v>-37363.51</v>
      </c>
      <c r="G137" s="78">
        <f ca="1">IFERROR($F137/$F$6,0)</f>
        <v>-3.8300000000000001E-2</v>
      </c>
      <c r="H137" s="78">
        <f t="shared" ref="H137:H146" ca="1" si="119">IFERROR(($F137-$D137)/ABS($D137),0)</f>
        <v>8.7499999999999994E-2</v>
      </c>
      <c r="I137" s="4">
        <f ca="1">SUBTOTAL(9,I$138:I$147)</f>
        <v>-37363.51</v>
      </c>
      <c r="J137" s="78">
        <f ca="1">IFERROR($I137/$I$6,0)</f>
        <v>-3.56E-2</v>
      </c>
      <c r="K137" s="78">
        <f ca="1">IFERROR(($I137-$F137)/ABS($F137),0)</f>
        <v>0</v>
      </c>
      <c r="L137" s="4">
        <f ca="1">SUBTOTAL(9,L$138:L$147)</f>
        <v>-45874.28</v>
      </c>
      <c r="M137" s="78">
        <f ca="1">IFERROR($L137/$L$6,0)</f>
        <v>-4.1500000000000002E-2</v>
      </c>
      <c r="N137" s="78">
        <f ca="1">IFERROR(($L137-$I137)/ABS($I137),0)</f>
        <v>-0.2278</v>
      </c>
      <c r="O137" s="4">
        <f ca="1">SUBTOTAL(9,O$138:O$147)</f>
        <v>-52258.35</v>
      </c>
      <c r="P137" s="78">
        <f ca="1">IFERROR($O137/$O$6,0)</f>
        <v>-4.3099999999999999E-2</v>
      </c>
      <c r="Q137" s="78">
        <f ca="1">IFERROR(($O137-$L137)/ABS($L137),0)</f>
        <v>-0.13919999999999999</v>
      </c>
      <c r="R137" s="4">
        <f ca="1">SUBTOTAL(9,R$138:R$147)</f>
        <v>-124772.53</v>
      </c>
      <c r="S137" s="78">
        <f ca="1">IFERROR($R137/$R$6,0)</f>
        <v>-0.12379999999999999</v>
      </c>
      <c r="T137" s="78">
        <f ca="1">IFERROR(($R137-$O137)/ABS($O137),0)</f>
        <v>-1.3875999999999999</v>
      </c>
      <c r="U137" s="4">
        <f ca="1">SUBTOTAL(9,U$138:U$147)</f>
        <v>-80404.41</v>
      </c>
      <c r="V137" s="78">
        <f ca="1">IFERROR($U137/$U$6,0)</f>
        <v>-7.4800000000000005E-2</v>
      </c>
      <c r="W137" s="78">
        <f ca="1">IFERROR(($U137-$R137)/ABS($R137),0)</f>
        <v>0.35560000000000003</v>
      </c>
      <c r="X137" s="4">
        <f ca="1">SUBTOTAL(9,X$138:X$147)</f>
        <v>-77194.7</v>
      </c>
      <c r="Y137" s="78">
        <f ca="1">IFERROR($X137/$X$6,0)</f>
        <v>-7.4099999999999999E-2</v>
      </c>
      <c r="Z137" s="78">
        <f ca="1">IFERROR(($X137-$U137)/ABS($U137),0)</f>
        <v>3.9899999999999998E-2</v>
      </c>
      <c r="AA137" s="4">
        <f ca="1">SUBTOTAL(9,AA$138:AA$147)</f>
        <v>-75518.3</v>
      </c>
      <c r="AB137" s="78">
        <f ca="1">IFERROR($AA137/$AA$6,0)</f>
        <v>-7.7499999999999999E-2</v>
      </c>
      <c r="AC137" s="78">
        <f ca="1">IFERROR(($AA137-$X137)/ABS($X137),0)</f>
        <v>2.1700000000000001E-2</v>
      </c>
      <c r="AD137" s="4">
        <f ca="1">SUBTOTAL(9,AD$138:AD$147)</f>
        <v>-74065.13</v>
      </c>
      <c r="AE137" s="78">
        <f ca="1">IFERROR($AD137/$AD$6,0)</f>
        <v>-5.96E-2</v>
      </c>
      <c r="AF137" s="78">
        <f ca="1">IFERROR(($AD137-$AA137)/ABS($AA137),0)</f>
        <v>1.9199999999999998E-2</v>
      </c>
      <c r="AG137" s="4">
        <f ca="1">SUBTOTAL(9,AG$138:AG$147)</f>
        <v>-83487.63</v>
      </c>
      <c r="AH137" s="78">
        <f ca="1">IFERROR($AG137/$AG$6,0)</f>
        <v>-9.0999999999999998E-2</v>
      </c>
      <c r="AI137" s="78">
        <f ca="1">IFERROR(($AG137-$AD137)/ABS($AD137),0)</f>
        <v>-0.12720000000000001</v>
      </c>
      <c r="AJ137" s="4">
        <f ca="1">SUBTOTAL(9,AJ$138:AJ$147)</f>
        <v>-73706.45</v>
      </c>
      <c r="AK137" s="78">
        <f ca="1">IFERROR($AJ137/$AJ$6,0)</f>
        <v>-4.9700000000000001E-2</v>
      </c>
      <c r="AL137" s="78">
        <f ca="1">IFERROR(($AJ137-$AG137)/ABS($AG137),0)</f>
        <v>0.1172</v>
      </c>
      <c r="AM137" s="1" t="s">
        <v>765</v>
      </c>
    </row>
    <row r="138" spans="2:39" ht="15" customHeight="1" outlineLevel="1" x14ac:dyDescent="0.3">
      <c r="B138" s="14" t="s">
        <v>459</v>
      </c>
      <c r="C138" s="14" t="s">
        <v>460</v>
      </c>
      <c r="D138" s="4">
        <f ca="1">-SUMIFS(INDIRECT("Tab_000.Trial["&amp;D$4&amp;"]"),Tab_000.Trial[CONTA],$B138)</f>
        <v>-7634.62</v>
      </c>
      <c r="E138" s="78">
        <f t="shared" ca="1" si="118"/>
        <v>-8.0000000000000002E-3</v>
      </c>
      <c r="F138" s="4">
        <f ca="1">-SUMIFS(INDIRECT("Tab_000.Trial["&amp;F$4&amp;"]"),Tab_000.Trial[CONTA],$B138)</f>
        <v>-7634.62</v>
      </c>
      <c r="G138" s="78">
        <f t="shared" ca="1" si="91"/>
        <v>-7.7999999999999996E-3</v>
      </c>
      <c r="H138" s="78">
        <f t="shared" ca="1" si="119"/>
        <v>0</v>
      </c>
      <c r="I138" s="4">
        <f ca="1">-SUMIFS(INDIRECT("Tab_000.Trial["&amp;I$4&amp;"]"),Tab_000.Trial[CONTA],$B138)</f>
        <v>-7634.62</v>
      </c>
      <c r="J138" s="78">
        <f t="shared" ca="1" si="92"/>
        <v>-7.3000000000000001E-3</v>
      </c>
      <c r="K138" s="78">
        <f t="shared" ca="1" si="93"/>
        <v>0</v>
      </c>
      <c r="L138" s="4">
        <f ca="1">-SUMIFS(INDIRECT("Tab_000.Trial["&amp;L$4&amp;"]"),Tab_000.Trial[CONTA],$B138)</f>
        <v>-7678.72</v>
      </c>
      <c r="M138" s="78">
        <f t="shared" ca="1" si="94"/>
        <v>-6.8999999999999999E-3</v>
      </c>
      <c r="N138" s="78">
        <f t="shared" ca="1" si="95"/>
        <v>-5.7999999999999996E-3</v>
      </c>
      <c r="O138" s="4">
        <f ca="1">-SUMIFS(INDIRECT("Tab_000.Trial["&amp;O$4&amp;"]"),Tab_000.Trial[CONTA],$B138)</f>
        <v>-7634.62</v>
      </c>
      <c r="P138" s="78">
        <f t="shared" ref="P138:P146" ca="1" si="120">IFERROR($O138/$O$6,0)</f>
        <v>-6.3E-3</v>
      </c>
      <c r="Q138" s="78">
        <f t="shared" ref="Q138:Q146" ca="1" si="121">IFERROR(($O138-$L138)/ABS($L138),0)</f>
        <v>5.7000000000000002E-3</v>
      </c>
      <c r="R138" s="4">
        <f ca="1">-SUMIFS(INDIRECT("Tab_000.Trial["&amp;R$4&amp;"]"),Tab_000.Trial[CONTA],$B138)</f>
        <v>-7634.62</v>
      </c>
      <c r="S138" s="78">
        <f t="shared" ca="1" si="98"/>
        <v>-7.6E-3</v>
      </c>
      <c r="T138" s="78">
        <f t="shared" ca="1" si="99"/>
        <v>0</v>
      </c>
      <c r="U138" s="4">
        <f ca="1">-SUMIFS(INDIRECT("Tab_000.Trial["&amp;U$4&amp;"]"),Tab_000.Trial[CONTA],$B138)</f>
        <v>-7634.62</v>
      </c>
      <c r="V138" s="78">
        <f t="shared" ca="1" si="100"/>
        <v>-7.1000000000000004E-3</v>
      </c>
      <c r="W138" s="78">
        <f t="shared" ca="1" si="101"/>
        <v>0</v>
      </c>
      <c r="X138" s="4">
        <f ca="1">-SUMIFS(INDIRECT("Tab_000.Trial["&amp;X$4&amp;"]"),Tab_000.Trial[CONTA],$B138)</f>
        <v>-7957.56</v>
      </c>
      <c r="Y138" s="78">
        <f t="shared" ref="Y138:Y146" ca="1" si="122">IFERROR($X138/$X$6,0)</f>
        <v>-7.6E-3</v>
      </c>
      <c r="Z138" s="78">
        <f t="shared" ref="Z138:Z146" ca="1" si="123">IFERROR(($X138-$U138)/ABS($U138),0)</f>
        <v>-4.2299999999999997E-2</v>
      </c>
      <c r="AA138" s="4">
        <f ca="1">-SUMIFS(INDIRECT("Tab_000.Trial["&amp;AA$4&amp;"]"),Tab_000.Trial[CONTA],$B138)</f>
        <v>-9157.56</v>
      </c>
      <c r="AB138" s="78">
        <f t="shared" ca="1" si="104"/>
        <v>-9.4000000000000004E-3</v>
      </c>
      <c r="AC138" s="78">
        <f t="shared" ca="1" si="105"/>
        <v>-0.15079999999999999</v>
      </c>
      <c r="AD138" s="4">
        <f ca="1">-SUMIFS(INDIRECT("Tab_000.Trial["&amp;AD$4&amp;"]"),Tab_000.Trial[CONTA],$B138)</f>
        <v>-9157.56</v>
      </c>
      <c r="AE138" s="78">
        <f t="shared" ca="1" si="106"/>
        <v>-7.4000000000000003E-3</v>
      </c>
      <c r="AF138" s="78">
        <f t="shared" ca="1" si="107"/>
        <v>0</v>
      </c>
      <c r="AG138" s="4">
        <f ca="1">-SUMIFS(INDIRECT("Tab_000.Trial["&amp;AG$4&amp;"]"),Tab_000.Trial[CONTA],$B138)</f>
        <v>-17115.12</v>
      </c>
      <c r="AH138" s="78">
        <f t="shared" ca="1" si="108"/>
        <v>-1.8599999999999998E-2</v>
      </c>
      <c r="AI138" s="78">
        <f t="shared" ca="1" si="109"/>
        <v>-0.86899999999999999</v>
      </c>
      <c r="AJ138" s="4">
        <f ca="1">-SUMIFS(INDIRECT("Tab_000.Trial["&amp;AJ$4&amp;"]"),Tab_000.Trial[CONTA],$B138)</f>
        <v>-9157.56</v>
      </c>
      <c r="AK138" s="78">
        <f t="shared" ca="1" si="110"/>
        <v>-6.1999999999999998E-3</v>
      </c>
      <c r="AL138" s="78">
        <f t="shared" ca="1" si="111"/>
        <v>0.46489999999999998</v>
      </c>
      <c r="AM138" s="1" t="s">
        <v>774</v>
      </c>
    </row>
    <row r="139" spans="2:39" ht="15" customHeight="1" outlineLevel="1" x14ac:dyDescent="0.3">
      <c r="B139" s="14" t="s">
        <v>461</v>
      </c>
      <c r="C139" s="14" t="s">
        <v>462</v>
      </c>
      <c r="D139" s="4">
        <f ca="1">-SUMIFS(INDIRECT("Tab_000.Trial["&amp;D$4&amp;"]"),Tab_000.Trial[CONTA],$B139)</f>
        <v>-17299.38</v>
      </c>
      <c r="E139" s="78">
        <f t="shared" ca="1" si="118"/>
        <v>-1.8200000000000001E-2</v>
      </c>
      <c r="F139" s="4">
        <f ca="1">-SUMIFS(INDIRECT("Tab_000.Trial["&amp;F$4&amp;"]"),Tab_000.Trial[CONTA],$B139)</f>
        <v>-13807.65</v>
      </c>
      <c r="G139" s="78">
        <f t="shared" ca="1" si="91"/>
        <v>-1.4200000000000001E-2</v>
      </c>
      <c r="H139" s="78">
        <f t="shared" ca="1" si="119"/>
        <v>0.20180000000000001</v>
      </c>
      <c r="I139" s="4">
        <f ca="1">-SUMIFS(INDIRECT("Tab_000.Trial["&amp;I$4&amp;"]"),Tab_000.Trial[CONTA],$B139)</f>
        <v>-13807.65</v>
      </c>
      <c r="J139" s="78">
        <f t="shared" ca="1" si="92"/>
        <v>-1.3100000000000001E-2</v>
      </c>
      <c r="K139" s="78">
        <f t="shared" ca="1" si="93"/>
        <v>0</v>
      </c>
      <c r="L139" s="4">
        <f ca="1">-SUMIFS(INDIRECT("Tab_000.Trial["&amp;L$4&amp;"]"),Tab_000.Trial[CONTA],$B139)</f>
        <v>-13657.65</v>
      </c>
      <c r="M139" s="78">
        <f t="shared" ca="1" si="94"/>
        <v>-1.23E-2</v>
      </c>
      <c r="N139" s="78">
        <f t="shared" ca="1" si="95"/>
        <v>1.09E-2</v>
      </c>
      <c r="O139" s="4">
        <f ca="1">-SUMIFS(INDIRECT("Tab_000.Trial["&amp;O$4&amp;"]"),Tab_000.Trial[CONTA],$B139)</f>
        <v>-20954.43</v>
      </c>
      <c r="P139" s="78">
        <f t="shared" ca="1" si="120"/>
        <v>-1.7299999999999999E-2</v>
      </c>
      <c r="Q139" s="78">
        <f t="shared" ca="1" si="121"/>
        <v>-0.5343</v>
      </c>
      <c r="R139" s="4">
        <f ca="1">-SUMIFS(INDIRECT("Tab_000.Trial["&amp;R$4&amp;"]"),Tab_000.Trial[CONTA],$B139)</f>
        <v>-14050</v>
      </c>
      <c r="S139" s="78">
        <f t="shared" ca="1" si="98"/>
        <v>-1.3899999999999999E-2</v>
      </c>
      <c r="T139" s="78">
        <f t="shared" ca="1" si="99"/>
        <v>0.32950000000000002</v>
      </c>
      <c r="U139" s="4">
        <f ca="1">-SUMIFS(INDIRECT("Tab_000.Trial["&amp;U$4&amp;"]"),Tab_000.Trial[CONTA],$B139)</f>
        <v>-11469.72</v>
      </c>
      <c r="V139" s="78">
        <f t="shared" ca="1" si="100"/>
        <v>-1.0699999999999999E-2</v>
      </c>
      <c r="W139" s="78">
        <f t="shared" ca="1" si="101"/>
        <v>0.18360000000000001</v>
      </c>
      <c r="X139" s="4">
        <f ca="1">-SUMIFS(INDIRECT("Tab_000.Trial["&amp;X$4&amp;"]"),Tab_000.Trial[CONTA],$B139)</f>
        <v>-14225.62</v>
      </c>
      <c r="Y139" s="78">
        <f t="shared" ca="1" si="122"/>
        <v>-1.37E-2</v>
      </c>
      <c r="Z139" s="78">
        <f t="shared" ca="1" si="123"/>
        <v>-0.24030000000000001</v>
      </c>
      <c r="AA139" s="4">
        <f ca="1">-SUMIFS(INDIRECT("Tab_000.Trial["&amp;AA$4&amp;"]"),Tab_000.Trial[CONTA],$B139)</f>
        <v>-12350</v>
      </c>
      <c r="AB139" s="78">
        <f t="shared" ca="1" si="104"/>
        <v>-1.2699999999999999E-2</v>
      </c>
      <c r="AC139" s="78">
        <f t="shared" ca="1" si="105"/>
        <v>0.1318</v>
      </c>
      <c r="AD139" s="4">
        <f ca="1">-SUMIFS(INDIRECT("Tab_000.Trial["&amp;AD$4&amp;"]"),Tab_000.Trial[CONTA],$B139)</f>
        <v>-12350</v>
      </c>
      <c r="AE139" s="78">
        <f t="shared" ca="1" si="106"/>
        <v>-9.9000000000000008E-3</v>
      </c>
      <c r="AF139" s="78">
        <f t="shared" ca="1" si="107"/>
        <v>0</v>
      </c>
      <c r="AG139" s="4">
        <f ca="1">-SUMIFS(INDIRECT("Tab_000.Trial["&amp;AG$4&amp;"]"),Tab_000.Trial[CONTA],$B139)</f>
        <v>-12200</v>
      </c>
      <c r="AH139" s="78">
        <f t="shared" ca="1" si="108"/>
        <v>-1.3299999999999999E-2</v>
      </c>
      <c r="AI139" s="78">
        <f t="shared" ca="1" si="109"/>
        <v>1.21E-2</v>
      </c>
      <c r="AJ139" s="4">
        <f ca="1">-SUMIFS(INDIRECT("Tab_000.Trial["&amp;AJ$4&amp;"]"),Tab_000.Trial[CONTA],$B139)</f>
        <v>-12350</v>
      </c>
      <c r="AK139" s="78">
        <f t="shared" ca="1" si="110"/>
        <v>-8.3000000000000001E-3</v>
      </c>
      <c r="AL139" s="78">
        <f t="shared" ca="1" si="111"/>
        <v>-1.23E-2</v>
      </c>
      <c r="AM139" s="1" t="s">
        <v>774</v>
      </c>
    </row>
    <row r="140" spans="2:39" ht="15" customHeight="1" outlineLevel="1" x14ac:dyDescent="0.3">
      <c r="B140" s="14" t="s">
        <v>463</v>
      </c>
      <c r="C140" s="14" t="s">
        <v>464</v>
      </c>
      <c r="D140" s="4">
        <f ca="1">-SUMIFS(INDIRECT("Tab_000.Trial["&amp;D$4&amp;"]"),Tab_000.Trial[CONTA],$B140)</f>
        <v>0</v>
      </c>
      <c r="E140" s="78">
        <f t="shared" ca="1" si="118"/>
        <v>0</v>
      </c>
      <c r="F140" s="4">
        <f ca="1">-SUMIFS(INDIRECT("Tab_000.Trial["&amp;F$4&amp;"]"),Tab_000.Trial[CONTA],$B140)</f>
        <v>0</v>
      </c>
      <c r="G140" s="78">
        <f t="shared" ca="1" si="91"/>
        <v>0</v>
      </c>
      <c r="H140" s="78">
        <f t="shared" ca="1" si="119"/>
        <v>0</v>
      </c>
      <c r="I140" s="4">
        <f ca="1">-SUMIFS(INDIRECT("Tab_000.Trial["&amp;I$4&amp;"]"),Tab_000.Trial[CONTA],$B140)</f>
        <v>0</v>
      </c>
      <c r="J140" s="78">
        <f t="shared" ca="1" si="92"/>
        <v>0</v>
      </c>
      <c r="K140" s="78">
        <f t="shared" ca="1" si="93"/>
        <v>0</v>
      </c>
      <c r="L140" s="4">
        <f ca="1">-SUMIFS(INDIRECT("Tab_000.Trial["&amp;L$4&amp;"]"),Tab_000.Trial[CONTA],$B140)</f>
        <v>-7166.67</v>
      </c>
      <c r="M140" s="78">
        <f t="shared" ca="1" si="94"/>
        <v>-6.4999999999999997E-3</v>
      </c>
      <c r="N140" s="78">
        <f t="shared" ca="1" si="95"/>
        <v>0</v>
      </c>
      <c r="O140" s="4">
        <f ca="1">-SUMIFS(INDIRECT("Tab_000.Trial["&amp;O$4&amp;"]"),Tab_000.Trial[CONTA],$B140)</f>
        <v>-7166.67</v>
      </c>
      <c r="P140" s="78">
        <f t="shared" ca="1" si="120"/>
        <v>-5.8999999999999999E-3</v>
      </c>
      <c r="Q140" s="78">
        <f t="shared" ca="1" si="121"/>
        <v>0</v>
      </c>
      <c r="R140" s="4">
        <f ca="1">-SUMIFS(INDIRECT("Tab_000.Trial["&amp;R$4&amp;"]"),Tab_000.Trial[CONTA],$B140)</f>
        <v>-7166.67</v>
      </c>
      <c r="S140" s="78">
        <f t="shared" ca="1" si="98"/>
        <v>-7.1000000000000004E-3</v>
      </c>
      <c r="T140" s="78">
        <f t="shared" ca="1" si="99"/>
        <v>0</v>
      </c>
      <c r="U140" s="4">
        <f ca="1">-SUMIFS(INDIRECT("Tab_000.Trial["&amp;U$4&amp;"]"),Tab_000.Trial[CONTA],$B140)</f>
        <v>0</v>
      </c>
      <c r="V140" s="78">
        <f t="shared" ca="1" si="100"/>
        <v>0</v>
      </c>
      <c r="W140" s="78">
        <f t="shared" ca="1" si="101"/>
        <v>1</v>
      </c>
      <c r="X140" s="4">
        <f ca="1">-SUMIFS(INDIRECT("Tab_000.Trial["&amp;X$4&amp;"]"),Tab_000.Trial[CONTA],$B140)</f>
        <v>0</v>
      </c>
      <c r="Y140" s="78">
        <f t="shared" ca="1" si="122"/>
        <v>0</v>
      </c>
      <c r="Z140" s="78">
        <f t="shared" ca="1" si="123"/>
        <v>0</v>
      </c>
      <c r="AA140" s="4">
        <f ca="1">-SUMIFS(INDIRECT("Tab_000.Trial["&amp;AA$4&amp;"]"),Tab_000.Trial[CONTA],$B140)</f>
        <v>0</v>
      </c>
      <c r="AB140" s="78">
        <f t="shared" ca="1" si="104"/>
        <v>0</v>
      </c>
      <c r="AC140" s="78">
        <f t="shared" ca="1" si="105"/>
        <v>0</v>
      </c>
      <c r="AD140" s="4">
        <f ca="1">-SUMIFS(INDIRECT("Tab_000.Trial["&amp;AD$4&amp;"]"),Tab_000.Trial[CONTA],$B140)</f>
        <v>0</v>
      </c>
      <c r="AE140" s="78">
        <f t="shared" ca="1" si="106"/>
        <v>0</v>
      </c>
      <c r="AF140" s="78">
        <f t="shared" ca="1" si="107"/>
        <v>0</v>
      </c>
      <c r="AG140" s="4">
        <f ca="1">-SUMIFS(INDIRECT("Tab_000.Trial["&amp;AG$4&amp;"]"),Tab_000.Trial[CONTA],$B140)</f>
        <v>0</v>
      </c>
      <c r="AH140" s="78">
        <f t="shared" ca="1" si="108"/>
        <v>0</v>
      </c>
      <c r="AI140" s="78">
        <f t="shared" ca="1" si="109"/>
        <v>0</v>
      </c>
      <c r="AJ140" s="4">
        <f ca="1">-SUMIFS(INDIRECT("Tab_000.Trial["&amp;AJ$4&amp;"]"),Tab_000.Trial[CONTA],$B140)</f>
        <v>0</v>
      </c>
      <c r="AK140" s="78">
        <f t="shared" ca="1" si="110"/>
        <v>0</v>
      </c>
      <c r="AL140" s="78">
        <f t="shared" ca="1" si="111"/>
        <v>0</v>
      </c>
      <c r="AM140" s="1" t="s">
        <v>774</v>
      </c>
    </row>
    <row r="141" spans="2:39" s="177" customFormat="1" ht="15" customHeight="1" outlineLevel="1" x14ac:dyDescent="0.3">
      <c r="B141" s="176" t="s">
        <v>465</v>
      </c>
      <c r="C141" s="176" t="s">
        <v>466</v>
      </c>
      <c r="D141" s="4">
        <f ca="1">-SUMIFS(INDIRECT("Tab_000.Trial["&amp;D$4&amp;"]"),Tab_000.Trial[CONTA],$B141)</f>
        <v>-4524.45</v>
      </c>
      <c r="E141" s="78">
        <f t="shared" ca="1" si="118"/>
        <v>-4.7999999999999996E-3</v>
      </c>
      <c r="F141" s="4">
        <f ca="1">-SUMIFS(INDIRECT("Tab_000.Trial["&amp;F$4&amp;"]"),Tab_000.Trial[CONTA],$B141)</f>
        <v>-4434.45</v>
      </c>
      <c r="G141" s="78">
        <f t="shared" ca="1" si="91"/>
        <v>-4.4999999999999997E-3</v>
      </c>
      <c r="H141" s="78">
        <f t="shared" ca="1" si="119"/>
        <v>1.9900000000000001E-2</v>
      </c>
      <c r="I141" s="4">
        <f ca="1">-SUMIFS(INDIRECT("Tab_000.Trial["&amp;I$4&amp;"]"),Tab_000.Trial[CONTA],$B141)</f>
        <v>-4434.45</v>
      </c>
      <c r="J141" s="78">
        <f t="shared" ca="1" si="92"/>
        <v>-4.1999999999999997E-3</v>
      </c>
      <c r="K141" s="78">
        <f t="shared" ca="1" si="93"/>
        <v>0</v>
      </c>
      <c r="L141" s="4">
        <f ca="1">-SUMIFS(INDIRECT("Tab_000.Trial["&amp;L$4&amp;"]"),Tab_000.Trial[CONTA],$B141)</f>
        <v>-5884.45</v>
      </c>
      <c r="M141" s="78">
        <f t="shared" ca="1" si="94"/>
        <v>-5.3E-3</v>
      </c>
      <c r="N141" s="78">
        <f t="shared" ca="1" si="95"/>
        <v>-0.32700000000000001</v>
      </c>
      <c r="O141" s="4">
        <f ca="1">-SUMIFS(INDIRECT("Tab_000.Trial["&amp;O$4&amp;"]"),Tab_000.Trial[CONTA],$B141)</f>
        <v>-5015.84</v>
      </c>
      <c r="P141" s="78">
        <f t="shared" ca="1" si="120"/>
        <v>-4.1000000000000003E-3</v>
      </c>
      <c r="Q141" s="78">
        <f t="shared" ca="1" si="121"/>
        <v>0.14760000000000001</v>
      </c>
      <c r="R141" s="4">
        <f ca="1">-SUMIFS(INDIRECT("Tab_000.Trial["&amp;R$4&amp;"]"),Tab_000.Trial[CONTA],$B141)</f>
        <v>-84434.45</v>
      </c>
      <c r="S141" s="78">
        <f t="shared" ca="1" si="98"/>
        <v>-8.3699999999999997E-2</v>
      </c>
      <c r="T141" s="78">
        <f t="shared" ca="1" si="99"/>
        <v>-15.833600000000001</v>
      </c>
      <c r="U141" s="4">
        <f ca="1">-SUMIFS(INDIRECT("Tab_000.Trial["&amp;U$4&amp;"]"),Tab_000.Trial[CONTA],$B141)</f>
        <v>-49166.95</v>
      </c>
      <c r="V141" s="78">
        <f t="shared" ca="1" si="100"/>
        <v>-4.5699999999999998E-2</v>
      </c>
      <c r="W141" s="78">
        <f t="shared" ca="1" si="101"/>
        <v>0.41770000000000002</v>
      </c>
      <c r="X141" s="4">
        <f ca="1">-SUMIFS(INDIRECT("Tab_000.Trial["&amp;X$4&amp;"]"),Tab_000.Trial[CONTA],$B141)</f>
        <v>-44528.22</v>
      </c>
      <c r="Y141" s="78">
        <f t="shared" ca="1" si="122"/>
        <v>-4.2700000000000002E-2</v>
      </c>
      <c r="Z141" s="78">
        <f t="shared" ca="1" si="123"/>
        <v>9.4299999999999995E-2</v>
      </c>
      <c r="AA141" s="4">
        <f ca="1">-SUMIFS(INDIRECT("Tab_000.Trial["&amp;AA$4&amp;"]"),Tab_000.Trial[CONTA],$B141)</f>
        <v>-43896.77</v>
      </c>
      <c r="AB141" s="78">
        <f t="shared" ca="1" si="104"/>
        <v>-4.5100000000000001E-2</v>
      </c>
      <c r="AC141" s="78">
        <f t="shared" ca="1" si="105"/>
        <v>1.4200000000000001E-2</v>
      </c>
      <c r="AD141" s="4">
        <f ca="1">-SUMIFS(INDIRECT("Tab_000.Trial["&amp;AD$4&amp;"]"),Tab_000.Trial[CONTA],$B141)</f>
        <v>-42074.27</v>
      </c>
      <c r="AE141" s="78">
        <f t="shared" ca="1" si="106"/>
        <v>-3.3799999999999997E-2</v>
      </c>
      <c r="AF141" s="78">
        <f t="shared" ca="1" si="107"/>
        <v>4.1500000000000002E-2</v>
      </c>
      <c r="AG141" s="4">
        <f ca="1">-SUMIFS(INDIRECT("Tab_000.Trial["&amp;AG$4&amp;"]"),Tab_000.Trial[CONTA],$B141)</f>
        <v>-44058.54</v>
      </c>
      <c r="AH141" s="78">
        <f t="shared" ca="1" si="108"/>
        <v>-4.8000000000000001E-2</v>
      </c>
      <c r="AI141" s="78">
        <f t="shared" ca="1" si="109"/>
        <v>-4.7199999999999999E-2</v>
      </c>
      <c r="AJ141" s="4">
        <f ca="1">-SUMIFS(INDIRECT("Tab_000.Trial["&amp;AJ$4&amp;"]"),Tab_000.Trial[CONTA],$B141)</f>
        <v>-42074.27</v>
      </c>
      <c r="AK141" s="78">
        <f t="shared" ca="1" si="110"/>
        <v>-2.8400000000000002E-2</v>
      </c>
      <c r="AL141" s="78">
        <f t="shared" ca="1" si="111"/>
        <v>4.4999999999999998E-2</v>
      </c>
      <c r="AM141" s="1" t="s">
        <v>774</v>
      </c>
    </row>
    <row r="142" spans="2:39" ht="15" customHeight="1" outlineLevel="1" x14ac:dyDescent="0.3">
      <c r="B142" s="14" t="s">
        <v>467</v>
      </c>
      <c r="C142" s="14" t="s">
        <v>468</v>
      </c>
      <c r="D142" s="4">
        <f ca="1">-SUMIFS(INDIRECT("Tab_000.Trial["&amp;D$4&amp;"]"),Tab_000.Trial[CONTA],$B142)</f>
        <v>-223.56</v>
      </c>
      <c r="E142" s="78">
        <f t="shared" ca="1" si="118"/>
        <v>-2.0000000000000001E-4</v>
      </c>
      <c r="F142" s="4">
        <f ca="1">-SUMIFS(INDIRECT("Tab_000.Trial["&amp;F$4&amp;"]"),Tab_000.Trial[CONTA],$B142)</f>
        <v>-223.56</v>
      </c>
      <c r="G142" s="78">
        <f t="shared" ca="1" si="91"/>
        <v>-2.0000000000000001E-4</v>
      </c>
      <c r="H142" s="78">
        <f t="shared" ca="1" si="119"/>
        <v>0</v>
      </c>
      <c r="I142" s="4">
        <f ca="1">-SUMIFS(INDIRECT("Tab_000.Trial["&amp;I$4&amp;"]"),Tab_000.Trial[CONTA],$B142)</f>
        <v>-223.56</v>
      </c>
      <c r="J142" s="78">
        <f t="shared" ca="1" si="92"/>
        <v>-2.0000000000000001E-4</v>
      </c>
      <c r="K142" s="78">
        <f t="shared" ca="1" si="93"/>
        <v>0</v>
      </c>
      <c r="L142" s="4">
        <f ca="1">-SUMIFS(INDIRECT("Tab_000.Trial["&amp;L$4&amp;"]"),Tab_000.Trial[CONTA],$B142)</f>
        <v>-223.56</v>
      </c>
      <c r="M142" s="78">
        <f t="shared" ca="1" si="94"/>
        <v>-2.0000000000000001E-4</v>
      </c>
      <c r="N142" s="78">
        <f t="shared" ca="1" si="95"/>
        <v>0</v>
      </c>
      <c r="O142" s="4">
        <f ca="1">-SUMIFS(INDIRECT("Tab_000.Trial["&amp;O$4&amp;"]"),Tab_000.Trial[CONTA],$B142)</f>
        <v>-223.56</v>
      </c>
      <c r="P142" s="78">
        <f t="shared" ca="1" si="120"/>
        <v>-2.0000000000000001E-4</v>
      </c>
      <c r="Q142" s="78">
        <f t="shared" ca="1" si="121"/>
        <v>0</v>
      </c>
      <c r="R142" s="4">
        <f ca="1">-SUMIFS(INDIRECT("Tab_000.Trial["&amp;R$4&amp;"]"),Tab_000.Trial[CONTA],$B142)</f>
        <v>-223.56</v>
      </c>
      <c r="S142" s="78">
        <f t="shared" ca="1" si="98"/>
        <v>-2.0000000000000001E-4</v>
      </c>
      <c r="T142" s="78">
        <f t="shared" ca="1" si="99"/>
        <v>0</v>
      </c>
      <c r="U142" s="4">
        <f ca="1">-SUMIFS(INDIRECT("Tab_000.Trial["&amp;U$4&amp;"]"),Tab_000.Trial[CONTA],$B142)</f>
        <v>-223.56</v>
      </c>
      <c r="V142" s="78">
        <f t="shared" ca="1" si="100"/>
        <v>-2.0000000000000001E-4</v>
      </c>
      <c r="W142" s="78">
        <f t="shared" ca="1" si="101"/>
        <v>0</v>
      </c>
      <c r="X142" s="4">
        <f ca="1">-SUMIFS(INDIRECT("Tab_000.Trial["&amp;X$4&amp;"]"),Tab_000.Trial[CONTA],$B142)</f>
        <v>-223.56</v>
      </c>
      <c r="Y142" s="78">
        <f t="shared" ca="1" si="122"/>
        <v>-2.0000000000000001E-4</v>
      </c>
      <c r="Z142" s="78">
        <f t="shared" ca="1" si="123"/>
        <v>0</v>
      </c>
      <c r="AA142" s="4">
        <f ca="1">-SUMIFS(INDIRECT("Tab_000.Trial["&amp;AA$4&amp;"]"),Tab_000.Trial[CONTA],$B142)</f>
        <v>-223.56</v>
      </c>
      <c r="AB142" s="78">
        <f t="shared" ca="1" si="104"/>
        <v>-2.0000000000000001E-4</v>
      </c>
      <c r="AC142" s="78">
        <f t="shared" ca="1" si="105"/>
        <v>0</v>
      </c>
      <c r="AD142" s="4">
        <f ca="1">-SUMIFS(INDIRECT("Tab_000.Trial["&amp;AD$4&amp;"]"),Tab_000.Trial[CONTA],$B142)</f>
        <v>-223.56</v>
      </c>
      <c r="AE142" s="78">
        <f t="shared" ca="1" si="106"/>
        <v>-2.0000000000000001E-4</v>
      </c>
      <c r="AF142" s="78">
        <f t="shared" ca="1" si="107"/>
        <v>0</v>
      </c>
      <c r="AG142" s="4">
        <f ca="1">-SUMIFS(INDIRECT("Tab_000.Trial["&amp;AG$4&amp;"]"),Tab_000.Trial[CONTA],$B142)</f>
        <v>-223.56</v>
      </c>
      <c r="AH142" s="78">
        <f t="shared" ca="1" si="108"/>
        <v>-2.0000000000000001E-4</v>
      </c>
      <c r="AI142" s="78">
        <f t="shared" ca="1" si="109"/>
        <v>0</v>
      </c>
      <c r="AJ142" s="4">
        <f ca="1">-SUMIFS(INDIRECT("Tab_000.Trial["&amp;AJ$4&amp;"]"),Tab_000.Trial[CONTA],$B142)</f>
        <v>-234.21</v>
      </c>
      <c r="AK142" s="78">
        <f t="shared" ca="1" si="110"/>
        <v>-2.0000000000000001E-4</v>
      </c>
      <c r="AL142" s="78">
        <f t="shared" ca="1" si="111"/>
        <v>-4.7600000000000003E-2</v>
      </c>
      <c r="AM142" s="1" t="s">
        <v>774</v>
      </c>
    </row>
    <row r="143" spans="2:39" ht="15" customHeight="1" outlineLevel="1" x14ac:dyDescent="0.3">
      <c r="B143" s="14" t="s">
        <v>469</v>
      </c>
      <c r="C143" s="14" t="s">
        <v>470</v>
      </c>
      <c r="D143" s="4">
        <f ca="1">-SUMIFS(INDIRECT("Tab_000.Trial["&amp;D$4&amp;"]"),Tab_000.Trial[CONTA],$B143)</f>
        <v>-6599.82</v>
      </c>
      <c r="E143" s="78">
        <f t="shared" ca="1" si="118"/>
        <v>-6.8999999999999999E-3</v>
      </c>
      <c r="F143" s="4">
        <f ca="1">-SUMIFS(INDIRECT("Tab_000.Trial["&amp;F$4&amp;"]"),Tab_000.Trial[CONTA],$B143)</f>
        <v>-6599.82</v>
      </c>
      <c r="G143" s="78">
        <f t="shared" ca="1" si="91"/>
        <v>-6.7999999999999996E-3</v>
      </c>
      <c r="H143" s="78">
        <f t="shared" ca="1" si="119"/>
        <v>0</v>
      </c>
      <c r="I143" s="4">
        <f ca="1">-SUMIFS(INDIRECT("Tab_000.Trial["&amp;I$4&amp;"]"),Tab_000.Trial[CONTA],$B143)</f>
        <v>-6599.82</v>
      </c>
      <c r="J143" s="78">
        <f t="shared" ca="1" si="92"/>
        <v>-6.3E-3</v>
      </c>
      <c r="K143" s="78">
        <f t="shared" ca="1" si="93"/>
        <v>0</v>
      </c>
      <c r="L143" s="4">
        <f ca="1">-SUMIFS(INDIRECT("Tab_000.Trial["&amp;L$4&amp;"]"),Tab_000.Trial[CONTA],$B143)</f>
        <v>-6599.82</v>
      </c>
      <c r="M143" s="78">
        <f t="shared" ca="1" si="94"/>
        <v>-6.0000000000000001E-3</v>
      </c>
      <c r="N143" s="78">
        <f t="shared" ca="1" si="95"/>
        <v>0</v>
      </c>
      <c r="O143" s="4">
        <f ca="1">-SUMIFS(INDIRECT("Tab_000.Trial["&amp;O$4&amp;"]"),Tab_000.Trial[CONTA],$B143)</f>
        <v>-6599.82</v>
      </c>
      <c r="P143" s="78">
        <f t="shared" ca="1" si="120"/>
        <v>-5.4000000000000003E-3</v>
      </c>
      <c r="Q143" s="78">
        <f t="shared" ca="1" si="121"/>
        <v>0</v>
      </c>
      <c r="R143" s="4">
        <f ca="1">-SUMIFS(INDIRECT("Tab_000.Trial["&amp;R$4&amp;"]"),Tab_000.Trial[CONTA],$B143)</f>
        <v>-6599.82</v>
      </c>
      <c r="S143" s="78">
        <f t="shared" ca="1" si="98"/>
        <v>-6.4999999999999997E-3</v>
      </c>
      <c r="T143" s="78">
        <f t="shared" ca="1" si="99"/>
        <v>0</v>
      </c>
      <c r="U143" s="4">
        <f ca="1">-SUMIFS(INDIRECT("Tab_000.Trial["&amp;U$4&amp;"]"),Tab_000.Trial[CONTA],$B143)</f>
        <v>-6599.82</v>
      </c>
      <c r="V143" s="78">
        <f t="shared" ca="1" si="100"/>
        <v>-6.1000000000000004E-3</v>
      </c>
      <c r="W143" s="78">
        <f t="shared" ca="1" si="101"/>
        <v>0</v>
      </c>
      <c r="X143" s="4">
        <f ca="1">-SUMIFS(INDIRECT("Tab_000.Trial["&amp;X$4&amp;"]"),Tab_000.Trial[CONTA],$B143)</f>
        <v>-4950</v>
      </c>
      <c r="Y143" s="78">
        <f t="shared" ca="1" si="122"/>
        <v>-4.7999999999999996E-3</v>
      </c>
      <c r="Z143" s="78">
        <f t="shared" ca="1" si="123"/>
        <v>0.25</v>
      </c>
      <c r="AA143" s="4">
        <f ca="1">-SUMIFS(INDIRECT("Tab_000.Trial["&amp;AA$4&amp;"]"),Tab_000.Trial[CONTA],$B143)</f>
        <v>-4950</v>
      </c>
      <c r="AB143" s="78">
        <f t="shared" ca="1" si="104"/>
        <v>-5.1000000000000004E-3</v>
      </c>
      <c r="AC143" s="78">
        <f t="shared" ca="1" si="105"/>
        <v>0</v>
      </c>
      <c r="AD143" s="4">
        <f ca="1">-SUMIFS(INDIRECT("Tab_000.Trial["&amp;AD$4&amp;"]"),Tab_000.Trial[CONTA],$B143)</f>
        <v>-4950</v>
      </c>
      <c r="AE143" s="78">
        <f t="shared" ca="1" si="106"/>
        <v>-4.0000000000000001E-3</v>
      </c>
      <c r="AF143" s="78">
        <f t="shared" ca="1" si="107"/>
        <v>0</v>
      </c>
      <c r="AG143" s="4">
        <f ca="1">-SUMIFS(INDIRECT("Tab_000.Trial["&amp;AG$4&amp;"]"),Tab_000.Trial[CONTA],$B143)</f>
        <v>-4950</v>
      </c>
      <c r="AH143" s="78">
        <f t="shared" ca="1" si="108"/>
        <v>-5.4000000000000003E-3</v>
      </c>
      <c r="AI143" s="78">
        <f t="shared" ca="1" si="109"/>
        <v>0</v>
      </c>
      <c r="AJ143" s="4">
        <f ca="1">-SUMIFS(INDIRECT("Tab_000.Trial["&amp;AJ$4&amp;"]"),Tab_000.Trial[CONTA],$B143)</f>
        <v>-4950</v>
      </c>
      <c r="AK143" s="78">
        <f t="shared" ca="1" si="110"/>
        <v>-3.3E-3</v>
      </c>
      <c r="AL143" s="78">
        <f t="shared" ca="1" si="111"/>
        <v>0</v>
      </c>
      <c r="AM143" s="1" t="s">
        <v>774</v>
      </c>
    </row>
    <row r="144" spans="2:39" ht="15" customHeight="1" outlineLevel="1" x14ac:dyDescent="0.3">
      <c r="B144" s="14" t="s">
        <v>471</v>
      </c>
      <c r="C144" s="14" t="s">
        <v>472</v>
      </c>
      <c r="D144" s="4">
        <f ca="1">-SUMIFS(INDIRECT("Tab_000.Trial["&amp;D$4&amp;"]"),Tab_000.Trial[CONTA],$B144)</f>
        <v>-4663.41</v>
      </c>
      <c r="E144" s="78">
        <f t="shared" ca="1" si="118"/>
        <v>-4.8999999999999998E-3</v>
      </c>
      <c r="F144" s="4">
        <f ca="1">-SUMIFS(INDIRECT("Tab_000.Trial["&amp;F$4&amp;"]"),Tab_000.Trial[CONTA],$B144)</f>
        <v>-4663.41</v>
      </c>
      <c r="G144" s="78">
        <f t="shared" ca="1" si="91"/>
        <v>-4.7999999999999996E-3</v>
      </c>
      <c r="H144" s="78">
        <f t="shared" ca="1" si="119"/>
        <v>0</v>
      </c>
      <c r="I144" s="4">
        <f ca="1">-SUMIFS(INDIRECT("Tab_000.Trial["&amp;I$4&amp;"]"),Tab_000.Trial[CONTA],$B144)</f>
        <v>-4663.41</v>
      </c>
      <c r="J144" s="78">
        <f t="shared" ca="1" si="92"/>
        <v>-4.4000000000000003E-3</v>
      </c>
      <c r="K144" s="78">
        <f t="shared" ca="1" si="93"/>
        <v>0</v>
      </c>
      <c r="L144" s="4">
        <f ca="1">-SUMIFS(INDIRECT("Tab_000.Trial["&amp;L$4&amp;"]"),Tab_000.Trial[CONTA],$B144)</f>
        <v>-4663.41</v>
      </c>
      <c r="M144" s="78">
        <f t="shared" ca="1" si="94"/>
        <v>-4.1999999999999997E-3</v>
      </c>
      <c r="N144" s="78">
        <f t="shared" ca="1" si="95"/>
        <v>0</v>
      </c>
      <c r="O144" s="4">
        <f ca="1">-SUMIFS(INDIRECT("Tab_000.Trial["&amp;O$4&amp;"]"),Tab_000.Trial[CONTA],$B144)</f>
        <v>-4663.41</v>
      </c>
      <c r="P144" s="78">
        <f t="shared" ca="1" si="120"/>
        <v>-3.8E-3</v>
      </c>
      <c r="Q144" s="78">
        <f t="shared" ca="1" si="121"/>
        <v>0</v>
      </c>
      <c r="R144" s="4">
        <f ca="1">-SUMIFS(INDIRECT("Tab_000.Trial["&amp;R$4&amp;"]"),Tab_000.Trial[CONTA],$B144)</f>
        <v>-4663.41</v>
      </c>
      <c r="S144" s="78">
        <f t="shared" ca="1" si="98"/>
        <v>-4.5999999999999999E-3</v>
      </c>
      <c r="T144" s="78">
        <f t="shared" ca="1" si="99"/>
        <v>0</v>
      </c>
      <c r="U144" s="4">
        <f ca="1">-SUMIFS(INDIRECT("Tab_000.Trial["&amp;U$4&amp;"]"),Tab_000.Trial[CONTA],$B144)</f>
        <v>-5309.74</v>
      </c>
      <c r="V144" s="78">
        <f t="shared" ca="1" si="100"/>
        <v>-4.8999999999999998E-3</v>
      </c>
      <c r="W144" s="78">
        <f t="shared" ca="1" si="101"/>
        <v>-0.1386</v>
      </c>
      <c r="X144" s="4">
        <f ca="1">-SUMIFS(INDIRECT("Tab_000.Trial["&amp;X$4&amp;"]"),Tab_000.Trial[CONTA],$B144)</f>
        <v>-5309.74</v>
      </c>
      <c r="Y144" s="78">
        <f t="shared" ca="1" si="122"/>
        <v>-5.1000000000000004E-3</v>
      </c>
      <c r="Z144" s="78">
        <f t="shared" ca="1" si="123"/>
        <v>0</v>
      </c>
      <c r="AA144" s="4">
        <f ca="1">-SUMIFS(INDIRECT("Tab_000.Trial["&amp;AA$4&amp;"]"),Tab_000.Trial[CONTA],$B144)</f>
        <v>-4940.41</v>
      </c>
      <c r="AB144" s="78">
        <f t="shared" ca="1" si="104"/>
        <v>-5.1000000000000004E-3</v>
      </c>
      <c r="AC144" s="78">
        <f t="shared" ca="1" si="105"/>
        <v>6.9599999999999995E-2</v>
      </c>
      <c r="AD144" s="4">
        <f ca="1">-SUMIFS(INDIRECT("Tab_000.Trial["&amp;AD$4&amp;"]"),Tab_000.Trial[CONTA],$B144)</f>
        <v>-5309.74</v>
      </c>
      <c r="AE144" s="78">
        <f t="shared" ca="1" si="106"/>
        <v>-4.3E-3</v>
      </c>
      <c r="AF144" s="78">
        <f t="shared" ca="1" si="107"/>
        <v>-7.4800000000000005E-2</v>
      </c>
      <c r="AG144" s="4">
        <f ca="1">-SUMIFS(INDIRECT("Tab_000.Trial["&amp;AG$4&amp;"]"),Tab_000.Trial[CONTA],$B144)</f>
        <v>-4940.41</v>
      </c>
      <c r="AH144" s="78">
        <f t="shared" ca="1" si="108"/>
        <v>-5.4000000000000003E-3</v>
      </c>
      <c r="AI144" s="78">
        <f t="shared" ca="1" si="109"/>
        <v>6.9599999999999995E-2</v>
      </c>
      <c r="AJ144" s="4">
        <f ca="1">-SUMIFS(INDIRECT("Tab_000.Trial["&amp;AJ$4&amp;"]"),Tab_000.Trial[CONTA],$B144)</f>
        <v>-4940.41</v>
      </c>
      <c r="AK144" s="78">
        <f t="shared" ca="1" si="110"/>
        <v>-3.3E-3</v>
      </c>
      <c r="AL144" s="78">
        <f t="shared" ca="1" si="111"/>
        <v>0</v>
      </c>
      <c r="AM144" s="1" t="s">
        <v>774</v>
      </c>
    </row>
    <row r="145" spans="2:39" ht="15" customHeight="1" outlineLevel="1" x14ac:dyDescent="0.3">
      <c r="B145" s="14" t="s">
        <v>479</v>
      </c>
      <c r="C145" s="14" t="s">
        <v>408</v>
      </c>
      <c r="D145" s="4">
        <f ca="1">-SUMIFS(INDIRECT("Tab_000.Trial["&amp;D$4&amp;"]"),Tab_000.Trial[CONTA],$B145)</f>
        <v>0</v>
      </c>
      <c r="E145" s="78">
        <f t="shared" ca="1" si="118"/>
        <v>0</v>
      </c>
      <c r="F145" s="4">
        <f ca="1">-SUMIFS(INDIRECT("Tab_000.Trial["&amp;F$4&amp;"]"),Tab_000.Trial[CONTA],$B145)</f>
        <v>0</v>
      </c>
      <c r="G145" s="78">
        <f t="shared" ca="1" si="91"/>
        <v>0</v>
      </c>
      <c r="H145" s="78">
        <f t="shared" ca="1" si="119"/>
        <v>0</v>
      </c>
      <c r="I145" s="4">
        <f ca="1">-SUMIFS(INDIRECT("Tab_000.Trial["&amp;I$4&amp;"]"),Tab_000.Trial[CONTA],$B145)</f>
        <v>0</v>
      </c>
      <c r="J145" s="78">
        <f t="shared" ca="1" si="92"/>
        <v>0</v>
      </c>
      <c r="K145" s="78">
        <f t="shared" ca="1" si="93"/>
        <v>0</v>
      </c>
      <c r="L145" s="4">
        <f ca="1">-SUMIFS(INDIRECT("Tab_000.Trial["&amp;L$4&amp;"]"),Tab_000.Trial[CONTA],$B145)</f>
        <v>0</v>
      </c>
      <c r="M145" s="78">
        <f t="shared" ca="1" si="94"/>
        <v>0</v>
      </c>
      <c r="N145" s="78">
        <f t="shared" ca="1" si="95"/>
        <v>0</v>
      </c>
      <c r="O145" s="4">
        <f ca="1">-SUMIFS(INDIRECT("Tab_000.Trial["&amp;O$4&amp;"]"),Tab_000.Trial[CONTA],$B145)</f>
        <v>0</v>
      </c>
      <c r="P145" s="78">
        <f t="shared" ca="1" si="120"/>
        <v>0</v>
      </c>
      <c r="Q145" s="78">
        <f t="shared" ca="1" si="121"/>
        <v>0</v>
      </c>
      <c r="R145" s="4">
        <f ca="1">-SUMIFS(INDIRECT("Tab_000.Trial["&amp;R$4&amp;"]"),Tab_000.Trial[CONTA],$B145)</f>
        <v>0</v>
      </c>
      <c r="S145" s="78">
        <f t="shared" ca="1" si="98"/>
        <v>0</v>
      </c>
      <c r="T145" s="78">
        <f t="shared" ca="1" si="99"/>
        <v>0</v>
      </c>
      <c r="U145" s="4">
        <f ca="1">-SUMIFS(INDIRECT("Tab_000.Trial["&amp;U$4&amp;"]"),Tab_000.Trial[CONTA],$B145)</f>
        <v>0</v>
      </c>
      <c r="V145" s="78">
        <f t="shared" ca="1" si="100"/>
        <v>0</v>
      </c>
      <c r="W145" s="78">
        <f t="shared" ca="1" si="101"/>
        <v>0</v>
      </c>
      <c r="X145" s="4">
        <f ca="1">-SUMIFS(INDIRECT("Tab_000.Trial["&amp;X$4&amp;"]"),Tab_000.Trial[CONTA],$B145)</f>
        <v>0</v>
      </c>
      <c r="Y145" s="78">
        <f t="shared" ca="1" si="122"/>
        <v>0</v>
      </c>
      <c r="Z145" s="78">
        <f t="shared" ca="1" si="123"/>
        <v>0</v>
      </c>
      <c r="AA145" s="4">
        <f ca="1">-SUMIFS(INDIRECT("Tab_000.Trial["&amp;AA$4&amp;"]"),Tab_000.Trial[CONTA],$B145)</f>
        <v>0</v>
      </c>
      <c r="AB145" s="78">
        <f t="shared" ca="1" si="104"/>
        <v>0</v>
      </c>
      <c r="AC145" s="78">
        <f t="shared" ca="1" si="105"/>
        <v>0</v>
      </c>
      <c r="AD145" s="4">
        <f ca="1">-SUMIFS(INDIRECT("Tab_000.Trial["&amp;AD$4&amp;"]"),Tab_000.Trial[CONTA],$B145)</f>
        <v>0</v>
      </c>
      <c r="AE145" s="78">
        <f t="shared" ca="1" si="106"/>
        <v>0</v>
      </c>
      <c r="AF145" s="78">
        <f t="shared" ca="1" si="107"/>
        <v>0</v>
      </c>
      <c r="AG145" s="4">
        <f ca="1">-SUMIFS(INDIRECT("Tab_000.Trial["&amp;AG$4&amp;"]"),Tab_000.Trial[CONTA],$B145)</f>
        <v>0</v>
      </c>
      <c r="AH145" s="78">
        <f t="shared" ca="1" si="108"/>
        <v>0</v>
      </c>
      <c r="AI145" s="78">
        <f t="shared" ca="1" si="109"/>
        <v>0</v>
      </c>
      <c r="AJ145" s="4">
        <f ca="1">-SUMIFS(INDIRECT("Tab_000.Trial["&amp;AJ$4&amp;"]"),Tab_000.Trial[CONTA],$B145)</f>
        <v>0</v>
      </c>
      <c r="AK145" s="78">
        <f t="shared" ca="1" si="110"/>
        <v>0</v>
      </c>
      <c r="AL145" s="78">
        <f t="shared" ca="1" si="111"/>
        <v>0</v>
      </c>
      <c r="AM145" s="1" t="s">
        <v>774</v>
      </c>
    </row>
    <row r="146" spans="2:39" ht="15" customHeight="1" outlineLevel="1" x14ac:dyDescent="0.3">
      <c r="B146" s="14"/>
      <c r="C146" s="14"/>
      <c r="D146" s="4">
        <f ca="1">-SUMIFS(INDIRECT("Tab_000.Trial["&amp;D$4&amp;"]"),Tab_000.Trial[CONTA],$B146)</f>
        <v>0</v>
      </c>
      <c r="E146" s="78">
        <f t="shared" ca="1" si="118"/>
        <v>0</v>
      </c>
      <c r="F146" s="4">
        <f ca="1">-SUMIFS(INDIRECT("Tab_000.Trial["&amp;F$4&amp;"]"),Tab_000.Trial[CONTA],$B146)</f>
        <v>0</v>
      </c>
      <c r="G146" s="78">
        <f t="shared" ca="1" si="91"/>
        <v>0</v>
      </c>
      <c r="H146" s="78">
        <f t="shared" ca="1" si="119"/>
        <v>0</v>
      </c>
      <c r="I146" s="4">
        <f ca="1">-SUMIFS(INDIRECT("Tab_000.Trial["&amp;I$4&amp;"]"),Tab_000.Trial[CONTA],$B146)</f>
        <v>0</v>
      </c>
      <c r="J146" s="78">
        <f t="shared" ca="1" si="92"/>
        <v>0</v>
      </c>
      <c r="K146" s="78">
        <f t="shared" ca="1" si="93"/>
        <v>0</v>
      </c>
      <c r="L146" s="4">
        <f ca="1">-SUMIFS(INDIRECT("Tab_000.Trial["&amp;L$4&amp;"]"),Tab_000.Trial[CONTA],$B146)</f>
        <v>0</v>
      </c>
      <c r="M146" s="78">
        <f t="shared" ca="1" si="94"/>
        <v>0</v>
      </c>
      <c r="N146" s="78">
        <f t="shared" ca="1" si="95"/>
        <v>0</v>
      </c>
      <c r="O146" s="4">
        <f ca="1">-SUMIFS(INDIRECT("Tab_000.Trial["&amp;O$4&amp;"]"),Tab_000.Trial[CONTA],$B146)</f>
        <v>0</v>
      </c>
      <c r="P146" s="78">
        <f t="shared" ca="1" si="120"/>
        <v>0</v>
      </c>
      <c r="Q146" s="78">
        <f t="shared" ca="1" si="121"/>
        <v>0</v>
      </c>
      <c r="R146" s="4">
        <f ca="1">-SUMIFS(INDIRECT("Tab_000.Trial["&amp;R$4&amp;"]"),Tab_000.Trial[CONTA],$B146)</f>
        <v>0</v>
      </c>
      <c r="S146" s="78">
        <f t="shared" ca="1" si="98"/>
        <v>0</v>
      </c>
      <c r="T146" s="78">
        <f t="shared" ca="1" si="99"/>
        <v>0</v>
      </c>
      <c r="U146" s="4">
        <f ca="1">-SUMIFS(INDIRECT("Tab_000.Trial["&amp;U$4&amp;"]"),Tab_000.Trial[CONTA],$B146)</f>
        <v>0</v>
      </c>
      <c r="V146" s="78">
        <f t="shared" ca="1" si="100"/>
        <v>0</v>
      </c>
      <c r="W146" s="78">
        <f t="shared" ca="1" si="101"/>
        <v>0</v>
      </c>
      <c r="X146" s="4">
        <f ca="1">-SUMIFS(INDIRECT("Tab_000.Trial["&amp;X$4&amp;"]"),Tab_000.Trial[CONTA],$B146)</f>
        <v>0</v>
      </c>
      <c r="Y146" s="78">
        <f t="shared" ca="1" si="122"/>
        <v>0</v>
      </c>
      <c r="Z146" s="78">
        <f t="shared" ca="1" si="123"/>
        <v>0</v>
      </c>
      <c r="AA146" s="4">
        <f ca="1">-SUMIFS(INDIRECT("Tab_000.Trial["&amp;AA$4&amp;"]"),Tab_000.Trial[CONTA],$B146)</f>
        <v>0</v>
      </c>
      <c r="AB146" s="78">
        <f t="shared" ca="1" si="104"/>
        <v>0</v>
      </c>
      <c r="AC146" s="78">
        <f t="shared" ca="1" si="105"/>
        <v>0</v>
      </c>
      <c r="AD146" s="4">
        <f ca="1">-SUMIFS(INDIRECT("Tab_000.Trial["&amp;AD$4&amp;"]"),Tab_000.Trial[CONTA],$B146)</f>
        <v>0</v>
      </c>
      <c r="AE146" s="78">
        <f t="shared" ca="1" si="106"/>
        <v>0</v>
      </c>
      <c r="AF146" s="78">
        <f t="shared" ca="1" si="107"/>
        <v>0</v>
      </c>
      <c r="AG146" s="4">
        <f ca="1">-SUMIFS(INDIRECT("Tab_000.Trial["&amp;AG$4&amp;"]"),Tab_000.Trial[CONTA],$B146)</f>
        <v>0</v>
      </c>
      <c r="AH146" s="78">
        <f t="shared" ca="1" si="108"/>
        <v>0</v>
      </c>
      <c r="AI146" s="78">
        <f t="shared" ca="1" si="109"/>
        <v>0</v>
      </c>
      <c r="AJ146" s="4">
        <f ca="1">-SUMIFS(INDIRECT("Tab_000.Trial["&amp;AJ$4&amp;"]"),Tab_000.Trial[CONTA],$B146)</f>
        <v>0</v>
      </c>
      <c r="AK146" s="78">
        <f t="shared" ca="1" si="110"/>
        <v>0</v>
      </c>
      <c r="AL146" s="78">
        <f t="shared" ca="1" si="111"/>
        <v>0</v>
      </c>
      <c r="AM146" s="1" t="s">
        <v>774</v>
      </c>
    </row>
    <row r="147" spans="2:39" ht="5.0999999999999996" customHeight="1" outlineLevel="1" x14ac:dyDescent="0.3">
      <c r="B147" s="74"/>
      <c r="C147" s="75"/>
      <c r="D147" s="76"/>
      <c r="E147" s="77"/>
      <c r="F147" s="76"/>
      <c r="G147" s="77"/>
      <c r="H147" s="77"/>
      <c r="I147" s="76"/>
      <c r="J147" s="77"/>
      <c r="K147" s="77"/>
      <c r="L147" s="76"/>
      <c r="M147" s="77"/>
      <c r="N147" s="77"/>
      <c r="O147" s="76"/>
      <c r="P147" s="77"/>
      <c r="Q147" s="77"/>
      <c r="R147" s="76"/>
      <c r="S147" s="77"/>
      <c r="T147" s="77"/>
      <c r="U147" s="76"/>
      <c r="V147" s="77"/>
      <c r="W147" s="77"/>
      <c r="X147" s="76"/>
      <c r="Y147" s="77"/>
      <c r="Z147" s="77"/>
      <c r="AA147" s="76"/>
      <c r="AB147" s="77"/>
      <c r="AC147" s="77"/>
      <c r="AD147" s="76"/>
      <c r="AE147" s="77"/>
      <c r="AF147" s="77"/>
      <c r="AG147" s="76"/>
      <c r="AH147" s="77"/>
      <c r="AI147" s="77"/>
      <c r="AJ147" s="76"/>
      <c r="AK147" s="77"/>
      <c r="AL147" s="77"/>
    </row>
    <row r="148" spans="2:39" ht="15" customHeight="1" x14ac:dyDescent="0.3">
      <c r="B148" s="3" t="s">
        <v>107</v>
      </c>
      <c r="C148" s="3" t="s">
        <v>148</v>
      </c>
      <c r="D148" s="4">
        <f ca="1">SUBTOTAL(9,D$149:D$152)</f>
        <v>0</v>
      </c>
      <c r="E148" s="78">
        <f t="shared" ref="E148:E151" ca="1" si="124">IFERROR($D148/$D$6,0)</f>
        <v>0</v>
      </c>
      <c r="F148" s="4">
        <f ca="1">SUBTOTAL(9,F$149:F$152)</f>
        <v>0</v>
      </c>
      <c r="G148" s="78">
        <f ca="1">IFERROR($F148/$F$6,0)</f>
        <v>0</v>
      </c>
      <c r="H148" s="78">
        <f t="shared" ref="H148:H151" ca="1" si="125">IFERROR(($F148-$D148)/ABS($D148),0)</f>
        <v>0</v>
      </c>
      <c r="I148" s="4">
        <f ca="1">SUBTOTAL(9,I$149:I$152)</f>
        <v>0</v>
      </c>
      <c r="J148" s="78">
        <f ca="1">IFERROR($I148/$I$6,0)</f>
        <v>0</v>
      </c>
      <c r="K148" s="78">
        <f ca="1">IFERROR(($I148-$F148)/ABS($F148),0)</f>
        <v>0</v>
      </c>
      <c r="L148" s="4">
        <f ca="1">SUBTOTAL(9,L$149:L$152)</f>
        <v>0</v>
      </c>
      <c r="M148" s="78">
        <f ca="1">IFERROR($L148/$L$6,0)</f>
        <v>0</v>
      </c>
      <c r="N148" s="78">
        <f ca="1">IFERROR(($L148-$I148)/ABS($I148),0)</f>
        <v>0</v>
      </c>
      <c r="O148" s="4">
        <f ca="1">SUBTOTAL(9,O$149:O$152)</f>
        <v>0</v>
      </c>
      <c r="P148" s="78">
        <f ca="1">IFERROR($O148/$O$6,0)</f>
        <v>0</v>
      </c>
      <c r="Q148" s="78">
        <f ca="1">IFERROR(($O148-$L148)/ABS($L148),0)</f>
        <v>0</v>
      </c>
      <c r="R148" s="4">
        <f ca="1">SUBTOTAL(9,R$149:R$152)</f>
        <v>0</v>
      </c>
      <c r="S148" s="78">
        <f ca="1">IFERROR($R148/$R$6,0)</f>
        <v>0</v>
      </c>
      <c r="T148" s="78">
        <f ca="1">IFERROR(($R148-$O148)/ABS($O148),0)</f>
        <v>0</v>
      </c>
      <c r="U148" s="4">
        <f ca="1">SUBTOTAL(9,U$149:U$152)</f>
        <v>0</v>
      </c>
      <c r="V148" s="78">
        <f ca="1">IFERROR($U148/$U$6,0)</f>
        <v>0</v>
      </c>
      <c r="W148" s="78">
        <f ca="1">IFERROR(($U148-$R148)/ABS($R148),0)</f>
        <v>0</v>
      </c>
      <c r="X148" s="4">
        <f ca="1">SUBTOTAL(9,X$149:X$152)</f>
        <v>0</v>
      </c>
      <c r="Y148" s="78">
        <f ca="1">IFERROR($X148/$X$6,0)</f>
        <v>0</v>
      </c>
      <c r="Z148" s="78">
        <f ca="1">IFERROR(($X148-$U148)/ABS($U148),0)</f>
        <v>0</v>
      </c>
      <c r="AA148" s="4">
        <f ca="1">SUBTOTAL(9,AA$149:AA$152)</f>
        <v>0</v>
      </c>
      <c r="AB148" s="78">
        <f ca="1">IFERROR($AA148/$AA$6,0)</f>
        <v>0</v>
      </c>
      <c r="AC148" s="78">
        <f ca="1">IFERROR(($AA148-$X148)/ABS($X148),0)</f>
        <v>0</v>
      </c>
      <c r="AD148" s="4">
        <f ca="1">SUBTOTAL(9,AD$149:AD$152)</f>
        <v>0</v>
      </c>
      <c r="AE148" s="78">
        <f ca="1">IFERROR($AD148/$AD$6,0)</f>
        <v>0</v>
      </c>
      <c r="AF148" s="78">
        <f ca="1">IFERROR(($AD148-$AA148)/ABS($AA148),0)</f>
        <v>0</v>
      </c>
      <c r="AG148" s="4">
        <f ca="1">SUBTOTAL(9,AG$149:AG$152)</f>
        <v>0</v>
      </c>
      <c r="AH148" s="78">
        <f ca="1">IFERROR($AG148/$AG$6,0)</f>
        <v>0</v>
      </c>
      <c r="AI148" s="78">
        <f ca="1">IFERROR(($AG148-$AD148)/ABS($AD148),0)</f>
        <v>0</v>
      </c>
      <c r="AJ148" s="4">
        <f ca="1">SUBTOTAL(9,AJ$149:AJ$152)</f>
        <v>0</v>
      </c>
      <c r="AK148" s="78">
        <f ca="1">IFERROR($AJ148/$AJ$6,0)</f>
        <v>0</v>
      </c>
      <c r="AL148" s="78">
        <f ca="1">IFERROR(($AJ148-$AG148)/ABS($AG148),0)</f>
        <v>0</v>
      </c>
    </row>
    <row r="149" spans="2:39" ht="15" customHeight="1" outlineLevel="1" x14ac:dyDescent="0.3">
      <c r="B149" s="14"/>
      <c r="C149" s="14"/>
      <c r="D149" s="4">
        <f ca="1">-SUMIFS(INDIRECT("Tab_000.Trial["&amp;D$4&amp;"]"),Tab_000.Trial[CONTA],$B149)</f>
        <v>0</v>
      </c>
      <c r="E149" s="78">
        <f t="shared" ca="1" si="124"/>
        <v>0</v>
      </c>
      <c r="F149" s="4">
        <f ca="1">-SUMIFS(INDIRECT("Tab_000.Trial["&amp;F$4&amp;"]"),Tab_000.Trial[CONTA],$B149)</f>
        <v>0</v>
      </c>
      <c r="G149" s="78">
        <f t="shared" ca="1" si="91"/>
        <v>0</v>
      </c>
      <c r="H149" s="78">
        <f t="shared" ca="1" si="125"/>
        <v>0</v>
      </c>
      <c r="I149" s="4">
        <f ca="1">-SUMIFS(INDIRECT("Tab_000.Trial["&amp;I$4&amp;"]"),Tab_000.Trial[CONTA],$B149)</f>
        <v>0</v>
      </c>
      <c r="J149" s="78">
        <f t="shared" ca="1" si="92"/>
        <v>0</v>
      </c>
      <c r="K149" s="78">
        <f t="shared" ca="1" si="93"/>
        <v>0</v>
      </c>
      <c r="L149" s="4">
        <f ca="1">-SUMIFS(INDIRECT("Tab_000.Trial["&amp;L$4&amp;"]"),Tab_000.Trial[CONTA],$B149)</f>
        <v>0</v>
      </c>
      <c r="M149" s="78">
        <f t="shared" ca="1" si="94"/>
        <v>0</v>
      </c>
      <c r="N149" s="78">
        <f t="shared" ca="1" si="95"/>
        <v>0</v>
      </c>
      <c r="O149" s="4">
        <f ca="1">-SUMIFS(INDIRECT("Tab_000.Trial["&amp;O$4&amp;"]"),Tab_000.Trial[CONTA],$B149)</f>
        <v>0</v>
      </c>
      <c r="P149" s="78">
        <f t="shared" ref="P149:P151" ca="1" si="126">IFERROR($O149/$O$6,0)</f>
        <v>0</v>
      </c>
      <c r="Q149" s="78">
        <f t="shared" ref="Q149:Q151" ca="1" si="127">IFERROR(($O149-$L149)/ABS($L149),0)</f>
        <v>0</v>
      </c>
      <c r="R149" s="4">
        <f ca="1">-SUMIFS(INDIRECT("Tab_000.Trial["&amp;R$4&amp;"]"),Tab_000.Trial[CONTA],$B149)</f>
        <v>0</v>
      </c>
      <c r="S149" s="78">
        <f t="shared" ca="1" si="98"/>
        <v>0</v>
      </c>
      <c r="T149" s="78">
        <f t="shared" ca="1" si="99"/>
        <v>0</v>
      </c>
      <c r="U149" s="4">
        <f ca="1">-SUMIFS(INDIRECT("Tab_000.Trial["&amp;U$4&amp;"]"),Tab_000.Trial[CONTA],$B149)</f>
        <v>0</v>
      </c>
      <c r="V149" s="78">
        <f t="shared" ca="1" si="100"/>
        <v>0</v>
      </c>
      <c r="W149" s="78">
        <f t="shared" ca="1" si="101"/>
        <v>0</v>
      </c>
      <c r="X149" s="4">
        <f ca="1">-SUMIFS(INDIRECT("Tab_000.Trial["&amp;X$4&amp;"]"),Tab_000.Trial[CONTA],$B149)</f>
        <v>0</v>
      </c>
      <c r="Y149" s="78">
        <f t="shared" ref="Y149:Y151" ca="1" si="128">IFERROR($X149/$X$6,0)</f>
        <v>0</v>
      </c>
      <c r="Z149" s="78">
        <f t="shared" ref="Z149:Z151" ca="1" si="129">IFERROR(($X149-$U149)/ABS($U149),0)</f>
        <v>0</v>
      </c>
      <c r="AA149" s="4">
        <f ca="1">-SUMIFS(INDIRECT("Tab_000.Trial["&amp;AA$4&amp;"]"),Tab_000.Trial[CONTA],$B149)</f>
        <v>0</v>
      </c>
      <c r="AB149" s="78">
        <f t="shared" ca="1" si="104"/>
        <v>0</v>
      </c>
      <c r="AC149" s="78">
        <f t="shared" ca="1" si="105"/>
        <v>0</v>
      </c>
      <c r="AD149" s="4">
        <f ca="1">-SUMIFS(INDIRECT("Tab_000.Trial["&amp;AD$4&amp;"]"),Tab_000.Trial[CONTA],$B149)</f>
        <v>0</v>
      </c>
      <c r="AE149" s="78">
        <f t="shared" ca="1" si="106"/>
        <v>0</v>
      </c>
      <c r="AF149" s="78">
        <f t="shared" ca="1" si="107"/>
        <v>0</v>
      </c>
      <c r="AG149" s="4">
        <f ca="1">-SUMIFS(INDIRECT("Tab_000.Trial["&amp;AG$4&amp;"]"),Tab_000.Trial[CONTA],$B149)</f>
        <v>0</v>
      </c>
      <c r="AH149" s="78">
        <f t="shared" ca="1" si="108"/>
        <v>0</v>
      </c>
      <c r="AI149" s="78">
        <f t="shared" ca="1" si="109"/>
        <v>0</v>
      </c>
      <c r="AJ149" s="4">
        <f ca="1">-SUMIFS(INDIRECT("Tab_000.Trial["&amp;AJ$4&amp;"]"),Tab_000.Trial[CONTA],$B149)</f>
        <v>0</v>
      </c>
      <c r="AK149" s="78">
        <f t="shared" ca="1" si="110"/>
        <v>0</v>
      </c>
      <c r="AL149" s="78">
        <f t="shared" ca="1" si="111"/>
        <v>0</v>
      </c>
    </row>
    <row r="150" spans="2:39" ht="15" customHeight="1" outlineLevel="1" x14ac:dyDescent="0.3">
      <c r="B150" s="14"/>
      <c r="C150" s="14"/>
      <c r="D150" s="4">
        <f ca="1">-SUMIFS(INDIRECT("Tab_000.Trial["&amp;D$4&amp;"]"),Tab_000.Trial[CONTA],$B150)</f>
        <v>0</v>
      </c>
      <c r="E150" s="78">
        <f t="shared" ca="1" si="124"/>
        <v>0</v>
      </c>
      <c r="F150" s="4">
        <f ca="1">-SUMIFS(INDIRECT("Tab_000.Trial["&amp;F$4&amp;"]"),Tab_000.Trial[CONTA],$B150)</f>
        <v>0</v>
      </c>
      <c r="G150" s="78">
        <f t="shared" ca="1" si="91"/>
        <v>0</v>
      </c>
      <c r="H150" s="78">
        <f t="shared" ca="1" si="125"/>
        <v>0</v>
      </c>
      <c r="I150" s="4">
        <f ca="1">-SUMIFS(INDIRECT("Tab_000.Trial["&amp;I$4&amp;"]"),Tab_000.Trial[CONTA],$B150)</f>
        <v>0</v>
      </c>
      <c r="J150" s="78">
        <f t="shared" ca="1" si="92"/>
        <v>0</v>
      </c>
      <c r="K150" s="78">
        <f t="shared" ca="1" si="93"/>
        <v>0</v>
      </c>
      <c r="L150" s="4">
        <f ca="1">-SUMIFS(INDIRECT("Tab_000.Trial["&amp;L$4&amp;"]"),Tab_000.Trial[CONTA],$B150)</f>
        <v>0</v>
      </c>
      <c r="M150" s="78">
        <f t="shared" ca="1" si="94"/>
        <v>0</v>
      </c>
      <c r="N150" s="78">
        <f t="shared" ca="1" si="95"/>
        <v>0</v>
      </c>
      <c r="O150" s="4">
        <f ca="1">-SUMIFS(INDIRECT("Tab_000.Trial["&amp;O$4&amp;"]"),Tab_000.Trial[CONTA],$B150)</f>
        <v>0</v>
      </c>
      <c r="P150" s="78">
        <f t="shared" ca="1" si="126"/>
        <v>0</v>
      </c>
      <c r="Q150" s="78">
        <f t="shared" ca="1" si="127"/>
        <v>0</v>
      </c>
      <c r="R150" s="4">
        <f ca="1">-SUMIFS(INDIRECT("Tab_000.Trial["&amp;R$4&amp;"]"),Tab_000.Trial[CONTA],$B150)</f>
        <v>0</v>
      </c>
      <c r="S150" s="78">
        <f t="shared" ca="1" si="98"/>
        <v>0</v>
      </c>
      <c r="T150" s="78">
        <f t="shared" ca="1" si="99"/>
        <v>0</v>
      </c>
      <c r="U150" s="4">
        <f ca="1">-SUMIFS(INDIRECT("Tab_000.Trial["&amp;U$4&amp;"]"),Tab_000.Trial[CONTA],$B150)</f>
        <v>0</v>
      </c>
      <c r="V150" s="78">
        <f t="shared" ca="1" si="100"/>
        <v>0</v>
      </c>
      <c r="W150" s="78">
        <f t="shared" ca="1" si="101"/>
        <v>0</v>
      </c>
      <c r="X150" s="4">
        <f ca="1">-SUMIFS(INDIRECT("Tab_000.Trial["&amp;X$4&amp;"]"),Tab_000.Trial[CONTA],$B150)</f>
        <v>0</v>
      </c>
      <c r="Y150" s="78">
        <f t="shared" ca="1" si="128"/>
        <v>0</v>
      </c>
      <c r="Z150" s="78">
        <f t="shared" ca="1" si="129"/>
        <v>0</v>
      </c>
      <c r="AA150" s="4">
        <f ca="1">-SUMIFS(INDIRECT("Tab_000.Trial["&amp;AA$4&amp;"]"),Tab_000.Trial[CONTA],$B150)</f>
        <v>0</v>
      </c>
      <c r="AB150" s="78">
        <f t="shared" ca="1" si="104"/>
        <v>0</v>
      </c>
      <c r="AC150" s="78">
        <f t="shared" ca="1" si="105"/>
        <v>0</v>
      </c>
      <c r="AD150" s="4">
        <f ca="1">-SUMIFS(INDIRECT("Tab_000.Trial["&amp;AD$4&amp;"]"),Tab_000.Trial[CONTA],$B150)</f>
        <v>0</v>
      </c>
      <c r="AE150" s="78">
        <f t="shared" ca="1" si="106"/>
        <v>0</v>
      </c>
      <c r="AF150" s="78">
        <f t="shared" ca="1" si="107"/>
        <v>0</v>
      </c>
      <c r="AG150" s="4">
        <f ca="1">-SUMIFS(INDIRECT("Tab_000.Trial["&amp;AG$4&amp;"]"),Tab_000.Trial[CONTA],$B150)</f>
        <v>0</v>
      </c>
      <c r="AH150" s="78">
        <f t="shared" ca="1" si="108"/>
        <v>0</v>
      </c>
      <c r="AI150" s="78">
        <f t="shared" ca="1" si="109"/>
        <v>0</v>
      </c>
      <c r="AJ150" s="4">
        <f ca="1">-SUMIFS(INDIRECT("Tab_000.Trial["&amp;AJ$4&amp;"]"),Tab_000.Trial[CONTA],$B150)</f>
        <v>0</v>
      </c>
      <c r="AK150" s="78">
        <f t="shared" ca="1" si="110"/>
        <v>0</v>
      </c>
      <c r="AL150" s="78">
        <f t="shared" ca="1" si="111"/>
        <v>0</v>
      </c>
    </row>
    <row r="151" spans="2:39" ht="15" customHeight="1" outlineLevel="1" x14ac:dyDescent="0.3">
      <c r="B151" s="14"/>
      <c r="C151" s="14"/>
      <c r="D151" s="4">
        <f ca="1">-SUMIFS(INDIRECT("Tab_000.Trial["&amp;D$4&amp;"]"),Tab_000.Trial[CONTA],$B151)</f>
        <v>0</v>
      </c>
      <c r="E151" s="78">
        <f t="shared" ca="1" si="124"/>
        <v>0</v>
      </c>
      <c r="F151" s="4">
        <f ca="1">-SUMIFS(INDIRECT("Tab_000.Trial["&amp;F$4&amp;"]"),Tab_000.Trial[CONTA],$B151)</f>
        <v>0</v>
      </c>
      <c r="G151" s="78">
        <f t="shared" ca="1" si="91"/>
        <v>0</v>
      </c>
      <c r="H151" s="78">
        <f t="shared" ca="1" si="125"/>
        <v>0</v>
      </c>
      <c r="I151" s="4">
        <f ca="1">-SUMIFS(INDIRECT("Tab_000.Trial["&amp;I$4&amp;"]"),Tab_000.Trial[CONTA],$B151)</f>
        <v>0</v>
      </c>
      <c r="J151" s="78">
        <f t="shared" ca="1" si="92"/>
        <v>0</v>
      </c>
      <c r="K151" s="78">
        <f t="shared" ca="1" si="93"/>
        <v>0</v>
      </c>
      <c r="L151" s="4">
        <f ca="1">-SUMIFS(INDIRECT("Tab_000.Trial["&amp;L$4&amp;"]"),Tab_000.Trial[CONTA],$B151)</f>
        <v>0</v>
      </c>
      <c r="M151" s="78">
        <f t="shared" ca="1" si="94"/>
        <v>0</v>
      </c>
      <c r="N151" s="78">
        <f t="shared" ca="1" si="95"/>
        <v>0</v>
      </c>
      <c r="O151" s="4">
        <f ca="1">-SUMIFS(INDIRECT("Tab_000.Trial["&amp;O$4&amp;"]"),Tab_000.Trial[CONTA],$B151)</f>
        <v>0</v>
      </c>
      <c r="P151" s="78">
        <f t="shared" ca="1" si="126"/>
        <v>0</v>
      </c>
      <c r="Q151" s="78">
        <f t="shared" ca="1" si="127"/>
        <v>0</v>
      </c>
      <c r="R151" s="4">
        <f ca="1">-SUMIFS(INDIRECT("Tab_000.Trial["&amp;R$4&amp;"]"),Tab_000.Trial[CONTA],$B151)</f>
        <v>0</v>
      </c>
      <c r="S151" s="78">
        <f t="shared" ca="1" si="98"/>
        <v>0</v>
      </c>
      <c r="T151" s="78">
        <f t="shared" ca="1" si="99"/>
        <v>0</v>
      </c>
      <c r="U151" s="4">
        <f ca="1">-SUMIFS(INDIRECT("Tab_000.Trial["&amp;U$4&amp;"]"),Tab_000.Trial[CONTA],$B151)</f>
        <v>0</v>
      </c>
      <c r="V151" s="78">
        <f t="shared" ca="1" si="100"/>
        <v>0</v>
      </c>
      <c r="W151" s="78">
        <f t="shared" ca="1" si="101"/>
        <v>0</v>
      </c>
      <c r="X151" s="4">
        <f ca="1">-SUMIFS(INDIRECT("Tab_000.Trial["&amp;X$4&amp;"]"),Tab_000.Trial[CONTA],$B151)</f>
        <v>0</v>
      </c>
      <c r="Y151" s="78">
        <f t="shared" ca="1" si="128"/>
        <v>0</v>
      </c>
      <c r="Z151" s="78">
        <f t="shared" ca="1" si="129"/>
        <v>0</v>
      </c>
      <c r="AA151" s="4">
        <f ca="1">-SUMIFS(INDIRECT("Tab_000.Trial["&amp;AA$4&amp;"]"),Tab_000.Trial[CONTA],$B151)</f>
        <v>0</v>
      </c>
      <c r="AB151" s="78">
        <f t="shared" ca="1" si="104"/>
        <v>0</v>
      </c>
      <c r="AC151" s="78">
        <f t="shared" ca="1" si="105"/>
        <v>0</v>
      </c>
      <c r="AD151" s="4">
        <f ca="1">-SUMIFS(INDIRECT("Tab_000.Trial["&amp;AD$4&amp;"]"),Tab_000.Trial[CONTA],$B151)</f>
        <v>0</v>
      </c>
      <c r="AE151" s="78">
        <f t="shared" ca="1" si="106"/>
        <v>0</v>
      </c>
      <c r="AF151" s="78">
        <f t="shared" ca="1" si="107"/>
        <v>0</v>
      </c>
      <c r="AG151" s="4">
        <f ca="1">-SUMIFS(INDIRECT("Tab_000.Trial["&amp;AG$4&amp;"]"),Tab_000.Trial[CONTA],$B151)</f>
        <v>0</v>
      </c>
      <c r="AH151" s="78">
        <f t="shared" ca="1" si="108"/>
        <v>0</v>
      </c>
      <c r="AI151" s="78">
        <f t="shared" ca="1" si="109"/>
        <v>0</v>
      </c>
      <c r="AJ151" s="4">
        <f ca="1">-SUMIFS(INDIRECT("Tab_000.Trial["&amp;AJ$4&amp;"]"),Tab_000.Trial[CONTA],$B151)</f>
        <v>0</v>
      </c>
      <c r="AK151" s="78">
        <f t="shared" ca="1" si="110"/>
        <v>0</v>
      </c>
      <c r="AL151" s="78">
        <f t="shared" ca="1" si="111"/>
        <v>0</v>
      </c>
    </row>
    <row r="152" spans="2:39" ht="5.0999999999999996" customHeight="1" outlineLevel="1" x14ac:dyDescent="0.3">
      <c r="B152" s="74"/>
      <c r="C152" s="75"/>
      <c r="D152" s="76"/>
      <c r="E152" s="77"/>
      <c r="F152" s="76"/>
      <c r="G152" s="77"/>
      <c r="H152" s="77"/>
      <c r="I152" s="76"/>
      <c r="J152" s="77"/>
      <c r="K152" s="77"/>
      <c r="L152" s="76"/>
      <c r="M152" s="77"/>
      <c r="N152" s="77"/>
      <c r="O152" s="76"/>
      <c r="P152" s="77"/>
      <c r="Q152" s="77"/>
      <c r="R152" s="76"/>
      <c r="S152" s="77"/>
      <c r="T152" s="77"/>
      <c r="U152" s="76"/>
      <c r="V152" s="77"/>
      <c r="W152" s="77"/>
      <c r="X152" s="76"/>
      <c r="Y152" s="77"/>
      <c r="Z152" s="77"/>
      <c r="AA152" s="76"/>
      <c r="AB152" s="77"/>
      <c r="AC152" s="77"/>
      <c r="AD152" s="76"/>
      <c r="AE152" s="77"/>
      <c r="AF152" s="77"/>
      <c r="AG152" s="76"/>
      <c r="AH152" s="77"/>
      <c r="AI152" s="77"/>
      <c r="AJ152" s="76"/>
      <c r="AK152" s="77"/>
      <c r="AL152" s="77"/>
    </row>
    <row r="153" spans="2:39" ht="15" customHeight="1" x14ac:dyDescent="0.3">
      <c r="B153" s="3" t="s">
        <v>108</v>
      </c>
      <c r="C153" s="3" t="s">
        <v>149</v>
      </c>
      <c r="D153" s="4">
        <f ca="1">SUBTOTAL(9,D$154:D$159)</f>
        <v>-1075.6099999999999</v>
      </c>
      <c r="E153" s="78">
        <f t="shared" ref="E153:E158" ca="1" si="130">IFERROR($D153/$D$6,0)</f>
        <v>-1.1000000000000001E-3</v>
      </c>
      <c r="F153" s="4">
        <f ca="1">SUBTOTAL(9,F$154:F$159)</f>
        <v>-1328.97</v>
      </c>
      <c r="G153" s="78">
        <f ca="1">IFERROR($F153/$F$6,0)</f>
        <v>-1.4E-3</v>
      </c>
      <c r="H153" s="78">
        <f t="shared" ref="H153:H158" ca="1" si="131">IFERROR(($F153-$D153)/ABS($D153),0)</f>
        <v>-0.2356</v>
      </c>
      <c r="I153" s="4">
        <f ca="1">SUBTOTAL(9,I$154:I$159)</f>
        <v>-13007.66</v>
      </c>
      <c r="J153" s="78">
        <f ca="1">IFERROR($I153/$I$6,0)</f>
        <v>-1.24E-2</v>
      </c>
      <c r="K153" s="78">
        <f ca="1">IFERROR(($I153-$F153)/ABS($F153),0)</f>
        <v>-8.7878000000000007</v>
      </c>
      <c r="L153" s="4">
        <f ca="1">SUBTOTAL(9,L$154:L$159)</f>
        <v>0</v>
      </c>
      <c r="M153" s="78">
        <f ca="1">IFERROR($L153/$L$6,0)</f>
        <v>0</v>
      </c>
      <c r="N153" s="78">
        <f ca="1">IFERROR(($L153-$I153)/ABS($I153),0)</f>
        <v>1</v>
      </c>
      <c r="O153" s="4">
        <f ca="1">SUBTOTAL(9,O$154:O$159)</f>
        <v>-115.5</v>
      </c>
      <c r="P153" s="78">
        <f ca="1">IFERROR($O153/$O$6,0)</f>
        <v>-1E-4</v>
      </c>
      <c r="Q153" s="78">
        <f ca="1">IFERROR(($O153-$L153)/ABS($L153),0)</f>
        <v>0</v>
      </c>
      <c r="R153" s="4">
        <f ca="1">SUBTOTAL(9,R$154:R$159)</f>
        <v>0</v>
      </c>
      <c r="S153" s="78">
        <f ca="1">IFERROR($R153/$R$6,0)</f>
        <v>0</v>
      </c>
      <c r="T153" s="78">
        <f ca="1">IFERROR(($R153-$O153)/ABS($O153),0)</f>
        <v>1</v>
      </c>
      <c r="U153" s="4">
        <f ca="1">SUBTOTAL(9,U$154:U$159)</f>
        <v>0</v>
      </c>
      <c r="V153" s="78">
        <f ca="1">IFERROR($U153/$U$6,0)</f>
        <v>0</v>
      </c>
      <c r="W153" s="78">
        <f ca="1">IFERROR(($U153-$R153)/ABS($R153),0)</f>
        <v>0</v>
      </c>
      <c r="X153" s="4">
        <f ca="1">SUBTOTAL(9,X$154:X$159)</f>
        <v>0</v>
      </c>
      <c r="Y153" s="78">
        <f ca="1">IFERROR($X153/$X$6,0)</f>
        <v>0</v>
      </c>
      <c r="Z153" s="78">
        <f ca="1">IFERROR(($X153-$U153)/ABS($U153),0)</f>
        <v>0</v>
      </c>
      <c r="AA153" s="4">
        <f ca="1">SUBTOTAL(9,AA$154:AA$159)</f>
        <v>0</v>
      </c>
      <c r="AB153" s="78">
        <f ca="1">IFERROR($AA153/$AA$6,0)</f>
        <v>0</v>
      </c>
      <c r="AC153" s="78">
        <f ca="1">IFERROR(($AA153-$X153)/ABS($X153),0)</f>
        <v>0</v>
      </c>
      <c r="AD153" s="4">
        <f ca="1">SUBTOTAL(9,AD$154:AD$159)</f>
        <v>0</v>
      </c>
      <c r="AE153" s="78">
        <f ca="1">IFERROR($AD153/$AD$6,0)</f>
        <v>0</v>
      </c>
      <c r="AF153" s="78">
        <f ca="1">IFERROR(($AD153-$AA153)/ABS($AA153),0)</f>
        <v>0</v>
      </c>
      <c r="AG153" s="4">
        <f ca="1">SUBTOTAL(9,AG$154:AG$159)</f>
        <v>-1326.6</v>
      </c>
      <c r="AH153" s="78">
        <f ca="1">IFERROR($AG153/$AG$6,0)</f>
        <v>-1.4E-3</v>
      </c>
      <c r="AI153" s="78">
        <f ca="1">IFERROR(($AG153-$AD153)/ABS($AD153),0)</f>
        <v>0</v>
      </c>
      <c r="AJ153" s="4">
        <f ca="1">SUBTOTAL(9,AJ$154:AJ$159)</f>
        <v>0</v>
      </c>
      <c r="AK153" s="78">
        <f ca="1">IFERROR($AJ153/$AJ$6,0)</f>
        <v>0</v>
      </c>
      <c r="AL153" s="78">
        <f ca="1">IFERROR(($AJ153-$AG153)/ABS($AG153),0)</f>
        <v>1</v>
      </c>
    </row>
    <row r="154" spans="2:39" ht="15" customHeight="1" outlineLevel="1" x14ac:dyDescent="0.3">
      <c r="B154" s="14" t="s">
        <v>522</v>
      </c>
      <c r="C154" s="14" t="s">
        <v>523</v>
      </c>
      <c r="D154" s="4">
        <f ca="1">-SUMIFS(INDIRECT("Tab_000.Trial["&amp;D$4&amp;"]"),Tab_000.Trial[CONTA],$B154)</f>
        <v>-1075.6099999999999</v>
      </c>
      <c r="E154" s="78">
        <f t="shared" ca="1" si="130"/>
        <v>-1.1000000000000001E-3</v>
      </c>
      <c r="F154" s="4">
        <f ca="1">-SUMIFS(INDIRECT("Tab_000.Trial["&amp;F$4&amp;"]"),Tab_000.Trial[CONTA],$B154)</f>
        <v>-1328.97</v>
      </c>
      <c r="G154" s="78">
        <f t="shared" ca="1" si="91"/>
        <v>-1.4E-3</v>
      </c>
      <c r="H154" s="78">
        <f t="shared" ca="1" si="131"/>
        <v>-0.2356</v>
      </c>
      <c r="I154" s="4">
        <f ca="1">-SUMIFS(INDIRECT("Tab_000.Trial["&amp;I$4&amp;"]"),Tab_000.Trial[CONTA],$B154)</f>
        <v>-13007.66</v>
      </c>
      <c r="J154" s="78">
        <f t="shared" ca="1" si="92"/>
        <v>-1.24E-2</v>
      </c>
      <c r="K154" s="78">
        <f t="shared" ca="1" si="93"/>
        <v>-8.7878000000000007</v>
      </c>
      <c r="L154" s="4">
        <f ca="1">-SUMIFS(INDIRECT("Tab_000.Trial["&amp;L$4&amp;"]"),Tab_000.Trial[CONTA],$B154)</f>
        <v>0</v>
      </c>
      <c r="M154" s="78">
        <f t="shared" ca="1" si="94"/>
        <v>0</v>
      </c>
      <c r="N154" s="78">
        <f t="shared" ca="1" si="95"/>
        <v>1</v>
      </c>
      <c r="O154" s="4">
        <f ca="1">-SUMIFS(INDIRECT("Tab_000.Trial["&amp;O$4&amp;"]"),Tab_000.Trial[CONTA],$B154)</f>
        <v>-115.5</v>
      </c>
      <c r="P154" s="78">
        <f t="shared" ref="P154:P158" ca="1" si="132">IFERROR($O154/$O$6,0)</f>
        <v>-1E-4</v>
      </c>
      <c r="Q154" s="78">
        <f t="shared" ref="Q154:Q158" ca="1" si="133">IFERROR(($O154-$L154)/ABS($L154),0)</f>
        <v>0</v>
      </c>
      <c r="R154" s="4">
        <f ca="1">-SUMIFS(INDIRECT("Tab_000.Trial["&amp;R$4&amp;"]"),Tab_000.Trial[CONTA],$B154)</f>
        <v>0</v>
      </c>
      <c r="S154" s="78">
        <f t="shared" ca="1" si="98"/>
        <v>0</v>
      </c>
      <c r="T154" s="78">
        <f t="shared" ca="1" si="99"/>
        <v>1</v>
      </c>
      <c r="U154" s="4">
        <f ca="1">-SUMIFS(INDIRECT("Tab_000.Trial["&amp;U$4&amp;"]"),Tab_000.Trial[CONTA],$B154)</f>
        <v>0</v>
      </c>
      <c r="V154" s="78">
        <f t="shared" ca="1" si="100"/>
        <v>0</v>
      </c>
      <c r="W154" s="78">
        <f t="shared" ca="1" si="101"/>
        <v>0</v>
      </c>
      <c r="X154" s="4">
        <f ca="1">-SUMIFS(INDIRECT("Tab_000.Trial["&amp;X$4&amp;"]"),Tab_000.Trial[CONTA],$B154)</f>
        <v>0</v>
      </c>
      <c r="Y154" s="78">
        <f t="shared" ref="Y154:Y158" ca="1" si="134">IFERROR($X154/$X$6,0)</f>
        <v>0</v>
      </c>
      <c r="Z154" s="78">
        <f t="shared" ref="Z154:Z158" ca="1" si="135">IFERROR(($X154-$U154)/ABS($U154),0)</f>
        <v>0</v>
      </c>
      <c r="AA154" s="4">
        <f ca="1">-SUMIFS(INDIRECT("Tab_000.Trial["&amp;AA$4&amp;"]"),Tab_000.Trial[CONTA],$B154)</f>
        <v>0</v>
      </c>
      <c r="AB154" s="78">
        <f t="shared" ca="1" si="104"/>
        <v>0</v>
      </c>
      <c r="AC154" s="78">
        <f t="shared" ca="1" si="105"/>
        <v>0</v>
      </c>
      <c r="AD154" s="4">
        <f ca="1">-SUMIFS(INDIRECT("Tab_000.Trial["&amp;AD$4&amp;"]"),Tab_000.Trial[CONTA],$B154)</f>
        <v>0</v>
      </c>
      <c r="AE154" s="78">
        <f t="shared" ca="1" si="106"/>
        <v>0</v>
      </c>
      <c r="AF154" s="78">
        <f t="shared" ca="1" si="107"/>
        <v>0</v>
      </c>
      <c r="AG154" s="4">
        <f ca="1">-SUMIFS(INDIRECT("Tab_000.Trial["&amp;AG$4&amp;"]"),Tab_000.Trial[CONTA],$B154)</f>
        <v>-1326.6</v>
      </c>
      <c r="AH154" s="78">
        <f t="shared" ca="1" si="108"/>
        <v>-1.4E-3</v>
      </c>
      <c r="AI154" s="78">
        <f t="shared" ca="1" si="109"/>
        <v>0</v>
      </c>
      <c r="AJ154" s="4">
        <f ca="1">-SUMIFS(INDIRECT("Tab_000.Trial["&amp;AJ$4&amp;"]"),Tab_000.Trial[CONTA],$B154)</f>
        <v>0</v>
      </c>
      <c r="AK154" s="78">
        <f t="shared" ca="1" si="110"/>
        <v>0</v>
      </c>
      <c r="AL154" s="78">
        <f t="shared" ca="1" si="111"/>
        <v>1</v>
      </c>
    </row>
    <row r="155" spans="2:39" ht="15" customHeight="1" outlineLevel="1" x14ac:dyDescent="0.3">
      <c r="B155" s="14" t="s">
        <v>526</v>
      </c>
      <c r="C155" s="14" t="s">
        <v>527</v>
      </c>
      <c r="D155" s="4">
        <f ca="1">-SUMIFS(INDIRECT("Tab_000.Trial["&amp;D$4&amp;"]"),Tab_000.Trial[CONTA],$B155)</f>
        <v>0</v>
      </c>
      <c r="E155" s="78">
        <f t="shared" ca="1" si="130"/>
        <v>0</v>
      </c>
      <c r="F155" s="4">
        <f ca="1">-SUMIFS(INDIRECT("Tab_000.Trial["&amp;F$4&amp;"]"),Tab_000.Trial[CONTA],$B155)</f>
        <v>0</v>
      </c>
      <c r="G155" s="78">
        <f t="shared" ca="1" si="91"/>
        <v>0</v>
      </c>
      <c r="H155" s="78">
        <f t="shared" ca="1" si="131"/>
        <v>0</v>
      </c>
      <c r="I155" s="4">
        <f ca="1">-SUMIFS(INDIRECT("Tab_000.Trial["&amp;I$4&amp;"]"),Tab_000.Trial[CONTA],$B155)</f>
        <v>0</v>
      </c>
      <c r="J155" s="78">
        <f t="shared" ca="1" si="92"/>
        <v>0</v>
      </c>
      <c r="K155" s="78">
        <f t="shared" ca="1" si="93"/>
        <v>0</v>
      </c>
      <c r="L155" s="4">
        <f ca="1">-SUMIFS(INDIRECT("Tab_000.Trial["&amp;L$4&amp;"]"),Tab_000.Trial[CONTA],$B155)</f>
        <v>0</v>
      </c>
      <c r="M155" s="78">
        <f t="shared" ca="1" si="94"/>
        <v>0</v>
      </c>
      <c r="N155" s="78">
        <f t="shared" ca="1" si="95"/>
        <v>0</v>
      </c>
      <c r="O155" s="4">
        <f ca="1">-SUMIFS(INDIRECT("Tab_000.Trial["&amp;O$4&amp;"]"),Tab_000.Trial[CONTA],$B155)</f>
        <v>0</v>
      </c>
      <c r="P155" s="78">
        <f t="shared" ca="1" si="132"/>
        <v>0</v>
      </c>
      <c r="Q155" s="78">
        <f t="shared" ca="1" si="133"/>
        <v>0</v>
      </c>
      <c r="R155" s="4">
        <f ca="1">-SUMIFS(INDIRECT("Tab_000.Trial["&amp;R$4&amp;"]"),Tab_000.Trial[CONTA],$B155)</f>
        <v>0</v>
      </c>
      <c r="S155" s="78">
        <f t="shared" ca="1" si="98"/>
        <v>0</v>
      </c>
      <c r="T155" s="78">
        <f t="shared" ca="1" si="99"/>
        <v>0</v>
      </c>
      <c r="U155" s="4">
        <f ca="1">-SUMIFS(INDIRECT("Tab_000.Trial["&amp;U$4&amp;"]"),Tab_000.Trial[CONTA],$B155)</f>
        <v>0</v>
      </c>
      <c r="V155" s="78">
        <f t="shared" ca="1" si="100"/>
        <v>0</v>
      </c>
      <c r="W155" s="78">
        <f t="shared" ca="1" si="101"/>
        <v>0</v>
      </c>
      <c r="X155" s="4">
        <f ca="1">-SUMIFS(INDIRECT("Tab_000.Trial["&amp;X$4&amp;"]"),Tab_000.Trial[CONTA],$B155)</f>
        <v>0</v>
      </c>
      <c r="Y155" s="78">
        <f t="shared" ca="1" si="134"/>
        <v>0</v>
      </c>
      <c r="Z155" s="78">
        <f t="shared" ca="1" si="135"/>
        <v>0</v>
      </c>
      <c r="AA155" s="4">
        <f ca="1">-SUMIFS(INDIRECT("Tab_000.Trial["&amp;AA$4&amp;"]"),Tab_000.Trial[CONTA],$B155)</f>
        <v>0</v>
      </c>
      <c r="AB155" s="78">
        <f t="shared" ca="1" si="104"/>
        <v>0</v>
      </c>
      <c r="AC155" s="78">
        <f t="shared" ca="1" si="105"/>
        <v>0</v>
      </c>
      <c r="AD155" s="4">
        <f ca="1">-SUMIFS(INDIRECT("Tab_000.Trial["&amp;AD$4&amp;"]"),Tab_000.Trial[CONTA],$B155)</f>
        <v>0</v>
      </c>
      <c r="AE155" s="78">
        <f t="shared" ca="1" si="106"/>
        <v>0</v>
      </c>
      <c r="AF155" s="78">
        <f t="shared" ca="1" si="107"/>
        <v>0</v>
      </c>
      <c r="AG155" s="4">
        <f ca="1">-SUMIFS(INDIRECT("Tab_000.Trial["&amp;AG$4&amp;"]"),Tab_000.Trial[CONTA],$B155)</f>
        <v>0</v>
      </c>
      <c r="AH155" s="78">
        <f t="shared" ca="1" si="108"/>
        <v>0</v>
      </c>
      <c r="AI155" s="78">
        <f t="shared" ca="1" si="109"/>
        <v>0</v>
      </c>
      <c r="AJ155" s="4">
        <f ca="1">-SUMIFS(INDIRECT("Tab_000.Trial["&amp;AJ$4&amp;"]"),Tab_000.Trial[CONTA],$B155)</f>
        <v>0</v>
      </c>
      <c r="AK155" s="78">
        <f t="shared" ca="1" si="110"/>
        <v>0</v>
      </c>
      <c r="AL155" s="78">
        <f t="shared" ca="1" si="111"/>
        <v>0</v>
      </c>
    </row>
    <row r="156" spans="2:39" ht="15" customHeight="1" outlineLevel="1" x14ac:dyDescent="0.3">
      <c r="B156" s="14"/>
      <c r="C156" s="14"/>
      <c r="D156" s="4">
        <f ca="1">-SUMIFS(INDIRECT("Tab_000.Trial["&amp;D$4&amp;"]"),Tab_000.Trial[CONTA],$B156)</f>
        <v>0</v>
      </c>
      <c r="E156" s="78">
        <f t="shared" ca="1" si="130"/>
        <v>0</v>
      </c>
      <c r="F156" s="4">
        <f ca="1">-SUMIFS(INDIRECT("Tab_000.Trial["&amp;F$4&amp;"]"),Tab_000.Trial[CONTA],$B156)</f>
        <v>0</v>
      </c>
      <c r="G156" s="78">
        <f t="shared" ca="1" si="91"/>
        <v>0</v>
      </c>
      <c r="H156" s="78">
        <f t="shared" ca="1" si="131"/>
        <v>0</v>
      </c>
      <c r="I156" s="4">
        <f ca="1">-SUMIFS(INDIRECT("Tab_000.Trial["&amp;I$4&amp;"]"),Tab_000.Trial[CONTA],$B156)</f>
        <v>0</v>
      </c>
      <c r="J156" s="78">
        <f t="shared" ca="1" si="92"/>
        <v>0</v>
      </c>
      <c r="K156" s="78">
        <f t="shared" ca="1" si="93"/>
        <v>0</v>
      </c>
      <c r="L156" s="4">
        <f ca="1">-SUMIFS(INDIRECT("Tab_000.Trial["&amp;L$4&amp;"]"),Tab_000.Trial[CONTA],$B156)</f>
        <v>0</v>
      </c>
      <c r="M156" s="78">
        <f t="shared" ca="1" si="94"/>
        <v>0</v>
      </c>
      <c r="N156" s="78">
        <f t="shared" ca="1" si="95"/>
        <v>0</v>
      </c>
      <c r="O156" s="4">
        <f ca="1">-SUMIFS(INDIRECT("Tab_000.Trial["&amp;O$4&amp;"]"),Tab_000.Trial[CONTA],$B156)</f>
        <v>0</v>
      </c>
      <c r="P156" s="78">
        <f t="shared" ca="1" si="132"/>
        <v>0</v>
      </c>
      <c r="Q156" s="78">
        <f t="shared" ca="1" si="133"/>
        <v>0</v>
      </c>
      <c r="R156" s="4">
        <f ca="1">-SUMIFS(INDIRECT("Tab_000.Trial["&amp;R$4&amp;"]"),Tab_000.Trial[CONTA],$B156)</f>
        <v>0</v>
      </c>
      <c r="S156" s="78">
        <f t="shared" ca="1" si="98"/>
        <v>0</v>
      </c>
      <c r="T156" s="78">
        <f t="shared" ca="1" si="99"/>
        <v>0</v>
      </c>
      <c r="U156" s="4">
        <f ca="1">-SUMIFS(INDIRECT("Tab_000.Trial["&amp;U$4&amp;"]"),Tab_000.Trial[CONTA],$B156)</f>
        <v>0</v>
      </c>
      <c r="V156" s="78">
        <f t="shared" ca="1" si="100"/>
        <v>0</v>
      </c>
      <c r="W156" s="78">
        <f t="shared" ca="1" si="101"/>
        <v>0</v>
      </c>
      <c r="X156" s="4">
        <f ca="1">-SUMIFS(INDIRECT("Tab_000.Trial["&amp;X$4&amp;"]"),Tab_000.Trial[CONTA],$B156)</f>
        <v>0</v>
      </c>
      <c r="Y156" s="78">
        <f t="shared" ca="1" si="134"/>
        <v>0</v>
      </c>
      <c r="Z156" s="78">
        <f t="shared" ca="1" si="135"/>
        <v>0</v>
      </c>
      <c r="AA156" s="4">
        <f ca="1">-SUMIFS(INDIRECT("Tab_000.Trial["&amp;AA$4&amp;"]"),Tab_000.Trial[CONTA],$B156)</f>
        <v>0</v>
      </c>
      <c r="AB156" s="78">
        <f t="shared" ca="1" si="104"/>
        <v>0</v>
      </c>
      <c r="AC156" s="78">
        <f t="shared" ca="1" si="105"/>
        <v>0</v>
      </c>
      <c r="AD156" s="4">
        <f ca="1">-SUMIFS(INDIRECT("Tab_000.Trial["&amp;AD$4&amp;"]"),Tab_000.Trial[CONTA],$B156)</f>
        <v>0</v>
      </c>
      <c r="AE156" s="78">
        <f t="shared" ca="1" si="106"/>
        <v>0</v>
      </c>
      <c r="AF156" s="78">
        <f t="shared" ca="1" si="107"/>
        <v>0</v>
      </c>
      <c r="AG156" s="4">
        <f ca="1">-SUMIFS(INDIRECT("Tab_000.Trial["&amp;AG$4&amp;"]"),Tab_000.Trial[CONTA],$B156)</f>
        <v>0</v>
      </c>
      <c r="AH156" s="78">
        <f t="shared" ca="1" si="108"/>
        <v>0</v>
      </c>
      <c r="AI156" s="78">
        <f t="shared" ca="1" si="109"/>
        <v>0</v>
      </c>
      <c r="AJ156" s="4">
        <f ca="1">-SUMIFS(INDIRECT("Tab_000.Trial["&amp;AJ$4&amp;"]"),Tab_000.Trial[CONTA],$B156)</f>
        <v>0</v>
      </c>
      <c r="AK156" s="78">
        <f t="shared" ca="1" si="110"/>
        <v>0</v>
      </c>
      <c r="AL156" s="78">
        <f t="shared" ca="1" si="111"/>
        <v>0</v>
      </c>
    </row>
    <row r="157" spans="2:39" ht="15" customHeight="1" outlineLevel="1" x14ac:dyDescent="0.3">
      <c r="B157" s="14"/>
      <c r="C157" s="14"/>
      <c r="D157" s="4">
        <f ca="1">-SUMIFS(INDIRECT("Tab_000.Trial["&amp;D$4&amp;"]"),Tab_000.Trial[CONTA],$B157)</f>
        <v>0</v>
      </c>
      <c r="E157" s="78">
        <f t="shared" ca="1" si="130"/>
        <v>0</v>
      </c>
      <c r="F157" s="4">
        <f ca="1">-SUMIFS(INDIRECT("Tab_000.Trial["&amp;F$4&amp;"]"),Tab_000.Trial[CONTA],$B157)</f>
        <v>0</v>
      </c>
      <c r="G157" s="78">
        <f t="shared" ca="1" si="91"/>
        <v>0</v>
      </c>
      <c r="H157" s="78">
        <f t="shared" ca="1" si="131"/>
        <v>0</v>
      </c>
      <c r="I157" s="4">
        <f ca="1">-SUMIFS(INDIRECT("Tab_000.Trial["&amp;I$4&amp;"]"),Tab_000.Trial[CONTA],$B157)</f>
        <v>0</v>
      </c>
      <c r="J157" s="78">
        <f t="shared" ca="1" si="92"/>
        <v>0</v>
      </c>
      <c r="K157" s="78">
        <f t="shared" ca="1" si="93"/>
        <v>0</v>
      </c>
      <c r="L157" s="4">
        <f ca="1">-SUMIFS(INDIRECT("Tab_000.Trial["&amp;L$4&amp;"]"),Tab_000.Trial[CONTA],$B157)</f>
        <v>0</v>
      </c>
      <c r="M157" s="78">
        <f t="shared" ca="1" si="94"/>
        <v>0</v>
      </c>
      <c r="N157" s="78">
        <f t="shared" ca="1" si="95"/>
        <v>0</v>
      </c>
      <c r="O157" s="4">
        <f ca="1">-SUMIFS(INDIRECT("Tab_000.Trial["&amp;O$4&amp;"]"),Tab_000.Trial[CONTA],$B157)</f>
        <v>0</v>
      </c>
      <c r="P157" s="78">
        <f t="shared" ca="1" si="132"/>
        <v>0</v>
      </c>
      <c r="Q157" s="78">
        <f t="shared" ca="1" si="133"/>
        <v>0</v>
      </c>
      <c r="R157" s="4">
        <f ca="1">-SUMIFS(INDIRECT("Tab_000.Trial["&amp;R$4&amp;"]"),Tab_000.Trial[CONTA],$B157)</f>
        <v>0</v>
      </c>
      <c r="S157" s="78">
        <f t="shared" ca="1" si="98"/>
        <v>0</v>
      </c>
      <c r="T157" s="78">
        <f t="shared" ca="1" si="99"/>
        <v>0</v>
      </c>
      <c r="U157" s="4">
        <f ca="1">-SUMIFS(INDIRECT("Tab_000.Trial["&amp;U$4&amp;"]"),Tab_000.Trial[CONTA],$B157)</f>
        <v>0</v>
      </c>
      <c r="V157" s="78">
        <f t="shared" ca="1" si="100"/>
        <v>0</v>
      </c>
      <c r="W157" s="78">
        <f t="shared" ca="1" si="101"/>
        <v>0</v>
      </c>
      <c r="X157" s="4">
        <f ca="1">-SUMIFS(INDIRECT("Tab_000.Trial["&amp;X$4&amp;"]"),Tab_000.Trial[CONTA],$B157)</f>
        <v>0</v>
      </c>
      <c r="Y157" s="78">
        <f t="shared" ca="1" si="134"/>
        <v>0</v>
      </c>
      <c r="Z157" s="78">
        <f t="shared" ca="1" si="135"/>
        <v>0</v>
      </c>
      <c r="AA157" s="4">
        <f ca="1">-SUMIFS(INDIRECT("Tab_000.Trial["&amp;AA$4&amp;"]"),Tab_000.Trial[CONTA],$B157)</f>
        <v>0</v>
      </c>
      <c r="AB157" s="78">
        <f t="shared" ca="1" si="104"/>
        <v>0</v>
      </c>
      <c r="AC157" s="78">
        <f t="shared" ca="1" si="105"/>
        <v>0</v>
      </c>
      <c r="AD157" s="4">
        <f ca="1">-SUMIFS(INDIRECT("Tab_000.Trial["&amp;AD$4&amp;"]"),Tab_000.Trial[CONTA],$B157)</f>
        <v>0</v>
      </c>
      <c r="AE157" s="78">
        <f t="shared" ca="1" si="106"/>
        <v>0</v>
      </c>
      <c r="AF157" s="78">
        <f t="shared" ca="1" si="107"/>
        <v>0</v>
      </c>
      <c r="AG157" s="4">
        <f ca="1">-SUMIFS(INDIRECT("Tab_000.Trial["&amp;AG$4&amp;"]"),Tab_000.Trial[CONTA],$B157)</f>
        <v>0</v>
      </c>
      <c r="AH157" s="78">
        <f t="shared" ca="1" si="108"/>
        <v>0</v>
      </c>
      <c r="AI157" s="78">
        <f t="shared" ca="1" si="109"/>
        <v>0</v>
      </c>
      <c r="AJ157" s="4">
        <f ca="1">-SUMIFS(INDIRECT("Tab_000.Trial["&amp;AJ$4&amp;"]"),Tab_000.Trial[CONTA],$B157)</f>
        <v>0</v>
      </c>
      <c r="AK157" s="78">
        <f t="shared" ca="1" si="110"/>
        <v>0</v>
      </c>
      <c r="AL157" s="78">
        <f t="shared" ca="1" si="111"/>
        <v>0</v>
      </c>
    </row>
    <row r="158" spans="2:39" ht="15" customHeight="1" outlineLevel="1" x14ac:dyDescent="0.3">
      <c r="B158" s="14"/>
      <c r="C158" s="14"/>
      <c r="D158" s="4">
        <f ca="1">-SUMIFS(INDIRECT("Tab_000.Trial["&amp;D$4&amp;"]"),Tab_000.Trial[CONTA],$B158)</f>
        <v>0</v>
      </c>
      <c r="E158" s="78">
        <f t="shared" ca="1" si="130"/>
        <v>0</v>
      </c>
      <c r="F158" s="4">
        <f ca="1">-SUMIFS(INDIRECT("Tab_000.Trial["&amp;F$4&amp;"]"),Tab_000.Trial[CONTA],$B158)</f>
        <v>0</v>
      </c>
      <c r="G158" s="78">
        <f t="shared" ca="1" si="91"/>
        <v>0</v>
      </c>
      <c r="H158" s="78">
        <f t="shared" ca="1" si="131"/>
        <v>0</v>
      </c>
      <c r="I158" s="4">
        <f ca="1">-SUMIFS(INDIRECT("Tab_000.Trial["&amp;I$4&amp;"]"),Tab_000.Trial[CONTA],$B158)</f>
        <v>0</v>
      </c>
      <c r="J158" s="78">
        <f t="shared" ca="1" si="92"/>
        <v>0</v>
      </c>
      <c r="K158" s="78">
        <f t="shared" ca="1" si="93"/>
        <v>0</v>
      </c>
      <c r="L158" s="4">
        <f ca="1">-SUMIFS(INDIRECT("Tab_000.Trial["&amp;L$4&amp;"]"),Tab_000.Trial[CONTA],$B158)</f>
        <v>0</v>
      </c>
      <c r="M158" s="78">
        <f t="shared" ca="1" si="94"/>
        <v>0</v>
      </c>
      <c r="N158" s="78">
        <f t="shared" ca="1" si="95"/>
        <v>0</v>
      </c>
      <c r="O158" s="4">
        <f ca="1">-SUMIFS(INDIRECT("Tab_000.Trial["&amp;O$4&amp;"]"),Tab_000.Trial[CONTA],$B158)</f>
        <v>0</v>
      </c>
      <c r="P158" s="78">
        <f t="shared" ca="1" si="132"/>
        <v>0</v>
      </c>
      <c r="Q158" s="78">
        <f t="shared" ca="1" si="133"/>
        <v>0</v>
      </c>
      <c r="R158" s="4">
        <f ca="1">-SUMIFS(INDIRECT("Tab_000.Trial["&amp;R$4&amp;"]"),Tab_000.Trial[CONTA],$B158)</f>
        <v>0</v>
      </c>
      <c r="S158" s="78">
        <f t="shared" ca="1" si="98"/>
        <v>0</v>
      </c>
      <c r="T158" s="78">
        <f t="shared" ca="1" si="99"/>
        <v>0</v>
      </c>
      <c r="U158" s="4">
        <f ca="1">-SUMIFS(INDIRECT("Tab_000.Trial["&amp;U$4&amp;"]"),Tab_000.Trial[CONTA],$B158)</f>
        <v>0</v>
      </c>
      <c r="V158" s="78">
        <f t="shared" ca="1" si="100"/>
        <v>0</v>
      </c>
      <c r="W158" s="78">
        <f t="shared" ca="1" si="101"/>
        <v>0</v>
      </c>
      <c r="X158" s="4">
        <f ca="1">-SUMIFS(INDIRECT("Tab_000.Trial["&amp;X$4&amp;"]"),Tab_000.Trial[CONTA],$B158)</f>
        <v>0</v>
      </c>
      <c r="Y158" s="78">
        <f t="shared" ca="1" si="134"/>
        <v>0</v>
      </c>
      <c r="Z158" s="78">
        <f t="shared" ca="1" si="135"/>
        <v>0</v>
      </c>
      <c r="AA158" s="4">
        <f ca="1">-SUMIFS(INDIRECT("Tab_000.Trial["&amp;AA$4&amp;"]"),Tab_000.Trial[CONTA],$B158)</f>
        <v>0</v>
      </c>
      <c r="AB158" s="78">
        <f t="shared" ca="1" si="104"/>
        <v>0</v>
      </c>
      <c r="AC158" s="78">
        <f t="shared" ca="1" si="105"/>
        <v>0</v>
      </c>
      <c r="AD158" s="4">
        <f ca="1">-SUMIFS(INDIRECT("Tab_000.Trial["&amp;AD$4&amp;"]"),Tab_000.Trial[CONTA],$B158)</f>
        <v>0</v>
      </c>
      <c r="AE158" s="78">
        <f t="shared" ca="1" si="106"/>
        <v>0</v>
      </c>
      <c r="AF158" s="78">
        <f t="shared" ca="1" si="107"/>
        <v>0</v>
      </c>
      <c r="AG158" s="4">
        <f ca="1">-SUMIFS(INDIRECT("Tab_000.Trial["&amp;AG$4&amp;"]"),Tab_000.Trial[CONTA],$B158)</f>
        <v>0</v>
      </c>
      <c r="AH158" s="78">
        <f t="shared" ca="1" si="108"/>
        <v>0</v>
      </c>
      <c r="AI158" s="78">
        <f t="shared" ca="1" si="109"/>
        <v>0</v>
      </c>
      <c r="AJ158" s="4">
        <f ca="1">-SUMIFS(INDIRECT("Tab_000.Trial["&amp;AJ$4&amp;"]"),Tab_000.Trial[CONTA],$B158)</f>
        <v>0</v>
      </c>
      <c r="AK158" s="78">
        <f t="shared" ca="1" si="110"/>
        <v>0</v>
      </c>
      <c r="AL158" s="78">
        <f t="shared" ca="1" si="111"/>
        <v>0</v>
      </c>
    </row>
    <row r="159" spans="2:39" ht="5.0999999999999996" customHeight="1" outlineLevel="1" x14ac:dyDescent="0.3">
      <c r="B159" s="74"/>
      <c r="C159" s="75"/>
      <c r="D159" s="76"/>
      <c r="E159" s="77"/>
      <c r="F159" s="76"/>
      <c r="G159" s="77"/>
      <c r="H159" s="77"/>
      <c r="I159" s="76"/>
      <c r="J159" s="77"/>
      <c r="K159" s="77"/>
      <c r="L159" s="76"/>
      <c r="M159" s="77"/>
      <c r="N159" s="77"/>
      <c r="O159" s="76"/>
      <c r="P159" s="77"/>
      <c r="Q159" s="77"/>
      <c r="R159" s="76"/>
      <c r="S159" s="77"/>
      <c r="T159" s="77"/>
      <c r="U159" s="76"/>
      <c r="V159" s="77"/>
      <c r="W159" s="77"/>
      <c r="X159" s="76"/>
      <c r="Y159" s="77"/>
      <c r="Z159" s="77"/>
      <c r="AA159" s="76"/>
      <c r="AB159" s="77"/>
      <c r="AC159" s="77"/>
      <c r="AD159" s="76"/>
      <c r="AE159" s="77"/>
      <c r="AF159" s="77"/>
      <c r="AG159" s="76"/>
      <c r="AH159" s="77"/>
      <c r="AI159" s="77"/>
      <c r="AJ159" s="76"/>
      <c r="AK159" s="77"/>
      <c r="AL159" s="77"/>
    </row>
    <row r="160" spans="2:39" ht="15" customHeight="1" x14ac:dyDescent="0.3">
      <c r="B160" s="3" t="s">
        <v>109</v>
      </c>
      <c r="C160" s="3" t="s">
        <v>150</v>
      </c>
      <c r="D160" s="4">
        <f ca="1">SUBTOTAL(9,D$161:D$165)</f>
        <v>-5364.1</v>
      </c>
      <c r="E160" s="78">
        <f t="shared" ref="E160:E164" ca="1" si="136">IFERROR($D160/$D$6,0)</f>
        <v>-5.5999999999999999E-3</v>
      </c>
      <c r="F160" s="4">
        <f ca="1">SUBTOTAL(9,F$161:F$165)</f>
        <v>-5249.74</v>
      </c>
      <c r="G160" s="78">
        <f ca="1">IFERROR($F160/$F$6,0)</f>
        <v>-5.4000000000000003E-3</v>
      </c>
      <c r="H160" s="78">
        <f t="shared" ref="H160:H164" ca="1" si="137">IFERROR(($F160-$D160)/ABS($D160),0)</f>
        <v>2.1299999999999999E-2</v>
      </c>
      <c r="I160" s="4">
        <f ca="1">SUBTOTAL(9,I$161:I$165)</f>
        <v>-3667.05</v>
      </c>
      <c r="J160" s="78">
        <f ca="1">IFERROR($I160/$I$6,0)</f>
        <v>-3.5000000000000001E-3</v>
      </c>
      <c r="K160" s="78">
        <f ca="1">IFERROR(($I160-$F160)/ABS($F160),0)</f>
        <v>0.30149999999999999</v>
      </c>
      <c r="L160" s="4">
        <f ca="1">SUBTOTAL(9,L$161:L$165)</f>
        <v>-3667.05</v>
      </c>
      <c r="M160" s="78">
        <f ca="1">IFERROR($L160/$L$6,0)</f>
        <v>-3.3E-3</v>
      </c>
      <c r="N160" s="78">
        <f ca="1">IFERROR(($L160-$I160)/ABS($I160),0)</f>
        <v>0</v>
      </c>
      <c r="O160" s="4">
        <f ca="1">SUBTOTAL(9,O$161:O$165)</f>
        <v>-3667.05</v>
      </c>
      <c r="P160" s="78">
        <f ca="1">IFERROR($O160/$O$6,0)</f>
        <v>-3.0000000000000001E-3</v>
      </c>
      <c r="Q160" s="78">
        <f ca="1">IFERROR(($O160-$L160)/ABS($L160),0)</f>
        <v>0</v>
      </c>
      <c r="R160" s="4">
        <f ca="1">SUBTOTAL(9,R$161:R$165)</f>
        <v>-3666.75</v>
      </c>
      <c r="S160" s="78">
        <f ca="1">IFERROR($R160/$R$6,0)</f>
        <v>-3.5999999999999999E-3</v>
      </c>
      <c r="T160" s="78">
        <f ca="1">IFERROR(($R160-$O160)/ABS($O160),0)</f>
        <v>1E-4</v>
      </c>
      <c r="U160" s="4">
        <f ca="1">SUBTOTAL(9,U$161:U$165)</f>
        <v>-3666.75</v>
      </c>
      <c r="V160" s="78">
        <f ca="1">IFERROR($U160/$U$6,0)</f>
        <v>-3.3999999999999998E-3</v>
      </c>
      <c r="W160" s="78">
        <f ca="1">IFERROR(($U160-$R160)/ABS($R160),0)</f>
        <v>0</v>
      </c>
      <c r="X160" s="4">
        <f ca="1">SUBTOTAL(9,X$161:X$165)</f>
        <v>-3666.75</v>
      </c>
      <c r="Y160" s="78">
        <f ca="1">IFERROR($X160/$X$6,0)</f>
        <v>-3.5000000000000001E-3</v>
      </c>
      <c r="Z160" s="78">
        <f ca="1">IFERROR(($X160-$U160)/ABS($U160),0)</f>
        <v>0</v>
      </c>
      <c r="AA160" s="4">
        <f ca="1">SUBTOTAL(9,AA$161:AA$165)</f>
        <v>-3666.75</v>
      </c>
      <c r="AB160" s="78">
        <f ca="1">IFERROR($AA160/$AA$6,0)</f>
        <v>-3.8E-3</v>
      </c>
      <c r="AC160" s="78">
        <f ca="1">IFERROR(($AA160-$X160)/ABS($X160),0)</f>
        <v>0</v>
      </c>
      <c r="AD160" s="4">
        <f ca="1">SUBTOTAL(9,AD$161:AD$165)</f>
        <v>-3666.75</v>
      </c>
      <c r="AE160" s="78">
        <f ca="1">IFERROR($AD160/$AD$6,0)</f>
        <v>-2.8999999999999998E-3</v>
      </c>
      <c r="AF160" s="78">
        <f ca="1">IFERROR(($AD160-$AA160)/ABS($AA160),0)</f>
        <v>0</v>
      </c>
      <c r="AG160" s="4">
        <f ca="1">SUBTOTAL(9,AG$161:AG$165)</f>
        <v>-3666.75</v>
      </c>
      <c r="AH160" s="78">
        <f ca="1">IFERROR($AG160/$AG$6,0)</f>
        <v>-4.0000000000000001E-3</v>
      </c>
      <c r="AI160" s="78">
        <f ca="1">IFERROR(($AG160-$AD160)/ABS($AD160),0)</f>
        <v>0</v>
      </c>
      <c r="AJ160" s="4">
        <f ca="1">SUBTOTAL(9,AJ$161:AJ$165)</f>
        <v>-3666.75</v>
      </c>
      <c r="AK160" s="78">
        <f ca="1">IFERROR($AJ160/$AJ$6,0)</f>
        <v>-2.5000000000000001E-3</v>
      </c>
      <c r="AL160" s="78">
        <f ca="1">IFERROR(($AJ160-$AG160)/ABS($AG160),0)</f>
        <v>0</v>
      </c>
    </row>
    <row r="161" spans="2:38" ht="15" customHeight="1" outlineLevel="1" x14ac:dyDescent="0.3">
      <c r="B161" s="14" t="s">
        <v>520</v>
      </c>
      <c r="C161" s="14" t="s">
        <v>521</v>
      </c>
      <c r="D161" s="4">
        <f ca="1">-SUMIFS(INDIRECT("Tab_000.Trial["&amp;D$4&amp;"]"),Tab_000.Trial[CONTA],$B161)</f>
        <v>-5364.1</v>
      </c>
      <c r="E161" s="78">
        <f t="shared" ca="1" si="136"/>
        <v>-5.5999999999999999E-3</v>
      </c>
      <c r="F161" s="4">
        <f ca="1">-SUMIFS(INDIRECT("Tab_000.Trial["&amp;F$4&amp;"]"),Tab_000.Trial[CONTA],$B161)</f>
        <v>-5249.74</v>
      </c>
      <c r="G161" s="78">
        <f t="shared" ca="1" si="91"/>
        <v>-5.4000000000000003E-3</v>
      </c>
      <c r="H161" s="78">
        <f t="shared" ca="1" si="137"/>
        <v>2.1299999999999999E-2</v>
      </c>
      <c r="I161" s="4">
        <f ca="1">-SUMIFS(INDIRECT("Tab_000.Trial["&amp;I$4&amp;"]"),Tab_000.Trial[CONTA],$B161)</f>
        <v>-3667.05</v>
      </c>
      <c r="J161" s="78">
        <f t="shared" ca="1" si="92"/>
        <v>-3.5000000000000001E-3</v>
      </c>
      <c r="K161" s="78">
        <f t="shared" ca="1" si="93"/>
        <v>0.30149999999999999</v>
      </c>
      <c r="L161" s="4">
        <f ca="1">-SUMIFS(INDIRECT("Tab_000.Trial["&amp;L$4&amp;"]"),Tab_000.Trial[CONTA],$B161)</f>
        <v>-3667.05</v>
      </c>
      <c r="M161" s="78">
        <f t="shared" ca="1" si="94"/>
        <v>-3.3E-3</v>
      </c>
      <c r="N161" s="78">
        <f t="shared" ca="1" si="95"/>
        <v>0</v>
      </c>
      <c r="O161" s="4">
        <f ca="1">-SUMIFS(INDIRECT("Tab_000.Trial["&amp;O$4&amp;"]"),Tab_000.Trial[CONTA],$B161)</f>
        <v>-3667.05</v>
      </c>
      <c r="P161" s="78">
        <f t="shared" ref="P161:P164" ca="1" si="138">IFERROR($O161/$O$6,0)</f>
        <v>-3.0000000000000001E-3</v>
      </c>
      <c r="Q161" s="78">
        <f t="shared" ref="Q161:Q164" ca="1" si="139">IFERROR(($O161-$L161)/ABS($L161),0)</f>
        <v>0</v>
      </c>
      <c r="R161" s="4">
        <f ca="1">-SUMIFS(INDIRECT("Tab_000.Trial["&amp;R$4&amp;"]"),Tab_000.Trial[CONTA],$B161)</f>
        <v>-3666.75</v>
      </c>
      <c r="S161" s="78">
        <f t="shared" ca="1" si="98"/>
        <v>-3.5999999999999999E-3</v>
      </c>
      <c r="T161" s="78">
        <f t="shared" ca="1" si="99"/>
        <v>1E-4</v>
      </c>
      <c r="U161" s="4">
        <f ca="1">-SUMIFS(INDIRECT("Tab_000.Trial["&amp;U$4&amp;"]"),Tab_000.Trial[CONTA],$B161)</f>
        <v>-3666.75</v>
      </c>
      <c r="V161" s="78">
        <f t="shared" ca="1" si="100"/>
        <v>-3.3999999999999998E-3</v>
      </c>
      <c r="W161" s="78">
        <f t="shared" ca="1" si="101"/>
        <v>0</v>
      </c>
      <c r="X161" s="4">
        <f ca="1">-SUMIFS(INDIRECT("Tab_000.Trial["&amp;X$4&amp;"]"),Tab_000.Trial[CONTA],$B161)</f>
        <v>-3666.75</v>
      </c>
      <c r="Y161" s="78">
        <f t="shared" ref="Y161:Y164" ca="1" si="140">IFERROR($X161/$X$6,0)</f>
        <v>-3.5000000000000001E-3</v>
      </c>
      <c r="Z161" s="78">
        <f t="shared" ref="Z161:Z164" ca="1" si="141">IFERROR(($X161-$U161)/ABS($U161),0)</f>
        <v>0</v>
      </c>
      <c r="AA161" s="4">
        <f ca="1">-SUMIFS(INDIRECT("Tab_000.Trial["&amp;AA$4&amp;"]"),Tab_000.Trial[CONTA],$B161)</f>
        <v>-3666.75</v>
      </c>
      <c r="AB161" s="78">
        <f t="shared" ca="1" si="104"/>
        <v>-3.8E-3</v>
      </c>
      <c r="AC161" s="78">
        <f t="shared" ca="1" si="105"/>
        <v>0</v>
      </c>
      <c r="AD161" s="4">
        <f ca="1">-SUMIFS(INDIRECT("Tab_000.Trial["&amp;AD$4&amp;"]"),Tab_000.Trial[CONTA],$B161)</f>
        <v>-3666.75</v>
      </c>
      <c r="AE161" s="78">
        <f t="shared" ca="1" si="106"/>
        <v>-2.8999999999999998E-3</v>
      </c>
      <c r="AF161" s="78">
        <f t="shared" ca="1" si="107"/>
        <v>0</v>
      </c>
      <c r="AG161" s="4">
        <f ca="1">-SUMIFS(INDIRECT("Tab_000.Trial["&amp;AG$4&amp;"]"),Tab_000.Trial[CONTA],$B161)</f>
        <v>-3666.75</v>
      </c>
      <c r="AH161" s="78">
        <f t="shared" ca="1" si="108"/>
        <v>-4.0000000000000001E-3</v>
      </c>
      <c r="AI161" s="78">
        <f t="shared" ca="1" si="109"/>
        <v>0</v>
      </c>
      <c r="AJ161" s="4">
        <f ca="1">-SUMIFS(INDIRECT("Tab_000.Trial["&amp;AJ$4&amp;"]"),Tab_000.Trial[CONTA],$B161)</f>
        <v>-3666.75</v>
      </c>
      <c r="AK161" s="78">
        <f t="shared" ca="1" si="110"/>
        <v>-2.5000000000000001E-3</v>
      </c>
      <c r="AL161" s="78">
        <f t="shared" ca="1" si="111"/>
        <v>0</v>
      </c>
    </row>
    <row r="162" spans="2:38" ht="15" customHeight="1" outlineLevel="1" x14ac:dyDescent="0.3">
      <c r="B162" s="14"/>
      <c r="C162" s="14"/>
      <c r="D162" s="4">
        <f ca="1">-SUMIFS(INDIRECT("Tab_000.Trial["&amp;D$4&amp;"]"),Tab_000.Trial[CONTA],$B162)</f>
        <v>0</v>
      </c>
      <c r="E162" s="78">
        <f t="shared" ca="1" si="136"/>
        <v>0</v>
      </c>
      <c r="F162" s="4">
        <f ca="1">-SUMIFS(INDIRECT("Tab_000.Trial["&amp;F$4&amp;"]"),Tab_000.Trial[CONTA],$B162)</f>
        <v>0</v>
      </c>
      <c r="G162" s="78">
        <f t="shared" ca="1" si="91"/>
        <v>0</v>
      </c>
      <c r="H162" s="78">
        <f t="shared" ca="1" si="137"/>
        <v>0</v>
      </c>
      <c r="I162" s="4">
        <f ca="1">-SUMIFS(INDIRECT("Tab_000.Trial["&amp;I$4&amp;"]"),Tab_000.Trial[CONTA],$B162)</f>
        <v>0</v>
      </c>
      <c r="J162" s="78">
        <f t="shared" ca="1" si="92"/>
        <v>0</v>
      </c>
      <c r="K162" s="78">
        <f t="shared" ca="1" si="93"/>
        <v>0</v>
      </c>
      <c r="L162" s="4">
        <f ca="1">-SUMIFS(INDIRECT("Tab_000.Trial["&amp;L$4&amp;"]"),Tab_000.Trial[CONTA],$B162)</f>
        <v>0</v>
      </c>
      <c r="M162" s="78">
        <f t="shared" ca="1" si="94"/>
        <v>0</v>
      </c>
      <c r="N162" s="78">
        <f t="shared" ca="1" si="95"/>
        <v>0</v>
      </c>
      <c r="O162" s="4">
        <f ca="1">-SUMIFS(INDIRECT("Tab_000.Trial["&amp;O$4&amp;"]"),Tab_000.Trial[CONTA],$B162)</f>
        <v>0</v>
      </c>
      <c r="P162" s="78">
        <f t="shared" ca="1" si="138"/>
        <v>0</v>
      </c>
      <c r="Q162" s="78">
        <f t="shared" ca="1" si="139"/>
        <v>0</v>
      </c>
      <c r="R162" s="4">
        <f ca="1">-SUMIFS(INDIRECT("Tab_000.Trial["&amp;R$4&amp;"]"),Tab_000.Trial[CONTA],$B162)</f>
        <v>0</v>
      </c>
      <c r="S162" s="78">
        <f t="shared" ca="1" si="98"/>
        <v>0</v>
      </c>
      <c r="T162" s="78">
        <f t="shared" ca="1" si="99"/>
        <v>0</v>
      </c>
      <c r="U162" s="4">
        <f ca="1">-SUMIFS(INDIRECT("Tab_000.Trial["&amp;U$4&amp;"]"),Tab_000.Trial[CONTA],$B162)</f>
        <v>0</v>
      </c>
      <c r="V162" s="78">
        <f t="shared" ca="1" si="100"/>
        <v>0</v>
      </c>
      <c r="W162" s="78">
        <f t="shared" ca="1" si="101"/>
        <v>0</v>
      </c>
      <c r="X162" s="4">
        <f ca="1">-SUMIFS(INDIRECT("Tab_000.Trial["&amp;X$4&amp;"]"),Tab_000.Trial[CONTA],$B162)</f>
        <v>0</v>
      </c>
      <c r="Y162" s="78">
        <f t="shared" ca="1" si="140"/>
        <v>0</v>
      </c>
      <c r="Z162" s="78">
        <f t="shared" ca="1" si="141"/>
        <v>0</v>
      </c>
      <c r="AA162" s="4">
        <f ca="1">-SUMIFS(INDIRECT("Tab_000.Trial["&amp;AA$4&amp;"]"),Tab_000.Trial[CONTA],$B162)</f>
        <v>0</v>
      </c>
      <c r="AB162" s="78">
        <f t="shared" ca="1" si="104"/>
        <v>0</v>
      </c>
      <c r="AC162" s="78">
        <f t="shared" ca="1" si="105"/>
        <v>0</v>
      </c>
      <c r="AD162" s="4">
        <f ca="1">-SUMIFS(INDIRECT("Tab_000.Trial["&amp;AD$4&amp;"]"),Tab_000.Trial[CONTA],$B162)</f>
        <v>0</v>
      </c>
      <c r="AE162" s="78">
        <f t="shared" ca="1" si="106"/>
        <v>0</v>
      </c>
      <c r="AF162" s="78">
        <f t="shared" ca="1" si="107"/>
        <v>0</v>
      </c>
      <c r="AG162" s="4">
        <f ca="1">-SUMIFS(INDIRECT("Tab_000.Trial["&amp;AG$4&amp;"]"),Tab_000.Trial[CONTA],$B162)</f>
        <v>0</v>
      </c>
      <c r="AH162" s="78">
        <f t="shared" ca="1" si="108"/>
        <v>0</v>
      </c>
      <c r="AI162" s="78">
        <f t="shared" ca="1" si="109"/>
        <v>0</v>
      </c>
      <c r="AJ162" s="4">
        <f ca="1">-SUMIFS(INDIRECT("Tab_000.Trial["&amp;AJ$4&amp;"]"),Tab_000.Trial[CONTA],$B162)</f>
        <v>0</v>
      </c>
      <c r="AK162" s="78">
        <f t="shared" ca="1" si="110"/>
        <v>0</v>
      </c>
      <c r="AL162" s="78">
        <f t="shared" ca="1" si="111"/>
        <v>0</v>
      </c>
    </row>
    <row r="163" spans="2:38" ht="15" customHeight="1" outlineLevel="1" x14ac:dyDescent="0.3">
      <c r="B163" s="14"/>
      <c r="C163" s="14"/>
      <c r="D163" s="4">
        <f ca="1">-SUMIFS(INDIRECT("Tab_000.Trial["&amp;D$4&amp;"]"),Tab_000.Trial[CONTA],$B163)</f>
        <v>0</v>
      </c>
      <c r="E163" s="78">
        <f t="shared" ca="1" si="136"/>
        <v>0</v>
      </c>
      <c r="F163" s="4">
        <f ca="1">-SUMIFS(INDIRECT("Tab_000.Trial["&amp;F$4&amp;"]"),Tab_000.Trial[CONTA],$B163)</f>
        <v>0</v>
      </c>
      <c r="G163" s="78">
        <f t="shared" ca="1" si="91"/>
        <v>0</v>
      </c>
      <c r="H163" s="78">
        <f t="shared" ca="1" si="137"/>
        <v>0</v>
      </c>
      <c r="I163" s="4">
        <f ca="1">-SUMIFS(INDIRECT("Tab_000.Trial["&amp;I$4&amp;"]"),Tab_000.Trial[CONTA],$B163)</f>
        <v>0</v>
      </c>
      <c r="J163" s="78">
        <f t="shared" ca="1" si="92"/>
        <v>0</v>
      </c>
      <c r="K163" s="78">
        <f t="shared" ca="1" si="93"/>
        <v>0</v>
      </c>
      <c r="L163" s="4">
        <f ca="1">-SUMIFS(INDIRECT("Tab_000.Trial["&amp;L$4&amp;"]"),Tab_000.Trial[CONTA],$B163)</f>
        <v>0</v>
      </c>
      <c r="M163" s="78">
        <f t="shared" ca="1" si="94"/>
        <v>0</v>
      </c>
      <c r="N163" s="78">
        <f t="shared" ca="1" si="95"/>
        <v>0</v>
      </c>
      <c r="O163" s="4">
        <f ca="1">-SUMIFS(INDIRECT("Tab_000.Trial["&amp;O$4&amp;"]"),Tab_000.Trial[CONTA],$B163)</f>
        <v>0</v>
      </c>
      <c r="P163" s="78">
        <f t="shared" ca="1" si="138"/>
        <v>0</v>
      </c>
      <c r="Q163" s="78">
        <f t="shared" ca="1" si="139"/>
        <v>0</v>
      </c>
      <c r="R163" s="4">
        <f ca="1">-SUMIFS(INDIRECT("Tab_000.Trial["&amp;R$4&amp;"]"),Tab_000.Trial[CONTA],$B163)</f>
        <v>0</v>
      </c>
      <c r="S163" s="78">
        <f t="shared" ca="1" si="98"/>
        <v>0</v>
      </c>
      <c r="T163" s="78">
        <f t="shared" ca="1" si="99"/>
        <v>0</v>
      </c>
      <c r="U163" s="4">
        <f ca="1">-SUMIFS(INDIRECT("Tab_000.Trial["&amp;U$4&amp;"]"),Tab_000.Trial[CONTA],$B163)</f>
        <v>0</v>
      </c>
      <c r="V163" s="78">
        <f t="shared" ca="1" si="100"/>
        <v>0</v>
      </c>
      <c r="W163" s="78">
        <f t="shared" ca="1" si="101"/>
        <v>0</v>
      </c>
      <c r="X163" s="4">
        <f ca="1">-SUMIFS(INDIRECT("Tab_000.Trial["&amp;X$4&amp;"]"),Tab_000.Trial[CONTA],$B163)</f>
        <v>0</v>
      </c>
      <c r="Y163" s="78">
        <f t="shared" ca="1" si="140"/>
        <v>0</v>
      </c>
      <c r="Z163" s="78">
        <f t="shared" ca="1" si="141"/>
        <v>0</v>
      </c>
      <c r="AA163" s="4">
        <f ca="1">-SUMIFS(INDIRECT("Tab_000.Trial["&amp;AA$4&amp;"]"),Tab_000.Trial[CONTA],$B163)</f>
        <v>0</v>
      </c>
      <c r="AB163" s="78">
        <f t="shared" ca="1" si="104"/>
        <v>0</v>
      </c>
      <c r="AC163" s="78">
        <f t="shared" ca="1" si="105"/>
        <v>0</v>
      </c>
      <c r="AD163" s="4">
        <f ca="1">-SUMIFS(INDIRECT("Tab_000.Trial["&amp;AD$4&amp;"]"),Tab_000.Trial[CONTA],$B163)</f>
        <v>0</v>
      </c>
      <c r="AE163" s="78">
        <f t="shared" ca="1" si="106"/>
        <v>0</v>
      </c>
      <c r="AF163" s="78">
        <f t="shared" ca="1" si="107"/>
        <v>0</v>
      </c>
      <c r="AG163" s="4">
        <f ca="1">-SUMIFS(INDIRECT("Tab_000.Trial["&amp;AG$4&amp;"]"),Tab_000.Trial[CONTA],$B163)</f>
        <v>0</v>
      </c>
      <c r="AH163" s="78">
        <f t="shared" ca="1" si="108"/>
        <v>0</v>
      </c>
      <c r="AI163" s="78">
        <f t="shared" ca="1" si="109"/>
        <v>0</v>
      </c>
      <c r="AJ163" s="4">
        <f ca="1">-SUMIFS(INDIRECT("Tab_000.Trial["&amp;AJ$4&amp;"]"),Tab_000.Trial[CONTA],$B163)</f>
        <v>0</v>
      </c>
      <c r="AK163" s="78">
        <f t="shared" ca="1" si="110"/>
        <v>0</v>
      </c>
      <c r="AL163" s="78">
        <f t="shared" ca="1" si="111"/>
        <v>0</v>
      </c>
    </row>
    <row r="164" spans="2:38" ht="15" customHeight="1" outlineLevel="1" x14ac:dyDescent="0.3">
      <c r="B164" s="14"/>
      <c r="C164" s="14"/>
      <c r="D164" s="4">
        <f ca="1">-SUMIFS(INDIRECT("Tab_000.Trial["&amp;D$4&amp;"]"),Tab_000.Trial[CONTA],$B164)</f>
        <v>0</v>
      </c>
      <c r="E164" s="78">
        <f t="shared" ca="1" si="136"/>
        <v>0</v>
      </c>
      <c r="F164" s="4">
        <f ca="1">-SUMIFS(INDIRECT("Tab_000.Trial["&amp;F$4&amp;"]"),Tab_000.Trial[CONTA],$B164)</f>
        <v>0</v>
      </c>
      <c r="G164" s="78">
        <f t="shared" ca="1" si="91"/>
        <v>0</v>
      </c>
      <c r="H164" s="78">
        <f t="shared" ca="1" si="137"/>
        <v>0</v>
      </c>
      <c r="I164" s="4">
        <f ca="1">-SUMIFS(INDIRECT("Tab_000.Trial["&amp;I$4&amp;"]"),Tab_000.Trial[CONTA],$B164)</f>
        <v>0</v>
      </c>
      <c r="J164" s="78">
        <f t="shared" ca="1" si="92"/>
        <v>0</v>
      </c>
      <c r="K164" s="78">
        <f t="shared" ca="1" si="93"/>
        <v>0</v>
      </c>
      <c r="L164" s="4">
        <f ca="1">-SUMIFS(INDIRECT("Tab_000.Trial["&amp;L$4&amp;"]"),Tab_000.Trial[CONTA],$B164)</f>
        <v>0</v>
      </c>
      <c r="M164" s="78">
        <f t="shared" ca="1" si="94"/>
        <v>0</v>
      </c>
      <c r="N164" s="78">
        <f t="shared" ca="1" si="95"/>
        <v>0</v>
      </c>
      <c r="O164" s="4">
        <f ca="1">-SUMIFS(INDIRECT("Tab_000.Trial["&amp;O$4&amp;"]"),Tab_000.Trial[CONTA],$B164)</f>
        <v>0</v>
      </c>
      <c r="P164" s="78">
        <f t="shared" ca="1" si="138"/>
        <v>0</v>
      </c>
      <c r="Q164" s="78">
        <f t="shared" ca="1" si="139"/>
        <v>0</v>
      </c>
      <c r="R164" s="4">
        <f ca="1">-SUMIFS(INDIRECT("Tab_000.Trial["&amp;R$4&amp;"]"),Tab_000.Trial[CONTA],$B164)</f>
        <v>0</v>
      </c>
      <c r="S164" s="78">
        <f t="shared" ca="1" si="98"/>
        <v>0</v>
      </c>
      <c r="T164" s="78">
        <f t="shared" ca="1" si="99"/>
        <v>0</v>
      </c>
      <c r="U164" s="4">
        <f ca="1">-SUMIFS(INDIRECT("Tab_000.Trial["&amp;U$4&amp;"]"),Tab_000.Trial[CONTA],$B164)</f>
        <v>0</v>
      </c>
      <c r="V164" s="78">
        <f t="shared" ca="1" si="100"/>
        <v>0</v>
      </c>
      <c r="W164" s="78">
        <f t="shared" ca="1" si="101"/>
        <v>0</v>
      </c>
      <c r="X164" s="4">
        <f ca="1">-SUMIFS(INDIRECT("Tab_000.Trial["&amp;X$4&amp;"]"),Tab_000.Trial[CONTA],$B164)</f>
        <v>0</v>
      </c>
      <c r="Y164" s="78">
        <f t="shared" ca="1" si="140"/>
        <v>0</v>
      </c>
      <c r="Z164" s="78">
        <f t="shared" ca="1" si="141"/>
        <v>0</v>
      </c>
      <c r="AA164" s="4">
        <f ca="1">-SUMIFS(INDIRECT("Tab_000.Trial["&amp;AA$4&amp;"]"),Tab_000.Trial[CONTA],$B164)</f>
        <v>0</v>
      </c>
      <c r="AB164" s="78">
        <f t="shared" ca="1" si="104"/>
        <v>0</v>
      </c>
      <c r="AC164" s="78">
        <f t="shared" ca="1" si="105"/>
        <v>0</v>
      </c>
      <c r="AD164" s="4">
        <f ca="1">-SUMIFS(INDIRECT("Tab_000.Trial["&amp;AD$4&amp;"]"),Tab_000.Trial[CONTA],$B164)</f>
        <v>0</v>
      </c>
      <c r="AE164" s="78">
        <f t="shared" ca="1" si="106"/>
        <v>0</v>
      </c>
      <c r="AF164" s="78">
        <f t="shared" ca="1" si="107"/>
        <v>0</v>
      </c>
      <c r="AG164" s="4">
        <f ca="1">-SUMIFS(INDIRECT("Tab_000.Trial["&amp;AG$4&amp;"]"),Tab_000.Trial[CONTA],$B164)</f>
        <v>0</v>
      </c>
      <c r="AH164" s="78">
        <f t="shared" ca="1" si="108"/>
        <v>0</v>
      </c>
      <c r="AI164" s="78">
        <f t="shared" ca="1" si="109"/>
        <v>0</v>
      </c>
      <c r="AJ164" s="4">
        <f ca="1">-SUMIFS(INDIRECT("Tab_000.Trial["&amp;AJ$4&amp;"]"),Tab_000.Trial[CONTA],$B164)</f>
        <v>0</v>
      </c>
      <c r="AK164" s="78">
        <f t="shared" ca="1" si="110"/>
        <v>0</v>
      </c>
      <c r="AL164" s="78">
        <f t="shared" ca="1" si="111"/>
        <v>0</v>
      </c>
    </row>
    <row r="165" spans="2:38" ht="5.0999999999999996" customHeight="1" outlineLevel="1" x14ac:dyDescent="0.3">
      <c r="B165" s="74"/>
      <c r="C165" s="75"/>
      <c r="D165" s="76"/>
      <c r="E165" s="77"/>
      <c r="F165" s="76"/>
      <c r="G165" s="77"/>
      <c r="H165" s="77"/>
      <c r="I165" s="76"/>
      <c r="J165" s="77"/>
      <c r="K165" s="77"/>
      <c r="L165" s="76"/>
      <c r="M165" s="77"/>
      <c r="N165" s="77"/>
      <c r="O165" s="76"/>
      <c r="P165" s="77"/>
      <c r="Q165" s="77"/>
      <c r="R165" s="76"/>
      <c r="S165" s="77"/>
      <c r="T165" s="77"/>
      <c r="U165" s="76"/>
      <c r="V165" s="77"/>
      <c r="W165" s="77"/>
      <c r="X165" s="76"/>
      <c r="Y165" s="77"/>
      <c r="Z165" s="77"/>
      <c r="AA165" s="76"/>
      <c r="AB165" s="77"/>
      <c r="AC165" s="77"/>
      <c r="AD165" s="76"/>
      <c r="AE165" s="77"/>
      <c r="AF165" s="77"/>
      <c r="AG165" s="76"/>
      <c r="AH165" s="77"/>
      <c r="AI165" s="77"/>
      <c r="AJ165" s="76"/>
      <c r="AK165" s="77"/>
      <c r="AL165" s="77"/>
    </row>
    <row r="166" spans="2:38" ht="15" customHeight="1" x14ac:dyDescent="0.3">
      <c r="B166" s="3" t="s">
        <v>66</v>
      </c>
      <c r="C166" s="3" t="s">
        <v>83</v>
      </c>
      <c r="D166" s="4">
        <f ca="1">SUBTOTAL(9,D$167:D$173)</f>
        <v>189</v>
      </c>
      <c r="E166" s="78">
        <f t="shared" ref="E166:E172" ca="1" si="142">IFERROR($D166/$D$6,0)</f>
        <v>2.0000000000000001E-4</v>
      </c>
      <c r="F166" s="4">
        <f ca="1">SUBTOTAL(9,F$167:F$173)</f>
        <v>-270</v>
      </c>
      <c r="G166" s="78">
        <f ca="1">IFERROR($F166/$F$6,0)</f>
        <v>-2.9999999999999997E-4</v>
      </c>
      <c r="H166" s="78">
        <f t="shared" ref="H166:H172" ca="1" si="143">IFERROR(($F166-$D166)/ABS($D166),0)</f>
        <v>-2.4285999999999999</v>
      </c>
      <c r="I166" s="4">
        <f ca="1">SUBTOTAL(9,I$167:I$173)</f>
        <v>0</v>
      </c>
      <c r="J166" s="78">
        <f ca="1">IFERROR($I166/$I$6,0)</f>
        <v>0</v>
      </c>
      <c r="K166" s="78">
        <f ca="1">IFERROR(($I166-$F166)/ABS($F166),0)</f>
        <v>1</v>
      </c>
      <c r="L166" s="4">
        <f ca="1">SUBTOTAL(9,L$167:L$173)</f>
        <v>0</v>
      </c>
      <c r="M166" s="78">
        <f ca="1">IFERROR($L166/$L$6,0)</f>
        <v>0</v>
      </c>
      <c r="N166" s="78">
        <f ca="1">IFERROR(($L166-$I166)/ABS($I166),0)</f>
        <v>0</v>
      </c>
      <c r="O166" s="4">
        <f ca="1">SUBTOTAL(9,O$167:O$173)</f>
        <v>0</v>
      </c>
      <c r="P166" s="78">
        <f ca="1">IFERROR($O166/$O$6,0)</f>
        <v>0</v>
      </c>
      <c r="Q166" s="78">
        <f ca="1">IFERROR(($O166-$L166)/ABS($L166),0)</f>
        <v>0</v>
      </c>
      <c r="R166" s="4">
        <f ca="1">SUBTOTAL(9,R$167:R$173)</f>
        <v>-135</v>
      </c>
      <c r="S166" s="78">
        <f ca="1">IFERROR($R166/$R$6,0)</f>
        <v>-1E-4</v>
      </c>
      <c r="T166" s="78">
        <f ca="1">IFERROR(($R166-$O166)/ABS($O166),0)</f>
        <v>0</v>
      </c>
      <c r="U166" s="4">
        <f ca="1">SUBTOTAL(9,U$167:U$173)</f>
        <v>0</v>
      </c>
      <c r="V166" s="78">
        <f ca="1">IFERROR($U166/$U$6,0)</f>
        <v>0</v>
      </c>
      <c r="W166" s="78">
        <f ca="1">IFERROR(($U166-$R166)/ABS($R166),0)</f>
        <v>1</v>
      </c>
      <c r="X166" s="4">
        <f ca="1">SUBTOTAL(9,X$167:X$173)</f>
        <v>0</v>
      </c>
      <c r="Y166" s="78">
        <f ca="1">IFERROR($X166/$X$6,0)</f>
        <v>0</v>
      </c>
      <c r="Z166" s="78">
        <f ca="1">IFERROR(($X166-$U166)/ABS($U166),0)</f>
        <v>0</v>
      </c>
      <c r="AA166" s="4">
        <f ca="1">SUBTOTAL(9,AA$167:AA$173)</f>
        <v>-49901.5</v>
      </c>
      <c r="AB166" s="78">
        <f ca="1">IFERROR($AA166/$AA$6,0)</f>
        <v>-5.1200000000000002E-2</v>
      </c>
      <c r="AC166" s="78">
        <f ca="1">IFERROR(($AA166-$X166)/ABS($X166),0)</f>
        <v>0</v>
      </c>
      <c r="AD166" s="4">
        <f ca="1">SUBTOTAL(9,AD$167:AD$173)</f>
        <v>0</v>
      </c>
      <c r="AE166" s="78">
        <f ca="1">IFERROR($AD166/$AD$6,0)</f>
        <v>0</v>
      </c>
      <c r="AF166" s="78">
        <f ca="1">IFERROR(($AD166-$AA166)/ABS($AA166),0)</f>
        <v>1</v>
      </c>
      <c r="AG166" s="4">
        <f ca="1">SUBTOTAL(9,AG$167:AG$173)</f>
        <v>0</v>
      </c>
      <c r="AH166" s="78">
        <f ca="1">IFERROR($AG166/$AG$6,0)</f>
        <v>0</v>
      </c>
      <c r="AI166" s="78">
        <f ca="1">IFERROR(($AG166-$AD166)/ABS($AD166),0)</f>
        <v>0</v>
      </c>
      <c r="AJ166" s="4">
        <f ca="1">SUBTOTAL(9,AJ$167:AJ$173)</f>
        <v>0</v>
      </c>
      <c r="AK166" s="78">
        <f ca="1">IFERROR($AJ166/$AJ$6,0)</f>
        <v>0</v>
      </c>
      <c r="AL166" s="78">
        <f ca="1">IFERROR(($AJ166-$AG166)/ABS($AG166),0)</f>
        <v>0</v>
      </c>
    </row>
    <row r="167" spans="2:38" ht="15" customHeight="1" outlineLevel="1" x14ac:dyDescent="0.3">
      <c r="B167" s="14" t="s">
        <v>543</v>
      </c>
      <c r="C167" s="14" t="s">
        <v>544</v>
      </c>
      <c r="D167" s="4">
        <f ca="1">-SUMIFS(INDIRECT("Tab_000.Trial["&amp;D$4&amp;"]"),Tab_000.Trial[CONTA],$B167)</f>
        <v>0</v>
      </c>
      <c r="E167" s="78">
        <f t="shared" ca="1" si="142"/>
        <v>0</v>
      </c>
      <c r="F167" s="4">
        <f ca="1">-SUMIFS(INDIRECT("Tab_000.Trial["&amp;F$4&amp;"]"),Tab_000.Trial[CONTA],$B167)</f>
        <v>0</v>
      </c>
      <c r="G167" s="78">
        <f t="shared" ca="1" si="91"/>
        <v>0</v>
      </c>
      <c r="H167" s="78">
        <f t="shared" ca="1" si="143"/>
        <v>0</v>
      </c>
      <c r="I167" s="4">
        <f ca="1">-SUMIFS(INDIRECT("Tab_000.Trial["&amp;I$4&amp;"]"),Tab_000.Trial[CONTA],$B167)</f>
        <v>0</v>
      </c>
      <c r="J167" s="78">
        <f t="shared" ca="1" si="92"/>
        <v>0</v>
      </c>
      <c r="K167" s="78">
        <f t="shared" ca="1" si="93"/>
        <v>0</v>
      </c>
      <c r="L167" s="4">
        <f ca="1">-SUMIFS(INDIRECT("Tab_000.Trial["&amp;L$4&amp;"]"),Tab_000.Trial[CONTA],$B167)</f>
        <v>0</v>
      </c>
      <c r="M167" s="78">
        <f t="shared" ca="1" si="94"/>
        <v>0</v>
      </c>
      <c r="N167" s="78">
        <f t="shared" ca="1" si="95"/>
        <v>0</v>
      </c>
      <c r="O167" s="4">
        <f ca="1">-SUMIFS(INDIRECT("Tab_000.Trial["&amp;O$4&amp;"]"),Tab_000.Trial[CONTA],$B167)</f>
        <v>0</v>
      </c>
      <c r="P167" s="78">
        <f t="shared" ref="P167:P172" ca="1" si="144">IFERROR($O167/$O$6,0)</f>
        <v>0</v>
      </c>
      <c r="Q167" s="78">
        <f t="shared" ref="Q167:Q172" ca="1" si="145">IFERROR(($O167-$L167)/ABS($L167),0)</f>
        <v>0</v>
      </c>
      <c r="R167" s="4">
        <f ca="1">-SUMIFS(INDIRECT("Tab_000.Trial["&amp;R$4&amp;"]"),Tab_000.Trial[CONTA],$B167)</f>
        <v>0</v>
      </c>
      <c r="S167" s="78">
        <f t="shared" ca="1" si="98"/>
        <v>0</v>
      </c>
      <c r="T167" s="78">
        <f t="shared" ca="1" si="99"/>
        <v>0</v>
      </c>
      <c r="U167" s="4">
        <f ca="1">-SUMIFS(INDIRECT("Tab_000.Trial["&amp;U$4&amp;"]"),Tab_000.Trial[CONTA],$B167)</f>
        <v>0</v>
      </c>
      <c r="V167" s="78">
        <f t="shared" ca="1" si="100"/>
        <v>0</v>
      </c>
      <c r="W167" s="78">
        <f t="shared" ca="1" si="101"/>
        <v>0</v>
      </c>
      <c r="X167" s="4">
        <f ca="1">-SUMIFS(INDIRECT("Tab_000.Trial["&amp;X$4&amp;"]"),Tab_000.Trial[CONTA],$B167)</f>
        <v>0</v>
      </c>
      <c r="Y167" s="78">
        <f t="shared" ref="Y167:Y172" ca="1" si="146">IFERROR($X167/$X$6,0)</f>
        <v>0</v>
      </c>
      <c r="Z167" s="78">
        <f t="shared" ref="Z167:Z172" ca="1" si="147">IFERROR(($X167-$U167)/ABS($U167),0)</f>
        <v>0</v>
      </c>
      <c r="AA167" s="4">
        <f ca="1">-SUMIFS(INDIRECT("Tab_000.Trial["&amp;AA$4&amp;"]"),Tab_000.Trial[CONTA],$B167)</f>
        <v>0</v>
      </c>
      <c r="AB167" s="78">
        <f t="shared" ca="1" si="104"/>
        <v>0</v>
      </c>
      <c r="AC167" s="78">
        <f t="shared" ca="1" si="105"/>
        <v>0</v>
      </c>
      <c r="AD167" s="4">
        <f ca="1">-SUMIFS(INDIRECT("Tab_000.Trial["&amp;AD$4&amp;"]"),Tab_000.Trial[CONTA],$B167)</f>
        <v>0</v>
      </c>
      <c r="AE167" s="78">
        <f t="shared" ca="1" si="106"/>
        <v>0</v>
      </c>
      <c r="AF167" s="78">
        <f t="shared" ca="1" si="107"/>
        <v>0</v>
      </c>
      <c r="AG167" s="4">
        <f ca="1">-SUMIFS(INDIRECT("Tab_000.Trial["&amp;AG$4&amp;"]"),Tab_000.Trial[CONTA],$B167)</f>
        <v>0</v>
      </c>
      <c r="AH167" s="78">
        <f t="shared" ca="1" si="108"/>
        <v>0</v>
      </c>
      <c r="AI167" s="78">
        <f t="shared" ca="1" si="109"/>
        <v>0</v>
      </c>
      <c r="AJ167" s="4">
        <f ca="1">-SUMIFS(INDIRECT("Tab_000.Trial["&amp;AJ$4&amp;"]"),Tab_000.Trial[CONTA],$B167)</f>
        <v>0</v>
      </c>
      <c r="AK167" s="78">
        <f t="shared" ca="1" si="110"/>
        <v>0</v>
      </c>
      <c r="AL167" s="78">
        <f t="shared" ca="1" si="111"/>
        <v>0</v>
      </c>
    </row>
    <row r="168" spans="2:38" ht="15" customHeight="1" outlineLevel="1" x14ac:dyDescent="0.3">
      <c r="B168" s="14" t="s">
        <v>547</v>
      </c>
      <c r="C168" s="14" t="s">
        <v>548</v>
      </c>
      <c r="D168" s="4">
        <f ca="1">-SUMIFS(INDIRECT("Tab_000.Trial["&amp;D$4&amp;"]"),Tab_000.Trial[CONTA],$B168)</f>
        <v>0</v>
      </c>
      <c r="E168" s="78">
        <f t="shared" ca="1" si="142"/>
        <v>0</v>
      </c>
      <c r="F168" s="4">
        <f ca="1">-SUMIFS(INDIRECT("Tab_000.Trial["&amp;F$4&amp;"]"),Tab_000.Trial[CONTA],$B168)</f>
        <v>-270</v>
      </c>
      <c r="G168" s="78">
        <f t="shared" ca="1" si="91"/>
        <v>-2.9999999999999997E-4</v>
      </c>
      <c r="H168" s="78">
        <f t="shared" ca="1" si="143"/>
        <v>0</v>
      </c>
      <c r="I168" s="4">
        <f ca="1">-SUMIFS(INDIRECT("Tab_000.Trial["&amp;I$4&amp;"]"),Tab_000.Trial[CONTA],$B168)</f>
        <v>0</v>
      </c>
      <c r="J168" s="78">
        <f t="shared" ca="1" si="92"/>
        <v>0</v>
      </c>
      <c r="K168" s="78">
        <f t="shared" ca="1" si="93"/>
        <v>1</v>
      </c>
      <c r="L168" s="4">
        <f ca="1">-SUMIFS(INDIRECT("Tab_000.Trial["&amp;L$4&amp;"]"),Tab_000.Trial[CONTA],$B168)</f>
        <v>0</v>
      </c>
      <c r="M168" s="78">
        <f t="shared" ca="1" si="94"/>
        <v>0</v>
      </c>
      <c r="N168" s="78">
        <f t="shared" ca="1" si="95"/>
        <v>0</v>
      </c>
      <c r="O168" s="4">
        <f ca="1">-SUMIFS(INDIRECT("Tab_000.Trial["&amp;O$4&amp;"]"),Tab_000.Trial[CONTA],$B168)</f>
        <v>0</v>
      </c>
      <c r="P168" s="78">
        <f t="shared" ca="1" si="144"/>
        <v>0</v>
      </c>
      <c r="Q168" s="78">
        <f t="shared" ca="1" si="145"/>
        <v>0</v>
      </c>
      <c r="R168" s="4">
        <f ca="1">-SUMIFS(INDIRECT("Tab_000.Trial["&amp;R$4&amp;"]"),Tab_000.Trial[CONTA],$B168)</f>
        <v>-135</v>
      </c>
      <c r="S168" s="78">
        <f t="shared" ca="1" si="98"/>
        <v>-1E-4</v>
      </c>
      <c r="T168" s="78">
        <f t="shared" ca="1" si="99"/>
        <v>0</v>
      </c>
      <c r="U168" s="4">
        <f ca="1">-SUMIFS(INDIRECT("Tab_000.Trial["&amp;U$4&amp;"]"),Tab_000.Trial[CONTA],$B168)</f>
        <v>0</v>
      </c>
      <c r="V168" s="78">
        <f t="shared" ca="1" si="100"/>
        <v>0</v>
      </c>
      <c r="W168" s="78">
        <f t="shared" ca="1" si="101"/>
        <v>1</v>
      </c>
      <c r="X168" s="4">
        <f ca="1">-SUMIFS(INDIRECT("Tab_000.Trial["&amp;X$4&amp;"]"),Tab_000.Trial[CONTA],$B168)</f>
        <v>0</v>
      </c>
      <c r="Y168" s="78">
        <f t="shared" ca="1" si="146"/>
        <v>0</v>
      </c>
      <c r="Z168" s="78">
        <f t="shared" ca="1" si="147"/>
        <v>0</v>
      </c>
      <c r="AA168" s="4">
        <f ca="1">-SUMIFS(INDIRECT("Tab_000.Trial["&amp;AA$4&amp;"]"),Tab_000.Trial[CONTA],$B168)</f>
        <v>0</v>
      </c>
      <c r="AB168" s="78">
        <f t="shared" ca="1" si="104"/>
        <v>0</v>
      </c>
      <c r="AC168" s="78">
        <f t="shared" ca="1" si="105"/>
        <v>0</v>
      </c>
      <c r="AD168" s="4">
        <f ca="1">-SUMIFS(INDIRECT("Tab_000.Trial["&amp;AD$4&amp;"]"),Tab_000.Trial[CONTA],$B168)</f>
        <v>0</v>
      </c>
      <c r="AE168" s="78">
        <f t="shared" ca="1" si="106"/>
        <v>0</v>
      </c>
      <c r="AF168" s="78">
        <f t="shared" ca="1" si="107"/>
        <v>0</v>
      </c>
      <c r="AG168" s="4">
        <f ca="1">-SUMIFS(INDIRECT("Tab_000.Trial["&amp;AG$4&amp;"]"),Tab_000.Trial[CONTA],$B168)</f>
        <v>0</v>
      </c>
      <c r="AH168" s="78">
        <f t="shared" ca="1" si="108"/>
        <v>0</v>
      </c>
      <c r="AI168" s="78">
        <f t="shared" ca="1" si="109"/>
        <v>0</v>
      </c>
      <c r="AJ168" s="4">
        <f ca="1">-SUMIFS(INDIRECT("Tab_000.Trial["&amp;AJ$4&amp;"]"),Tab_000.Trial[CONTA],$B168)</f>
        <v>0</v>
      </c>
      <c r="AK168" s="78">
        <f t="shared" ca="1" si="110"/>
        <v>0</v>
      </c>
      <c r="AL168" s="78">
        <f t="shared" ca="1" si="111"/>
        <v>0</v>
      </c>
    </row>
    <row r="169" spans="2:38" ht="15" customHeight="1" outlineLevel="1" x14ac:dyDescent="0.3">
      <c r="B169" s="14" t="s">
        <v>549</v>
      </c>
      <c r="C169" s="14" t="s">
        <v>550</v>
      </c>
      <c r="D169" s="4">
        <f ca="1">-SUMIFS(INDIRECT("Tab_000.Trial["&amp;D$4&amp;"]"),Tab_000.Trial[CONTA],$B169)</f>
        <v>0</v>
      </c>
      <c r="E169" s="78">
        <f t="shared" ca="1" si="142"/>
        <v>0</v>
      </c>
      <c r="F169" s="4">
        <f ca="1">-SUMIFS(INDIRECT("Tab_000.Trial["&amp;F$4&amp;"]"),Tab_000.Trial[CONTA],$B169)</f>
        <v>0</v>
      </c>
      <c r="G169" s="78">
        <f t="shared" ca="1" si="91"/>
        <v>0</v>
      </c>
      <c r="H169" s="78">
        <f t="shared" ca="1" si="143"/>
        <v>0</v>
      </c>
      <c r="I169" s="4">
        <f ca="1">-SUMIFS(INDIRECT("Tab_000.Trial["&amp;I$4&amp;"]"),Tab_000.Trial[CONTA],$B169)</f>
        <v>0</v>
      </c>
      <c r="J169" s="78">
        <f t="shared" ca="1" si="92"/>
        <v>0</v>
      </c>
      <c r="K169" s="78">
        <f t="shared" ca="1" si="93"/>
        <v>0</v>
      </c>
      <c r="L169" s="4">
        <f ca="1">-SUMIFS(INDIRECT("Tab_000.Trial["&amp;L$4&amp;"]"),Tab_000.Trial[CONTA],$B169)</f>
        <v>0</v>
      </c>
      <c r="M169" s="78">
        <f t="shared" ca="1" si="94"/>
        <v>0</v>
      </c>
      <c r="N169" s="78">
        <f t="shared" ca="1" si="95"/>
        <v>0</v>
      </c>
      <c r="O169" s="4">
        <f ca="1">-SUMIFS(INDIRECT("Tab_000.Trial["&amp;O$4&amp;"]"),Tab_000.Trial[CONTA],$B169)</f>
        <v>0</v>
      </c>
      <c r="P169" s="78">
        <f t="shared" ca="1" si="144"/>
        <v>0</v>
      </c>
      <c r="Q169" s="78">
        <f t="shared" ca="1" si="145"/>
        <v>0</v>
      </c>
      <c r="R169" s="4">
        <f ca="1">-SUMIFS(INDIRECT("Tab_000.Trial["&amp;R$4&amp;"]"),Tab_000.Trial[CONTA],$B169)</f>
        <v>0</v>
      </c>
      <c r="S169" s="78">
        <f t="shared" ca="1" si="98"/>
        <v>0</v>
      </c>
      <c r="T169" s="78">
        <f t="shared" ca="1" si="99"/>
        <v>0</v>
      </c>
      <c r="U169" s="4">
        <f ca="1">-SUMIFS(INDIRECT("Tab_000.Trial["&amp;U$4&amp;"]"),Tab_000.Trial[CONTA],$B169)</f>
        <v>0</v>
      </c>
      <c r="V169" s="78">
        <f t="shared" ca="1" si="100"/>
        <v>0</v>
      </c>
      <c r="W169" s="78">
        <f t="shared" ca="1" si="101"/>
        <v>0</v>
      </c>
      <c r="X169" s="4">
        <f ca="1">-SUMIFS(INDIRECT("Tab_000.Trial["&amp;X$4&amp;"]"),Tab_000.Trial[CONTA],$B169)</f>
        <v>0</v>
      </c>
      <c r="Y169" s="78">
        <f t="shared" ca="1" si="146"/>
        <v>0</v>
      </c>
      <c r="Z169" s="78">
        <f t="shared" ca="1" si="147"/>
        <v>0</v>
      </c>
      <c r="AA169" s="4">
        <f ca="1">-SUMIFS(INDIRECT("Tab_000.Trial["&amp;AA$4&amp;"]"),Tab_000.Trial[CONTA],$B169)</f>
        <v>0</v>
      </c>
      <c r="AB169" s="78">
        <f t="shared" ca="1" si="104"/>
        <v>0</v>
      </c>
      <c r="AC169" s="78">
        <f t="shared" ca="1" si="105"/>
        <v>0</v>
      </c>
      <c r="AD169" s="4">
        <f ca="1">-SUMIFS(INDIRECT("Tab_000.Trial["&amp;AD$4&amp;"]"),Tab_000.Trial[CONTA],$B169)</f>
        <v>0</v>
      </c>
      <c r="AE169" s="78">
        <f t="shared" ca="1" si="106"/>
        <v>0</v>
      </c>
      <c r="AF169" s="78">
        <f t="shared" ca="1" si="107"/>
        <v>0</v>
      </c>
      <c r="AG169" s="4">
        <f ca="1">-SUMIFS(INDIRECT("Tab_000.Trial["&amp;AG$4&amp;"]"),Tab_000.Trial[CONTA],$B169)</f>
        <v>0</v>
      </c>
      <c r="AH169" s="78">
        <f t="shared" ca="1" si="108"/>
        <v>0</v>
      </c>
      <c r="AI169" s="78">
        <f t="shared" ca="1" si="109"/>
        <v>0</v>
      </c>
      <c r="AJ169" s="4">
        <f ca="1">-SUMIFS(INDIRECT("Tab_000.Trial["&amp;AJ$4&amp;"]"),Tab_000.Trial[CONTA],$B169)</f>
        <v>0</v>
      </c>
      <c r="AK169" s="78">
        <f t="shared" ca="1" si="110"/>
        <v>0</v>
      </c>
      <c r="AL169" s="78">
        <f t="shared" ca="1" si="111"/>
        <v>0</v>
      </c>
    </row>
    <row r="170" spans="2:38" ht="15" customHeight="1" outlineLevel="1" x14ac:dyDescent="0.3">
      <c r="B170" s="14" t="s">
        <v>828</v>
      </c>
      <c r="C170" s="14" t="s">
        <v>829</v>
      </c>
      <c r="D170" s="4">
        <f ca="1">-SUMIFS(INDIRECT("Tab_000.Trial["&amp;D$4&amp;"]"),Tab_000.Trial[CONTA],$B170)</f>
        <v>189</v>
      </c>
      <c r="E170" s="78">
        <f t="shared" ca="1" si="142"/>
        <v>2.0000000000000001E-4</v>
      </c>
      <c r="F170" s="4">
        <f ca="1">-SUMIFS(INDIRECT("Tab_000.Trial["&amp;F$4&amp;"]"),Tab_000.Trial[CONTA],$B170)</f>
        <v>0</v>
      </c>
      <c r="G170" s="78">
        <f t="shared" ca="1" si="91"/>
        <v>0</v>
      </c>
      <c r="H170" s="78">
        <f t="shared" ca="1" si="143"/>
        <v>-1</v>
      </c>
      <c r="I170" s="4">
        <f ca="1">-SUMIFS(INDIRECT("Tab_000.Trial["&amp;I$4&amp;"]"),Tab_000.Trial[CONTA],$B170)</f>
        <v>0</v>
      </c>
      <c r="J170" s="78">
        <f t="shared" ca="1" si="92"/>
        <v>0</v>
      </c>
      <c r="K170" s="78">
        <f t="shared" ca="1" si="93"/>
        <v>0</v>
      </c>
      <c r="L170" s="4">
        <f ca="1">-SUMIFS(INDIRECT("Tab_000.Trial["&amp;L$4&amp;"]"),Tab_000.Trial[CONTA],$B170)</f>
        <v>0</v>
      </c>
      <c r="M170" s="78">
        <f t="shared" ca="1" si="94"/>
        <v>0</v>
      </c>
      <c r="N170" s="78">
        <f t="shared" ca="1" si="95"/>
        <v>0</v>
      </c>
      <c r="O170" s="4">
        <f ca="1">-SUMIFS(INDIRECT("Tab_000.Trial["&amp;O$4&amp;"]"),Tab_000.Trial[CONTA],$B170)</f>
        <v>0</v>
      </c>
      <c r="P170" s="78">
        <f t="shared" ca="1" si="144"/>
        <v>0</v>
      </c>
      <c r="Q170" s="78">
        <f t="shared" ca="1" si="145"/>
        <v>0</v>
      </c>
      <c r="R170" s="4">
        <f ca="1">-SUMIFS(INDIRECT("Tab_000.Trial["&amp;R$4&amp;"]"),Tab_000.Trial[CONTA],$B170)</f>
        <v>0</v>
      </c>
      <c r="S170" s="78">
        <f t="shared" ca="1" si="98"/>
        <v>0</v>
      </c>
      <c r="T170" s="78">
        <f t="shared" ca="1" si="99"/>
        <v>0</v>
      </c>
      <c r="U170" s="4">
        <f ca="1">-SUMIFS(INDIRECT("Tab_000.Trial["&amp;U$4&amp;"]"),Tab_000.Trial[CONTA],$B170)</f>
        <v>0</v>
      </c>
      <c r="V170" s="78">
        <f t="shared" ca="1" si="100"/>
        <v>0</v>
      </c>
      <c r="W170" s="78">
        <f t="shared" ca="1" si="101"/>
        <v>0</v>
      </c>
      <c r="X170" s="4">
        <f ca="1">-SUMIFS(INDIRECT("Tab_000.Trial["&amp;X$4&amp;"]"),Tab_000.Trial[CONTA],$B170)</f>
        <v>0</v>
      </c>
      <c r="Y170" s="78">
        <f t="shared" ca="1" si="146"/>
        <v>0</v>
      </c>
      <c r="Z170" s="78">
        <f t="shared" ca="1" si="147"/>
        <v>0</v>
      </c>
      <c r="AA170" s="4">
        <f ca="1">-SUMIFS(INDIRECT("Tab_000.Trial["&amp;AA$4&amp;"]"),Tab_000.Trial[CONTA],$B170)</f>
        <v>0</v>
      </c>
      <c r="AB170" s="78">
        <f t="shared" ca="1" si="104"/>
        <v>0</v>
      </c>
      <c r="AC170" s="78">
        <f t="shared" ca="1" si="105"/>
        <v>0</v>
      </c>
      <c r="AD170" s="4">
        <f ca="1">-SUMIFS(INDIRECT("Tab_000.Trial["&amp;AD$4&amp;"]"),Tab_000.Trial[CONTA],$B170)</f>
        <v>0</v>
      </c>
      <c r="AE170" s="78">
        <f t="shared" ca="1" si="106"/>
        <v>0</v>
      </c>
      <c r="AF170" s="78">
        <f t="shared" ca="1" si="107"/>
        <v>0</v>
      </c>
      <c r="AG170" s="4">
        <f ca="1">-SUMIFS(INDIRECT("Tab_000.Trial["&amp;AG$4&amp;"]"),Tab_000.Trial[CONTA],$B170)</f>
        <v>0</v>
      </c>
      <c r="AH170" s="78">
        <f t="shared" ca="1" si="108"/>
        <v>0</v>
      </c>
      <c r="AI170" s="78">
        <f t="shared" ca="1" si="109"/>
        <v>0</v>
      </c>
      <c r="AJ170" s="4">
        <f ca="1">-SUMIFS(INDIRECT("Tab_000.Trial["&amp;AJ$4&amp;"]"),Tab_000.Trial[CONTA],$B170)</f>
        <v>0</v>
      </c>
      <c r="AK170" s="78">
        <f t="shared" ca="1" si="110"/>
        <v>0</v>
      </c>
      <c r="AL170" s="78">
        <f t="shared" ca="1" si="111"/>
        <v>0</v>
      </c>
    </row>
    <row r="171" spans="2:38" ht="15" customHeight="1" outlineLevel="1" x14ac:dyDescent="0.3">
      <c r="B171" s="14" t="s">
        <v>824</v>
      </c>
      <c r="C171" s="14" t="s">
        <v>823</v>
      </c>
      <c r="D171" s="4">
        <f ca="1">-SUMIFS(INDIRECT("Tab_000.Trial["&amp;D$4&amp;"]"),Tab_000.Trial[CONTA],$B171)</f>
        <v>0</v>
      </c>
      <c r="E171" s="78">
        <f t="shared" ca="1" si="142"/>
        <v>0</v>
      </c>
      <c r="F171" s="4">
        <f ca="1">-SUMIFS(INDIRECT("Tab_000.Trial["&amp;F$4&amp;"]"),Tab_000.Trial[CONTA],$B171)</f>
        <v>0</v>
      </c>
      <c r="G171" s="78">
        <f t="shared" ca="1" si="91"/>
        <v>0</v>
      </c>
      <c r="H171" s="78">
        <f t="shared" ca="1" si="143"/>
        <v>0</v>
      </c>
      <c r="I171" s="4">
        <f ca="1">-SUMIFS(INDIRECT("Tab_000.Trial["&amp;I$4&amp;"]"),Tab_000.Trial[CONTA],$B171)</f>
        <v>0</v>
      </c>
      <c r="J171" s="78">
        <f t="shared" ca="1" si="92"/>
        <v>0</v>
      </c>
      <c r="K171" s="78">
        <f t="shared" ca="1" si="93"/>
        <v>0</v>
      </c>
      <c r="L171" s="4">
        <f ca="1">-SUMIFS(INDIRECT("Tab_000.Trial["&amp;L$4&amp;"]"),Tab_000.Trial[CONTA],$B171)</f>
        <v>0</v>
      </c>
      <c r="M171" s="78">
        <f t="shared" ca="1" si="94"/>
        <v>0</v>
      </c>
      <c r="N171" s="78">
        <f t="shared" ca="1" si="95"/>
        <v>0</v>
      </c>
      <c r="O171" s="4">
        <f ca="1">-SUMIFS(INDIRECT("Tab_000.Trial["&amp;O$4&amp;"]"),Tab_000.Trial[CONTA],$B171)</f>
        <v>0</v>
      </c>
      <c r="P171" s="78">
        <f t="shared" ca="1" si="144"/>
        <v>0</v>
      </c>
      <c r="Q171" s="78">
        <f t="shared" ca="1" si="145"/>
        <v>0</v>
      </c>
      <c r="R171" s="4">
        <f ca="1">-SUMIFS(INDIRECT("Tab_000.Trial["&amp;R$4&amp;"]"),Tab_000.Trial[CONTA],$B171)</f>
        <v>0</v>
      </c>
      <c r="S171" s="78">
        <f t="shared" ca="1" si="98"/>
        <v>0</v>
      </c>
      <c r="T171" s="78">
        <f t="shared" ca="1" si="99"/>
        <v>0</v>
      </c>
      <c r="U171" s="4">
        <f ca="1">-SUMIFS(INDIRECT("Tab_000.Trial["&amp;U$4&amp;"]"),Tab_000.Trial[CONTA],$B171)</f>
        <v>0</v>
      </c>
      <c r="V171" s="78">
        <f t="shared" ca="1" si="100"/>
        <v>0</v>
      </c>
      <c r="W171" s="78">
        <f t="shared" ca="1" si="101"/>
        <v>0</v>
      </c>
      <c r="X171" s="4">
        <f ca="1">-SUMIFS(INDIRECT("Tab_000.Trial["&amp;X$4&amp;"]"),Tab_000.Trial[CONTA],$B171)</f>
        <v>0</v>
      </c>
      <c r="Y171" s="78">
        <f t="shared" ca="1" si="146"/>
        <v>0</v>
      </c>
      <c r="Z171" s="78">
        <f t="shared" ca="1" si="147"/>
        <v>0</v>
      </c>
      <c r="AA171" s="4">
        <f ca="1">-SUMIFS(INDIRECT("Tab_000.Trial["&amp;AA$4&amp;"]"),Tab_000.Trial[CONTA],$B171)</f>
        <v>0</v>
      </c>
      <c r="AB171" s="78">
        <f t="shared" ca="1" si="104"/>
        <v>0</v>
      </c>
      <c r="AC171" s="78">
        <f t="shared" ca="1" si="105"/>
        <v>0</v>
      </c>
      <c r="AD171" s="4">
        <f ca="1">-SUMIFS(INDIRECT("Tab_000.Trial["&amp;AD$4&amp;"]"),Tab_000.Trial[CONTA],$B171)</f>
        <v>0</v>
      </c>
      <c r="AE171" s="78">
        <f t="shared" ca="1" si="106"/>
        <v>0</v>
      </c>
      <c r="AF171" s="78">
        <f t="shared" ca="1" si="107"/>
        <v>0</v>
      </c>
      <c r="AG171" s="4">
        <f ca="1">-SUMIFS(INDIRECT("Tab_000.Trial["&amp;AG$4&amp;"]"),Tab_000.Trial[CONTA],$B171)</f>
        <v>0</v>
      </c>
      <c r="AH171" s="78">
        <f t="shared" ca="1" si="108"/>
        <v>0</v>
      </c>
      <c r="AI171" s="78">
        <f t="shared" ca="1" si="109"/>
        <v>0</v>
      </c>
      <c r="AJ171" s="4">
        <f ca="1">-SUMIFS(INDIRECT("Tab_000.Trial["&amp;AJ$4&amp;"]"),Tab_000.Trial[CONTA],$B171)</f>
        <v>0</v>
      </c>
      <c r="AK171" s="78">
        <f t="shared" ca="1" si="110"/>
        <v>0</v>
      </c>
      <c r="AL171" s="78">
        <f t="shared" ca="1" si="111"/>
        <v>0</v>
      </c>
    </row>
    <row r="172" spans="2:38" ht="15" customHeight="1" outlineLevel="1" x14ac:dyDescent="0.3">
      <c r="B172" s="14" t="s">
        <v>1006</v>
      </c>
      <c r="C172" s="14" t="s">
        <v>1007</v>
      </c>
      <c r="D172" s="4">
        <f ca="1">-SUMIFS(INDIRECT("Tab_000.Trial["&amp;D$4&amp;"]"),Tab_000.Trial[CONTA],$B172)</f>
        <v>0</v>
      </c>
      <c r="E172" s="78">
        <f t="shared" ca="1" si="142"/>
        <v>0</v>
      </c>
      <c r="F172" s="4">
        <f ca="1">-SUMIFS(INDIRECT("Tab_000.Trial["&amp;F$4&amp;"]"),Tab_000.Trial[CONTA],$B172)</f>
        <v>0</v>
      </c>
      <c r="G172" s="78">
        <f t="shared" ca="1" si="91"/>
        <v>0</v>
      </c>
      <c r="H172" s="78">
        <f t="shared" ca="1" si="143"/>
        <v>0</v>
      </c>
      <c r="I172" s="4">
        <f ca="1">-SUMIFS(INDIRECT("Tab_000.Trial["&amp;I$4&amp;"]"),Tab_000.Trial[CONTA],$B172)</f>
        <v>0</v>
      </c>
      <c r="J172" s="78">
        <f t="shared" ca="1" si="92"/>
        <v>0</v>
      </c>
      <c r="K172" s="78">
        <f t="shared" ca="1" si="93"/>
        <v>0</v>
      </c>
      <c r="L172" s="4">
        <f ca="1">-SUMIFS(INDIRECT("Tab_000.Trial["&amp;L$4&amp;"]"),Tab_000.Trial[CONTA],$B172)</f>
        <v>0</v>
      </c>
      <c r="M172" s="78">
        <f t="shared" ca="1" si="94"/>
        <v>0</v>
      </c>
      <c r="N172" s="78">
        <f t="shared" ca="1" si="95"/>
        <v>0</v>
      </c>
      <c r="O172" s="4">
        <f ca="1">-SUMIFS(INDIRECT("Tab_000.Trial["&amp;O$4&amp;"]"),Tab_000.Trial[CONTA],$B172)</f>
        <v>0</v>
      </c>
      <c r="P172" s="78">
        <f t="shared" ca="1" si="144"/>
        <v>0</v>
      </c>
      <c r="Q172" s="78">
        <f t="shared" ca="1" si="145"/>
        <v>0</v>
      </c>
      <c r="R172" s="4">
        <f ca="1">-SUMIFS(INDIRECT("Tab_000.Trial["&amp;R$4&amp;"]"),Tab_000.Trial[CONTA],$B172)</f>
        <v>0</v>
      </c>
      <c r="S172" s="78">
        <f t="shared" ca="1" si="98"/>
        <v>0</v>
      </c>
      <c r="T172" s="78">
        <f t="shared" ca="1" si="99"/>
        <v>0</v>
      </c>
      <c r="U172" s="4">
        <f ca="1">-SUMIFS(INDIRECT("Tab_000.Trial["&amp;U$4&amp;"]"),Tab_000.Trial[CONTA],$B172)</f>
        <v>0</v>
      </c>
      <c r="V172" s="78">
        <f t="shared" ca="1" si="100"/>
        <v>0</v>
      </c>
      <c r="W172" s="78">
        <f t="shared" ca="1" si="101"/>
        <v>0</v>
      </c>
      <c r="X172" s="4">
        <f ca="1">-SUMIFS(INDIRECT("Tab_000.Trial["&amp;X$4&amp;"]"),Tab_000.Trial[CONTA],$B172)</f>
        <v>0</v>
      </c>
      <c r="Y172" s="78">
        <f t="shared" ca="1" si="146"/>
        <v>0</v>
      </c>
      <c r="Z172" s="78">
        <f t="shared" ca="1" si="147"/>
        <v>0</v>
      </c>
      <c r="AA172" s="4">
        <f ca="1">-SUMIFS(INDIRECT("Tab_000.Trial["&amp;AA$4&amp;"]"),Tab_000.Trial[CONTA],$B172)</f>
        <v>-49901.5</v>
      </c>
      <c r="AB172" s="78">
        <f t="shared" ca="1" si="104"/>
        <v>-5.1200000000000002E-2</v>
      </c>
      <c r="AC172" s="78">
        <f t="shared" ca="1" si="105"/>
        <v>0</v>
      </c>
      <c r="AD172" s="4">
        <f ca="1">-SUMIFS(INDIRECT("Tab_000.Trial["&amp;AD$4&amp;"]"),Tab_000.Trial[CONTA],$B172)</f>
        <v>0</v>
      </c>
      <c r="AE172" s="78">
        <f t="shared" ca="1" si="106"/>
        <v>0</v>
      </c>
      <c r="AF172" s="78">
        <f t="shared" ca="1" si="107"/>
        <v>1</v>
      </c>
      <c r="AG172" s="4">
        <f ca="1">-SUMIFS(INDIRECT("Tab_000.Trial["&amp;AG$4&amp;"]"),Tab_000.Trial[CONTA],$B172)</f>
        <v>0</v>
      </c>
      <c r="AH172" s="78">
        <f t="shared" ca="1" si="108"/>
        <v>0</v>
      </c>
      <c r="AI172" s="78">
        <f t="shared" ca="1" si="109"/>
        <v>0</v>
      </c>
      <c r="AJ172" s="4">
        <f ca="1">-SUMIFS(INDIRECT("Tab_000.Trial["&amp;AJ$4&amp;"]"),Tab_000.Trial[CONTA],$B172)</f>
        <v>0</v>
      </c>
      <c r="AK172" s="78">
        <f t="shared" ca="1" si="110"/>
        <v>0</v>
      </c>
      <c r="AL172" s="78">
        <f t="shared" ca="1" si="111"/>
        <v>0</v>
      </c>
    </row>
    <row r="173" spans="2:38" ht="5.0999999999999996" customHeight="1" outlineLevel="1" x14ac:dyDescent="0.3">
      <c r="B173" s="74"/>
      <c r="C173" s="75"/>
      <c r="D173" s="76"/>
      <c r="E173" s="77"/>
      <c r="F173" s="76"/>
      <c r="G173" s="77"/>
      <c r="H173" s="77"/>
      <c r="I173" s="76"/>
      <c r="J173" s="77"/>
      <c r="K173" s="77"/>
      <c r="L173" s="76"/>
      <c r="M173" s="77"/>
      <c r="N173" s="77"/>
      <c r="O173" s="76"/>
      <c r="P173" s="77"/>
      <c r="Q173" s="77"/>
      <c r="R173" s="76"/>
      <c r="S173" s="77"/>
      <c r="T173" s="77"/>
      <c r="U173" s="76"/>
      <c r="V173" s="77"/>
      <c r="W173" s="77"/>
      <c r="X173" s="76"/>
      <c r="Y173" s="77"/>
      <c r="Z173" s="77"/>
      <c r="AA173" s="76"/>
      <c r="AB173" s="77"/>
      <c r="AC173" s="77"/>
      <c r="AD173" s="76"/>
      <c r="AE173" s="77"/>
      <c r="AF173" s="77"/>
      <c r="AG173" s="76"/>
      <c r="AH173" s="77"/>
      <c r="AI173" s="77"/>
      <c r="AJ173" s="76"/>
      <c r="AK173" s="77"/>
      <c r="AL173" s="77"/>
    </row>
    <row r="174" spans="2:38" ht="15" customHeight="1" collapsed="1" x14ac:dyDescent="0.3">
      <c r="D174" s="8">
        <f ca="1">SUBTOTAL(9,D$60:D$173)</f>
        <v>-356008.71</v>
      </c>
      <c r="E174" s="83">
        <f ca="1">IFERROR($D174/$D$6,0)</f>
        <v>-0.37480000000000002</v>
      </c>
      <c r="F174" s="8">
        <f ca="1">SUBTOTAL(9,F$60:F$173)</f>
        <v>-624548.85</v>
      </c>
      <c r="G174" s="83">
        <f t="shared" ca="1" si="91"/>
        <v>-0.64029999999999998</v>
      </c>
      <c r="H174" s="83">
        <f ca="1">IFERROR(($F174-$D174)/ABS($D174),0)</f>
        <v>-0.75429999999999997</v>
      </c>
      <c r="I174" s="8">
        <f ca="1">SUBTOTAL(9,I$60:I$173)</f>
        <v>-370812.69</v>
      </c>
      <c r="J174" s="83">
        <f t="shared" ca="1" si="92"/>
        <v>-0.35289999999999999</v>
      </c>
      <c r="K174" s="83">
        <f ca="1">IFERROR(($I174-$F174)/ABS($F174),0)</f>
        <v>0.40629999999999999</v>
      </c>
      <c r="L174" s="8">
        <f ca="1">SUBTOTAL(9,L$60:L$173)</f>
        <v>-363477.87</v>
      </c>
      <c r="M174" s="83">
        <f t="shared" ca="1" si="94"/>
        <v>-0.32840000000000003</v>
      </c>
      <c r="N174" s="83">
        <f ca="1">IFERROR(($L174-$I174)/ABS($I174),0)</f>
        <v>1.9800000000000002E-2</v>
      </c>
      <c r="O174" s="8">
        <f ca="1">SUBTOTAL(9,O$60:O$173)</f>
        <v>-343278.78</v>
      </c>
      <c r="P174" s="83">
        <f t="shared" ref="P174" ca="1" si="148">IFERROR($O174/$O$6,0)</f>
        <v>-0.28320000000000001</v>
      </c>
      <c r="Q174" s="83">
        <f ca="1">IFERROR(($O174-$L174)/ABS($L174),0)</f>
        <v>5.5599999999999997E-2</v>
      </c>
      <c r="R174" s="8">
        <f ca="1">SUBTOTAL(9,R$60:R$173)</f>
        <v>-426632.51</v>
      </c>
      <c r="S174" s="83">
        <f t="shared" ca="1" si="98"/>
        <v>-0.42309999999999998</v>
      </c>
      <c r="T174" s="83">
        <f ca="1">IFERROR(($R174-$O174)/ABS($O174),0)</f>
        <v>-0.24279999999999999</v>
      </c>
      <c r="U174" s="8">
        <f ca="1">SUBTOTAL(9,U$60:U$173)</f>
        <v>-348601.74</v>
      </c>
      <c r="V174" s="83">
        <f t="shared" ca="1" si="100"/>
        <v>-0.32429999999999998</v>
      </c>
      <c r="W174" s="83">
        <f ca="1">IFERROR(($U174-$R174)/ABS($R174),0)</f>
        <v>0.18290000000000001</v>
      </c>
      <c r="X174" s="8">
        <f ca="1">SUBTOTAL(9,X$60:X$173)</f>
        <v>-377268.45</v>
      </c>
      <c r="Y174" s="83">
        <f t="shared" ref="Y174" ca="1" si="149">IFERROR($X174/$X$6,0)</f>
        <v>-0.36209999999999998</v>
      </c>
      <c r="Z174" s="83">
        <f ca="1">IFERROR(($X174-$U174)/ABS($U174),0)</f>
        <v>-8.2199999999999995E-2</v>
      </c>
      <c r="AA174" s="8">
        <f ca="1">SUBTOTAL(9,AA$60:AA$173)</f>
        <v>-433219.65</v>
      </c>
      <c r="AB174" s="83">
        <f t="shared" ca="1" si="104"/>
        <v>-0.44469999999999998</v>
      </c>
      <c r="AC174" s="83">
        <f ca="1">IFERROR(($AA174-$X174)/ABS($X174),0)</f>
        <v>-0.14829999999999999</v>
      </c>
      <c r="AD174" s="8">
        <f ca="1">SUBTOTAL(9,AD$60:AD$173)</f>
        <v>-368400.76</v>
      </c>
      <c r="AE174" s="83">
        <f t="shared" ca="1" si="106"/>
        <v>-0.29630000000000001</v>
      </c>
      <c r="AF174" s="83">
        <f ca="1">IFERROR(($AD174-$AA174)/ABS($AA174),0)</f>
        <v>0.14960000000000001</v>
      </c>
      <c r="AG174" s="8">
        <f ca="1">SUBTOTAL(9,AG$60:AG$173)</f>
        <v>-386653.88</v>
      </c>
      <c r="AH174" s="83">
        <f t="shared" ca="1" si="108"/>
        <v>-0.42130000000000001</v>
      </c>
      <c r="AI174" s="83">
        <f ca="1">IFERROR(($AG174-$AD174)/ABS($AD174),0)</f>
        <v>-4.9500000000000002E-2</v>
      </c>
      <c r="AJ174" s="8">
        <f ca="1">SUBTOTAL(9,AJ$60:AJ$173)</f>
        <v>-383993.61</v>
      </c>
      <c r="AK174" s="83">
        <f t="shared" ca="1" si="110"/>
        <v>-0.25879999999999997</v>
      </c>
      <c r="AL174" s="83">
        <f ca="1">IFERROR(($AJ174-$AG174)/ABS($AG174),0)</f>
        <v>6.8999999999999999E-3</v>
      </c>
    </row>
    <row r="175" spans="2:38" ht="5.0999999999999996" customHeight="1" x14ac:dyDescent="0.3"/>
    <row r="176" spans="2:38" ht="15" customHeight="1" x14ac:dyDescent="0.3">
      <c r="C176" s="17" t="s">
        <v>84</v>
      </c>
      <c r="D176" s="16">
        <f ca="1">SUBTOTAL(9,D$5:D$175)</f>
        <v>-313631.42</v>
      </c>
      <c r="E176" s="80">
        <f ca="1">IFERROR($D176/$D$6,0)</f>
        <v>-0.33019999999999999</v>
      </c>
      <c r="F176" s="16">
        <f ca="1">SUBTOTAL(9,F$5:F$175)</f>
        <v>-714370.84</v>
      </c>
      <c r="G176" s="80">
        <f ca="1">IFERROR($F176/$F$6,0)</f>
        <v>-0.73240000000000005</v>
      </c>
      <c r="H176" s="80">
        <f ca="1">IFERROR(($F176-$D176)/ABS($D176),0)</f>
        <v>-1.2777000000000001</v>
      </c>
      <c r="I176" s="16">
        <f ca="1">SUBTOTAL(9,I$5:I$175)</f>
        <v>229265.5</v>
      </c>
      <c r="J176" s="80">
        <f ca="1">IFERROR($I176/$I$6,0)</f>
        <v>0.21820000000000001</v>
      </c>
      <c r="K176" s="80">
        <f t="shared" ref="K176" ca="1" si="150">IFERROR(($I176-$F176)/ABS($F176),0)</f>
        <v>1.3209</v>
      </c>
      <c r="L176" s="16">
        <f ca="1">SUBTOTAL(9,L$5:L$175)</f>
        <v>28072</v>
      </c>
      <c r="M176" s="80">
        <f ca="1">IFERROR($L176/$L$6,0)</f>
        <v>2.5399999999999999E-2</v>
      </c>
      <c r="N176" s="80">
        <f t="shared" ref="N176" ca="1" si="151">IFERROR(($L176-$I176)/ABS($I176),0)</f>
        <v>-0.87760000000000005</v>
      </c>
      <c r="O176" s="16">
        <f ca="1">SUBTOTAL(9,O$5:O$175)</f>
        <v>136727.46</v>
      </c>
      <c r="P176" s="80">
        <f ca="1">IFERROR($O176/$O$6,0)</f>
        <v>0.1128</v>
      </c>
      <c r="Q176" s="80">
        <f t="shared" ref="Q176" ca="1" si="152">IFERROR(($O176-$L176)/ABS($L176),0)</f>
        <v>3.8706</v>
      </c>
      <c r="R176" s="16">
        <f ca="1">SUBTOTAL(9,R$5:R$175)</f>
        <v>148764.1</v>
      </c>
      <c r="S176" s="80">
        <f ca="1">IFERROR($R176/$R$6,0)</f>
        <v>0.14749999999999999</v>
      </c>
      <c r="T176" s="80">
        <f t="shared" ref="T176" ca="1" si="153">IFERROR(($R176-$O176)/ABS($O176),0)</f>
        <v>8.7999999999999995E-2</v>
      </c>
      <c r="U176" s="16">
        <f ca="1">SUBTOTAL(9,U$5:U$175)</f>
        <v>-25988.38</v>
      </c>
      <c r="V176" s="80">
        <f ca="1">IFERROR($U176/$U$6,0)</f>
        <v>-2.4199999999999999E-2</v>
      </c>
      <c r="W176" s="80">
        <f t="shared" ref="W176" ca="1" si="154">IFERROR(($U176-$R176)/ABS($R176),0)</f>
        <v>-1.1747000000000001</v>
      </c>
      <c r="X176" s="16">
        <f ca="1">SUBTOTAL(9,X$5:X$175)</f>
        <v>-38508.1</v>
      </c>
      <c r="Y176" s="80">
        <f ca="1">IFERROR($X176/$X$6,0)</f>
        <v>-3.6999999999999998E-2</v>
      </c>
      <c r="Z176" s="80">
        <f t="shared" ref="Z176" ca="1" si="155">IFERROR(($X176-$U176)/ABS($U176),0)</f>
        <v>-0.48170000000000002</v>
      </c>
      <c r="AA176" s="16">
        <f ca="1">SUBTOTAL(9,AA$5:AA$175)</f>
        <v>-89318.16</v>
      </c>
      <c r="AB176" s="80">
        <f ca="1">IFERROR($AA176/$AA$6,0)</f>
        <v>-9.1700000000000004E-2</v>
      </c>
      <c r="AC176" s="80">
        <f t="shared" ref="AC176" ca="1" si="156">IFERROR(($AA176-$X176)/ABS($X176),0)</f>
        <v>-1.3194999999999999</v>
      </c>
      <c r="AD176" s="16">
        <f ca="1">SUBTOTAL(9,AD$5:AD$175)</f>
        <v>16321.1</v>
      </c>
      <c r="AE176" s="80">
        <f ca="1">IFERROR($AD176/$AD$6,0)</f>
        <v>1.3100000000000001E-2</v>
      </c>
      <c r="AF176" s="80">
        <f t="shared" ref="AF176" ca="1" si="157">IFERROR(($AD176-$AA176)/ABS($AA176),0)</f>
        <v>1.1827000000000001</v>
      </c>
      <c r="AG176" s="16">
        <f ca="1">SUBTOTAL(9,AG$5:AG$175)</f>
        <v>170918.21</v>
      </c>
      <c r="AH176" s="80">
        <f ca="1">IFERROR($AG176/$AG$6,0)</f>
        <v>0.1862</v>
      </c>
      <c r="AI176" s="80">
        <f t="shared" ref="AI176" ca="1" si="158">IFERROR(($AG176-$AD176)/ABS($AD176),0)</f>
        <v>9.4722000000000008</v>
      </c>
      <c r="AJ176" s="16">
        <f ca="1">SUBTOTAL(9,AJ$5:AJ$175)</f>
        <v>-394837.65</v>
      </c>
      <c r="AK176" s="80">
        <f ca="1">IFERROR($AJ176/$AJ$6,0)</f>
        <v>-0.2661</v>
      </c>
      <c r="AL176" s="80">
        <f t="shared" ref="AL176" ca="1" si="159">IFERROR(($AJ176-$AG176)/ABS($AG176),0)</f>
        <v>-3.3100999999999998</v>
      </c>
    </row>
    <row r="177" spans="2:39" ht="5.0999999999999996" customHeight="1" x14ac:dyDescent="0.3"/>
    <row r="178" spans="2:39" ht="15" customHeight="1" x14ac:dyDescent="0.3">
      <c r="C178" s="17" t="s">
        <v>68</v>
      </c>
    </row>
    <row r="179" spans="2:39" ht="15" customHeight="1" x14ac:dyDescent="0.3">
      <c r="B179" s="3" t="s">
        <v>67</v>
      </c>
      <c r="C179" s="3" t="s">
        <v>70</v>
      </c>
      <c r="D179" s="4">
        <f ca="1">SUBTOTAL(9,D$180:D$185)</f>
        <v>-662.87</v>
      </c>
      <c r="E179" s="78">
        <f t="shared" ref="E179:E184" ca="1" si="160">IFERROR($D179/$D$6,0)</f>
        <v>-6.9999999999999999E-4</v>
      </c>
      <c r="F179" s="4">
        <f ca="1">SUBTOTAL(9,F$180:F$185)</f>
        <v>-629.97</v>
      </c>
      <c r="G179" s="78">
        <f t="shared" ref="G179:G184" ca="1" si="161">IFERROR($F179/$F$6,0)</f>
        <v>-5.9999999999999995E-4</v>
      </c>
      <c r="H179" s="78">
        <f t="shared" ref="H179:H184" ca="1" si="162">IFERROR(($F179-$D179)/ABS($D179),0)</f>
        <v>4.9599999999999998E-2</v>
      </c>
      <c r="I179" s="4">
        <f ca="1">SUBTOTAL(9,I$180:I$185)</f>
        <v>-604.34</v>
      </c>
      <c r="J179" s="78">
        <f t="shared" ref="J179:J184" ca="1" si="163">IFERROR($I179/$I$6,0)</f>
        <v>-5.9999999999999995E-4</v>
      </c>
      <c r="K179" s="78">
        <f t="shared" ref="K179:K184" ca="1" si="164">IFERROR(($I179-$F179)/ABS($F179),0)</f>
        <v>4.07E-2</v>
      </c>
      <c r="L179" s="4">
        <f ca="1">SUBTOTAL(9,L$180:L$185)</f>
        <v>-1066.56</v>
      </c>
      <c r="M179" s="78">
        <f t="shared" ref="M179:M184" ca="1" si="165">IFERROR($L179/$L$6,0)</f>
        <v>-1E-3</v>
      </c>
      <c r="N179" s="78">
        <f t="shared" ref="N179:N184" ca="1" si="166">IFERROR(($L179-$I179)/ABS($I179),0)</f>
        <v>-0.76480000000000004</v>
      </c>
      <c r="O179" s="4">
        <f ca="1">SUBTOTAL(9,O$180:O$185)</f>
        <v>-456.61</v>
      </c>
      <c r="P179" s="78">
        <f t="shared" ref="P179:P184" ca="1" si="167">IFERROR($O179/$O$6,0)</f>
        <v>-4.0000000000000002E-4</v>
      </c>
      <c r="Q179" s="78">
        <f t="shared" ref="Q179:Q184" ca="1" si="168">IFERROR(($O179-$L179)/ABS($L179),0)</f>
        <v>0.57189999999999996</v>
      </c>
      <c r="R179" s="4">
        <f ca="1">SUBTOTAL(9,R$180:R$185)</f>
        <v>-357.04</v>
      </c>
      <c r="S179" s="78">
        <f t="shared" ref="S179:S184" ca="1" si="169">IFERROR($R179/$R$6,0)</f>
        <v>-4.0000000000000002E-4</v>
      </c>
      <c r="T179" s="78">
        <f t="shared" ref="T179:T184" ca="1" si="170">IFERROR(($R179-$O179)/ABS($O179),0)</f>
        <v>0.21809999999999999</v>
      </c>
      <c r="U179" s="4">
        <f ca="1">SUBTOTAL(9,U$180:U$185)</f>
        <v>-475.61</v>
      </c>
      <c r="V179" s="78">
        <f t="shared" ref="V179:V184" ca="1" si="171">IFERROR($U179/$U$6,0)</f>
        <v>-4.0000000000000002E-4</v>
      </c>
      <c r="W179" s="78">
        <f t="shared" ref="W179:W184" ca="1" si="172">IFERROR(($U179-$R179)/ABS($R179),0)</f>
        <v>-0.33210000000000001</v>
      </c>
      <c r="X179" s="4">
        <f ca="1">SUBTOTAL(9,X$180:X$185)</f>
        <v>-3067.38</v>
      </c>
      <c r="Y179" s="78">
        <f t="shared" ref="Y179:Y184" ca="1" si="173">IFERROR($X179/$X$6,0)</f>
        <v>-2.8999999999999998E-3</v>
      </c>
      <c r="Z179" s="78">
        <f t="shared" ref="Z179:Z184" ca="1" si="174">IFERROR(($X179-$U179)/ABS($U179),0)</f>
        <v>-5.4493999999999998</v>
      </c>
      <c r="AA179" s="4">
        <f ca="1">SUBTOTAL(9,AA$180:AA$185)</f>
        <v>-2899.73</v>
      </c>
      <c r="AB179" s="78">
        <f t="shared" ref="AB179:AB184" ca="1" si="175">IFERROR($AA179/$AA$6,0)</f>
        <v>-3.0000000000000001E-3</v>
      </c>
      <c r="AC179" s="78">
        <f t="shared" ref="AC179:AC184" ca="1" si="176">IFERROR(($AA179-$X179)/ABS($X179),0)</f>
        <v>5.4699999999999999E-2</v>
      </c>
      <c r="AD179" s="4">
        <f ca="1">SUBTOTAL(9,AD$180:AD$185)</f>
        <v>-3016.68</v>
      </c>
      <c r="AE179" s="78">
        <f t="shared" ref="AE179:AE184" ca="1" si="177">IFERROR($AD179/$AD$6,0)</f>
        <v>-2.3999999999999998E-3</v>
      </c>
      <c r="AF179" s="78">
        <f t="shared" ref="AF179:AF184" ca="1" si="178">IFERROR(($AD179-$AA179)/ABS($AA179),0)</f>
        <v>-4.0300000000000002E-2</v>
      </c>
      <c r="AG179" s="4">
        <f ca="1">SUBTOTAL(9,AG$180:AG$185)</f>
        <v>-2923.09</v>
      </c>
      <c r="AH179" s="78">
        <f t="shared" ref="AH179:AH184" ca="1" si="179">IFERROR($AG179/$AG$6,0)</f>
        <v>-3.2000000000000002E-3</v>
      </c>
      <c r="AI179" s="78">
        <f t="shared" ref="AI179:AI184" ca="1" si="180">IFERROR(($AG179-$AD179)/ABS($AD179),0)</f>
        <v>3.1E-2</v>
      </c>
      <c r="AJ179" s="4">
        <f ca="1">SUBTOTAL(9,AJ$180:AJ$185)</f>
        <v>-2816.89</v>
      </c>
      <c r="AK179" s="78">
        <f t="shared" ref="AK179:AK184" ca="1" si="181">IFERROR($AJ179/$AJ$6,0)</f>
        <v>-1.9E-3</v>
      </c>
      <c r="AL179" s="78">
        <f t="shared" ref="AL179:AL184" ca="1" si="182">IFERROR(($AJ179-$AG179)/ABS($AG179),0)</f>
        <v>3.6299999999999999E-2</v>
      </c>
    </row>
    <row r="180" spans="2:39" ht="15" customHeight="1" outlineLevel="1" x14ac:dyDescent="0.3">
      <c r="B180" s="14" t="s">
        <v>503</v>
      </c>
      <c r="C180" s="14" t="s">
        <v>504</v>
      </c>
      <c r="D180" s="4">
        <f ca="1">-SUMIFS(INDIRECT("Tab_000.Trial["&amp;D$4&amp;"]"),Tab_000.Trial[CONTA],$B180)</f>
        <v>-662.87</v>
      </c>
      <c r="E180" s="78">
        <f t="shared" ca="1" si="160"/>
        <v>-6.9999999999999999E-4</v>
      </c>
      <c r="F180" s="4">
        <f ca="1">-SUMIFS(INDIRECT("Tab_000.Trial["&amp;F$4&amp;"]"),Tab_000.Trial[CONTA],$B180)</f>
        <v>-614.64</v>
      </c>
      <c r="G180" s="78">
        <f t="shared" ca="1" si="161"/>
        <v>-5.9999999999999995E-4</v>
      </c>
      <c r="H180" s="78">
        <f t="shared" ca="1" si="162"/>
        <v>7.2800000000000004E-2</v>
      </c>
      <c r="I180" s="4">
        <f ca="1">-SUMIFS(INDIRECT("Tab_000.Trial["&amp;I$4&amp;"]"),Tab_000.Trial[CONTA],$B180)</f>
        <v>-589.01</v>
      </c>
      <c r="J180" s="78">
        <f t="shared" ca="1" si="163"/>
        <v>-5.9999999999999995E-4</v>
      </c>
      <c r="K180" s="78">
        <f t="shared" ca="1" si="164"/>
        <v>4.1700000000000001E-2</v>
      </c>
      <c r="L180" s="4">
        <f ca="1">-SUMIFS(INDIRECT("Tab_000.Trial["&amp;L$4&amp;"]"),Tab_000.Trial[CONTA],$B180)</f>
        <v>-641.11</v>
      </c>
      <c r="M180" s="78">
        <f t="shared" ca="1" si="165"/>
        <v>-5.9999999999999995E-4</v>
      </c>
      <c r="N180" s="78">
        <f t="shared" ca="1" si="166"/>
        <v>-8.8499999999999995E-2</v>
      </c>
      <c r="O180" s="4">
        <f ca="1">-SUMIFS(INDIRECT("Tab_000.Trial["&amp;O$4&amp;"]"),Tab_000.Trial[CONTA],$B180)</f>
        <v>-456.61</v>
      </c>
      <c r="P180" s="78">
        <f t="shared" ca="1" si="167"/>
        <v>-4.0000000000000002E-4</v>
      </c>
      <c r="Q180" s="78">
        <f t="shared" ca="1" si="168"/>
        <v>0.2878</v>
      </c>
      <c r="R180" s="4">
        <f ca="1">-SUMIFS(INDIRECT("Tab_000.Trial["&amp;R$4&amp;"]"),Tab_000.Trial[CONTA],$B180)</f>
        <v>-343.9</v>
      </c>
      <c r="S180" s="78">
        <f t="shared" ca="1" si="169"/>
        <v>-2.9999999999999997E-4</v>
      </c>
      <c r="T180" s="78">
        <f t="shared" ca="1" si="170"/>
        <v>0.24679999999999999</v>
      </c>
      <c r="U180" s="4">
        <f ca="1">-SUMIFS(INDIRECT("Tab_000.Trial["&amp;U$4&amp;"]"),Tab_000.Trial[CONTA],$B180)</f>
        <v>-375.79</v>
      </c>
      <c r="V180" s="78">
        <f t="shared" ca="1" si="171"/>
        <v>-2.9999999999999997E-4</v>
      </c>
      <c r="W180" s="78">
        <f t="shared" ca="1" si="172"/>
        <v>-9.2700000000000005E-2</v>
      </c>
      <c r="X180" s="4">
        <f ca="1">-SUMIFS(INDIRECT("Tab_000.Trial["&amp;X$4&amp;"]"),Tab_000.Trial[CONTA],$B180)</f>
        <v>-2959.26</v>
      </c>
      <c r="Y180" s="78">
        <f t="shared" ca="1" si="173"/>
        <v>-2.8E-3</v>
      </c>
      <c r="Z180" s="78">
        <f t="shared" ca="1" si="174"/>
        <v>-6.8747999999999996</v>
      </c>
      <c r="AA180" s="4">
        <f ca="1">-SUMIFS(INDIRECT("Tab_000.Trial["&amp;AA$4&amp;"]"),Tab_000.Trial[CONTA],$B180)</f>
        <v>-2886.59</v>
      </c>
      <c r="AB180" s="78">
        <f t="shared" ca="1" si="175"/>
        <v>-3.0000000000000001E-3</v>
      </c>
      <c r="AC180" s="78">
        <f t="shared" ca="1" si="176"/>
        <v>2.46E-2</v>
      </c>
      <c r="AD180" s="4">
        <f ca="1">-SUMIFS(INDIRECT("Tab_000.Trial["&amp;AD$4&amp;"]"),Tab_000.Trial[CONTA],$B180)</f>
        <v>-3016.68</v>
      </c>
      <c r="AE180" s="78">
        <f t="shared" ca="1" si="177"/>
        <v>-2.3999999999999998E-3</v>
      </c>
      <c r="AF180" s="78">
        <f t="shared" ca="1" si="178"/>
        <v>-4.5100000000000001E-2</v>
      </c>
      <c r="AG180" s="4">
        <f ca="1">-SUMIFS(INDIRECT("Tab_000.Trial["&amp;AG$4&amp;"]"),Tab_000.Trial[CONTA],$B180)</f>
        <v>-2766.91</v>
      </c>
      <c r="AH180" s="78">
        <f t="shared" ca="1" si="179"/>
        <v>-3.0000000000000001E-3</v>
      </c>
      <c r="AI180" s="78">
        <f t="shared" ca="1" si="180"/>
        <v>8.2799999999999999E-2</v>
      </c>
      <c r="AJ180" s="4">
        <f ca="1">-SUMIFS(INDIRECT("Tab_000.Trial["&amp;AJ$4&amp;"]"),Tab_000.Trial[CONTA],$B180)</f>
        <v>-2792.27</v>
      </c>
      <c r="AK180" s="78">
        <f t="shared" ca="1" si="181"/>
        <v>-1.9E-3</v>
      </c>
      <c r="AL180" s="78">
        <f t="shared" ca="1" si="182"/>
        <v>-9.1999999999999998E-3</v>
      </c>
    </row>
    <row r="181" spans="2:39" ht="15" customHeight="1" outlineLevel="1" x14ac:dyDescent="0.3">
      <c r="B181" s="14" t="s">
        <v>505</v>
      </c>
      <c r="C181" s="14" t="s">
        <v>506</v>
      </c>
      <c r="D181" s="4">
        <f ca="1">-SUMIFS(INDIRECT("Tab_000.Trial["&amp;D$4&amp;"]"),Tab_000.Trial[CONTA],$B181)</f>
        <v>0</v>
      </c>
      <c r="E181" s="78">
        <f t="shared" ca="1" si="160"/>
        <v>0</v>
      </c>
      <c r="F181" s="4">
        <f ca="1">-SUMIFS(INDIRECT("Tab_000.Trial["&amp;F$4&amp;"]"),Tab_000.Trial[CONTA],$B181)</f>
        <v>0</v>
      </c>
      <c r="G181" s="78">
        <f t="shared" ca="1" si="161"/>
        <v>0</v>
      </c>
      <c r="H181" s="78">
        <f t="shared" ca="1" si="162"/>
        <v>0</v>
      </c>
      <c r="I181" s="4">
        <f ca="1">-SUMIFS(INDIRECT("Tab_000.Trial["&amp;I$4&amp;"]"),Tab_000.Trial[CONTA],$B181)</f>
        <v>0</v>
      </c>
      <c r="J181" s="78">
        <f t="shared" ca="1" si="163"/>
        <v>0</v>
      </c>
      <c r="K181" s="78">
        <f t="shared" ca="1" si="164"/>
        <v>0</v>
      </c>
      <c r="L181" s="4">
        <f ca="1">-SUMIFS(INDIRECT("Tab_000.Trial["&amp;L$4&amp;"]"),Tab_000.Trial[CONTA],$B181)</f>
        <v>0</v>
      </c>
      <c r="M181" s="78">
        <f t="shared" ca="1" si="165"/>
        <v>0</v>
      </c>
      <c r="N181" s="78">
        <f t="shared" ca="1" si="166"/>
        <v>0</v>
      </c>
      <c r="O181" s="4">
        <f ca="1">-SUMIFS(INDIRECT("Tab_000.Trial["&amp;O$4&amp;"]"),Tab_000.Trial[CONTA],$B181)</f>
        <v>0</v>
      </c>
      <c r="P181" s="78">
        <f t="shared" ca="1" si="167"/>
        <v>0</v>
      </c>
      <c r="Q181" s="78">
        <f t="shared" ca="1" si="168"/>
        <v>0</v>
      </c>
      <c r="R181" s="4">
        <f ca="1">-SUMIFS(INDIRECT("Tab_000.Trial["&amp;R$4&amp;"]"),Tab_000.Trial[CONTA],$B181)</f>
        <v>0</v>
      </c>
      <c r="S181" s="78">
        <f t="shared" ca="1" si="169"/>
        <v>0</v>
      </c>
      <c r="T181" s="78">
        <f t="shared" ca="1" si="170"/>
        <v>0</v>
      </c>
      <c r="U181" s="4">
        <f ca="1">-SUMIFS(INDIRECT("Tab_000.Trial["&amp;U$4&amp;"]"),Tab_000.Trial[CONTA],$B181)</f>
        <v>0</v>
      </c>
      <c r="V181" s="78">
        <f t="shared" ca="1" si="171"/>
        <v>0</v>
      </c>
      <c r="W181" s="78">
        <f t="shared" ca="1" si="172"/>
        <v>0</v>
      </c>
      <c r="X181" s="4">
        <f ca="1">-SUMIFS(INDIRECT("Tab_000.Trial["&amp;X$4&amp;"]"),Tab_000.Trial[CONTA],$B181)</f>
        <v>-20.16</v>
      </c>
      <c r="Y181" s="78">
        <f t="shared" ca="1" si="173"/>
        <v>0</v>
      </c>
      <c r="Z181" s="78">
        <f t="shared" ca="1" si="174"/>
        <v>0</v>
      </c>
      <c r="AA181" s="4">
        <f ca="1">-SUMIFS(INDIRECT("Tab_000.Trial["&amp;AA$4&amp;"]"),Tab_000.Trial[CONTA],$B181)</f>
        <v>0</v>
      </c>
      <c r="AB181" s="78">
        <f t="shared" ca="1" si="175"/>
        <v>0</v>
      </c>
      <c r="AC181" s="78">
        <f t="shared" ca="1" si="176"/>
        <v>1</v>
      </c>
      <c r="AD181" s="4">
        <f ca="1">-SUMIFS(INDIRECT("Tab_000.Trial["&amp;AD$4&amp;"]"),Tab_000.Trial[CONTA],$B181)</f>
        <v>0</v>
      </c>
      <c r="AE181" s="78">
        <f t="shared" ca="1" si="177"/>
        <v>0</v>
      </c>
      <c r="AF181" s="78">
        <f t="shared" ca="1" si="178"/>
        <v>0</v>
      </c>
      <c r="AG181" s="4">
        <f ca="1">-SUMIFS(INDIRECT("Tab_000.Trial["&amp;AG$4&amp;"]"),Tab_000.Trial[CONTA],$B181)</f>
        <v>-139.54</v>
      </c>
      <c r="AH181" s="78">
        <f t="shared" ca="1" si="179"/>
        <v>-2.0000000000000001E-4</v>
      </c>
      <c r="AI181" s="78">
        <f t="shared" ca="1" si="180"/>
        <v>0</v>
      </c>
      <c r="AJ181" s="4">
        <f ca="1">-SUMIFS(INDIRECT("Tab_000.Trial["&amp;AJ$4&amp;"]"),Tab_000.Trial[CONTA],$B181)</f>
        <v>0</v>
      </c>
      <c r="AK181" s="78">
        <f t="shared" ca="1" si="181"/>
        <v>0</v>
      </c>
      <c r="AL181" s="78">
        <f t="shared" ca="1" si="182"/>
        <v>1</v>
      </c>
    </row>
    <row r="182" spans="2:39" ht="15" customHeight="1" outlineLevel="1" x14ac:dyDescent="0.3">
      <c r="B182" s="14" t="s">
        <v>524</v>
      </c>
      <c r="C182" s="14" t="s">
        <v>525</v>
      </c>
      <c r="D182" s="4">
        <f ca="1">-SUMIFS(INDIRECT("Tab_000.Trial["&amp;D$4&amp;"]"),Tab_000.Trial[CONTA],$B182)</f>
        <v>0</v>
      </c>
      <c r="E182" s="78">
        <f t="shared" ca="1" si="160"/>
        <v>0</v>
      </c>
      <c r="F182" s="4">
        <f ca="1">-SUMIFS(INDIRECT("Tab_000.Trial["&amp;F$4&amp;"]"),Tab_000.Trial[CONTA],$B182)</f>
        <v>-15.33</v>
      </c>
      <c r="G182" s="78">
        <f t="shared" ca="1" si="161"/>
        <v>0</v>
      </c>
      <c r="H182" s="78">
        <f t="shared" ca="1" si="162"/>
        <v>0</v>
      </c>
      <c r="I182" s="4">
        <f ca="1">-SUMIFS(INDIRECT("Tab_000.Trial["&amp;I$4&amp;"]"),Tab_000.Trial[CONTA],$B182)</f>
        <v>-15.33</v>
      </c>
      <c r="J182" s="78">
        <f t="shared" ca="1" si="163"/>
        <v>0</v>
      </c>
      <c r="K182" s="78">
        <f t="shared" ca="1" si="164"/>
        <v>0</v>
      </c>
      <c r="L182" s="4">
        <f ca="1">-SUMIFS(INDIRECT("Tab_000.Trial["&amp;L$4&amp;"]"),Tab_000.Trial[CONTA],$B182)</f>
        <v>-425.45</v>
      </c>
      <c r="M182" s="78">
        <f t="shared" ca="1" si="165"/>
        <v>-4.0000000000000002E-4</v>
      </c>
      <c r="N182" s="78">
        <f t="shared" ca="1" si="166"/>
        <v>-26.752800000000001</v>
      </c>
      <c r="O182" s="4">
        <f ca="1">-SUMIFS(INDIRECT("Tab_000.Trial["&amp;O$4&amp;"]"),Tab_000.Trial[CONTA],$B182)</f>
        <v>0</v>
      </c>
      <c r="P182" s="78">
        <f t="shared" ca="1" si="167"/>
        <v>0</v>
      </c>
      <c r="Q182" s="78">
        <f t="shared" ca="1" si="168"/>
        <v>1</v>
      </c>
      <c r="R182" s="4">
        <f ca="1">-SUMIFS(INDIRECT("Tab_000.Trial["&amp;R$4&amp;"]"),Tab_000.Trial[CONTA],$B182)</f>
        <v>-13.14</v>
      </c>
      <c r="S182" s="78">
        <f t="shared" ca="1" si="169"/>
        <v>0</v>
      </c>
      <c r="T182" s="78">
        <f t="shared" ca="1" si="170"/>
        <v>0</v>
      </c>
      <c r="U182" s="4">
        <f ca="1">-SUMIFS(INDIRECT("Tab_000.Trial["&amp;U$4&amp;"]"),Tab_000.Trial[CONTA],$B182)</f>
        <v>-99.82</v>
      </c>
      <c r="V182" s="78">
        <f t="shared" ca="1" si="171"/>
        <v>-1E-4</v>
      </c>
      <c r="W182" s="78">
        <f t="shared" ca="1" si="172"/>
        <v>-6.5967000000000002</v>
      </c>
      <c r="X182" s="4">
        <f ca="1">-SUMIFS(INDIRECT("Tab_000.Trial["&amp;X$4&amp;"]"),Tab_000.Trial[CONTA],$B182)</f>
        <v>-87.96</v>
      </c>
      <c r="Y182" s="78">
        <f t="shared" ca="1" si="173"/>
        <v>-1E-4</v>
      </c>
      <c r="Z182" s="78">
        <f t="shared" ca="1" si="174"/>
        <v>0.1188</v>
      </c>
      <c r="AA182" s="4">
        <f ca="1">-SUMIFS(INDIRECT("Tab_000.Trial["&amp;AA$4&amp;"]"),Tab_000.Trial[CONTA],$B182)</f>
        <v>-13.14</v>
      </c>
      <c r="AB182" s="78">
        <f t="shared" ca="1" si="175"/>
        <v>0</v>
      </c>
      <c r="AC182" s="78">
        <f t="shared" ca="1" si="176"/>
        <v>0.85060000000000002</v>
      </c>
      <c r="AD182" s="4">
        <f ca="1">-SUMIFS(INDIRECT("Tab_000.Trial["&amp;AD$4&amp;"]"),Tab_000.Trial[CONTA],$B182)</f>
        <v>0</v>
      </c>
      <c r="AE182" s="78">
        <f t="shared" ca="1" si="177"/>
        <v>0</v>
      </c>
      <c r="AF182" s="78">
        <f t="shared" ca="1" si="178"/>
        <v>1</v>
      </c>
      <c r="AG182" s="4">
        <f ca="1">-SUMIFS(INDIRECT("Tab_000.Trial["&amp;AG$4&amp;"]"),Tab_000.Trial[CONTA],$B182)</f>
        <v>-16.64</v>
      </c>
      <c r="AH182" s="78">
        <f t="shared" ca="1" si="179"/>
        <v>0</v>
      </c>
      <c r="AI182" s="78">
        <f t="shared" ca="1" si="180"/>
        <v>0</v>
      </c>
      <c r="AJ182" s="4">
        <f ca="1">-SUMIFS(INDIRECT("Tab_000.Trial["&amp;AJ$4&amp;"]"),Tab_000.Trial[CONTA],$B182)</f>
        <v>-24.62</v>
      </c>
      <c r="AK182" s="78">
        <f t="shared" ca="1" si="181"/>
        <v>0</v>
      </c>
      <c r="AL182" s="78">
        <f t="shared" ca="1" si="182"/>
        <v>-0.47960000000000003</v>
      </c>
    </row>
    <row r="183" spans="2:39" ht="15" customHeight="1" outlineLevel="1" x14ac:dyDescent="0.3">
      <c r="B183" s="14" t="s">
        <v>545</v>
      </c>
      <c r="C183" s="14" t="s">
        <v>546</v>
      </c>
      <c r="D183" s="4">
        <f ca="1">-SUMIFS(INDIRECT("Tab_000.Trial["&amp;D$4&amp;"]"),Tab_000.Trial[CONTA],$B183)</f>
        <v>0</v>
      </c>
      <c r="E183" s="78">
        <f t="shared" ca="1" si="160"/>
        <v>0</v>
      </c>
      <c r="F183" s="4">
        <f ca="1">-SUMIFS(INDIRECT("Tab_000.Trial["&amp;F$4&amp;"]"),Tab_000.Trial[CONTA],$B183)</f>
        <v>0</v>
      </c>
      <c r="G183" s="78">
        <f t="shared" ca="1" si="161"/>
        <v>0</v>
      </c>
      <c r="H183" s="78">
        <f t="shared" ca="1" si="162"/>
        <v>0</v>
      </c>
      <c r="I183" s="4">
        <f ca="1">-SUMIFS(INDIRECT("Tab_000.Trial["&amp;I$4&amp;"]"),Tab_000.Trial[CONTA],$B183)</f>
        <v>0</v>
      </c>
      <c r="J183" s="78">
        <f t="shared" ca="1" si="163"/>
        <v>0</v>
      </c>
      <c r="K183" s="78">
        <f t="shared" ca="1" si="164"/>
        <v>0</v>
      </c>
      <c r="L183" s="4">
        <f ca="1">-SUMIFS(INDIRECT("Tab_000.Trial["&amp;L$4&amp;"]"),Tab_000.Trial[CONTA],$B183)</f>
        <v>0</v>
      </c>
      <c r="M183" s="78">
        <f t="shared" ca="1" si="165"/>
        <v>0</v>
      </c>
      <c r="N183" s="78">
        <f t="shared" ca="1" si="166"/>
        <v>0</v>
      </c>
      <c r="O183" s="4">
        <f ca="1">-SUMIFS(INDIRECT("Tab_000.Trial["&amp;O$4&amp;"]"),Tab_000.Trial[CONTA],$B183)</f>
        <v>0</v>
      </c>
      <c r="P183" s="78">
        <f t="shared" ca="1" si="167"/>
        <v>0</v>
      </c>
      <c r="Q183" s="78">
        <f t="shared" ca="1" si="168"/>
        <v>0</v>
      </c>
      <c r="R183" s="4">
        <f ca="1">-SUMIFS(INDIRECT("Tab_000.Trial["&amp;R$4&amp;"]"),Tab_000.Trial[CONTA],$B183)</f>
        <v>0</v>
      </c>
      <c r="S183" s="78">
        <f t="shared" ca="1" si="169"/>
        <v>0</v>
      </c>
      <c r="T183" s="78">
        <f t="shared" ca="1" si="170"/>
        <v>0</v>
      </c>
      <c r="U183" s="4">
        <f ca="1">-SUMIFS(INDIRECT("Tab_000.Trial["&amp;U$4&amp;"]"),Tab_000.Trial[CONTA],$B183)</f>
        <v>0</v>
      </c>
      <c r="V183" s="78">
        <f t="shared" ca="1" si="171"/>
        <v>0</v>
      </c>
      <c r="W183" s="78">
        <f t="shared" ca="1" si="172"/>
        <v>0</v>
      </c>
      <c r="X183" s="4">
        <f ca="1">-SUMIFS(INDIRECT("Tab_000.Trial["&amp;X$4&amp;"]"),Tab_000.Trial[CONTA],$B183)</f>
        <v>0</v>
      </c>
      <c r="Y183" s="78">
        <f t="shared" ca="1" si="173"/>
        <v>0</v>
      </c>
      <c r="Z183" s="78">
        <f t="shared" ca="1" si="174"/>
        <v>0</v>
      </c>
      <c r="AA183" s="4">
        <f ca="1">-SUMIFS(INDIRECT("Tab_000.Trial["&amp;AA$4&amp;"]"),Tab_000.Trial[CONTA],$B183)</f>
        <v>0</v>
      </c>
      <c r="AB183" s="78">
        <f t="shared" ca="1" si="175"/>
        <v>0</v>
      </c>
      <c r="AC183" s="78">
        <f t="shared" ca="1" si="176"/>
        <v>0</v>
      </c>
      <c r="AD183" s="4">
        <f ca="1">-SUMIFS(INDIRECT("Tab_000.Trial["&amp;AD$4&amp;"]"),Tab_000.Trial[CONTA],$B183)</f>
        <v>0</v>
      </c>
      <c r="AE183" s="78">
        <f t="shared" ca="1" si="177"/>
        <v>0</v>
      </c>
      <c r="AF183" s="78">
        <f t="shared" ca="1" si="178"/>
        <v>0</v>
      </c>
      <c r="AG183" s="4">
        <f ca="1">-SUMIFS(INDIRECT("Tab_000.Trial["&amp;AG$4&amp;"]"),Tab_000.Trial[CONTA],$B183)</f>
        <v>0</v>
      </c>
      <c r="AH183" s="78">
        <f t="shared" ca="1" si="179"/>
        <v>0</v>
      </c>
      <c r="AI183" s="78">
        <f t="shared" ca="1" si="180"/>
        <v>0</v>
      </c>
      <c r="AJ183" s="4">
        <f ca="1">-SUMIFS(INDIRECT("Tab_000.Trial["&amp;AJ$4&amp;"]"),Tab_000.Trial[CONTA],$B183)</f>
        <v>0</v>
      </c>
      <c r="AK183" s="78">
        <f t="shared" ca="1" si="181"/>
        <v>0</v>
      </c>
      <c r="AL183" s="78">
        <f t="shared" ca="1" si="182"/>
        <v>0</v>
      </c>
      <c r="AM183" s="142"/>
    </row>
    <row r="184" spans="2:39" ht="15" customHeight="1" outlineLevel="1" x14ac:dyDescent="0.3">
      <c r="B184" s="14"/>
      <c r="C184" s="14"/>
      <c r="D184" s="4">
        <f ca="1">-SUMIFS(INDIRECT("Tab_000.Trial["&amp;D$4&amp;"]"),Tab_000.Trial[CONTA],$B184)</f>
        <v>0</v>
      </c>
      <c r="E184" s="78">
        <f t="shared" ca="1" si="160"/>
        <v>0</v>
      </c>
      <c r="F184" s="4">
        <f ca="1">-SUMIFS(INDIRECT("Tab_000.Trial["&amp;F$4&amp;"]"),Tab_000.Trial[CONTA],$B184)</f>
        <v>0</v>
      </c>
      <c r="G184" s="78">
        <f t="shared" ca="1" si="161"/>
        <v>0</v>
      </c>
      <c r="H184" s="78">
        <f t="shared" ca="1" si="162"/>
        <v>0</v>
      </c>
      <c r="I184" s="4">
        <f ca="1">-SUMIFS(INDIRECT("Tab_000.Trial["&amp;I$4&amp;"]"),Tab_000.Trial[CONTA],$B184)</f>
        <v>0</v>
      </c>
      <c r="J184" s="78">
        <f t="shared" ca="1" si="163"/>
        <v>0</v>
      </c>
      <c r="K184" s="78">
        <f t="shared" ca="1" si="164"/>
        <v>0</v>
      </c>
      <c r="L184" s="4">
        <f ca="1">-SUMIFS(INDIRECT("Tab_000.Trial["&amp;L$4&amp;"]"),Tab_000.Trial[CONTA],$B184)</f>
        <v>0</v>
      </c>
      <c r="M184" s="78">
        <f t="shared" ca="1" si="165"/>
        <v>0</v>
      </c>
      <c r="N184" s="78">
        <f t="shared" ca="1" si="166"/>
        <v>0</v>
      </c>
      <c r="O184" s="4">
        <f ca="1">-SUMIFS(INDIRECT("Tab_000.Trial["&amp;O$4&amp;"]"),Tab_000.Trial[CONTA],$B184)</f>
        <v>0</v>
      </c>
      <c r="P184" s="78">
        <f t="shared" ca="1" si="167"/>
        <v>0</v>
      </c>
      <c r="Q184" s="78">
        <f t="shared" ca="1" si="168"/>
        <v>0</v>
      </c>
      <c r="R184" s="4">
        <f ca="1">-SUMIFS(INDIRECT("Tab_000.Trial["&amp;R$4&amp;"]"),Tab_000.Trial[CONTA],$B184)</f>
        <v>0</v>
      </c>
      <c r="S184" s="78">
        <f t="shared" ca="1" si="169"/>
        <v>0</v>
      </c>
      <c r="T184" s="78">
        <f t="shared" ca="1" si="170"/>
        <v>0</v>
      </c>
      <c r="U184" s="4">
        <f ca="1">-SUMIFS(INDIRECT("Tab_000.Trial["&amp;U$4&amp;"]"),Tab_000.Trial[CONTA],$B184)</f>
        <v>0</v>
      </c>
      <c r="V184" s="78">
        <f t="shared" ca="1" si="171"/>
        <v>0</v>
      </c>
      <c r="W184" s="78">
        <f t="shared" ca="1" si="172"/>
        <v>0</v>
      </c>
      <c r="X184" s="4">
        <f ca="1">-SUMIFS(INDIRECT("Tab_000.Trial["&amp;X$4&amp;"]"),Tab_000.Trial[CONTA],$B184)</f>
        <v>0</v>
      </c>
      <c r="Y184" s="78">
        <f t="shared" ca="1" si="173"/>
        <v>0</v>
      </c>
      <c r="Z184" s="78">
        <f t="shared" ca="1" si="174"/>
        <v>0</v>
      </c>
      <c r="AA184" s="4">
        <f ca="1">-SUMIFS(INDIRECT("Tab_000.Trial["&amp;AA$4&amp;"]"),Tab_000.Trial[CONTA],$B184)</f>
        <v>0</v>
      </c>
      <c r="AB184" s="78">
        <f t="shared" ca="1" si="175"/>
        <v>0</v>
      </c>
      <c r="AC184" s="78">
        <f t="shared" ca="1" si="176"/>
        <v>0</v>
      </c>
      <c r="AD184" s="4">
        <f ca="1">-SUMIFS(INDIRECT("Tab_000.Trial["&amp;AD$4&amp;"]"),Tab_000.Trial[CONTA],$B184)</f>
        <v>0</v>
      </c>
      <c r="AE184" s="78">
        <f t="shared" ca="1" si="177"/>
        <v>0</v>
      </c>
      <c r="AF184" s="78">
        <f t="shared" ca="1" si="178"/>
        <v>0</v>
      </c>
      <c r="AG184" s="4">
        <f ca="1">-SUMIFS(INDIRECT("Tab_000.Trial["&amp;AG$4&amp;"]"),Tab_000.Trial[CONTA],$B184)</f>
        <v>0</v>
      </c>
      <c r="AH184" s="78">
        <f t="shared" ca="1" si="179"/>
        <v>0</v>
      </c>
      <c r="AI184" s="78">
        <f t="shared" ca="1" si="180"/>
        <v>0</v>
      </c>
      <c r="AJ184" s="4">
        <f ca="1">-SUMIFS(INDIRECT("Tab_000.Trial["&amp;AJ$4&amp;"]"),Tab_000.Trial[CONTA],$B184)</f>
        <v>0</v>
      </c>
      <c r="AK184" s="78">
        <f t="shared" ca="1" si="181"/>
        <v>0</v>
      </c>
      <c r="AL184" s="78">
        <f t="shared" ca="1" si="182"/>
        <v>0</v>
      </c>
    </row>
    <row r="185" spans="2:39" ht="5.0999999999999996" customHeight="1" outlineLevel="1" x14ac:dyDescent="0.3">
      <c r="B185" s="74"/>
      <c r="C185" s="75"/>
      <c r="D185" s="76"/>
      <c r="E185" s="77"/>
      <c r="F185" s="76"/>
      <c r="G185" s="77"/>
      <c r="H185" s="77"/>
      <c r="I185" s="76"/>
      <c r="J185" s="77"/>
      <c r="K185" s="77"/>
      <c r="L185" s="76"/>
      <c r="M185" s="77"/>
      <c r="N185" s="77"/>
      <c r="O185" s="76"/>
      <c r="P185" s="77"/>
      <c r="Q185" s="77"/>
      <c r="R185" s="76"/>
      <c r="S185" s="77"/>
      <c r="T185" s="77"/>
      <c r="U185" s="76"/>
      <c r="V185" s="77"/>
      <c r="W185" s="77"/>
      <c r="X185" s="76"/>
      <c r="Y185" s="77"/>
      <c r="Z185" s="77"/>
      <c r="AA185" s="76"/>
      <c r="AB185" s="77"/>
      <c r="AC185" s="77"/>
      <c r="AD185" s="76"/>
      <c r="AE185" s="77"/>
      <c r="AF185" s="77"/>
      <c r="AG185" s="76"/>
      <c r="AH185" s="77"/>
      <c r="AI185" s="77"/>
      <c r="AJ185" s="76"/>
      <c r="AK185" s="77"/>
      <c r="AL185" s="77"/>
    </row>
    <row r="186" spans="2:39" ht="15" customHeight="1" x14ac:dyDescent="0.3">
      <c r="B186" s="3" t="s">
        <v>71</v>
      </c>
      <c r="C186" s="3" t="s">
        <v>69</v>
      </c>
      <c r="D186" s="4">
        <f ca="1">SUBTOTAL(9,D$187:D$193)</f>
        <v>203029.53</v>
      </c>
      <c r="E186" s="78">
        <f t="shared" ref="E186:E192" ca="1" si="183">IFERROR($D186/$D$6,0)</f>
        <v>0.2137</v>
      </c>
      <c r="F186" s="4">
        <f ca="1">SUBTOTAL(9,F$187:F$193)</f>
        <v>218600.92</v>
      </c>
      <c r="G186" s="78">
        <f ca="1">IFERROR($F186/$F$6,0)</f>
        <v>0.22409999999999999</v>
      </c>
      <c r="H186" s="78">
        <f t="shared" ref="H186:H192" ca="1" si="184">IFERROR(($F186-$D186)/ABS($D186),0)</f>
        <v>7.6700000000000004E-2</v>
      </c>
      <c r="I186" s="4">
        <f ca="1">SUBTOTAL(9,I$187:I$193)</f>
        <v>306654.71000000002</v>
      </c>
      <c r="J186" s="78">
        <f ca="1">IFERROR($I186/$I$6,0)</f>
        <v>0.2918</v>
      </c>
      <c r="K186" s="78">
        <f ca="1">IFERROR(($I186-$F186)/ABS($F186),0)</f>
        <v>0.40279999999999999</v>
      </c>
      <c r="L186" s="4">
        <f ca="1">SUBTOTAL(9,L$187:L$193)</f>
        <v>-24727.24</v>
      </c>
      <c r="M186" s="78">
        <f ca="1">IFERROR($L186/$L$6,0)</f>
        <v>-2.23E-2</v>
      </c>
      <c r="N186" s="78">
        <f ca="1">IFERROR(($L186-$I186)/ABS($I186),0)</f>
        <v>-1.0806</v>
      </c>
      <c r="O186" s="4">
        <f ca="1">SUBTOTAL(9,O$187:O$193)</f>
        <v>326235.03999999998</v>
      </c>
      <c r="P186" s="78">
        <f ca="1">IFERROR($O186/$O$6,0)</f>
        <v>0.26910000000000001</v>
      </c>
      <c r="Q186" s="78">
        <f ca="1">IFERROR(($O186-$L186)/ABS($L186),0)</f>
        <v>14.193300000000001</v>
      </c>
      <c r="R186" s="4">
        <f ca="1">SUBTOTAL(9,R$187:R$193)</f>
        <v>203156.94</v>
      </c>
      <c r="S186" s="78">
        <f ca="1">IFERROR($R186/$R$6,0)</f>
        <v>0.20150000000000001</v>
      </c>
      <c r="T186" s="78">
        <f ca="1">IFERROR(($R186-$O186)/ABS($O186),0)</f>
        <v>-0.37730000000000002</v>
      </c>
      <c r="U186" s="4">
        <f ca="1">SUBTOTAL(9,U$187:U$193)</f>
        <v>435543.94</v>
      </c>
      <c r="V186" s="78">
        <f ca="1">IFERROR($U186/$U$6,0)</f>
        <v>0.40510000000000002</v>
      </c>
      <c r="W186" s="78">
        <f ca="1">IFERROR(($U186-$R186)/ABS($R186),0)</f>
        <v>1.1438999999999999</v>
      </c>
      <c r="X186" s="4">
        <f ca="1">SUBTOTAL(9,X$187:X$193)</f>
        <v>377961.43</v>
      </c>
      <c r="Y186" s="78">
        <f ca="1">IFERROR($X186/$X$6,0)</f>
        <v>0.36280000000000001</v>
      </c>
      <c r="Z186" s="78">
        <f ca="1">IFERROR(($X186-$U186)/ABS($U186),0)</f>
        <v>-0.13220000000000001</v>
      </c>
      <c r="AA186" s="4">
        <f ca="1">SUBTOTAL(9,AA$187:AA$193)</f>
        <v>154845.95000000001</v>
      </c>
      <c r="AB186" s="78">
        <f ca="1">IFERROR($AA186/$AA$6,0)</f>
        <v>0.159</v>
      </c>
      <c r="AC186" s="78">
        <f ca="1">IFERROR(($AA186-$X186)/ABS($X186),0)</f>
        <v>-0.59030000000000005</v>
      </c>
      <c r="AD186" s="4">
        <f ca="1">SUBTOTAL(9,AD$187:AD$193)</f>
        <v>213626.76</v>
      </c>
      <c r="AE186" s="78">
        <f ca="1">IFERROR($AD186/$AD$6,0)</f>
        <v>0.17180000000000001</v>
      </c>
      <c r="AF186" s="78">
        <f ca="1">IFERROR(($AD186-$AA186)/ABS($AA186),0)</f>
        <v>0.37959999999999999</v>
      </c>
      <c r="AG186" s="4">
        <f ca="1">SUBTOTAL(9,AG$187:AG$193)</f>
        <v>333363.81</v>
      </c>
      <c r="AH186" s="78">
        <f ca="1">IFERROR($AG186/$AG$6,0)</f>
        <v>0.36320000000000002</v>
      </c>
      <c r="AI186" s="78">
        <f ca="1">IFERROR(($AG186-$AD186)/ABS($AD186),0)</f>
        <v>0.5605</v>
      </c>
      <c r="AJ186" s="4">
        <f ca="1">SUBTOTAL(9,AJ$187:AJ$193)</f>
        <v>-93387.26</v>
      </c>
      <c r="AK186" s="78">
        <f ca="1">IFERROR($AJ186/$AJ$6,0)</f>
        <v>-6.2899999999999998E-2</v>
      </c>
      <c r="AL186" s="78">
        <f ca="1">IFERROR(($AJ186-$AG186)/ABS($AG186),0)</f>
        <v>-1.2801</v>
      </c>
    </row>
    <row r="187" spans="2:39" ht="15" customHeight="1" outlineLevel="1" x14ac:dyDescent="0.3">
      <c r="B187" s="14" t="s">
        <v>391</v>
      </c>
      <c r="C187" s="14" t="s">
        <v>392</v>
      </c>
      <c r="D187" s="4">
        <f ca="1">-SUMIFS(INDIRECT("Tab_000.Trial["&amp;D$4&amp;"]"),Tab_000.Trial[CONTA],$B187)</f>
        <v>0.05</v>
      </c>
      <c r="E187" s="78">
        <f t="shared" ca="1" si="183"/>
        <v>0</v>
      </c>
      <c r="F187" s="4">
        <f ca="1">-SUMIFS(INDIRECT("Tab_000.Trial["&amp;F$4&amp;"]"),Tab_000.Trial[CONTA],$B187)</f>
        <v>73.22</v>
      </c>
      <c r="G187" s="78">
        <f t="shared" ref="G187:G192" ca="1" si="185">IFERROR($F187/$F$6,0)</f>
        <v>1E-4</v>
      </c>
      <c r="H187" s="78">
        <f t="shared" ca="1" si="184"/>
        <v>1463.4</v>
      </c>
      <c r="I187" s="4">
        <f ca="1">-SUMIFS(INDIRECT("Tab_000.Trial["&amp;I$4&amp;"]"),Tab_000.Trial[CONTA],$B187)</f>
        <v>0.03</v>
      </c>
      <c r="J187" s="78">
        <f t="shared" ref="J187:J192" ca="1" si="186">IFERROR($I187/$I$6,0)</f>
        <v>0</v>
      </c>
      <c r="K187" s="78">
        <f t="shared" ref="K187:K192" ca="1" si="187">IFERROR(($I187-$F187)/ABS($F187),0)</f>
        <v>-0.99960000000000004</v>
      </c>
      <c r="L187" s="4">
        <f ca="1">-SUMIFS(INDIRECT("Tab_000.Trial["&amp;L$4&amp;"]"),Tab_000.Trial[CONTA],$B187)</f>
        <v>0.05</v>
      </c>
      <c r="M187" s="78">
        <f t="shared" ref="M187:M192" ca="1" si="188">IFERROR($L187/$L$6,0)</f>
        <v>0</v>
      </c>
      <c r="N187" s="78">
        <f t="shared" ref="N187:N192" ca="1" si="189">IFERROR(($L187-$I187)/ABS($I187),0)</f>
        <v>0.66669999999999996</v>
      </c>
      <c r="O187" s="4">
        <f ca="1">-SUMIFS(INDIRECT("Tab_000.Trial["&amp;O$4&amp;"]"),Tab_000.Trial[CONTA],$B187)</f>
        <v>7.0000000000000007E-2</v>
      </c>
      <c r="P187" s="78">
        <f t="shared" ref="P187:P192" ca="1" si="190">IFERROR($O187/$O$6,0)</f>
        <v>0</v>
      </c>
      <c r="Q187" s="78">
        <f t="shared" ref="Q187:Q192" ca="1" si="191">IFERROR(($O187-$L187)/ABS($L187),0)</f>
        <v>0.4</v>
      </c>
      <c r="R187" s="4">
        <f ca="1">-SUMIFS(INDIRECT("Tab_000.Trial["&amp;R$4&amp;"]"),Tab_000.Trial[CONTA],$B187)</f>
        <v>0.01</v>
      </c>
      <c r="S187" s="78">
        <f t="shared" ref="S187:S192" ca="1" si="192">IFERROR($R187/$R$6,0)</f>
        <v>0</v>
      </c>
      <c r="T187" s="78">
        <f t="shared" ref="T187:T192" ca="1" si="193">IFERROR(($R187-$O187)/ABS($O187),0)</f>
        <v>-0.85709999999999997</v>
      </c>
      <c r="U187" s="4">
        <f ca="1">-SUMIFS(INDIRECT("Tab_000.Trial["&amp;U$4&amp;"]"),Tab_000.Trial[CONTA],$B187)</f>
        <v>0.03</v>
      </c>
      <c r="V187" s="78">
        <f t="shared" ref="V187:V192" ca="1" si="194">IFERROR($U187/$U$6,0)</f>
        <v>0</v>
      </c>
      <c r="W187" s="78">
        <f t="shared" ref="W187:W192" ca="1" si="195">IFERROR(($U187-$R187)/ABS($R187),0)</f>
        <v>2</v>
      </c>
      <c r="X187" s="4">
        <f ca="1">-SUMIFS(INDIRECT("Tab_000.Trial["&amp;X$4&amp;"]"),Tab_000.Trial[CONTA],$B187)</f>
        <v>300.06</v>
      </c>
      <c r="Y187" s="78">
        <f t="shared" ref="Y187:Y192" ca="1" si="196">IFERROR($X187/$X$6,0)</f>
        <v>2.9999999999999997E-4</v>
      </c>
      <c r="Z187" s="78">
        <f t="shared" ref="Z187:Z192" ca="1" si="197">IFERROR(($X187-$U187)/ABS($U187),0)</f>
        <v>10001</v>
      </c>
      <c r="AA187" s="4">
        <f ca="1">-SUMIFS(INDIRECT("Tab_000.Trial["&amp;AA$4&amp;"]"),Tab_000.Trial[CONTA],$B187)</f>
        <v>300.02</v>
      </c>
      <c r="AB187" s="78">
        <f t="shared" ref="AB187:AB192" ca="1" si="198">IFERROR($AA187/$AA$6,0)</f>
        <v>2.9999999999999997E-4</v>
      </c>
      <c r="AC187" s="78">
        <f t="shared" ref="AC187:AC192" ca="1" si="199">IFERROR(($AA187-$X187)/ABS($X187),0)</f>
        <v>-1E-4</v>
      </c>
      <c r="AD187" s="4">
        <f ca="1">-SUMIFS(INDIRECT("Tab_000.Trial["&amp;AD$4&amp;"]"),Tab_000.Trial[CONTA],$B187)</f>
        <v>0</v>
      </c>
      <c r="AE187" s="78">
        <f t="shared" ref="AE187:AE192" ca="1" si="200">IFERROR($AD187/$AD$6,0)</f>
        <v>0</v>
      </c>
      <c r="AF187" s="78">
        <f t="shared" ref="AF187:AF192" ca="1" si="201">IFERROR(($AD187-$AA187)/ABS($AA187),0)</f>
        <v>-1</v>
      </c>
      <c r="AG187" s="4">
        <f ca="1">-SUMIFS(INDIRECT("Tab_000.Trial["&amp;AG$4&amp;"]"),Tab_000.Trial[CONTA],$B187)</f>
        <v>1335.22</v>
      </c>
      <c r="AH187" s="78">
        <f t="shared" ref="AH187:AH192" ca="1" si="202">IFERROR($AG187/$AG$6,0)</f>
        <v>1.5E-3</v>
      </c>
      <c r="AI187" s="78">
        <f t="shared" ref="AI187:AI192" ca="1" si="203">IFERROR(($AG187-$AD187)/ABS($AD187),0)</f>
        <v>0</v>
      </c>
      <c r="AJ187" s="4">
        <f ca="1">-SUMIFS(INDIRECT("Tab_000.Trial["&amp;AJ$4&amp;"]"),Tab_000.Trial[CONTA],$B187)</f>
        <v>0.01</v>
      </c>
      <c r="AK187" s="78">
        <f t="shared" ref="AK187:AK192" ca="1" si="204">IFERROR($AJ187/$AJ$6,0)</f>
        <v>0</v>
      </c>
      <c r="AL187" s="78">
        <f t="shared" ref="AL187:AL192" ca="1" si="205">IFERROR(($AJ187-$AG187)/ABS($AG187),0)</f>
        <v>-1</v>
      </c>
    </row>
    <row r="188" spans="2:39" ht="15" customHeight="1" outlineLevel="1" x14ac:dyDescent="0.3">
      <c r="B188" s="14" t="s">
        <v>393</v>
      </c>
      <c r="C188" s="14" t="s">
        <v>394</v>
      </c>
      <c r="D188" s="4">
        <f ca="1">-SUMIFS(INDIRECT("Tab_000.Trial["&amp;D$4&amp;"]"),Tab_000.Trial[CONTA],$B188)</f>
        <v>203029.48</v>
      </c>
      <c r="E188" s="78">
        <f t="shared" ca="1" si="183"/>
        <v>0.2137</v>
      </c>
      <c r="F188" s="4">
        <f ca="1">-SUMIFS(INDIRECT("Tab_000.Trial["&amp;F$4&amp;"]"),Tab_000.Trial[CONTA],$B188)</f>
        <v>218527.7</v>
      </c>
      <c r="G188" s="78">
        <f t="shared" ca="1" si="185"/>
        <v>0.22409999999999999</v>
      </c>
      <c r="H188" s="78">
        <f t="shared" ca="1" si="184"/>
        <v>7.6300000000000007E-2</v>
      </c>
      <c r="I188" s="4">
        <f ca="1">-SUMIFS(INDIRECT("Tab_000.Trial["&amp;I$4&amp;"]"),Tab_000.Trial[CONTA],$B188)</f>
        <v>306654.68</v>
      </c>
      <c r="J188" s="78">
        <f t="shared" ca="1" si="186"/>
        <v>0.2918</v>
      </c>
      <c r="K188" s="78">
        <f t="shared" ca="1" si="187"/>
        <v>0.40329999999999999</v>
      </c>
      <c r="L188" s="4">
        <f ca="1">-SUMIFS(INDIRECT("Tab_000.Trial["&amp;L$4&amp;"]"),Tab_000.Trial[CONTA],$B188)</f>
        <v>-24727.29</v>
      </c>
      <c r="M188" s="78">
        <f t="shared" ca="1" si="188"/>
        <v>-2.23E-2</v>
      </c>
      <c r="N188" s="78">
        <f t="shared" ca="1" si="189"/>
        <v>-1.0806</v>
      </c>
      <c r="O188" s="4">
        <f ca="1">-SUMIFS(INDIRECT("Tab_000.Trial["&amp;O$4&amp;"]"),Tab_000.Trial[CONTA],$B188)</f>
        <v>326234.96999999997</v>
      </c>
      <c r="P188" s="78">
        <f t="shared" ca="1" si="190"/>
        <v>0.26910000000000001</v>
      </c>
      <c r="Q188" s="78">
        <f t="shared" ca="1" si="191"/>
        <v>14.193300000000001</v>
      </c>
      <c r="R188" s="4">
        <f ca="1">-SUMIFS(INDIRECT("Tab_000.Trial["&amp;R$4&amp;"]"),Tab_000.Trial[CONTA],$B188)</f>
        <v>203156.93</v>
      </c>
      <c r="S188" s="78">
        <f t="shared" ca="1" si="192"/>
        <v>0.20150000000000001</v>
      </c>
      <c r="T188" s="78">
        <f t="shared" ca="1" si="193"/>
        <v>-0.37730000000000002</v>
      </c>
      <c r="U188" s="4">
        <f ca="1">-SUMIFS(INDIRECT("Tab_000.Trial["&amp;U$4&amp;"]"),Tab_000.Trial[CONTA],$B188)</f>
        <v>435543.91</v>
      </c>
      <c r="V188" s="78">
        <f t="shared" ca="1" si="194"/>
        <v>0.40510000000000002</v>
      </c>
      <c r="W188" s="78">
        <f t="shared" ca="1" si="195"/>
        <v>1.1438999999999999</v>
      </c>
      <c r="X188" s="4">
        <f ca="1">-SUMIFS(INDIRECT("Tab_000.Trial["&amp;X$4&amp;"]"),Tab_000.Trial[CONTA],$B188)</f>
        <v>377661.37</v>
      </c>
      <c r="Y188" s="78">
        <f t="shared" ca="1" si="196"/>
        <v>0.36249999999999999</v>
      </c>
      <c r="Z188" s="78">
        <f t="shared" ca="1" si="197"/>
        <v>-0.13289999999999999</v>
      </c>
      <c r="AA188" s="4">
        <f ca="1">-SUMIFS(INDIRECT("Tab_000.Trial["&amp;AA$4&amp;"]"),Tab_000.Trial[CONTA],$B188)</f>
        <v>154545.93</v>
      </c>
      <c r="AB188" s="78">
        <f t="shared" ca="1" si="198"/>
        <v>0.15859999999999999</v>
      </c>
      <c r="AC188" s="78">
        <f t="shared" ca="1" si="199"/>
        <v>-0.59079999999999999</v>
      </c>
      <c r="AD188" s="4">
        <f ca="1">-SUMIFS(INDIRECT("Tab_000.Trial["&amp;AD$4&amp;"]"),Tab_000.Trial[CONTA],$B188)</f>
        <v>213626.76</v>
      </c>
      <c r="AE188" s="78">
        <f t="shared" ca="1" si="200"/>
        <v>0.17180000000000001</v>
      </c>
      <c r="AF188" s="78">
        <f t="shared" ca="1" si="201"/>
        <v>0.38229999999999997</v>
      </c>
      <c r="AG188" s="4">
        <f ca="1">-SUMIFS(INDIRECT("Tab_000.Trial["&amp;AG$4&amp;"]"),Tab_000.Trial[CONTA],$B188)</f>
        <v>332028.59000000003</v>
      </c>
      <c r="AH188" s="78">
        <f t="shared" ca="1" si="202"/>
        <v>0.36180000000000001</v>
      </c>
      <c r="AI188" s="78">
        <f t="shared" ca="1" si="203"/>
        <v>0.55420000000000003</v>
      </c>
      <c r="AJ188" s="4">
        <f ca="1">-SUMIFS(INDIRECT("Tab_000.Trial["&amp;AJ$4&amp;"]"),Tab_000.Trial[CONTA],$B188)</f>
        <v>-93387.27</v>
      </c>
      <c r="AK188" s="78">
        <f t="shared" ca="1" si="204"/>
        <v>-6.2899999999999998E-2</v>
      </c>
      <c r="AL188" s="78">
        <f t="shared" ca="1" si="205"/>
        <v>-1.2813000000000001</v>
      </c>
    </row>
    <row r="189" spans="2:39" ht="15" customHeight="1" outlineLevel="1" x14ac:dyDescent="0.3">
      <c r="B189" s="14"/>
      <c r="C189" s="14"/>
      <c r="D189" s="4">
        <f ca="1">-SUMIFS(INDIRECT("Tab_000.Trial["&amp;D$4&amp;"]"),Tab_000.Trial[CONTA],$B189)</f>
        <v>0</v>
      </c>
      <c r="E189" s="78">
        <f t="shared" ca="1" si="183"/>
        <v>0</v>
      </c>
      <c r="F189" s="4">
        <f ca="1">-SUMIFS(INDIRECT("Tab_000.Trial["&amp;F$4&amp;"]"),Tab_000.Trial[CONTA],$B189)</f>
        <v>0</v>
      </c>
      <c r="G189" s="78">
        <f t="shared" ca="1" si="185"/>
        <v>0</v>
      </c>
      <c r="H189" s="78">
        <f t="shared" ca="1" si="184"/>
        <v>0</v>
      </c>
      <c r="I189" s="4">
        <f ca="1">-SUMIFS(INDIRECT("Tab_000.Trial["&amp;I$4&amp;"]"),Tab_000.Trial[CONTA],$B189)</f>
        <v>0</v>
      </c>
      <c r="J189" s="78">
        <f t="shared" ca="1" si="186"/>
        <v>0</v>
      </c>
      <c r="K189" s="78">
        <f t="shared" ca="1" si="187"/>
        <v>0</v>
      </c>
      <c r="L189" s="4">
        <f ca="1">-SUMIFS(INDIRECT("Tab_000.Trial["&amp;L$4&amp;"]"),Tab_000.Trial[CONTA],$B189)</f>
        <v>0</v>
      </c>
      <c r="M189" s="78">
        <f t="shared" ca="1" si="188"/>
        <v>0</v>
      </c>
      <c r="N189" s="78">
        <f t="shared" ca="1" si="189"/>
        <v>0</v>
      </c>
      <c r="O189" s="4">
        <f ca="1">-SUMIFS(INDIRECT("Tab_000.Trial["&amp;O$4&amp;"]"),Tab_000.Trial[CONTA],$B189)</f>
        <v>0</v>
      </c>
      <c r="P189" s="78">
        <f t="shared" ca="1" si="190"/>
        <v>0</v>
      </c>
      <c r="Q189" s="78">
        <f t="shared" ca="1" si="191"/>
        <v>0</v>
      </c>
      <c r="R189" s="4">
        <f ca="1">-SUMIFS(INDIRECT("Tab_000.Trial["&amp;R$4&amp;"]"),Tab_000.Trial[CONTA],$B189)</f>
        <v>0</v>
      </c>
      <c r="S189" s="78">
        <f t="shared" ca="1" si="192"/>
        <v>0</v>
      </c>
      <c r="T189" s="78">
        <f t="shared" ca="1" si="193"/>
        <v>0</v>
      </c>
      <c r="U189" s="4">
        <f ca="1">-SUMIFS(INDIRECT("Tab_000.Trial["&amp;U$4&amp;"]"),Tab_000.Trial[CONTA],$B189)</f>
        <v>0</v>
      </c>
      <c r="V189" s="78">
        <f t="shared" ca="1" si="194"/>
        <v>0</v>
      </c>
      <c r="W189" s="78">
        <f t="shared" ca="1" si="195"/>
        <v>0</v>
      </c>
      <c r="X189" s="4">
        <f ca="1">-SUMIFS(INDIRECT("Tab_000.Trial["&amp;X$4&amp;"]"),Tab_000.Trial[CONTA],$B189)</f>
        <v>0</v>
      </c>
      <c r="Y189" s="78">
        <f t="shared" ca="1" si="196"/>
        <v>0</v>
      </c>
      <c r="Z189" s="78">
        <f t="shared" ca="1" si="197"/>
        <v>0</v>
      </c>
      <c r="AA189" s="4">
        <f ca="1">-SUMIFS(INDIRECT("Tab_000.Trial["&amp;AA$4&amp;"]"),Tab_000.Trial[CONTA],$B189)</f>
        <v>0</v>
      </c>
      <c r="AB189" s="78">
        <f t="shared" ca="1" si="198"/>
        <v>0</v>
      </c>
      <c r="AC189" s="78">
        <f t="shared" ca="1" si="199"/>
        <v>0</v>
      </c>
      <c r="AD189" s="4">
        <f ca="1">-SUMIFS(INDIRECT("Tab_000.Trial["&amp;AD$4&amp;"]"),Tab_000.Trial[CONTA],$B189)</f>
        <v>0</v>
      </c>
      <c r="AE189" s="78">
        <f t="shared" ca="1" si="200"/>
        <v>0</v>
      </c>
      <c r="AF189" s="78">
        <f t="shared" ca="1" si="201"/>
        <v>0</v>
      </c>
      <c r="AG189" s="4">
        <f ca="1">-SUMIFS(INDIRECT("Tab_000.Trial["&amp;AG$4&amp;"]"),Tab_000.Trial[CONTA],$B189)</f>
        <v>0</v>
      </c>
      <c r="AH189" s="78">
        <f t="shared" ca="1" si="202"/>
        <v>0</v>
      </c>
      <c r="AI189" s="78">
        <f t="shared" ca="1" si="203"/>
        <v>0</v>
      </c>
      <c r="AJ189" s="4">
        <f ca="1">-SUMIFS(INDIRECT("Tab_000.Trial["&amp;AJ$4&amp;"]"),Tab_000.Trial[CONTA],$B189)</f>
        <v>0</v>
      </c>
      <c r="AK189" s="78">
        <f t="shared" ca="1" si="204"/>
        <v>0</v>
      </c>
      <c r="AL189" s="78">
        <f t="shared" ca="1" si="205"/>
        <v>0</v>
      </c>
    </row>
    <row r="190" spans="2:39" ht="15" customHeight="1" outlineLevel="1" x14ac:dyDescent="0.3">
      <c r="B190" s="14"/>
      <c r="C190" s="14"/>
      <c r="D190" s="4">
        <f ca="1">-SUMIFS(INDIRECT("Tab_000.Trial["&amp;D$4&amp;"]"),Tab_000.Trial[CONTA],$B190)</f>
        <v>0</v>
      </c>
      <c r="E190" s="78">
        <f t="shared" ca="1" si="183"/>
        <v>0</v>
      </c>
      <c r="F190" s="4">
        <f ca="1">-SUMIFS(INDIRECT("Tab_000.Trial["&amp;F$4&amp;"]"),Tab_000.Trial[CONTA],$B190)</f>
        <v>0</v>
      </c>
      <c r="G190" s="78">
        <f t="shared" ca="1" si="185"/>
        <v>0</v>
      </c>
      <c r="H190" s="78">
        <f t="shared" ca="1" si="184"/>
        <v>0</v>
      </c>
      <c r="I190" s="4">
        <f ca="1">-SUMIFS(INDIRECT("Tab_000.Trial["&amp;I$4&amp;"]"),Tab_000.Trial[CONTA],$B190)</f>
        <v>0</v>
      </c>
      <c r="J190" s="78">
        <f t="shared" ca="1" si="186"/>
        <v>0</v>
      </c>
      <c r="K190" s="78">
        <f t="shared" ca="1" si="187"/>
        <v>0</v>
      </c>
      <c r="L190" s="4">
        <f ca="1">-SUMIFS(INDIRECT("Tab_000.Trial["&amp;L$4&amp;"]"),Tab_000.Trial[CONTA],$B190)</f>
        <v>0</v>
      </c>
      <c r="M190" s="78">
        <f t="shared" ca="1" si="188"/>
        <v>0</v>
      </c>
      <c r="N190" s="78">
        <f t="shared" ca="1" si="189"/>
        <v>0</v>
      </c>
      <c r="O190" s="4">
        <f ca="1">-SUMIFS(INDIRECT("Tab_000.Trial["&amp;O$4&amp;"]"),Tab_000.Trial[CONTA],$B190)</f>
        <v>0</v>
      </c>
      <c r="P190" s="78">
        <f t="shared" ca="1" si="190"/>
        <v>0</v>
      </c>
      <c r="Q190" s="78">
        <f t="shared" ca="1" si="191"/>
        <v>0</v>
      </c>
      <c r="R190" s="4">
        <f ca="1">-SUMIFS(INDIRECT("Tab_000.Trial["&amp;R$4&amp;"]"),Tab_000.Trial[CONTA],$B190)</f>
        <v>0</v>
      </c>
      <c r="S190" s="78">
        <f t="shared" ca="1" si="192"/>
        <v>0</v>
      </c>
      <c r="T190" s="78">
        <f t="shared" ca="1" si="193"/>
        <v>0</v>
      </c>
      <c r="U190" s="4">
        <f ca="1">-SUMIFS(INDIRECT("Tab_000.Trial["&amp;U$4&amp;"]"),Tab_000.Trial[CONTA],$B190)</f>
        <v>0</v>
      </c>
      <c r="V190" s="78">
        <f t="shared" ca="1" si="194"/>
        <v>0</v>
      </c>
      <c r="W190" s="78">
        <f t="shared" ca="1" si="195"/>
        <v>0</v>
      </c>
      <c r="X190" s="4">
        <f ca="1">-SUMIFS(INDIRECT("Tab_000.Trial["&amp;X$4&amp;"]"),Tab_000.Trial[CONTA],$B190)</f>
        <v>0</v>
      </c>
      <c r="Y190" s="78">
        <f t="shared" ca="1" si="196"/>
        <v>0</v>
      </c>
      <c r="Z190" s="78">
        <f t="shared" ca="1" si="197"/>
        <v>0</v>
      </c>
      <c r="AA190" s="4">
        <f ca="1">-SUMIFS(INDIRECT("Tab_000.Trial["&amp;AA$4&amp;"]"),Tab_000.Trial[CONTA],$B190)</f>
        <v>0</v>
      </c>
      <c r="AB190" s="78">
        <f t="shared" ca="1" si="198"/>
        <v>0</v>
      </c>
      <c r="AC190" s="78">
        <f t="shared" ca="1" si="199"/>
        <v>0</v>
      </c>
      <c r="AD190" s="4">
        <f ca="1">-SUMIFS(INDIRECT("Tab_000.Trial["&amp;AD$4&amp;"]"),Tab_000.Trial[CONTA],$B190)</f>
        <v>0</v>
      </c>
      <c r="AE190" s="78">
        <f t="shared" ca="1" si="200"/>
        <v>0</v>
      </c>
      <c r="AF190" s="78">
        <f t="shared" ca="1" si="201"/>
        <v>0</v>
      </c>
      <c r="AG190" s="4">
        <f ca="1">-SUMIFS(INDIRECT("Tab_000.Trial["&amp;AG$4&amp;"]"),Tab_000.Trial[CONTA],$B190)</f>
        <v>0</v>
      </c>
      <c r="AH190" s="78">
        <f t="shared" ca="1" si="202"/>
        <v>0</v>
      </c>
      <c r="AI190" s="78">
        <f t="shared" ca="1" si="203"/>
        <v>0</v>
      </c>
      <c r="AJ190" s="4">
        <f ca="1">-SUMIFS(INDIRECT("Tab_000.Trial["&amp;AJ$4&amp;"]"),Tab_000.Trial[CONTA],$B190)</f>
        <v>0</v>
      </c>
      <c r="AK190" s="78">
        <f t="shared" ca="1" si="204"/>
        <v>0</v>
      </c>
      <c r="AL190" s="78">
        <f t="shared" ca="1" si="205"/>
        <v>0</v>
      </c>
    </row>
    <row r="191" spans="2:39" ht="15" customHeight="1" outlineLevel="1" x14ac:dyDescent="0.3">
      <c r="B191" s="14"/>
      <c r="C191" s="14"/>
      <c r="D191" s="4">
        <f ca="1">-SUMIFS(INDIRECT("Tab_000.Trial["&amp;D$4&amp;"]"),Tab_000.Trial[CONTA],$B191)</f>
        <v>0</v>
      </c>
      <c r="E191" s="78">
        <f t="shared" ca="1" si="183"/>
        <v>0</v>
      </c>
      <c r="F191" s="4">
        <f ca="1">-SUMIFS(INDIRECT("Tab_000.Trial["&amp;F$4&amp;"]"),Tab_000.Trial[CONTA],$B191)</f>
        <v>0</v>
      </c>
      <c r="G191" s="78">
        <f t="shared" ca="1" si="185"/>
        <v>0</v>
      </c>
      <c r="H191" s="78">
        <f t="shared" ca="1" si="184"/>
        <v>0</v>
      </c>
      <c r="I191" s="4">
        <f ca="1">-SUMIFS(INDIRECT("Tab_000.Trial["&amp;I$4&amp;"]"),Tab_000.Trial[CONTA],$B191)</f>
        <v>0</v>
      </c>
      <c r="J191" s="78">
        <f t="shared" ca="1" si="186"/>
        <v>0</v>
      </c>
      <c r="K191" s="78">
        <f t="shared" ca="1" si="187"/>
        <v>0</v>
      </c>
      <c r="L191" s="4">
        <f ca="1">-SUMIFS(INDIRECT("Tab_000.Trial["&amp;L$4&amp;"]"),Tab_000.Trial[CONTA],$B191)</f>
        <v>0</v>
      </c>
      <c r="M191" s="78">
        <f t="shared" ca="1" si="188"/>
        <v>0</v>
      </c>
      <c r="N191" s="78">
        <f t="shared" ca="1" si="189"/>
        <v>0</v>
      </c>
      <c r="O191" s="4">
        <f ca="1">-SUMIFS(INDIRECT("Tab_000.Trial["&amp;O$4&amp;"]"),Tab_000.Trial[CONTA],$B191)</f>
        <v>0</v>
      </c>
      <c r="P191" s="78">
        <f t="shared" ca="1" si="190"/>
        <v>0</v>
      </c>
      <c r="Q191" s="78">
        <f t="shared" ca="1" si="191"/>
        <v>0</v>
      </c>
      <c r="R191" s="4">
        <f ca="1">-SUMIFS(INDIRECT("Tab_000.Trial["&amp;R$4&amp;"]"),Tab_000.Trial[CONTA],$B191)</f>
        <v>0</v>
      </c>
      <c r="S191" s="78">
        <f t="shared" ca="1" si="192"/>
        <v>0</v>
      </c>
      <c r="T191" s="78">
        <f t="shared" ca="1" si="193"/>
        <v>0</v>
      </c>
      <c r="U191" s="4">
        <f ca="1">-SUMIFS(INDIRECT("Tab_000.Trial["&amp;U$4&amp;"]"),Tab_000.Trial[CONTA],$B191)</f>
        <v>0</v>
      </c>
      <c r="V191" s="78">
        <f t="shared" ca="1" si="194"/>
        <v>0</v>
      </c>
      <c r="W191" s="78">
        <f t="shared" ca="1" si="195"/>
        <v>0</v>
      </c>
      <c r="X191" s="4">
        <f ca="1">-SUMIFS(INDIRECT("Tab_000.Trial["&amp;X$4&amp;"]"),Tab_000.Trial[CONTA],$B191)</f>
        <v>0</v>
      </c>
      <c r="Y191" s="78">
        <f t="shared" ca="1" si="196"/>
        <v>0</v>
      </c>
      <c r="Z191" s="78">
        <f t="shared" ca="1" si="197"/>
        <v>0</v>
      </c>
      <c r="AA191" s="4">
        <f ca="1">-SUMIFS(INDIRECT("Tab_000.Trial["&amp;AA$4&amp;"]"),Tab_000.Trial[CONTA],$B191)</f>
        <v>0</v>
      </c>
      <c r="AB191" s="78">
        <f t="shared" ca="1" si="198"/>
        <v>0</v>
      </c>
      <c r="AC191" s="78">
        <f t="shared" ca="1" si="199"/>
        <v>0</v>
      </c>
      <c r="AD191" s="4">
        <f ca="1">-SUMIFS(INDIRECT("Tab_000.Trial["&amp;AD$4&amp;"]"),Tab_000.Trial[CONTA],$B191)</f>
        <v>0</v>
      </c>
      <c r="AE191" s="78">
        <f t="shared" ca="1" si="200"/>
        <v>0</v>
      </c>
      <c r="AF191" s="78">
        <f t="shared" ca="1" si="201"/>
        <v>0</v>
      </c>
      <c r="AG191" s="4">
        <f ca="1">-SUMIFS(INDIRECT("Tab_000.Trial["&amp;AG$4&amp;"]"),Tab_000.Trial[CONTA],$B191)</f>
        <v>0</v>
      </c>
      <c r="AH191" s="78">
        <f t="shared" ca="1" si="202"/>
        <v>0</v>
      </c>
      <c r="AI191" s="78">
        <f t="shared" ca="1" si="203"/>
        <v>0</v>
      </c>
      <c r="AJ191" s="4">
        <f ca="1">-SUMIFS(INDIRECT("Tab_000.Trial["&amp;AJ$4&amp;"]"),Tab_000.Trial[CONTA],$B191)</f>
        <v>0</v>
      </c>
      <c r="AK191" s="78">
        <f t="shared" ca="1" si="204"/>
        <v>0</v>
      </c>
      <c r="AL191" s="78">
        <f t="shared" ca="1" si="205"/>
        <v>0</v>
      </c>
    </row>
    <row r="192" spans="2:39" ht="15" customHeight="1" outlineLevel="1" x14ac:dyDescent="0.3">
      <c r="B192" s="14"/>
      <c r="C192" s="14"/>
      <c r="D192" s="4">
        <f ca="1">-SUMIFS(INDIRECT("Tab_000.Trial["&amp;D$4&amp;"]"),Tab_000.Trial[CONTA],$B192)</f>
        <v>0</v>
      </c>
      <c r="E192" s="78">
        <f t="shared" ca="1" si="183"/>
        <v>0</v>
      </c>
      <c r="F192" s="4">
        <f ca="1">-SUMIFS(INDIRECT("Tab_000.Trial["&amp;F$4&amp;"]"),Tab_000.Trial[CONTA],$B192)</f>
        <v>0</v>
      </c>
      <c r="G192" s="78">
        <f t="shared" ca="1" si="185"/>
        <v>0</v>
      </c>
      <c r="H192" s="78">
        <f t="shared" ca="1" si="184"/>
        <v>0</v>
      </c>
      <c r="I192" s="4">
        <f ca="1">-SUMIFS(INDIRECT("Tab_000.Trial["&amp;I$4&amp;"]"),Tab_000.Trial[CONTA],$B192)</f>
        <v>0</v>
      </c>
      <c r="J192" s="78">
        <f t="shared" ca="1" si="186"/>
        <v>0</v>
      </c>
      <c r="K192" s="78">
        <f t="shared" ca="1" si="187"/>
        <v>0</v>
      </c>
      <c r="L192" s="4">
        <f ca="1">-SUMIFS(INDIRECT("Tab_000.Trial["&amp;L$4&amp;"]"),Tab_000.Trial[CONTA],$B192)</f>
        <v>0</v>
      </c>
      <c r="M192" s="78">
        <f t="shared" ca="1" si="188"/>
        <v>0</v>
      </c>
      <c r="N192" s="78">
        <f t="shared" ca="1" si="189"/>
        <v>0</v>
      </c>
      <c r="O192" s="4">
        <f ca="1">-SUMIFS(INDIRECT("Tab_000.Trial["&amp;O$4&amp;"]"),Tab_000.Trial[CONTA],$B192)</f>
        <v>0</v>
      </c>
      <c r="P192" s="78">
        <f t="shared" ca="1" si="190"/>
        <v>0</v>
      </c>
      <c r="Q192" s="78">
        <f t="shared" ca="1" si="191"/>
        <v>0</v>
      </c>
      <c r="R192" s="4">
        <f ca="1">-SUMIFS(INDIRECT("Tab_000.Trial["&amp;R$4&amp;"]"),Tab_000.Trial[CONTA],$B192)</f>
        <v>0</v>
      </c>
      <c r="S192" s="78">
        <f t="shared" ca="1" si="192"/>
        <v>0</v>
      </c>
      <c r="T192" s="78">
        <f t="shared" ca="1" si="193"/>
        <v>0</v>
      </c>
      <c r="U192" s="4">
        <f ca="1">-SUMIFS(INDIRECT("Tab_000.Trial["&amp;U$4&amp;"]"),Tab_000.Trial[CONTA],$B192)</f>
        <v>0</v>
      </c>
      <c r="V192" s="78">
        <f t="shared" ca="1" si="194"/>
        <v>0</v>
      </c>
      <c r="W192" s="78">
        <f t="shared" ca="1" si="195"/>
        <v>0</v>
      </c>
      <c r="X192" s="4">
        <f ca="1">-SUMIFS(INDIRECT("Tab_000.Trial["&amp;X$4&amp;"]"),Tab_000.Trial[CONTA],$B192)</f>
        <v>0</v>
      </c>
      <c r="Y192" s="78">
        <f t="shared" ca="1" si="196"/>
        <v>0</v>
      </c>
      <c r="Z192" s="78">
        <f t="shared" ca="1" si="197"/>
        <v>0</v>
      </c>
      <c r="AA192" s="4">
        <f ca="1">-SUMIFS(INDIRECT("Tab_000.Trial["&amp;AA$4&amp;"]"),Tab_000.Trial[CONTA],$B192)</f>
        <v>0</v>
      </c>
      <c r="AB192" s="78">
        <f t="shared" ca="1" si="198"/>
        <v>0</v>
      </c>
      <c r="AC192" s="78">
        <f t="shared" ca="1" si="199"/>
        <v>0</v>
      </c>
      <c r="AD192" s="4">
        <f ca="1">-SUMIFS(INDIRECT("Tab_000.Trial["&amp;AD$4&amp;"]"),Tab_000.Trial[CONTA],$B192)</f>
        <v>0</v>
      </c>
      <c r="AE192" s="78">
        <f t="shared" ca="1" si="200"/>
        <v>0</v>
      </c>
      <c r="AF192" s="78">
        <f t="shared" ca="1" si="201"/>
        <v>0</v>
      </c>
      <c r="AG192" s="4">
        <f ca="1">-SUMIFS(INDIRECT("Tab_000.Trial["&amp;AG$4&amp;"]"),Tab_000.Trial[CONTA],$B192)</f>
        <v>0</v>
      </c>
      <c r="AH192" s="78">
        <f t="shared" ca="1" si="202"/>
        <v>0</v>
      </c>
      <c r="AI192" s="78">
        <f t="shared" ca="1" si="203"/>
        <v>0</v>
      </c>
      <c r="AJ192" s="4">
        <f ca="1">-SUMIFS(INDIRECT("Tab_000.Trial["&amp;AJ$4&amp;"]"),Tab_000.Trial[CONTA],$B192)</f>
        <v>0</v>
      </c>
      <c r="AK192" s="78">
        <f t="shared" ca="1" si="204"/>
        <v>0</v>
      </c>
      <c r="AL192" s="78">
        <f t="shared" ca="1" si="205"/>
        <v>0</v>
      </c>
    </row>
    <row r="193" spans="2:38" ht="5.0999999999999996" customHeight="1" outlineLevel="1" x14ac:dyDescent="0.3">
      <c r="B193" s="74"/>
      <c r="C193" s="75"/>
      <c r="D193" s="76"/>
      <c r="E193" s="77"/>
      <c r="F193" s="76"/>
      <c r="G193" s="77"/>
      <c r="H193" s="77"/>
      <c r="I193" s="76"/>
      <c r="J193" s="77"/>
      <c r="K193" s="77"/>
      <c r="L193" s="76"/>
      <c r="M193" s="77"/>
      <c r="N193" s="77"/>
      <c r="O193" s="76"/>
      <c r="P193" s="77"/>
      <c r="Q193" s="77"/>
      <c r="R193" s="76"/>
      <c r="S193" s="77"/>
      <c r="T193" s="77"/>
      <c r="U193" s="76"/>
      <c r="V193" s="77"/>
      <c r="W193" s="77"/>
      <c r="X193" s="76"/>
      <c r="Y193" s="77"/>
      <c r="Z193" s="77"/>
      <c r="AA193" s="76"/>
      <c r="AB193" s="77"/>
      <c r="AC193" s="77"/>
      <c r="AD193" s="76"/>
      <c r="AE193" s="77"/>
      <c r="AF193" s="77"/>
      <c r="AG193" s="76"/>
      <c r="AH193" s="77"/>
      <c r="AI193" s="77"/>
      <c r="AJ193" s="76"/>
      <c r="AK193" s="77"/>
      <c r="AL193" s="77"/>
    </row>
    <row r="194" spans="2:38" ht="15" customHeight="1" collapsed="1" x14ac:dyDescent="0.3">
      <c r="D194" s="8">
        <f ca="1">SUBTOTAL(9,D$178:D$193)</f>
        <v>202366.66</v>
      </c>
      <c r="E194" s="83">
        <f ca="1">IFERROR($D194/$D$6,0)</f>
        <v>0.21299999999999999</v>
      </c>
      <c r="F194" s="8">
        <f ca="1">SUBTOTAL(9,F$178:F$193)</f>
        <v>217970.95</v>
      </c>
      <c r="G194" s="83">
        <f ca="1">IFERROR($F194/$F$6,0)</f>
        <v>0.2235</v>
      </c>
      <c r="H194" s="83">
        <f ca="1">IFERROR(($F194-$D194)/ABS($D194),0)</f>
        <v>7.7100000000000002E-2</v>
      </c>
      <c r="I194" s="8">
        <f ca="1">SUBTOTAL(9,I$178:I$193)</f>
        <v>306050.37</v>
      </c>
      <c r="J194" s="83">
        <f ca="1">IFERROR($I194/$I$6,0)</f>
        <v>0.29120000000000001</v>
      </c>
      <c r="K194" s="83">
        <f ca="1">IFERROR(($I194-$F194)/ABS($F194),0)</f>
        <v>0.40410000000000001</v>
      </c>
      <c r="L194" s="8">
        <f ca="1">SUBTOTAL(9,L$178:L$193)</f>
        <v>-25793.8</v>
      </c>
      <c r="M194" s="83">
        <f ca="1">IFERROR($L194/$L$6,0)</f>
        <v>-2.3300000000000001E-2</v>
      </c>
      <c r="N194" s="83">
        <f ca="1">IFERROR(($L194-$I194)/ABS($I194),0)</f>
        <v>-1.0843</v>
      </c>
      <c r="O194" s="8">
        <f ca="1">SUBTOTAL(9,O$178:O$193)</f>
        <v>325778.43</v>
      </c>
      <c r="P194" s="83">
        <f ca="1">IFERROR($O194/$O$6,0)</f>
        <v>0.26869999999999999</v>
      </c>
      <c r="Q194" s="83">
        <f ca="1">IFERROR(($O194-$L194)/ABS($L194),0)</f>
        <v>13.630100000000001</v>
      </c>
      <c r="R194" s="8">
        <f ca="1">SUBTOTAL(9,R$178:R$193)</f>
        <v>202799.9</v>
      </c>
      <c r="S194" s="83">
        <f ca="1">IFERROR($R194/$R$6,0)</f>
        <v>0.2011</v>
      </c>
      <c r="T194" s="83">
        <f ca="1">IFERROR(($R194-$O194)/ABS($O194),0)</f>
        <v>-0.3775</v>
      </c>
      <c r="U194" s="8">
        <f ca="1">SUBTOTAL(9,U$178:U$193)</f>
        <v>435068.33</v>
      </c>
      <c r="V194" s="83">
        <f ca="1">IFERROR($U194/$U$6,0)</f>
        <v>0.4047</v>
      </c>
      <c r="W194" s="83">
        <f ca="1">IFERROR(($U194-$R194)/ABS($R194),0)</f>
        <v>1.1453</v>
      </c>
      <c r="X194" s="8">
        <f ca="1">SUBTOTAL(9,X$178:X$193)</f>
        <v>374894.05</v>
      </c>
      <c r="Y194" s="83">
        <f ca="1">IFERROR($X194/$X$6,0)</f>
        <v>0.35980000000000001</v>
      </c>
      <c r="Z194" s="83">
        <f ca="1">IFERROR(($X194-$U194)/ABS($U194),0)</f>
        <v>-0.13830000000000001</v>
      </c>
      <c r="AA194" s="8">
        <f ca="1">SUBTOTAL(9,AA$178:AA$193)</f>
        <v>151946.22</v>
      </c>
      <c r="AB194" s="83">
        <f ca="1">IFERROR($AA194/$AA$6,0)</f>
        <v>0.156</v>
      </c>
      <c r="AC194" s="83">
        <f ca="1">IFERROR(($AA194-$X194)/ABS($X194),0)</f>
        <v>-0.59470000000000001</v>
      </c>
      <c r="AD194" s="8">
        <f ca="1">SUBTOTAL(9,AD$178:AD$193)</f>
        <v>210610.08</v>
      </c>
      <c r="AE194" s="83">
        <f ca="1">IFERROR($AD194/$AD$6,0)</f>
        <v>0.1694</v>
      </c>
      <c r="AF194" s="83">
        <f ca="1">IFERROR(($AD194-$AA194)/ABS($AA194),0)</f>
        <v>0.3861</v>
      </c>
      <c r="AG194" s="8">
        <f ca="1">SUBTOTAL(9,AG$178:AG$193)</f>
        <v>330440.71999999997</v>
      </c>
      <c r="AH194" s="83">
        <f ca="1">IFERROR($AG194/$AG$6,0)</f>
        <v>0.36</v>
      </c>
      <c r="AI194" s="83">
        <f ca="1">IFERROR(($AG194-$AD194)/ABS($AD194),0)</f>
        <v>0.56899999999999995</v>
      </c>
      <c r="AJ194" s="8">
        <f ca="1">SUBTOTAL(9,AJ$178:AJ$193)</f>
        <v>-96204.15</v>
      </c>
      <c r="AK194" s="83">
        <f ca="1">IFERROR($AJ194/$AJ$6,0)</f>
        <v>-6.4799999999999996E-2</v>
      </c>
      <c r="AL194" s="83">
        <f ca="1">IFERROR(($AJ194-$AG194)/ABS($AG194),0)</f>
        <v>-1.2910999999999999</v>
      </c>
    </row>
    <row r="195" spans="2:38" ht="5.0999999999999996" customHeight="1" x14ac:dyDescent="0.3"/>
    <row r="196" spans="2:38" ht="5.0999999999999996" customHeight="1" x14ac:dyDescent="0.3"/>
    <row r="197" spans="2:38" ht="5.0999999999999996" customHeight="1" x14ac:dyDescent="0.3"/>
    <row r="198" spans="2:38" ht="5.0999999999999996" customHeight="1" x14ac:dyDescent="0.3"/>
    <row r="199" spans="2:38" ht="15" customHeight="1" x14ac:dyDescent="0.3">
      <c r="C199" s="17" t="s">
        <v>157</v>
      </c>
    </row>
    <row r="200" spans="2:38" ht="15" customHeight="1" x14ac:dyDescent="0.3">
      <c r="B200" s="3" t="s">
        <v>72</v>
      </c>
      <c r="C200" s="3" t="s">
        <v>158</v>
      </c>
      <c r="D200" s="4">
        <f ca="1">SUBTOTAL(9,D$201:D$203)</f>
        <v>0</v>
      </c>
      <c r="E200" s="78">
        <f t="shared" ref="E200:E202" ca="1" si="206">IFERROR($D200/$D$6,0)</f>
        <v>0</v>
      </c>
      <c r="F200" s="4">
        <f ca="1">SUBTOTAL(9,F$201:F$203)</f>
        <v>0</v>
      </c>
      <c r="G200" s="78">
        <f t="shared" ref="G200:G202" ca="1" si="207">IFERROR($F200/$F$6,0)</f>
        <v>0</v>
      </c>
      <c r="H200" s="78">
        <f t="shared" ref="H200:H202" ca="1" si="208">IFERROR(($F200-$D200)/ABS($D200),0)</f>
        <v>0</v>
      </c>
      <c r="I200" s="4">
        <f ca="1">SUBTOTAL(9,I$201:I$203)</f>
        <v>0</v>
      </c>
      <c r="J200" s="78">
        <f t="shared" ref="J200:J202" ca="1" si="209">IFERROR($I200/$I$6,0)</f>
        <v>0</v>
      </c>
      <c r="K200" s="78">
        <f t="shared" ref="K200:K202" ca="1" si="210">IFERROR(($I200-$F200)/ABS($F200),0)</f>
        <v>0</v>
      </c>
      <c r="L200" s="4">
        <f ca="1">SUBTOTAL(9,L$201:L$203)</f>
        <v>0</v>
      </c>
      <c r="M200" s="78">
        <f t="shared" ref="M200:M202" ca="1" si="211">IFERROR($L200/$L$6,0)</f>
        <v>0</v>
      </c>
      <c r="N200" s="78">
        <f t="shared" ref="N200:N202" ca="1" si="212">IFERROR(($L200-$I200)/ABS($I200),0)</f>
        <v>0</v>
      </c>
      <c r="O200" s="4">
        <f ca="1">SUBTOTAL(9,O$201:O$203)</f>
        <v>0</v>
      </c>
      <c r="P200" s="78">
        <f t="shared" ref="P200:P202" ca="1" si="213">IFERROR($O200/$O$6,0)</f>
        <v>0</v>
      </c>
      <c r="Q200" s="78">
        <f t="shared" ref="Q200:Q202" ca="1" si="214">IFERROR(($O200-$L200)/ABS($L200),0)</f>
        <v>0</v>
      </c>
      <c r="R200" s="4">
        <f ca="1">SUBTOTAL(9,R$201:R$203)</f>
        <v>0</v>
      </c>
      <c r="S200" s="78">
        <f t="shared" ref="S200:S202" ca="1" si="215">IFERROR($R200/$R$6,0)</f>
        <v>0</v>
      </c>
      <c r="T200" s="78">
        <f t="shared" ref="T200:T202" ca="1" si="216">IFERROR(($R200-$O200)/ABS($O200),0)</f>
        <v>0</v>
      </c>
      <c r="U200" s="4">
        <f ca="1">SUBTOTAL(9,U$201:U$203)</f>
        <v>0</v>
      </c>
      <c r="V200" s="78">
        <f t="shared" ref="V200:V202" ca="1" si="217">IFERROR($U200/$U$6,0)</f>
        <v>0</v>
      </c>
      <c r="W200" s="78">
        <f t="shared" ref="W200:W202" ca="1" si="218">IFERROR(($U200-$R200)/ABS($R200),0)</f>
        <v>0</v>
      </c>
      <c r="X200" s="4">
        <f ca="1">SUBTOTAL(9,X$201:X$203)</f>
        <v>0</v>
      </c>
      <c r="Y200" s="78">
        <f t="shared" ref="Y200:Y202" ca="1" si="219">IFERROR($X200/$X$6,0)</f>
        <v>0</v>
      </c>
      <c r="Z200" s="78">
        <f t="shared" ref="Z200:Z202" ca="1" si="220">IFERROR(($X200-$U200)/ABS($U200),0)</f>
        <v>0</v>
      </c>
      <c r="AA200" s="4">
        <f ca="1">SUBTOTAL(9,AA$201:AA$203)</f>
        <v>0</v>
      </c>
      <c r="AB200" s="78">
        <f t="shared" ref="AB200:AB202" ca="1" si="221">IFERROR($AA200/$AA$6,0)</f>
        <v>0</v>
      </c>
      <c r="AC200" s="78">
        <f t="shared" ref="AC200:AC202" ca="1" si="222">IFERROR(($AA200-$X200)/ABS($X200),0)</f>
        <v>0</v>
      </c>
      <c r="AD200" s="4">
        <f ca="1">SUBTOTAL(9,AD$201:AD$203)</f>
        <v>0</v>
      </c>
      <c r="AE200" s="78">
        <f t="shared" ref="AE200:AE202" ca="1" si="223">IFERROR($AD200/$AD$6,0)</f>
        <v>0</v>
      </c>
      <c r="AF200" s="78">
        <f t="shared" ref="AF200:AF202" ca="1" si="224">IFERROR(($AD200-$AA200)/ABS($AA200),0)</f>
        <v>0</v>
      </c>
      <c r="AG200" s="4">
        <f ca="1">SUBTOTAL(9,AG$201:AG$203)</f>
        <v>0</v>
      </c>
      <c r="AH200" s="78">
        <f t="shared" ref="AH200:AH202" ca="1" si="225">IFERROR($AG200/$AG$6,0)</f>
        <v>0</v>
      </c>
      <c r="AI200" s="78">
        <f t="shared" ref="AI200:AI202" ca="1" si="226">IFERROR(($AG200-$AD200)/ABS($AD200),0)</f>
        <v>0</v>
      </c>
      <c r="AJ200" s="4">
        <f ca="1">SUBTOTAL(9,AJ$201:AJ$203)</f>
        <v>0</v>
      </c>
      <c r="AK200" s="78">
        <f t="shared" ref="AK200:AK202" ca="1" si="227">IFERROR($AJ200/$AJ$6,0)</f>
        <v>0</v>
      </c>
      <c r="AL200" s="78">
        <f t="shared" ref="AL200:AL202" ca="1" si="228">IFERROR(($AJ200-$AG200)/ABS($AG200),0)</f>
        <v>0</v>
      </c>
    </row>
    <row r="201" spans="2:38" ht="15" customHeight="1" outlineLevel="1" x14ac:dyDescent="0.3">
      <c r="B201" s="14"/>
      <c r="C201" s="14"/>
      <c r="D201" s="4">
        <f ca="1">-SUMIFS(INDIRECT("Tab_000.Trial["&amp;D$4&amp;"]"),Tab_000.Trial[CONTA],$B201)</f>
        <v>0</v>
      </c>
      <c r="E201" s="78">
        <f t="shared" ca="1" si="206"/>
        <v>0</v>
      </c>
      <c r="F201" s="4">
        <f ca="1">-SUMIFS(INDIRECT("Tab_000.Trial["&amp;F$4&amp;"]"),Tab_000.Trial[CONTA],$B201)</f>
        <v>0</v>
      </c>
      <c r="G201" s="78">
        <f t="shared" ca="1" si="207"/>
        <v>0</v>
      </c>
      <c r="H201" s="78">
        <f t="shared" ca="1" si="208"/>
        <v>0</v>
      </c>
      <c r="I201" s="4">
        <f ca="1">-SUMIFS(INDIRECT("Tab_000.Trial["&amp;I$4&amp;"]"),Tab_000.Trial[CONTA],$B201)</f>
        <v>0</v>
      </c>
      <c r="J201" s="78">
        <f t="shared" ca="1" si="209"/>
        <v>0</v>
      </c>
      <c r="K201" s="78">
        <f t="shared" ca="1" si="210"/>
        <v>0</v>
      </c>
      <c r="L201" s="4">
        <f ca="1">-SUMIFS(INDIRECT("Tab_000.Trial["&amp;L$4&amp;"]"),Tab_000.Trial[CONTA],$B201)</f>
        <v>0</v>
      </c>
      <c r="M201" s="78">
        <f t="shared" ca="1" si="211"/>
        <v>0</v>
      </c>
      <c r="N201" s="78">
        <f t="shared" ca="1" si="212"/>
        <v>0</v>
      </c>
      <c r="O201" s="4">
        <f ca="1">-SUMIFS(INDIRECT("Tab_000.Trial["&amp;O$4&amp;"]"),Tab_000.Trial[CONTA],$B201)</f>
        <v>0</v>
      </c>
      <c r="P201" s="78">
        <f t="shared" ca="1" si="213"/>
        <v>0</v>
      </c>
      <c r="Q201" s="78">
        <f t="shared" ca="1" si="214"/>
        <v>0</v>
      </c>
      <c r="R201" s="4">
        <f ca="1">-SUMIFS(INDIRECT("Tab_000.Trial["&amp;R$4&amp;"]"),Tab_000.Trial[CONTA],$B201)</f>
        <v>0</v>
      </c>
      <c r="S201" s="78">
        <f t="shared" ca="1" si="215"/>
        <v>0</v>
      </c>
      <c r="T201" s="78">
        <f t="shared" ca="1" si="216"/>
        <v>0</v>
      </c>
      <c r="U201" s="4">
        <f ca="1">-SUMIFS(INDIRECT("Tab_000.Trial["&amp;U$4&amp;"]"),Tab_000.Trial[CONTA],$B201)</f>
        <v>0</v>
      </c>
      <c r="V201" s="78">
        <f t="shared" ca="1" si="217"/>
        <v>0</v>
      </c>
      <c r="W201" s="78">
        <f t="shared" ca="1" si="218"/>
        <v>0</v>
      </c>
      <c r="X201" s="4">
        <f ca="1">-SUMIFS(INDIRECT("Tab_000.Trial["&amp;X$4&amp;"]"),Tab_000.Trial[CONTA],$B201)</f>
        <v>0</v>
      </c>
      <c r="Y201" s="78">
        <f t="shared" ca="1" si="219"/>
        <v>0</v>
      </c>
      <c r="Z201" s="78">
        <f t="shared" ca="1" si="220"/>
        <v>0</v>
      </c>
      <c r="AA201" s="4">
        <f ca="1">-SUMIFS(INDIRECT("Tab_000.Trial["&amp;AA$4&amp;"]"),Tab_000.Trial[CONTA],$B201)</f>
        <v>0</v>
      </c>
      <c r="AB201" s="78">
        <f t="shared" ca="1" si="221"/>
        <v>0</v>
      </c>
      <c r="AC201" s="78">
        <f t="shared" ca="1" si="222"/>
        <v>0</v>
      </c>
      <c r="AD201" s="4">
        <f ca="1">-SUMIFS(INDIRECT("Tab_000.Trial["&amp;AD$4&amp;"]"),Tab_000.Trial[CONTA],$B201)</f>
        <v>0</v>
      </c>
      <c r="AE201" s="78">
        <f t="shared" ca="1" si="223"/>
        <v>0</v>
      </c>
      <c r="AF201" s="78">
        <f t="shared" ca="1" si="224"/>
        <v>0</v>
      </c>
      <c r="AG201" s="4">
        <f ca="1">-SUMIFS(INDIRECT("Tab_000.Trial["&amp;AG$4&amp;"]"),Tab_000.Trial[CONTA],$B201)</f>
        <v>0</v>
      </c>
      <c r="AH201" s="78">
        <f t="shared" ca="1" si="225"/>
        <v>0</v>
      </c>
      <c r="AI201" s="78">
        <f t="shared" ca="1" si="226"/>
        <v>0</v>
      </c>
      <c r="AJ201" s="4">
        <f ca="1">-SUMIFS(INDIRECT("Tab_000.Trial["&amp;AJ$4&amp;"]"),Tab_000.Trial[CONTA],$B201)</f>
        <v>0</v>
      </c>
      <c r="AK201" s="78">
        <f t="shared" ca="1" si="227"/>
        <v>0</v>
      </c>
      <c r="AL201" s="78">
        <f t="shared" ca="1" si="228"/>
        <v>0</v>
      </c>
    </row>
    <row r="202" spans="2:38" ht="15" customHeight="1" outlineLevel="1" x14ac:dyDescent="0.3">
      <c r="B202" s="14"/>
      <c r="C202" s="14"/>
      <c r="D202" s="4">
        <f ca="1">-SUMIFS(INDIRECT("Tab_000.Trial["&amp;D$4&amp;"]"),Tab_000.Trial[CONTA],$B202)</f>
        <v>0</v>
      </c>
      <c r="E202" s="78">
        <f t="shared" ca="1" si="206"/>
        <v>0</v>
      </c>
      <c r="F202" s="4">
        <f ca="1">-SUMIFS(INDIRECT("Tab_000.Trial["&amp;F$4&amp;"]"),Tab_000.Trial[CONTA],$B202)</f>
        <v>0</v>
      </c>
      <c r="G202" s="78">
        <f t="shared" ca="1" si="207"/>
        <v>0</v>
      </c>
      <c r="H202" s="78">
        <f t="shared" ca="1" si="208"/>
        <v>0</v>
      </c>
      <c r="I202" s="4">
        <f ca="1">-SUMIFS(INDIRECT("Tab_000.Trial["&amp;I$4&amp;"]"),Tab_000.Trial[CONTA],$B202)</f>
        <v>0</v>
      </c>
      <c r="J202" s="78">
        <f t="shared" ca="1" si="209"/>
        <v>0</v>
      </c>
      <c r="K202" s="78">
        <f t="shared" ca="1" si="210"/>
        <v>0</v>
      </c>
      <c r="L202" s="4">
        <f ca="1">-SUMIFS(INDIRECT("Tab_000.Trial["&amp;L$4&amp;"]"),Tab_000.Trial[CONTA],$B202)</f>
        <v>0</v>
      </c>
      <c r="M202" s="78">
        <f t="shared" ca="1" si="211"/>
        <v>0</v>
      </c>
      <c r="N202" s="78">
        <f t="shared" ca="1" si="212"/>
        <v>0</v>
      </c>
      <c r="O202" s="4">
        <f ca="1">-SUMIFS(INDIRECT("Tab_000.Trial["&amp;O$4&amp;"]"),Tab_000.Trial[CONTA],$B202)</f>
        <v>0</v>
      </c>
      <c r="P202" s="78">
        <f t="shared" ca="1" si="213"/>
        <v>0</v>
      </c>
      <c r="Q202" s="78">
        <f t="shared" ca="1" si="214"/>
        <v>0</v>
      </c>
      <c r="R202" s="4">
        <f ca="1">-SUMIFS(INDIRECT("Tab_000.Trial["&amp;R$4&amp;"]"),Tab_000.Trial[CONTA],$B202)</f>
        <v>0</v>
      </c>
      <c r="S202" s="78">
        <f t="shared" ca="1" si="215"/>
        <v>0</v>
      </c>
      <c r="T202" s="78">
        <f t="shared" ca="1" si="216"/>
        <v>0</v>
      </c>
      <c r="U202" s="4">
        <f ca="1">-SUMIFS(INDIRECT("Tab_000.Trial["&amp;U$4&amp;"]"),Tab_000.Trial[CONTA],$B202)</f>
        <v>0</v>
      </c>
      <c r="V202" s="78">
        <f t="shared" ca="1" si="217"/>
        <v>0</v>
      </c>
      <c r="W202" s="78">
        <f t="shared" ca="1" si="218"/>
        <v>0</v>
      </c>
      <c r="X202" s="4">
        <f ca="1">-SUMIFS(INDIRECT("Tab_000.Trial["&amp;X$4&amp;"]"),Tab_000.Trial[CONTA],$B202)</f>
        <v>0</v>
      </c>
      <c r="Y202" s="78">
        <f t="shared" ca="1" si="219"/>
        <v>0</v>
      </c>
      <c r="Z202" s="78">
        <f t="shared" ca="1" si="220"/>
        <v>0</v>
      </c>
      <c r="AA202" s="4">
        <f ca="1">-SUMIFS(INDIRECT("Tab_000.Trial["&amp;AA$4&amp;"]"),Tab_000.Trial[CONTA],$B202)</f>
        <v>0</v>
      </c>
      <c r="AB202" s="78">
        <f t="shared" ca="1" si="221"/>
        <v>0</v>
      </c>
      <c r="AC202" s="78">
        <f t="shared" ca="1" si="222"/>
        <v>0</v>
      </c>
      <c r="AD202" s="4">
        <f ca="1">-SUMIFS(INDIRECT("Tab_000.Trial["&amp;AD$4&amp;"]"),Tab_000.Trial[CONTA],$B202)</f>
        <v>0</v>
      </c>
      <c r="AE202" s="78">
        <f t="shared" ca="1" si="223"/>
        <v>0</v>
      </c>
      <c r="AF202" s="78">
        <f t="shared" ca="1" si="224"/>
        <v>0</v>
      </c>
      <c r="AG202" s="4">
        <f ca="1">-SUMIFS(INDIRECT("Tab_000.Trial["&amp;AG$4&amp;"]"),Tab_000.Trial[CONTA],$B202)</f>
        <v>0</v>
      </c>
      <c r="AH202" s="78">
        <f t="shared" ca="1" si="225"/>
        <v>0</v>
      </c>
      <c r="AI202" s="78">
        <f t="shared" ca="1" si="226"/>
        <v>0</v>
      </c>
      <c r="AJ202" s="4">
        <f ca="1">-SUMIFS(INDIRECT("Tab_000.Trial["&amp;AJ$4&amp;"]"),Tab_000.Trial[CONTA],$B202)</f>
        <v>0</v>
      </c>
      <c r="AK202" s="78">
        <f t="shared" ca="1" si="227"/>
        <v>0</v>
      </c>
      <c r="AL202" s="78">
        <f t="shared" ca="1" si="228"/>
        <v>0</v>
      </c>
    </row>
    <row r="203" spans="2:38" ht="5.0999999999999996" customHeight="1" outlineLevel="1" x14ac:dyDescent="0.3">
      <c r="B203" s="74"/>
      <c r="C203" s="75"/>
      <c r="D203" s="76"/>
      <c r="E203" s="77"/>
      <c r="F203" s="76"/>
      <c r="G203" s="77"/>
      <c r="H203" s="77"/>
      <c r="I203" s="76"/>
      <c r="J203" s="77"/>
      <c r="K203" s="77"/>
      <c r="L203" s="76"/>
      <c r="M203" s="77"/>
      <c r="N203" s="77"/>
      <c r="O203" s="76"/>
      <c r="P203" s="77"/>
      <c r="Q203" s="77"/>
      <c r="R203" s="76"/>
      <c r="S203" s="77"/>
      <c r="T203" s="77"/>
      <c r="U203" s="76"/>
      <c r="V203" s="77"/>
      <c r="W203" s="77"/>
      <c r="X203" s="76"/>
      <c r="Y203" s="77"/>
      <c r="Z203" s="77"/>
      <c r="AA203" s="76"/>
      <c r="AB203" s="77"/>
      <c r="AC203" s="77"/>
      <c r="AD203" s="76"/>
      <c r="AE203" s="77"/>
      <c r="AF203" s="77"/>
      <c r="AG203" s="76"/>
      <c r="AH203" s="77"/>
      <c r="AI203" s="77"/>
      <c r="AJ203" s="76"/>
      <c r="AK203" s="77"/>
      <c r="AL203" s="77"/>
    </row>
    <row r="204" spans="2:38" ht="15" customHeight="1" x14ac:dyDescent="0.3">
      <c r="B204" s="3" t="s">
        <v>160</v>
      </c>
      <c r="C204" s="3" t="s">
        <v>159</v>
      </c>
      <c r="D204" s="4">
        <f ca="1">SUBTOTAL(9,D$205:D$207)</f>
        <v>0</v>
      </c>
      <c r="E204" s="78">
        <f t="shared" ref="E204:E206" ca="1" si="229">IFERROR($D204/$D$6,0)</f>
        <v>0</v>
      </c>
      <c r="F204" s="4">
        <f ca="1">SUBTOTAL(9,F$205:F$207)</f>
        <v>0</v>
      </c>
      <c r="G204" s="78">
        <f ca="1">IFERROR($F204/$F$6,0)</f>
        <v>0</v>
      </c>
      <c r="H204" s="78">
        <f t="shared" ref="H204:H206" ca="1" si="230">IFERROR(($F204-$D204)/ABS($D204),0)</f>
        <v>0</v>
      </c>
      <c r="I204" s="4">
        <f ca="1">SUBTOTAL(9,I$205:I$207)</f>
        <v>0</v>
      </c>
      <c r="J204" s="78">
        <f ca="1">IFERROR($I204/$I$6,0)</f>
        <v>0</v>
      </c>
      <c r="K204" s="78">
        <f ca="1">IFERROR(($I204-$F204)/ABS($F204),0)</f>
        <v>0</v>
      </c>
      <c r="L204" s="4">
        <f ca="1">SUBTOTAL(9,L$205:L$207)</f>
        <v>0</v>
      </c>
      <c r="M204" s="78">
        <f ca="1">IFERROR($L204/$L$6,0)</f>
        <v>0</v>
      </c>
      <c r="N204" s="78">
        <f ca="1">IFERROR(($L204-$I204)/ABS($I204),0)</f>
        <v>0</v>
      </c>
      <c r="O204" s="4">
        <f ca="1">SUBTOTAL(9,O$205:O$207)</f>
        <v>0</v>
      </c>
      <c r="P204" s="78">
        <f ca="1">IFERROR($O204/$O$6,0)</f>
        <v>0</v>
      </c>
      <c r="Q204" s="78">
        <f ca="1">IFERROR(($O204-$L204)/ABS($L204),0)</f>
        <v>0</v>
      </c>
      <c r="R204" s="4">
        <f ca="1">SUBTOTAL(9,R$205:R$207)</f>
        <v>0</v>
      </c>
      <c r="S204" s="78">
        <f ca="1">IFERROR($R204/$R$6,0)</f>
        <v>0</v>
      </c>
      <c r="T204" s="78">
        <f ca="1">IFERROR(($R204-$O204)/ABS($O204),0)</f>
        <v>0</v>
      </c>
      <c r="U204" s="4">
        <f ca="1">SUBTOTAL(9,U$205:U$207)</f>
        <v>0</v>
      </c>
      <c r="V204" s="78">
        <f ca="1">IFERROR($U204/$U$6,0)</f>
        <v>0</v>
      </c>
      <c r="W204" s="78">
        <f ca="1">IFERROR(($U204-$R204)/ABS($R204),0)</f>
        <v>0</v>
      </c>
      <c r="X204" s="4">
        <f ca="1">SUBTOTAL(9,X$205:X$207)</f>
        <v>0</v>
      </c>
      <c r="Y204" s="78">
        <f ca="1">IFERROR($X204/$X$6,0)</f>
        <v>0</v>
      </c>
      <c r="Z204" s="78">
        <f ca="1">IFERROR(($X204-$U204)/ABS($U204),0)</f>
        <v>0</v>
      </c>
      <c r="AA204" s="4">
        <f ca="1">SUBTOTAL(9,AA$205:AA$207)</f>
        <v>0</v>
      </c>
      <c r="AB204" s="78">
        <f ca="1">IFERROR($AA204/$AA$6,0)</f>
        <v>0</v>
      </c>
      <c r="AC204" s="78">
        <f ca="1">IFERROR(($AA204-$X204)/ABS($X204),0)</f>
        <v>0</v>
      </c>
      <c r="AD204" s="4">
        <f ca="1">SUBTOTAL(9,AD$205:AD$207)</f>
        <v>0</v>
      </c>
      <c r="AE204" s="78">
        <f ca="1">IFERROR($AD204/$AD$6,0)</f>
        <v>0</v>
      </c>
      <c r="AF204" s="78">
        <f ca="1">IFERROR(($AD204-$AA204)/ABS($AA204),0)</f>
        <v>0</v>
      </c>
      <c r="AG204" s="4">
        <f ca="1">SUBTOTAL(9,AG$205:AG$207)</f>
        <v>0</v>
      </c>
      <c r="AH204" s="78">
        <f ca="1">IFERROR($AG204/$AG$6,0)</f>
        <v>0</v>
      </c>
      <c r="AI204" s="78">
        <f ca="1">IFERROR(($AG204-$AD204)/ABS($AD204),0)</f>
        <v>0</v>
      </c>
      <c r="AJ204" s="4">
        <f ca="1">SUBTOTAL(9,AJ$205:AJ$207)</f>
        <v>0</v>
      </c>
      <c r="AK204" s="78">
        <f ca="1">IFERROR($AJ204/$AJ$6,0)</f>
        <v>0</v>
      </c>
      <c r="AL204" s="78">
        <f ca="1">IFERROR(($AJ204-$AG204)/ABS($AG204),0)</f>
        <v>0</v>
      </c>
    </row>
    <row r="205" spans="2:38" ht="15" customHeight="1" outlineLevel="1" x14ac:dyDescent="0.3">
      <c r="B205" s="14"/>
      <c r="C205" s="14"/>
      <c r="D205" s="4">
        <f ca="1">-SUMIFS(INDIRECT("Tab_000.Trial["&amp;D$4&amp;"]"),Tab_000.Trial[CONTA],$B205)</f>
        <v>0</v>
      </c>
      <c r="E205" s="78">
        <f t="shared" ca="1" si="229"/>
        <v>0</v>
      </c>
      <c r="F205" s="4">
        <f ca="1">-SUMIFS(INDIRECT("Tab_000.Trial["&amp;F$4&amp;"]"),Tab_000.Trial[CONTA],$B205)</f>
        <v>0</v>
      </c>
      <c r="G205" s="78">
        <f t="shared" ref="G205:G206" ca="1" si="231">IFERROR($F205/$F$6,0)</f>
        <v>0</v>
      </c>
      <c r="H205" s="78">
        <f t="shared" ca="1" si="230"/>
        <v>0</v>
      </c>
      <c r="I205" s="4">
        <f ca="1">-SUMIFS(INDIRECT("Tab_000.Trial["&amp;I$4&amp;"]"),Tab_000.Trial[CONTA],$B205)</f>
        <v>0</v>
      </c>
      <c r="J205" s="78">
        <f t="shared" ref="J205:J206" ca="1" si="232">IFERROR($I205/$I$6,0)</f>
        <v>0</v>
      </c>
      <c r="K205" s="78">
        <f t="shared" ref="K205:K206" ca="1" si="233">IFERROR(($I205-$F205)/ABS($F205),0)</f>
        <v>0</v>
      </c>
      <c r="L205" s="4">
        <f ca="1">-SUMIFS(INDIRECT("Tab_000.Trial["&amp;L$4&amp;"]"),Tab_000.Trial[CONTA],$B205)</f>
        <v>0</v>
      </c>
      <c r="M205" s="78">
        <f t="shared" ref="M205:M206" ca="1" si="234">IFERROR($L205/$L$6,0)</f>
        <v>0</v>
      </c>
      <c r="N205" s="78">
        <f t="shared" ref="N205:N206" ca="1" si="235">IFERROR(($L205-$I205)/ABS($I205),0)</f>
        <v>0</v>
      </c>
      <c r="O205" s="4">
        <f ca="1">-SUMIFS(INDIRECT("Tab_000.Trial["&amp;O$4&amp;"]"),Tab_000.Trial[CONTA],$B205)</f>
        <v>0</v>
      </c>
      <c r="P205" s="78">
        <f t="shared" ref="P205:P206" ca="1" si="236">IFERROR($O205/$O$6,0)</f>
        <v>0</v>
      </c>
      <c r="Q205" s="78">
        <f t="shared" ref="Q205:Q206" ca="1" si="237">IFERROR(($O205-$L205)/ABS($L205),0)</f>
        <v>0</v>
      </c>
      <c r="R205" s="4">
        <f ca="1">-SUMIFS(INDIRECT("Tab_000.Trial["&amp;R$4&amp;"]"),Tab_000.Trial[CONTA],$B205)</f>
        <v>0</v>
      </c>
      <c r="S205" s="78">
        <f t="shared" ref="S205:S206" ca="1" si="238">IFERROR($R205/$R$6,0)</f>
        <v>0</v>
      </c>
      <c r="T205" s="78">
        <f t="shared" ref="T205:T206" ca="1" si="239">IFERROR(($R205-$O205)/ABS($O205),0)</f>
        <v>0</v>
      </c>
      <c r="U205" s="4">
        <f ca="1">-SUMIFS(INDIRECT("Tab_000.Trial["&amp;U$4&amp;"]"),Tab_000.Trial[CONTA],$B205)</f>
        <v>0</v>
      </c>
      <c r="V205" s="78">
        <f t="shared" ref="V205:V206" ca="1" si="240">IFERROR($U205/$U$6,0)</f>
        <v>0</v>
      </c>
      <c r="W205" s="78">
        <f t="shared" ref="W205:W206" ca="1" si="241">IFERROR(($U205-$R205)/ABS($R205),0)</f>
        <v>0</v>
      </c>
      <c r="X205" s="4">
        <f ca="1">-SUMIFS(INDIRECT("Tab_000.Trial["&amp;X$4&amp;"]"),Tab_000.Trial[CONTA],$B205)</f>
        <v>0</v>
      </c>
      <c r="Y205" s="78">
        <f t="shared" ref="Y205:Y206" ca="1" si="242">IFERROR($X205/$X$6,0)</f>
        <v>0</v>
      </c>
      <c r="Z205" s="78">
        <f t="shared" ref="Z205:Z206" ca="1" si="243">IFERROR(($X205-$U205)/ABS($U205),0)</f>
        <v>0</v>
      </c>
      <c r="AA205" s="4">
        <f ca="1">-SUMIFS(INDIRECT("Tab_000.Trial["&amp;AA$4&amp;"]"),Tab_000.Trial[CONTA],$B205)</f>
        <v>0</v>
      </c>
      <c r="AB205" s="78">
        <f t="shared" ref="AB205:AB206" ca="1" si="244">IFERROR($AA205/$AA$6,0)</f>
        <v>0</v>
      </c>
      <c r="AC205" s="78">
        <f t="shared" ref="AC205:AC206" ca="1" si="245">IFERROR(($AA205-$X205)/ABS($X205),0)</f>
        <v>0</v>
      </c>
      <c r="AD205" s="4">
        <f ca="1">-SUMIFS(INDIRECT("Tab_000.Trial["&amp;AD$4&amp;"]"),Tab_000.Trial[CONTA],$B205)</f>
        <v>0</v>
      </c>
      <c r="AE205" s="78">
        <f t="shared" ref="AE205:AE206" ca="1" si="246">IFERROR($AD205/$AD$6,0)</f>
        <v>0</v>
      </c>
      <c r="AF205" s="78">
        <f t="shared" ref="AF205:AF206" ca="1" si="247">IFERROR(($AD205-$AA205)/ABS($AA205),0)</f>
        <v>0</v>
      </c>
      <c r="AG205" s="4">
        <f ca="1">-SUMIFS(INDIRECT("Tab_000.Trial["&amp;AG$4&amp;"]"),Tab_000.Trial[CONTA],$B205)</f>
        <v>0</v>
      </c>
      <c r="AH205" s="78">
        <f t="shared" ref="AH205:AH206" ca="1" si="248">IFERROR($AG205/$AG$6,0)</f>
        <v>0</v>
      </c>
      <c r="AI205" s="78">
        <f t="shared" ref="AI205:AI206" ca="1" si="249">IFERROR(($AG205-$AD205)/ABS($AD205),0)</f>
        <v>0</v>
      </c>
      <c r="AJ205" s="4">
        <f ca="1">-SUMIFS(INDIRECT("Tab_000.Trial["&amp;AJ$4&amp;"]"),Tab_000.Trial[CONTA],$B205)</f>
        <v>0</v>
      </c>
      <c r="AK205" s="78">
        <f t="shared" ref="AK205:AK206" ca="1" si="250">IFERROR($AJ205/$AJ$6,0)</f>
        <v>0</v>
      </c>
      <c r="AL205" s="78">
        <f t="shared" ref="AL205:AL206" ca="1" si="251">IFERROR(($AJ205-$AG205)/ABS($AG205),0)</f>
        <v>0</v>
      </c>
    </row>
    <row r="206" spans="2:38" ht="15" customHeight="1" outlineLevel="1" x14ac:dyDescent="0.3">
      <c r="B206" s="14"/>
      <c r="C206" s="14"/>
      <c r="D206" s="4">
        <f ca="1">-SUMIFS(INDIRECT("Tab_000.Trial["&amp;D$4&amp;"]"),Tab_000.Trial[CONTA],$B206)</f>
        <v>0</v>
      </c>
      <c r="E206" s="78">
        <f t="shared" ca="1" si="229"/>
        <v>0</v>
      </c>
      <c r="F206" s="4">
        <f ca="1">-SUMIFS(INDIRECT("Tab_000.Trial["&amp;F$4&amp;"]"),Tab_000.Trial[CONTA],$B206)</f>
        <v>0</v>
      </c>
      <c r="G206" s="78">
        <f t="shared" ca="1" si="231"/>
        <v>0</v>
      </c>
      <c r="H206" s="78">
        <f t="shared" ca="1" si="230"/>
        <v>0</v>
      </c>
      <c r="I206" s="4">
        <f ca="1">-SUMIFS(INDIRECT("Tab_000.Trial["&amp;I$4&amp;"]"),Tab_000.Trial[CONTA],$B206)</f>
        <v>0</v>
      </c>
      <c r="J206" s="78">
        <f t="shared" ca="1" si="232"/>
        <v>0</v>
      </c>
      <c r="K206" s="78">
        <f t="shared" ca="1" si="233"/>
        <v>0</v>
      </c>
      <c r="L206" s="4">
        <f ca="1">-SUMIFS(INDIRECT("Tab_000.Trial["&amp;L$4&amp;"]"),Tab_000.Trial[CONTA],$B206)</f>
        <v>0</v>
      </c>
      <c r="M206" s="78">
        <f t="shared" ca="1" si="234"/>
        <v>0</v>
      </c>
      <c r="N206" s="78">
        <f t="shared" ca="1" si="235"/>
        <v>0</v>
      </c>
      <c r="O206" s="4">
        <f ca="1">-SUMIFS(INDIRECT("Tab_000.Trial["&amp;O$4&amp;"]"),Tab_000.Trial[CONTA],$B206)</f>
        <v>0</v>
      </c>
      <c r="P206" s="78">
        <f t="shared" ca="1" si="236"/>
        <v>0</v>
      </c>
      <c r="Q206" s="78">
        <f t="shared" ca="1" si="237"/>
        <v>0</v>
      </c>
      <c r="R206" s="4">
        <f ca="1">-SUMIFS(INDIRECT("Tab_000.Trial["&amp;R$4&amp;"]"),Tab_000.Trial[CONTA],$B206)</f>
        <v>0</v>
      </c>
      <c r="S206" s="78">
        <f t="shared" ca="1" si="238"/>
        <v>0</v>
      </c>
      <c r="T206" s="78">
        <f t="shared" ca="1" si="239"/>
        <v>0</v>
      </c>
      <c r="U206" s="4">
        <f ca="1">-SUMIFS(INDIRECT("Tab_000.Trial["&amp;U$4&amp;"]"),Tab_000.Trial[CONTA],$B206)</f>
        <v>0</v>
      </c>
      <c r="V206" s="78">
        <f t="shared" ca="1" si="240"/>
        <v>0</v>
      </c>
      <c r="W206" s="78">
        <f t="shared" ca="1" si="241"/>
        <v>0</v>
      </c>
      <c r="X206" s="4">
        <f ca="1">-SUMIFS(INDIRECT("Tab_000.Trial["&amp;X$4&amp;"]"),Tab_000.Trial[CONTA],$B206)</f>
        <v>0</v>
      </c>
      <c r="Y206" s="78">
        <f t="shared" ca="1" si="242"/>
        <v>0</v>
      </c>
      <c r="Z206" s="78">
        <f t="shared" ca="1" si="243"/>
        <v>0</v>
      </c>
      <c r="AA206" s="4">
        <f ca="1">-SUMIFS(INDIRECT("Tab_000.Trial["&amp;AA$4&amp;"]"),Tab_000.Trial[CONTA],$B206)</f>
        <v>0</v>
      </c>
      <c r="AB206" s="78">
        <f t="shared" ca="1" si="244"/>
        <v>0</v>
      </c>
      <c r="AC206" s="78">
        <f t="shared" ca="1" si="245"/>
        <v>0</v>
      </c>
      <c r="AD206" s="4">
        <f ca="1">-SUMIFS(INDIRECT("Tab_000.Trial["&amp;AD$4&amp;"]"),Tab_000.Trial[CONTA],$B206)</f>
        <v>0</v>
      </c>
      <c r="AE206" s="78">
        <f t="shared" ca="1" si="246"/>
        <v>0</v>
      </c>
      <c r="AF206" s="78">
        <f t="shared" ca="1" si="247"/>
        <v>0</v>
      </c>
      <c r="AG206" s="4">
        <f ca="1">-SUMIFS(INDIRECT("Tab_000.Trial["&amp;AG$4&amp;"]"),Tab_000.Trial[CONTA],$B206)</f>
        <v>0</v>
      </c>
      <c r="AH206" s="78">
        <f t="shared" ca="1" si="248"/>
        <v>0</v>
      </c>
      <c r="AI206" s="78">
        <f t="shared" ca="1" si="249"/>
        <v>0</v>
      </c>
      <c r="AJ206" s="4">
        <f ca="1">-SUMIFS(INDIRECT("Tab_000.Trial["&amp;AJ$4&amp;"]"),Tab_000.Trial[CONTA],$B206)</f>
        <v>0</v>
      </c>
      <c r="AK206" s="78">
        <f t="shared" ca="1" si="250"/>
        <v>0</v>
      </c>
      <c r="AL206" s="78">
        <f t="shared" ca="1" si="251"/>
        <v>0</v>
      </c>
    </row>
    <row r="207" spans="2:38" ht="5.0999999999999996" customHeight="1" outlineLevel="1" x14ac:dyDescent="0.3">
      <c r="B207" s="74"/>
      <c r="C207" s="75"/>
      <c r="D207" s="76"/>
      <c r="E207" s="77"/>
      <c r="F207" s="76"/>
      <c r="G207" s="77"/>
      <c r="H207" s="77"/>
      <c r="I207" s="76"/>
      <c r="J207" s="77"/>
      <c r="K207" s="77"/>
      <c r="L207" s="76"/>
      <c r="M207" s="77"/>
      <c r="N207" s="77"/>
      <c r="O207" s="76"/>
      <c r="P207" s="77"/>
      <c r="Q207" s="77"/>
      <c r="R207" s="76"/>
      <c r="S207" s="77"/>
      <c r="T207" s="77"/>
      <c r="U207" s="76"/>
      <c r="V207" s="77"/>
      <c r="W207" s="77"/>
      <c r="X207" s="76"/>
      <c r="Y207" s="77"/>
      <c r="Z207" s="77"/>
      <c r="AA207" s="76"/>
      <c r="AB207" s="77"/>
      <c r="AC207" s="77"/>
      <c r="AD207" s="76"/>
      <c r="AE207" s="77"/>
      <c r="AF207" s="77"/>
      <c r="AG207" s="76"/>
      <c r="AH207" s="77"/>
      <c r="AI207" s="77"/>
      <c r="AJ207" s="76"/>
      <c r="AK207" s="77"/>
      <c r="AL207" s="77"/>
    </row>
    <row r="208" spans="2:38" ht="5.0999999999999996" customHeight="1" x14ac:dyDescent="0.3"/>
    <row r="209" spans="3:39" ht="20.100000000000001" customHeight="1" thickBot="1" x14ac:dyDescent="0.35">
      <c r="C209" s="17" t="s">
        <v>98</v>
      </c>
      <c r="D209" s="18">
        <f ca="1">SUBTOTAL(9,D$5:D$208)</f>
        <v>-111264.76</v>
      </c>
      <c r="E209" s="81">
        <f ca="1">IFERROR($D209/$D$6,0)</f>
        <v>-0.1171</v>
      </c>
      <c r="F209" s="18">
        <f ca="1">SUBTOTAL(9,F$5:F$208)</f>
        <v>-496399.89</v>
      </c>
      <c r="G209" s="81">
        <f ca="1">IFERROR($F209/$F$6,0)</f>
        <v>-0.50900000000000001</v>
      </c>
      <c r="H209" s="81">
        <f ca="1">IFERROR(($F209-$D209)/ABS($D209),0)</f>
        <v>-3.4613999999999998</v>
      </c>
      <c r="I209" s="18">
        <f ca="1">SUBTOTAL(9,I$5:I$208)</f>
        <v>535315.87</v>
      </c>
      <c r="J209" s="81">
        <f ca="1">IFERROR($I209/$I$6,0)</f>
        <v>0.50939999999999996</v>
      </c>
      <c r="K209" s="81">
        <f ca="1">IFERROR(($I209-$F209)/ABS($F209),0)</f>
        <v>2.0783999999999998</v>
      </c>
      <c r="L209" s="18">
        <f ca="1">SUBTOTAL(9,L$5:L$208)</f>
        <v>2278.1999999999998</v>
      </c>
      <c r="M209" s="81">
        <f ca="1">IFERROR($L209/$L$6,0)</f>
        <v>2.0999999999999999E-3</v>
      </c>
      <c r="N209" s="81">
        <f ca="1">IFERROR(($L209-$I209)/ABS($I209),0)</f>
        <v>-0.99570000000000003</v>
      </c>
      <c r="O209" s="18">
        <f ca="1">SUBTOTAL(9,O$5:O$208)</f>
        <v>462505.89</v>
      </c>
      <c r="P209" s="81">
        <f ca="1">IFERROR($O209/$O$6,0)</f>
        <v>0.38150000000000001</v>
      </c>
      <c r="Q209" s="81">
        <f ca="1">IFERROR(($O209-$L209)/ABS($L209),0)</f>
        <v>202.0137</v>
      </c>
      <c r="R209" s="18">
        <f ca="1">SUBTOTAL(9,R$5:R$208)</f>
        <v>351564</v>
      </c>
      <c r="S209" s="81">
        <f ca="1">IFERROR($R209/$R$6,0)</f>
        <v>0.34870000000000001</v>
      </c>
      <c r="T209" s="81">
        <f ca="1">IFERROR(($R209-$O209)/ABS($O209),0)</f>
        <v>-0.2399</v>
      </c>
      <c r="U209" s="18">
        <f ca="1">SUBTOTAL(9,U$5:U$208)</f>
        <v>409079.95</v>
      </c>
      <c r="V209" s="81">
        <f ca="1">IFERROR($U209/$U$6,0)</f>
        <v>0.3805</v>
      </c>
      <c r="W209" s="81">
        <f ca="1">IFERROR(($U209-$R209)/ABS($R209),0)</f>
        <v>0.1636</v>
      </c>
      <c r="X209" s="18">
        <f ca="1">SUBTOTAL(9,X$5:X$208)</f>
        <v>336385.95</v>
      </c>
      <c r="Y209" s="81">
        <f ca="1">IFERROR($X209/$X$6,0)</f>
        <v>0.32290000000000002</v>
      </c>
      <c r="Z209" s="81">
        <f ca="1">IFERROR(($X209-$U209)/ABS($U209),0)</f>
        <v>-0.1777</v>
      </c>
      <c r="AA209" s="18">
        <f ca="1">SUBTOTAL(9,AA$5:AA$208)</f>
        <v>62628.06</v>
      </c>
      <c r="AB209" s="81">
        <f ca="1">IFERROR($AA209/$AA$6,0)</f>
        <v>6.4299999999999996E-2</v>
      </c>
      <c r="AC209" s="81">
        <f ca="1">IFERROR(($AA209-$X209)/ABS($X209),0)</f>
        <v>-0.81379999999999997</v>
      </c>
      <c r="AD209" s="18">
        <f ca="1">SUBTOTAL(9,AD$5:AD$208)</f>
        <v>226931.18</v>
      </c>
      <c r="AE209" s="81">
        <f ca="1">IFERROR($AD209/$AD$6,0)</f>
        <v>0.1825</v>
      </c>
      <c r="AF209" s="81">
        <f ca="1">IFERROR(($AD209-$AA209)/ABS($AA209),0)</f>
        <v>2.6234999999999999</v>
      </c>
      <c r="AG209" s="18">
        <f ca="1">SUBTOTAL(9,AG$5:AG$208)</f>
        <v>501358.93</v>
      </c>
      <c r="AH209" s="81">
        <f ca="1">IFERROR($AG209/$AG$6,0)</f>
        <v>0.54630000000000001</v>
      </c>
      <c r="AI209" s="81">
        <f ca="1">IFERROR(($AG209-$AD209)/ABS($AD209),0)</f>
        <v>1.2093</v>
      </c>
      <c r="AJ209" s="18">
        <f ca="1">SUBTOTAL(9,AJ$5:AJ$208)</f>
        <v>-491041.8</v>
      </c>
      <c r="AK209" s="81">
        <f ca="1">IFERROR($AJ209/$AJ$6,0)</f>
        <v>-0.33090000000000003</v>
      </c>
      <c r="AL209" s="81">
        <f ca="1">IFERROR(($AJ209-$AG209)/ABS($AG209),0)</f>
        <v>-1.9794</v>
      </c>
    </row>
    <row r="210" spans="3:39" ht="14.4" thickTop="1" x14ac:dyDescent="0.3"/>
    <row r="212" spans="3:39" x14ac:dyDescent="0.3">
      <c r="D212" s="11">
        <f ca="1">D$209</f>
        <v>-111264.76</v>
      </c>
      <c r="F212" s="11">
        <f ca="1">D$212+F$209</f>
        <v>-607664.65</v>
      </c>
      <c r="I212" s="11">
        <f ca="1">F$212+I$209</f>
        <v>-72348.78</v>
      </c>
      <c r="L212" s="11">
        <f ca="1">I$212+L$209</f>
        <v>-70070.58</v>
      </c>
      <c r="O212" s="11">
        <f ca="1">L$212+O$209</f>
        <v>392435.31</v>
      </c>
      <c r="R212" s="11">
        <f ca="1">O$212+R$209</f>
        <v>743999.31</v>
      </c>
      <c r="U212" s="11">
        <f ca="1">R$212+U$209</f>
        <v>1153079.26</v>
      </c>
      <c r="X212" s="11">
        <f ca="1">U$212+X$209</f>
        <v>1489465.21</v>
      </c>
      <c r="AA212" s="11">
        <f ca="1">X$212+AA$209</f>
        <v>1552093.27</v>
      </c>
      <c r="AD212" s="11">
        <f ca="1">AA$212+AD$209</f>
        <v>1779024.45</v>
      </c>
      <c r="AG212" s="11">
        <f ca="1">AD$212+AG$209</f>
        <v>2280383.38</v>
      </c>
      <c r="AJ212" s="11">
        <f ca="1">AG$212+AJ$209</f>
        <v>1789341.58</v>
      </c>
    </row>
    <row r="213" spans="3:39" x14ac:dyDescent="0.3">
      <c r="F213" s="4">
        <f ca="1">F212-par_02.LL</f>
        <v>0</v>
      </c>
      <c r="I213" s="4">
        <f ca="1">I212-par_03.LL</f>
        <v>0</v>
      </c>
      <c r="K213" s="4"/>
      <c r="AM213" s="4"/>
    </row>
    <row r="215" spans="3:39" x14ac:dyDescent="0.3">
      <c r="D215" s="4">
        <f ca="1">D209-par_01.LL</f>
        <v>0</v>
      </c>
      <c r="F215" s="4">
        <f ca="1">F212-par_02.LL</f>
        <v>0</v>
      </c>
    </row>
    <row r="216" spans="3:39" x14ac:dyDescent="0.3">
      <c r="O216" s="165"/>
    </row>
  </sheetData>
  <sheetProtection autoFilter="0"/>
  <dataValidations disablePrompts="1" count="1">
    <dataValidation type="custom" allowBlank="1" showInputMessage="1" showErrorMessage="1" error="Inserir linhas acima!!!" sqref="B159:AL159 B26:AL26 B173:AL173 B193:AL193 B185:AL185 B136:AL136 B147:AL147 B96:AL96 B165:AL165 B152:AL152 B33:AL33 B55:AL55 B207:AL207 B203:AL203" xr:uid="{22A19896-6996-4FC9-A93A-5C42195810DE}">
      <formula1>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1E3C2-ACC6-482D-92D1-63A9028B942D}">
  <sheetPr codeName="Planilha8">
    <outlinePr summaryRight="0"/>
  </sheetPr>
  <dimension ref="A1:S572"/>
  <sheetViews>
    <sheetView showGridLines="0" showRowColHeaders="0" zoomScale="90" zoomScaleNormal="90" workbookViewId="0">
      <pane xSplit="7" ySplit="14" topLeftCell="O15" activePane="bottomRight" state="frozen"/>
      <selection pane="topRight" activeCell="H1" sqref="H1"/>
      <selection pane="bottomLeft" activeCell="A15" sqref="A15"/>
      <selection pane="bottomRight" activeCell="I18" sqref="I18:S19"/>
    </sheetView>
  </sheetViews>
  <sheetFormatPr defaultColWidth="8.88671875" defaultRowHeight="13.8" outlineLevelRow="1" x14ac:dyDescent="0.3"/>
  <cols>
    <col min="1" max="1" width="2.6640625" style="1" customWidth="1"/>
    <col min="2" max="2" width="8.6640625" customWidth="1"/>
    <col min="3" max="4" width="4.6640625" customWidth="1"/>
    <col min="5" max="5" width="4.6640625" style="2" customWidth="1"/>
    <col min="6" max="6" width="19.6640625" customWidth="1"/>
    <col min="7" max="7" width="80.6640625" style="2" customWidth="1"/>
    <col min="8" max="9" width="16.6640625" style="3" customWidth="1"/>
    <col min="10" max="10" width="16.6640625" style="3" customWidth="1" collapsed="1"/>
    <col min="11" max="15" width="16.6640625" customWidth="1"/>
    <col min="16" max="17" width="16.6640625" style="2" customWidth="1"/>
    <col min="18" max="19" width="16.6640625" style="4" customWidth="1"/>
    <col min="20" max="16384" width="8.88671875" style="1"/>
  </cols>
  <sheetData>
    <row r="1" spans="1:19" x14ac:dyDescent="0.3">
      <c r="B1" s="3"/>
      <c r="C1" s="2"/>
      <c r="D1" s="2"/>
      <c r="F1" s="3"/>
      <c r="G1" s="3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9" outlineLevel="1" x14ac:dyDescent="0.3">
      <c r="B2" s="3"/>
      <c r="C2" s="2" t="s">
        <v>16</v>
      </c>
      <c r="D2" s="2"/>
      <c r="F2" s="3"/>
      <c r="G2" s="88" t="s">
        <v>15</v>
      </c>
      <c r="H2" s="7">
        <f ca="1">SUMIFS(INDIRECT("Tab_99.Trial["&amp;H$14&amp;"]"),Tab_99.Trial[TP],$C2,Tab_99.Trial[S/A],"A")</f>
        <v>0</v>
      </c>
      <c r="I2" s="7">
        <f ca="1">SUMIFS(INDIRECT("Tab_99.Trial["&amp;I$14&amp;"]"),Tab_99.Trial[TP],$C2,Tab_99.Trial[S/A],"A")</f>
        <v>0</v>
      </c>
      <c r="J2" s="7">
        <f ca="1">SUMIFS(INDIRECT("Tab_99.Trial["&amp;J$14&amp;"]"),Tab_99.Trial[TP],$C2,Tab_99.Trial[S/A],"A")</f>
        <v>0</v>
      </c>
      <c r="K2" s="7">
        <f ca="1">SUMIFS(INDIRECT("Tab_99.Trial["&amp;K$14&amp;"]"),Tab_99.Trial[TP],$C2,Tab_99.Trial[S/A],"A")</f>
        <v>0</v>
      </c>
      <c r="L2" s="7">
        <f ca="1">SUMIFS(INDIRECT("Tab_99.Trial["&amp;L$14&amp;"]"),Tab_99.Trial[TP],$C2,Tab_99.Trial[S/A],"A")</f>
        <v>0</v>
      </c>
      <c r="M2" s="7">
        <f ca="1">SUMIFS(INDIRECT("Tab_99.Trial["&amp;M$14&amp;"]"),Tab_99.Trial[TP],$C2,Tab_99.Trial[S/A],"A")</f>
        <v>0</v>
      </c>
      <c r="N2" s="7">
        <f ca="1">SUMIFS(INDIRECT("Tab_99.Trial["&amp;N$14&amp;"]"),Tab_99.Trial[TP],$C2,Tab_99.Trial[S/A],"A")</f>
        <v>0</v>
      </c>
      <c r="O2" s="7">
        <f ca="1">SUMIFS(INDIRECT("Tab_99.Trial["&amp;O$14&amp;"]"),Tab_99.Trial[TP],$C2,Tab_99.Trial[S/A],"A")</f>
        <v>0</v>
      </c>
      <c r="P2" s="7">
        <f ca="1">SUMIFS(INDIRECT("Tab_99.Trial["&amp;P$14&amp;"]"),Tab_99.Trial[TP],$C2,Tab_99.Trial[S/A],"A")</f>
        <v>0</v>
      </c>
      <c r="Q2" s="7">
        <f ca="1">SUMIFS(INDIRECT("Tab_99.Trial["&amp;Q$14&amp;"]"),Tab_99.Trial[TP],$C2,Tab_99.Trial[S/A],"A")</f>
        <v>0</v>
      </c>
      <c r="R2" s="7">
        <f ca="1">SUMIFS(INDIRECT("Tab_99.Trial["&amp;R$14&amp;"]"),Tab_99.Trial[TP],$C2,Tab_99.Trial[S/A],"A")</f>
        <v>0</v>
      </c>
      <c r="S2" s="7">
        <f ca="1">SUMIFS(INDIRECT("Tab_99.Trial["&amp;S$14&amp;"]"),Tab_99.Trial[TP],$C2,Tab_99.Trial[S/A],"A")</f>
        <v>0</v>
      </c>
    </row>
    <row r="3" spans="1:19" outlineLevel="1" x14ac:dyDescent="0.3">
      <c r="B3" s="3"/>
      <c r="C3" s="2" t="s">
        <v>116</v>
      </c>
      <c r="D3" s="2"/>
      <c r="F3" s="3"/>
      <c r="G3" s="88" t="s">
        <v>110</v>
      </c>
      <c r="H3" s="7">
        <f ca="1">SUMIFS(INDIRECT("Tab_99.Trial["&amp;H$14&amp;"]"),Tab_99.Trial[TP],$C3,Tab_99.Trial[S/A],"A")</f>
        <v>0</v>
      </c>
      <c r="I3" s="7">
        <f ca="1">SUMIFS(INDIRECT("Tab_99.Trial["&amp;I$14&amp;"]"),Tab_99.Trial[TP],$C3,Tab_99.Trial[S/A],"A")</f>
        <v>0</v>
      </c>
      <c r="J3" s="7">
        <f ca="1">SUMIFS(INDIRECT("Tab_99.Trial["&amp;J$14&amp;"]"),Tab_99.Trial[TP],$C3,Tab_99.Trial[S/A],"A")</f>
        <v>0</v>
      </c>
      <c r="K3" s="7">
        <f ca="1">SUMIFS(INDIRECT("Tab_99.Trial["&amp;K$14&amp;"]"),Tab_99.Trial[TP],$C3,Tab_99.Trial[S/A],"A")</f>
        <v>0</v>
      </c>
      <c r="L3" s="7">
        <f ca="1">SUMIFS(INDIRECT("Tab_99.Trial["&amp;L$14&amp;"]"),Tab_99.Trial[TP],$C3,Tab_99.Trial[S/A],"A")</f>
        <v>0</v>
      </c>
      <c r="M3" s="7">
        <f ca="1">SUMIFS(INDIRECT("Tab_99.Trial["&amp;M$14&amp;"]"),Tab_99.Trial[TP],$C3,Tab_99.Trial[S/A],"A")</f>
        <v>0</v>
      </c>
      <c r="N3" s="7">
        <f ca="1">SUMIFS(INDIRECT("Tab_99.Trial["&amp;N$14&amp;"]"),Tab_99.Trial[TP],$C3,Tab_99.Trial[S/A],"A")</f>
        <v>0</v>
      </c>
      <c r="O3" s="7">
        <f ca="1">SUMIFS(INDIRECT("Tab_99.Trial["&amp;O$14&amp;"]"),Tab_99.Trial[TP],$C3,Tab_99.Trial[S/A],"A")</f>
        <v>0</v>
      </c>
      <c r="P3" s="7">
        <f ca="1">SUMIFS(INDIRECT("Tab_99.Trial["&amp;P$14&amp;"]"),Tab_99.Trial[TP],$C3,Tab_99.Trial[S/A],"A")</f>
        <v>0</v>
      </c>
      <c r="Q3" s="7">
        <f ca="1">SUMIFS(INDIRECT("Tab_99.Trial["&amp;Q$14&amp;"]"),Tab_99.Trial[TP],$C3,Tab_99.Trial[S/A],"A")</f>
        <v>0</v>
      </c>
      <c r="R3" s="7">
        <f ca="1">SUMIFS(INDIRECT("Tab_99.Trial["&amp;R$14&amp;"]"),Tab_99.Trial[TP],$C3,Tab_99.Trial[S/A],"A")</f>
        <v>0</v>
      </c>
      <c r="S3" s="7">
        <f ca="1">SUMIFS(INDIRECT("Tab_99.Trial["&amp;S$14&amp;"]"),Tab_99.Trial[TP],$C3,Tab_99.Trial[S/A],"A")</f>
        <v>0</v>
      </c>
    </row>
    <row r="4" spans="1:19" outlineLevel="1" x14ac:dyDescent="0.3">
      <c r="B4" s="3"/>
      <c r="C4" s="2"/>
      <c r="D4" s="2"/>
      <c r="F4" s="3"/>
      <c r="G4" s="88"/>
      <c r="H4" s="8">
        <f t="shared" ref="H4:S4" ca="1" si="0">SUM(H$2:H$3)</f>
        <v>0</v>
      </c>
      <c r="I4" s="8">
        <f t="shared" ca="1" si="0"/>
        <v>0</v>
      </c>
      <c r="J4" s="8">
        <f t="shared" ca="1" si="0"/>
        <v>0</v>
      </c>
      <c r="K4" s="8">
        <f t="shared" ca="1" si="0"/>
        <v>0</v>
      </c>
      <c r="L4" s="8">
        <f t="shared" ca="1" si="0"/>
        <v>0</v>
      </c>
      <c r="M4" s="8">
        <f t="shared" ca="1" si="0"/>
        <v>0</v>
      </c>
      <c r="N4" s="8">
        <f t="shared" ca="1" si="0"/>
        <v>0</v>
      </c>
      <c r="O4" s="8">
        <f t="shared" ca="1" si="0"/>
        <v>0</v>
      </c>
      <c r="P4" s="8">
        <f t="shared" ca="1" si="0"/>
        <v>0</v>
      </c>
      <c r="Q4" s="8">
        <f t="shared" ca="1" si="0"/>
        <v>0</v>
      </c>
      <c r="R4" s="8">
        <f t="shared" ca="1" si="0"/>
        <v>0</v>
      </c>
      <c r="S4" s="8">
        <f t="shared" ca="1" si="0"/>
        <v>0</v>
      </c>
    </row>
    <row r="5" spans="1:19" ht="5.0999999999999996" customHeight="1" outlineLevel="1" x14ac:dyDescent="0.3">
      <c r="B5" s="3"/>
      <c r="C5" s="2"/>
      <c r="D5" s="2"/>
      <c r="F5" s="3"/>
      <c r="G5" s="89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9" outlineLevel="1" x14ac:dyDescent="0.3">
      <c r="B6" s="3"/>
      <c r="C6" s="2" t="s">
        <v>19</v>
      </c>
      <c r="D6" s="2"/>
      <c r="F6" s="3"/>
      <c r="G6" s="88" t="s">
        <v>18</v>
      </c>
      <c r="H6" s="7">
        <f ca="1">SUMIFS(INDIRECT("Tab_99.Trial["&amp;H$14&amp;"]"),Tab_99.Trial[TP],$C6,Tab_99.Trial[S/A],"A")</f>
        <v>0</v>
      </c>
      <c r="I6" s="7">
        <f ca="1">SUMIFS(INDIRECT("Tab_99.Trial["&amp;I$14&amp;"]"),Tab_99.Trial[TP],$C6,Tab_99.Trial[S/A],"A")</f>
        <v>0</v>
      </c>
      <c r="J6" s="7">
        <f ca="1">SUMIFS(INDIRECT("Tab_99.Trial["&amp;J$14&amp;"]"),Tab_99.Trial[TP],$C6,Tab_99.Trial[S/A],"A")</f>
        <v>0</v>
      </c>
      <c r="K6" s="7">
        <f ca="1">SUMIFS(INDIRECT("Tab_99.Trial["&amp;K$14&amp;"]"),Tab_99.Trial[TP],$C6,Tab_99.Trial[S/A],"A")</f>
        <v>0</v>
      </c>
      <c r="L6" s="7">
        <f ca="1">SUMIFS(INDIRECT("Tab_99.Trial["&amp;L$14&amp;"]"),Tab_99.Trial[TP],$C6,Tab_99.Trial[S/A],"A")</f>
        <v>0</v>
      </c>
      <c r="M6" s="7">
        <f ca="1">SUMIFS(INDIRECT("Tab_99.Trial["&amp;M$14&amp;"]"),Tab_99.Trial[TP],$C6,Tab_99.Trial[S/A],"A")</f>
        <v>0</v>
      </c>
      <c r="N6" s="7">
        <f ca="1">SUMIFS(INDIRECT("Tab_99.Trial["&amp;N$14&amp;"]"),Tab_99.Trial[TP],$C6,Tab_99.Trial[S/A],"A")</f>
        <v>0</v>
      </c>
      <c r="O6" s="7">
        <f ca="1">SUMIFS(INDIRECT("Tab_99.Trial["&amp;O$14&amp;"]"),Tab_99.Trial[TP],$C6,Tab_99.Trial[S/A],"A")</f>
        <v>0</v>
      </c>
      <c r="P6" s="7">
        <f ca="1">SUMIFS(INDIRECT("Tab_99.Trial["&amp;P$14&amp;"]"),Tab_99.Trial[TP],$C6,Tab_99.Trial[S/A],"A")</f>
        <v>0</v>
      </c>
      <c r="Q6" s="7">
        <f ca="1">SUMIFS(INDIRECT("Tab_99.Trial["&amp;Q$14&amp;"]"),Tab_99.Trial[TP],$C6,Tab_99.Trial[S/A],"A")</f>
        <v>0</v>
      </c>
      <c r="R6" s="7">
        <f ca="1">SUMIFS(INDIRECT("Tab_99.Trial["&amp;R$14&amp;"]"),Tab_99.Trial[TP],$C6,Tab_99.Trial[S/A],"A")</f>
        <v>0</v>
      </c>
      <c r="S6" s="7">
        <f ca="1">SUMIFS(INDIRECT("Tab_99.Trial["&amp;S$14&amp;"]"),Tab_99.Trial[TP],$C6,Tab_99.Trial[S/A],"A")</f>
        <v>0</v>
      </c>
    </row>
    <row r="7" spans="1:19" outlineLevel="1" x14ac:dyDescent="0.3">
      <c r="B7" s="3"/>
      <c r="C7" s="2" t="s">
        <v>20</v>
      </c>
      <c r="D7" s="2"/>
      <c r="F7" s="3"/>
      <c r="G7" s="88" t="s">
        <v>111</v>
      </c>
      <c r="H7" s="7">
        <f ca="1">SUMIFS(INDIRECT("Tab_99.Trial["&amp;H$14&amp;"]"),Tab_99.Trial[TP],$C7,Tab_99.Trial[S/A],"A")</f>
        <v>0</v>
      </c>
      <c r="I7" s="7">
        <f ca="1">SUMIFS(INDIRECT("Tab_99.Trial["&amp;I$14&amp;"]"),Tab_99.Trial[TP],$C7,Tab_99.Trial[S/A],"A")</f>
        <v>0</v>
      </c>
      <c r="J7" s="7">
        <f ca="1">SUMIFS(INDIRECT("Tab_99.Trial["&amp;J$14&amp;"]"),Tab_99.Trial[TP],$C7,Tab_99.Trial[S/A],"A")</f>
        <v>0</v>
      </c>
      <c r="K7" s="7">
        <f ca="1">SUMIFS(INDIRECT("Tab_99.Trial["&amp;K$14&amp;"]"),Tab_99.Trial[TP],$C7,Tab_99.Trial[S/A],"A")</f>
        <v>0</v>
      </c>
      <c r="L7" s="7">
        <f ca="1">SUMIFS(INDIRECT("Tab_99.Trial["&amp;L$14&amp;"]"),Tab_99.Trial[TP],$C7,Tab_99.Trial[S/A],"A")</f>
        <v>0</v>
      </c>
      <c r="M7" s="7">
        <f ca="1">SUMIFS(INDIRECT("Tab_99.Trial["&amp;M$14&amp;"]"),Tab_99.Trial[TP],$C7,Tab_99.Trial[S/A],"A")</f>
        <v>0</v>
      </c>
      <c r="N7" s="7">
        <f ca="1">SUMIFS(INDIRECT("Tab_99.Trial["&amp;N$14&amp;"]"),Tab_99.Trial[TP],$C7,Tab_99.Trial[S/A],"A")</f>
        <v>0</v>
      </c>
      <c r="O7" s="7">
        <f ca="1">SUMIFS(INDIRECT("Tab_99.Trial["&amp;O$14&amp;"]"),Tab_99.Trial[TP],$C7,Tab_99.Trial[S/A],"A")</f>
        <v>0</v>
      </c>
      <c r="P7" s="7">
        <f ca="1">SUMIFS(INDIRECT("Tab_99.Trial["&amp;P$14&amp;"]"),Tab_99.Trial[TP],$C7,Tab_99.Trial[S/A],"A")</f>
        <v>0</v>
      </c>
      <c r="Q7" s="7">
        <f ca="1">SUMIFS(INDIRECT("Tab_99.Trial["&amp;Q$14&amp;"]"),Tab_99.Trial[TP],$C7,Tab_99.Trial[S/A],"A")</f>
        <v>0</v>
      </c>
      <c r="R7" s="7">
        <f ca="1">SUMIFS(INDIRECT("Tab_99.Trial["&amp;R$14&amp;"]"),Tab_99.Trial[TP],$C7,Tab_99.Trial[S/A],"A")</f>
        <v>0</v>
      </c>
      <c r="S7" s="7">
        <f ca="1">SUMIFS(INDIRECT("Tab_99.Trial["&amp;S$14&amp;"]"),Tab_99.Trial[TP],$C7,Tab_99.Trial[S/A],"A")</f>
        <v>0</v>
      </c>
    </row>
    <row r="8" spans="1:19" outlineLevel="1" x14ac:dyDescent="0.3">
      <c r="A8" s="1" t="s">
        <v>21</v>
      </c>
      <c r="B8" s="3"/>
      <c r="C8" s="2"/>
      <c r="D8" s="2"/>
      <c r="F8" s="3"/>
      <c r="G8" s="88"/>
      <c r="H8" s="8">
        <f ca="1">SUM(H$6:H$7)</f>
        <v>0</v>
      </c>
      <c r="I8" s="8">
        <f t="shared" ref="I8:S8" ca="1" si="1">SUM(I$6:I$7)</f>
        <v>0</v>
      </c>
      <c r="J8" s="8">
        <f t="shared" ca="1" si="1"/>
        <v>0</v>
      </c>
      <c r="K8" s="8">
        <f t="shared" ca="1" si="1"/>
        <v>0</v>
      </c>
      <c r="L8" s="8">
        <f t="shared" ca="1" si="1"/>
        <v>0</v>
      </c>
      <c r="M8" s="8">
        <f t="shared" ca="1" si="1"/>
        <v>0</v>
      </c>
      <c r="N8" s="8">
        <f t="shared" ca="1" si="1"/>
        <v>0</v>
      </c>
      <c r="O8" s="8">
        <f t="shared" ca="1" si="1"/>
        <v>0</v>
      </c>
      <c r="P8" s="8">
        <f t="shared" ca="1" si="1"/>
        <v>0</v>
      </c>
      <c r="Q8" s="8">
        <f t="shared" ca="1" si="1"/>
        <v>0</v>
      </c>
      <c r="R8" s="8">
        <f t="shared" ca="1" si="1"/>
        <v>0</v>
      </c>
      <c r="S8" s="8">
        <f t="shared" ca="1" si="1"/>
        <v>0</v>
      </c>
    </row>
    <row r="9" spans="1:19" ht="5.0999999999999996" customHeight="1" outlineLevel="1" x14ac:dyDescent="0.3">
      <c r="B9" s="3"/>
      <c r="C9" s="2"/>
      <c r="D9" s="2"/>
      <c r="F9" s="3"/>
      <c r="G9" s="89"/>
      <c r="H9" s="4"/>
      <c r="I9" s="4"/>
      <c r="J9" s="4"/>
      <c r="K9" s="4"/>
      <c r="L9" s="4"/>
      <c r="M9" s="4"/>
      <c r="N9" s="4"/>
      <c r="O9" s="4"/>
      <c r="P9" s="4"/>
      <c r="Q9" s="4"/>
    </row>
    <row r="10" spans="1:19" x14ac:dyDescent="0.3">
      <c r="B10" s="3"/>
      <c r="C10" s="2"/>
      <c r="D10" s="2"/>
      <c r="F10" s="3"/>
      <c r="G10" s="88" t="s">
        <v>22</v>
      </c>
      <c r="H10" s="11">
        <f t="shared" ref="H10:R10" ca="1" si="2">SUM(H$4,H$8)</f>
        <v>0</v>
      </c>
      <c r="I10" s="11">
        <f t="shared" ca="1" si="2"/>
        <v>0</v>
      </c>
      <c r="J10" s="11">
        <f t="shared" ca="1" si="2"/>
        <v>0</v>
      </c>
      <c r="K10" s="11">
        <f t="shared" ca="1" si="2"/>
        <v>0</v>
      </c>
      <c r="L10" s="11">
        <f t="shared" ca="1" si="2"/>
        <v>0</v>
      </c>
      <c r="M10" s="11">
        <f t="shared" ca="1" si="2"/>
        <v>0</v>
      </c>
      <c r="N10" s="11">
        <f t="shared" ca="1" si="2"/>
        <v>0</v>
      </c>
      <c r="O10" s="11">
        <f t="shared" ca="1" si="2"/>
        <v>0</v>
      </c>
      <c r="P10" s="11">
        <f t="shared" ca="1" si="2"/>
        <v>0</v>
      </c>
      <c r="Q10" s="11">
        <f t="shared" ca="1" si="2"/>
        <v>0</v>
      </c>
      <c r="R10" s="11">
        <f t="shared" ca="1" si="2"/>
        <v>0</v>
      </c>
      <c r="S10" s="11">
        <f ca="1">SUM(S$4,S$8)</f>
        <v>0</v>
      </c>
    </row>
    <row r="11" spans="1:19" ht="5.0999999999999996" customHeight="1" x14ac:dyDescent="0.3">
      <c r="B11" s="3"/>
      <c r="C11" s="2"/>
      <c r="D11" s="2"/>
      <c r="F11" s="3"/>
      <c r="G11" s="3"/>
      <c r="H11" s="4"/>
      <c r="I11" s="4"/>
      <c r="J11" s="4"/>
      <c r="K11" s="4"/>
      <c r="L11" s="4"/>
      <c r="M11" s="4"/>
      <c r="N11" s="4"/>
      <c r="O11" s="4"/>
      <c r="P11" s="4"/>
      <c r="Q11" s="4"/>
    </row>
    <row r="12" spans="1:19" x14ac:dyDescent="0.3">
      <c r="B12" s="3"/>
      <c r="C12" s="2"/>
      <c r="D12" s="2"/>
      <c r="F12" s="3"/>
      <c r="G12" s="3"/>
      <c r="H12" s="7">
        <f>SUBTOTAL(9,Tab_99.Trial[JANEIRO])</f>
        <v>0</v>
      </c>
      <c r="I12" s="7">
        <f>SUBTOTAL(9,Tab_99.Trial[FEVEREIRO])</f>
        <v>0</v>
      </c>
      <c r="J12" s="7">
        <f>SUBTOTAL(9,Tab_99.Trial[MARÇO])</f>
        <v>0</v>
      </c>
      <c r="K12" s="7">
        <f>SUBTOTAL(9,Tab_99.Trial[ABRIL])</f>
        <v>0</v>
      </c>
      <c r="L12" s="7">
        <f>SUBTOTAL(9,Tab_99.Trial[MAIO])</f>
        <v>0</v>
      </c>
      <c r="M12" s="7">
        <f>SUBTOTAL(9,Tab_99.Trial[JUNHO])</f>
        <v>0</v>
      </c>
      <c r="N12" s="7">
        <f>SUBTOTAL(9,Tab_99.Trial[JULHO])</f>
        <v>0</v>
      </c>
      <c r="O12" s="7">
        <f>SUBTOTAL(9,Tab_99.Trial[AGOSTO])</f>
        <v>0</v>
      </c>
      <c r="P12" s="7">
        <f>SUBTOTAL(9,Tab_99.Trial[SETEMBRO])</f>
        <v>0</v>
      </c>
      <c r="Q12" s="7">
        <f>SUBTOTAL(9,Tab_99.Trial[OUTUBRO])</f>
        <v>0</v>
      </c>
      <c r="R12" s="7">
        <f>SUBTOTAL(9,Tab_99.Trial[NOVEMBRO])</f>
        <v>0</v>
      </c>
      <c r="S12" s="7">
        <f>SUBTOTAL(9,Tab_99.Trial[DEZEMBRO])</f>
        <v>0</v>
      </c>
    </row>
    <row r="13" spans="1:19" ht="5.0999999999999996" customHeight="1" x14ac:dyDescent="0.3">
      <c r="B13" s="3"/>
      <c r="C13" s="2"/>
      <c r="D13" s="2"/>
      <c r="F13" s="3"/>
      <c r="G13" s="3"/>
      <c r="H13" s="4"/>
      <c r="I13" s="4"/>
      <c r="J13" s="4"/>
      <c r="K13" s="4"/>
      <c r="L13" s="4"/>
      <c r="M13" s="4"/>
      <c r="N13" s="4"/>
      <c r="O13" s="4"/>
      <c r="P13" s="4"/>
      <c r="Q13" s="4"/>
    </row>
    <row r="14" spans="1:19" ht="24.9" customHeight="1" x14ac:dyDescent="0.3">
      <c r="B14" s="19" t="s">
        <v>44</v>
      </c>
      <c r="C14" s="5" t="s">
        <v>1</v>
      </c>
      <c r="D14" s="5" t="s">
        <v>81</v>
      </c>
      <c r="E14" s="5" t="s">
        <v>2</v>
      </c>
      <c r="F14" s="5" t="s">
        <v>23</v>
      </c>
      <c r="G14" s="5" t="s">
        <v>0</v>
      </c>
      <c r="H14" s="6" t="s">
        <v>3</v>
      </c>
      <c r="I14" s="6" t="s">
        <v>4</v>
      </c>
      <c r="J14" s="6" t="s">
        <v>5</v>
      </c>
      <c r="K14" s="6" t="s">
        <v>6</v>
      </c>
      <c r="L14" s="6" t="s">
        <v>7</v>
      </c>
      <c r="M14" s="6" t="s">
        <v>8</v>
      </c>
      <c r="N14" s="6" t="s">
        <v>9</v>
      </c>
      <c r="O14" s="6" t="s">
        <v>10</v>
      </c>
      <c r="P14" s="6" t="s">
        <v>11</v>
      </c>
      <c r="Q14" s="6" t="s">
        <v>12</v>
      </c>
      <c r="R14" s="6" t="s">
        <v>13</v>
      </c>
      <c r="S14" s="6" t="s">
        <v>14</v>
      </c>
    </row>
    <row r="15" spans="1:19" ht="12.75" customHeight="1" x14ac:dyDescent="0.3">
      <c r="B15" s="3"/>
      <c r="C15" s="2" t="str">
        <f t="shared" ref="C15:C17" si="3">IF($F15="","",IF(LEFT($F15,1)*1=1,"A",IF(LEFT($F15,1)*1=2,"P",IF(LEFT($F15,1)*1=3,"C",IF(LEFT($F15,1)*1=4,"C",IF(LEFT($F15,1)*1=5,"R",""))))))</f>
        <v/>
      </c>
      <c r="D15" s="2" t="str">
        <f>IF($F15="","",IF(LEN($F15)=13,"A","S"))</f>
        <v/>
      </c>
      <c r="E15" s="2" t="str">
        <f t="shared" ref="E15:E17" si="4">IF($F15="","",IF(LEN($F15)=1,1,IF(LEN($F15)=3,2,IF(LEN($F15)=6,3,IF(LEN($F15)=9,4,IF(LEN($F15)=12,5,6))))))</f>
        <v/>
      </c>
      <c r="F15" s="3"/>
      <c r="G15" s="3"/>
      <c r="H15" s="4"/>
      <c r="I15" s="4"/>
      <c r="J15" s="4"/>
      <c r="K15" s="4"/>
      <c r="L15" s="4"/>
      <c r="M15" s="4"/>
      <c r="N15" s="4"/>
      <c r="O15" s="4"/>
      <c r="P15" s="4"/>
      <c r="Q15" s="4"/>
      <c r="S15" s="4">
        <v>17937150.390000001</v>
      </c>
    </row>
    <row r="16" spans="1:19" ht="12.75" customHeight="1" x14ac:dyDescent="0.3">
      <c r="B16" s="3"/>
      <c r="C16" s="2" t="str">
        <f t="shared" si="3"/>
        <v/>
      </c>
      <c r="D16" s="2" t="str">
        <f t="shared" ref="D16:D79" si="5">IF($F16="","",IF(LEN($F16)=13,"A","S"))</f>
        <v/>
      </c>
      <c r="E16" s="2" t="str">
        <f t="shared" si="4"/>
        <v/>
      </c>
      <c r="F16" s="3"/>
      <c r="G16" s="3"/>
      <c r="H16" s="4"/>
      <c r="I16" s="4"/>
      <c r="J16" s="4"/>
      <c r="K16" s="4"/>
      <c r="L16" s="4"/>
      <c r="M16" s="4"/>
      <c r="N16" s="4"/>
      <c r="O16" s="4"/>
      <c r="P16" s="4"/>
      <c r="Q16" s="4"/>
      <c r="S16" s="4">
        <v>12706664.09</v>
      </c>
    </row>
    <row r="17" spans="2:19" ht="12.75" customHeight="1" x14ac:dyDescent="0.3">
      <c r="B17" s="3"/>
      <c r="C17" s="2" t="str">
        <f t="shared" si="3"/>
        <v/>
      </c>
      <c r="D17" s="2" t="str">
        <f t="shared" si="5"/>
        <v/>
      </c>
      <c r="E17" s="2" t="str">
        <f t="shared" si="4"/>
        <v/>
      </c>
      <c r="F17" s="3"/>
      <c r="G17" s="3"/>
      <c r="H17" s="4"/>
      <c r="I17" s="4"/>
      <c r="J17" s="4"/>
      <c r="K17" s="4"/>
      <c r="L17" s="4"/>
      <c r="M17" s="4"/>
      <c r="N17" s="4"/>
      <c r="O17" s="4"/>
      <c r="P17" s="4"/>
      <c r="Q17" s="4"/>
      <c r="S17" s="4">
        <v>3184985.89</v>
      </c>
    </row>
    <row r="18" spans="2:19" x14ac:dyDescent="0.3">
      <c r="B18" s="3"/>
      <c r="C18" s="2" t="str">
        <f t="shared" ref="C18:C81" si="6">IF($F18="","",IF(LEFT($F18,1)*1=1,"A",IF(LEFT($F18,1)*1=2,"P",IF(LEFT($F18,1)*1=3,"C",IF(LEFT($F18,1)*1=4,"C",IF(LEFT($F18,1)*1=5,"R",""))))))</f>
        <v/>
      </c>
      <c r="D18" s="2" t="str">
        <f t="shared" si="5"/>
        <v/>
      </c>
      <c r="E18" s="2" t="str">
        <f t="shared" ref="E18:E81" si="7">IF($F18="","",IF(LEN($F18)=1,1,IF(LEN($F18)=3,2,IF(LEN($F18)=6,3,IF(LEN($F18)=9,4,IF(LEN($F18)=12,5,6))))))</f>
        <v/>
      </c>
      <c r="F18" s="3"/>
      <c r="G18" s="3"/>
      <c r="H18" s="4"/>
      <c r="I18" s="4"/>
      <c r="J18" s="4"/>
      <c r="K18" s="4"/>
      <c r="L18" s="4"/>
      <c r="M18" s="4"/>
      <c r="N18" s="4"/>
      <c r="O18" s="4"/>
      <c r="P18" s="4"/>
      <c r="Q18" s="4"/>
      <c r="S18" s="4">
        <v>11484.92</v>
      </c>
    </row>
    <row r="19" spans="2:19" x14ac:dyDescent="0.3">
      <c r="B19" s="3"/>
      <c r="C19" s="2" t="str">
        <f t="shared" si="6"/>
        <v/>
      </c>
      <c r="D19" s="2" t="str">
        <f t="shared" si="5"/>
        <v/>
      </c>
      <c r="E19" s="2" t="str">
        <f t="shared" si="7"/>
        <v/>
      </c>
      <c r="F19" s="3"/>
      <c r="G19" s="3"/>
      <c r="H19" s="4"/>
      <c r="I19" s="4"/>
      <c r="J19" s="4"/>
      <c r="K19" s="4"/>
      <c r="L19" s="4"/>
      <c r="M19" s="4"/>
      <c r="N19" s="4"/>
      <c r="O19" s="4"/>
      <c r="P19" s="4"/>
      <c r="Q19" s="4"/>
      <c r="S19" s="4">
        <v>7447.02</v>
      </c>
    </row>
    <row r="20" spans="2:19" x14ac:dyDescent="0.3">
      <c r="B20" s="3"/>
      <c r="C20" s="2" t="str">
        <f t="shared" si="6"/>
        <v/>
      </c>
      <c r="D20" s="2" t="str">
        <f t="shared" si="5"/>
        <v/>
      </c>
      <c r="E20" s="2" t="str">
        <f t="shared" si="7"/>
        <v/>
      </c>
      <c r="F20" s="3"/>
      <c r="G20" s="3"/>
      <c r="H20" s="4"/>
      <c r="I20" s="4"/>
      <c r="J20" s="4"/>
      <c r="K20" s="4"/>
      <c r="L20" s="4"/>
      <c r="M20" s="4"/>
      <c r="N20" s="4"/>
      <c r="O20" s="4"/>
      <c r="P20" s="4"/>
      <c r="Q20" s="4"/>
      <c r="S20" s="4">
        <v>4037.9</v>
      </c>
    </row>
    <row r="21" spans="2:19" x14ac:dyDescent="0.3">
      <c r="B21" s="3"/>
      <c r="C21" s="2" t="str">
        <f t="shared" si="6"/>
        <v/>
      </c>
      <c r="D21" s="2" t="str">
        <f t="shared" si="5"/>
        <v/>
      </c>
      <c r="E21" s="2" t="str">
        <f t="shared" si="7"/>
        <v/>
      </c>
      <c r="F21" s="3"/>
      <c r="G21" s="3"/>
      <c r="H21" s="4"/>
      <c r="I21" s="4"/>
      <c r="J21" s="4"/>
      <c r="K21" s="4"/>
      <c r="L21" s="4"/>
      <c r="M21" s="4"/>
      <c r="N21" s="4"/>
      <c r="O21" s="4"/>
      <c r="P21" s="4"/>
      <c r="Q21" s="4"/>
      <c r="S21" s="4">
        <v>261293.62</v>
      </c>
    </row>
    <row r="22" spans="2:19" x14ac:dyDescent="0.3">
      <c r="B22" s="3"/>
      <c r="C22" s="2" t="str">
        <f t="shared" si="6"/>
        <v/>
      </c>
      <c r="D22" s="2" t="str">
        <f t="shared" si="5"/>
        <v/>
      </c>
      <c r="E22" s="2" t="str">
        <f t="shared" si="7"/>
        <v/>
      </c>
      <c r="F22" s="3"/>
      <c r="G22" s="3"/>
      <c r="H22" s="4"/>
      <c r="I22" s="4"/>
      <c r="J22" s="4"/>
      <c r="K22" s="4"/>
      <c r="L22" s="4"/>
      <c r="M22" s="4"/>
      <c r="N22" s="4"/>
      <c r="O22" s="4"/>
      <c r="P22" s="4"/>
      <c r="Q22" s="4"/>
      <c r="S22" s="4">
        <v>10</v>
      </c>
    </row>
    <row r="23" spans="2:19" x14ac:dyDescent="0.3">
      <c r="B23" s="3"/>
      <c r="C23" s="2" t="str">
        <f t="shared" si="6"/>
        <v/>
      </c>
      <c r="D23" s="2" t="str">
        <f t="shared" si="5"/>
        <v/>
      </c>
      <c r="E23" s="2" t="str">
        <f t="shared" si="7"/>
        <v/>
      </c>
      <c r="F23" s="3"/>
      <c r="G23" s="3"/>
      <c r="H23" s="4"/>
      <c r="I23" s="4"/>
      <c r="J23" s="4"/>
      <c r="K23" s="4"/>
      <c r="L23" s="4"/>
      <c r="M23" s="4"/>
      <c r="N23" s="4"/>
      <c r="O23" s="4"/>
      <c r="P23" s="4"/>
      <c r="Q23" s="4"/>
      <c r="S23" s="4">
        <v>38.61</v>
      </c>
    </row>
    <row r="24" spans="2:19" x14ac:dyDescent="0.3">
      <c r="B24" s="3"/>
      <c r="C24" s="2" t="str">
        <f t="shared" si="6"/>
        <v/>
      </c>
      <c r="D24" s="2" t="str">
        <f t="shared" si="5"/>
        <v/>
      </c>
      <c r="E24" s="2" t="str">
        <f t="shared" si="7"/>
        <v/>
      </c>
      <c r="F24" s="3"/>
      <c r="G24" s="3"/>
      <c r="H24" s="4"/>
      <c r="I24" s="4"/>
      <c r="J24" s="4"/>
      <c r="K24" s="4"/>
      <c r="L24" s="4"/>
      <c r="M24" s="4"/>
      <c r="N24" s="4"/>
      <c r="O24" s="4"/>
      <c r="P24" s="4"/>
      <c r="Q24" s="4"/>
      <c r="S24" s="4">
        <v>7977.95</v>
      </c>
    </row>
    <row r="25" spans="2:19" x14ac:dyDescent="0.3">
      <c r="B25" s="3"/>
      <c r="C25" s="2" t="str">
        <f t="shared" si="6"/>
        <v/>
      </c>
      <c r="D25" s="2" t="str">
        <f t="shared" si="5"/>
        <v/>
      </c>
      <c r="E25" s="2" t="str">
        <f t="shared" si="7"/>
        <v/>
      </c>
      <c r="F25" s="3"/>
      <c r="G25" s="3"/>
      <c r="H25" s="4"/>
      <c r="I25" s="4"/>
      <c r="J25" s="4"/>
      <c r="K25" s="4"/>
      <c r="L25" s="4"/>
      <c r="M25" s="4"/>
      <c r="N25" s="4"/>
      <c r="O25" s="4"/>
      <c r="P25" s="4"/>
      <c r="Q25" s="4"/>
      <c r="S25" s="4">
        <v>0</v>
      </c>
    </row>
    <row r="26" spans="2:19" x14ac:dyDescent="0.3">
      <c r="B26" s="3"/>
      <c r="C26" s="2" t="str">
        <f t="shared" si="6"/>
        <v/>
      </c>
      <c r="D26" s="2" t="str">
        <f t="shared" si="5"/>
        <v/>
      </c>
      <c r="E26" s="2" t="str">
        <f t="shared" si="7"/>
        <v/>
      </c>
      <c r="F26" s="3"/>
      <c r="G26" s="3"/>
      <c r="H26" s="4"/>
      <c r="I26" s="4"/>
      <c r="J26" s="4"/>
      <c r="K26" s="4"/>
      <c r="L26" s="4"/>
      <c r="M26" s="4"/>
      <c r="N26" s="4"/>
      <c r="O26" s="4"/>
      <c r="P26" s="4"/>
      <c r="Q26" s="4"/>
      <c r="S26" s="4">
        <v>252290.64</v>
      </c>
    </row>
    <row r="27" spans="2:19" x14ac:dyDescent="0.3">
      <c r="B27" s="3"/>
      <c r="C27" s="2" t="str">
        <f t="shared" si="6"/>
        <v/>
      </c>
      <c r="D27" s="2" t="str">
        <f t="shared" si="5"/>
        <v/>
      </c>
      <c r="E27" s="2" t="str">
        <f t="shared" si="7"/>
        <v/>
      </c>
      <c r="F27" s="3"/>
      <c r="G27" s="3"/>
      <c r="H27" s="4"/>
      <c r="I27" s="4"/>
      <c r="J27" s="4"/>
      <c r="K27" s="4"/>
      <c r="L27" s="4"/>
      <c r="M27" s="4"/>
      <c r="N27" s="4"/>
      <c r="O27" s="4"/>
      <c r="P27" s="4"/>
      <c r="Q27" s="4"/>
      <c r="S27" s="4">
        <v>976.42</v>
      </c>
    </row>
    <row r="28" spans="2:19" x14ac:dyDescent="0.3">
      <c r="B28" s="3"/>
      <c r="C28" s="2" t="str">
        <f t="shared" si="6"/>
        <v/>
      </c>
      <c r="D28" s="2" t="str">
        <f t="shared" si="5"/>
        <v/>
      </c>
      <c r="E28" s="2" t="str">
        <f t="shared" si="7"/>
        <v/>
      </c>
      <c r="F28" s="3"/>
      <c r="G28" s="3"/>
      <c r="H28" s="4"/>
      <c r="I28" s="4"/>
      <c r="J28" s="4"/>
      <c r="K28" s="4"/>
      <c r="L28" s="4"/>
      <c r="M28" s="4"/>
      <c r="N28" s="4"/>
      <c r="O28" s="4"/>
      <c r="P28" s="4"/>
      <c r="Q28" s="4"/>
      <c r="S28" s="4">
        <v>0</v>
      </c>
    </row>
    <row r="29" spans="2:19" x14ac:dyDescent="0.3">
      <c r="B29" s="3"/>
      <c r="C29" s="2" t="str">
        <f t="shared" si="6"/>
        <v/>
      </c>
      <c r="D29" s="2" t="str">
        <f t="shared" si="5"/>
        <v/>
      </c>
      <c r="E29" s="2" t="str">
        <f t="shared" si="7"/>
        <v/>
      </c>
      <c r="F29" s="3"/>
      <c r="G29" s="3"/>
      <c r="H29" s="4"/>
      <c r="I29" s="4"/>
      <c r="J29" s="4"/>
      <c r="K29" s="4"/>
      <c r="L29" s="4"/>
      <c r="M29" s="4"/>
      <c r="N29" s="4"/>
      <c r="O29" s="4"/>
      <c r="P29" s="4"/>
      <c r="Q29" s="4"/>
      <c r="S29" s="4">
        <v>2908561.5</v>
      </c>
    </row>
    <row r="30" spans="2:19" x14ac:dyDescent="0.3">
      <c r="B30" s="3"/>
      <c r="C30" s="2" t="str">
        <f t="shared" si="6"/>
        <v/>
      </c>
      <c r="D30" s="2" t="str">
        <f t="shared" si="5"/>
        <v/>
      </c>
      <c r="E30" s="2" t="str">
        <f t="shared" si="7"/>
        <v/>
      </c>
      <c r="F30" s="3"/>
      <c r="G30" s="3"/>
      <c r="H30" s="4"/>
      <c r="I30" s="4"/>
      <c r="J30" s="4"/>
      <c r="K30" s="4"/>
      <c r="L30" s="4"/>
      <c r="M30" s="4"/>
      <c r="N30" s="4"/>
      <c r="O30" s="4"/>
      <c r="P30" s="4"/>
      <c r="Q30" s="4"/>
      <c r="S30" s="4">
        <v>1473617.02</v>
      </c>
    </row>
    <row r="31" spans="2:19" x14ac:dyDescent="0.3">
      <c r="B31" s="3"/>
      <c r="C31" s="2" t="str">
        <f t="shared" si="6"/>
        <v/>
      </c>
      <c r="D31" s="2" t="str">
        <f t="shared" si="5"/>
        <v/>
      </c>
      <c r="E31" s="2" t="str">
        <f t="shared" si="7"/>
        <v/>
      </c>
      <c r="F31" s="3"/>
      <c r="G31" s="3"/>
      <c r="H31" s="4"/>
      <c r="I31" s="4"/>
      <c r="J31" s="4"/>
      <c r="K31" s="4"/>
      <c r="L31" s="4"/>
      <c r="M31" s="4"/>
      <c r="N31" s="4"/>
      <c r="O31" s="4"/>
      <c r="P31" s="4"/>
      <c r="Q31" s="4"/>
      <c r="S31" s="4">
        <v>227.09</v>
      </c>
    </row>
    <row r="32" spans="2:19" x14ac:dyDescent="0.3">
      <c r="B32" s="3"/>
      <c r="C32" s="2" t="str">
        <f t="shared" si="6"/>
        <v/>
      </c>
      <c r="D32" s="2" t="str">
        <f t="shared" si="5"/>
        <v/>
      </c>
      <c r="E32" s="2" t="str">
        <f t="shared" si="7"/>
        <v/>
      </c>
      <c r="F32" s="3"/>
      <c r="G32" s="3"/>
      <c r="H32" s="4"/>
      <c r="I32" s="4"/>
      <c r="J32" s="4"/>
      <c r="K32" s="4"/>
      <c r="L32" s="4"/>
      <c r="M32" s="4"/>
      <c r="N32" s="4"/>
      <c r="O32" s="4"/>
      <c r="P32" s="4"/>
      <c r="Q32" s="4"/>
      <c r="S32" s="4">
        <v>226998.67</v>
      </c>
    </row>
    <row r="33" spans="2:19" x14ac:dyDescent="0.3">
      <c r="B33" s="3"/>
      <c r="C33" s="2" t="str">
        <f t="shared" si="6"/>
        <v/>
      </c>
      <c r="D33" s="2" t="str">
        <f t="shared" si="5"/>
        <v/>
      </c>
      <c r="E33" s="2" t="str">
        <f t="shared" si="7"/>
        <v/>
      </c>
      <c r="F33" s="3"/>
      <c r="G33" s="3"/>
      <c r="H33" s="4"/>
      <c r="I33" s="4"/>
      <c r="J33" s="4"/>
      <c r="K33" s="4"/>
      <c r="L33" s="4"/>
      <c r="M33" s="4"/>
      <c r="N33" s="4"/>
      <c r="O33" s="4"/>
      <c r="P33" s="4"/>
      <c r="Q33" s="4"/>
      <c r="S33" s="4">
        <v>29053.03</v>
      </c>
    </row>
    <row r="34" spans="2:19" x14ac:dyDescent="0.3">
      <c r="B34" s="3"/>
      <c r="C34" s="2" t="str">
        <f t="shared" si="6"/>
        <v/>
      </c>
      <c r="D34" s="2" t="str">
        <f t="shared" si="5"/>
        <v/>
      </c>
      <c r="E34" s="2" t="str">
        <f t="shared" si="7"/>
        <v/>
      </c>
      <c r="F34" s="3"/>
      <c r="G34" s="3"/>
      <c r="H34" s="4"/>
      <c r="I34" s="4"/>
      <c r="J34" s="4"/>
      <c r="K34" s="4"/>
      <c r="L34" s="4"/>
      <c r="M34" s="4"/>
      <c r="N34" s="4"/>
      <c r="O34" s="4"/>
      <c r="P34" s="4"/>
      <c r="Q34" s="4"/>
      <c r="S34" s="4">
        <v>36640.519999999997</v>
      </c>
    </row>
    <row r="35" spans="2:19" x14ac:dyDescent="0.3">
      <c r="B35" s="3"/>
      <c r="C35" s="2" t="str">
        <f t="shared" si="6"/>
        <v/>
      </c>
      <c r="D35" s="2" t="str">
        <f t="shared" si="5"/>
        <v/>
      </c>
      <c r="E35" s="2" t="str">
        <f t="shared" si="7"/>
        <v/>
      </c>
      <c r="F35" s="3"/>
      <c r="G35" s="3"/>
      <c r="H35" s="4"/>
      <c r="I35" s="4"/>
      <c r="J35" s="4"/>
      <c r="K35" s="4"/>
      <c r="L35" s="4"/>
      <c r="M35" s="4"/>
      <c r="N35" s="4"/>
      <c r="O35" s="4"/>
      <c r="P35" s="4"/>
      <c r="Q35" s="4"/>
      <c r="S35" s="4">
        <v>70037.37</v>
      </c>
    </row>
    <row r="36" spans="2:19" x14ac:dyDescent="0.3">
      <c r="B36" s="3"/>
      <c r="C36" s="2" t="str">
        <f t="shared" si="6"/>
        <v/>
      </c>
      <c r="D36" s="2" t="str">
        <f t="shared" si="5"/>
        <v/>
      </c>
      <c r="E36" s="2" t="str">
        <f t="shared" si="7"/>
        <v/>
      </c>
      <c r="F36" s="3"/>
      <c r="G36" s="3"/>
      <c r="H36" s="4"/>
      <c r="I36" s="4"/>
      <c r="J36" s="4"/>
      <c r="K36" s="4"/>
      <c r="L36" s="4"/>
      <c r="M36" s="4"/>
      <c r="N36" s="4"/>
      <c r="O36" s="4"/>
      <c r="P36" s="4"/>
      <c r="Q36" s="4"/>
      <c r="S36" s="4">
        <v>0</v>
      </c>
    </row>
    <row r="37" spans="2:19" x14ac:dyDescent="0.3">
      <c r="B37" s="3"/>
      <c r="C37" s="2" t="str">
        <f t="shared" si="6"/>
        <v/>
      </c>
      <c r="D37" s="2" t="str">
        <f t="shared" si="5"/>
        <v/>
      </c>
      <c r="E37" s="2" t="str">
        <f t="shared" si="7"/>
        <v/>
      </c>
      <c r="F37" s="3"/>
      <c r="G37" s="3"/>
      <c r="H37" s="4"/>
      <c r="I37" s="4"/>
      <c r="J37" s="4"/>
      <c r="K37" s="4"/>
      <c r="L37" s="4"/>
      <c r="M37" s="4"/>
      <c r="N37" s="4"/>
      <c r="O37" s="4"/>
      <c r="P37" s="4"/>
      <c r="Q37" s="4"/>
      <c r="S37" s="4">
        <v>100295.61</v>
      </c>
    </row>
    <row r="38" spans="2:19" x14ac:dyDescent="0.3">
      <c r="B38" s="3"/>
      <c r="C38" s="2" t="str">
        <f t="shared" si="6"/>
        <v/>
      </c>
      <c r="D38" s="2" t="str">
        <f t="shared" si="5"/>
        <v/>
      </c>
      <c r="E38" s="2" t="str">
        <f t="shared" si="7"/>
        <v/>
      </c>
      <c r="F38" s="3"/>
      <c r="G38" s="3"/>
      <c r="H38" s="4"/>
      <c r="I38" s="4"/>
      <c r="J38" s="4"/>
      <c r="K38" s="4"/>
      <c r="L38" s="4"/>
      <c r="M38" s="4"/>
      <c r="N38" s="4"/>
      <c r="O38" s="4"/>
      <c r="P38" s="4"/>
      <c r="Q38" s="4"/>
      <c r="S38" s="4">
        <v>34105.47</v>
      </c>
    </row>
    <row r="39" spans="2:19" x14ac:dyDescent="0.3">
      <c r="B39" s="3"/>
      <c r="C39" s="2" t="str">
        <f t="shared" si="6"/>
        <v/>
      </c>
      <c r="D39" s="2" t="str">
        <f t="shared" si="5"/>
        <v/>
      </c>
      <c r="E39" s="2" t="str">
        <f t="shared" si="7"/>
        <v/>
      </c>
      <c r="F39" s="3"/>
      <c r="G39" s="3"/>
      <c r="H39" s="4"/>
      <c r="I39" s="4"/>
      <c r="J39" s="4"/>
      <c r="K39" s="4"/>
      <c r="L39" s="4"/>
      <c r="M39" s="4"/>
      <c r="N39" s="4"/>
      <c r="O39" s="4"/>
      <c r="P39" s="4"/>
      <c r="Q39" s="4"/>
      <c r="S39" s="4">
        <v>0</v>
      </c>
    </row>
    <row r="40" spans="2:19" x14ac:dyDescent="0.3">
      <c r="B40" s="3"/>
      <c r="C40" s="2" t="str">
        <f t="shared" si="6"/>
        <v/>
      </c>
      <c r="D40" s="2" t="str">
        <f t="shared" si="5"/>
        <v/>
      </c>
      <c r="E40" s="2" t="str">
        <f t="shared" si="7"/>
        <v/>
      </c>
      <c r="F40" s="3"/>
      <c r="G40" s="3"/>
      <c r="H40" s="4"/>
      <c r="I40" s="4"/>
      <c r="J40" s="4"/>
      <c r="K40" s="4"/>
      <c r="L40" s="4"/>
      <c r="M40" s="4"/>
      <c r="N40" s="4"/>
      <c r="O40" s="4"/>
      <c r="P40" s="4"/>
      <c r="Q40" s="4"/>
      <c r="S40" s="4">
        <v>937586.72</v>
      </c>
    </row>
    <row r="41" spans="2:19" x14ac:dyDescent="0.3">
      <c r="B41" s="3"/>
      <c r="C41" s="2" t="str">
        <f t="shared" si="6"/>
        <v/>
      </c>
      <c r="D41" s="2" t="str">
        <f t="shared" si="5"/>
        <v/>
      </c>
      <c r="E41" s="2" t="str">
        <f t="shared" si="7"/>
        <v/>
      </c>
      <c r="F41" s="3"/>
      <c r="G41" s="3"/>
      <c r="H41" s="4"/>
      <c r="I41" s="4"/>
      <c r="J41" s="4"/>
      <c r="K41" s="4"/>
      <c r="L41" s="4"/>
      <c r="M41" s="4"/>
      <c r="N41" s="4"/>
      <c r="O41" s="4"/>
      <c r="P41" s="4"/>
      <c r="Q41" s="4"/>
      <c r="S41" s="4">
        <v>0</v>
      </c>
    </row>
    <row r="42" spans="2:19" x14ac:dyDescent="0.3">
      <c r="B42" s="3"/>
      <c r="C42" s="2" t="str">
        <f t="shared" si="6"/>
        <v/>
      </c>
      <c r="D42" s="2" t="str">
        <f t="shared" si="5"/>
        <v/>
      </c>
      <c r="E42" s="2" t="str">
        <f t="shared" si="7"/>
        <v/>
      </c>
      <c r="F42" s="3"/>
      <c r="G42" s="3"/>
      <c r="H42" s="4"/>
      <c r="I42" s="4"/>
      <c r="J42" s="4"/>
      <c r="K42" s="4"/>
      <c r="L42" s="4"/>
      <c r="M42" s="4"/>
      <c r="N42" s="4"/>
      <c r="O42" s="4"/>
      <c r="P42" s="4"/>
      <c r="Q42" s="4"/>
      <c r="S42" s="4">
        <v>469.02</v>
      </c>
    </row>
    <row r="43" spans="2:19" x14ac:dyDescent="0.3">
      <c r="B43" s="3"/>
      <c r="C43" s="2" t="str">
        <f t="shared" si="6"/>
        <v/>
      </c>
      <c r="D43" s="2" t="str">
        <f t="shared" si="5"/>
        <v/>
      </c>
      <c r="E43" s="2" t="str">
        <f t="shared" si="7"/>
        <v/>
      </c>
      <c r="F43" s="3"/>
      <c r="G43" s="3"/>
      <c r="H43" s="4"/>
      <c r="I43" s="4"/>
      <c r="J43" s="4"/>
      <c r="K43" s="4"/>
      <c r="L43" s="4"/>
      <c r="M43" s="4"/>
      <c r="N43" s="4"/>
      <c r="O43" s="4"/>
      <c r="P43" s="4"/>
      <c r="Q43" s="4"/>
      <c r="S43" s="4">
        <v>469.02</v>
      </c>
    </row>
    <row r="44" spans="2:19" x14ac:dyDescent="0.3">
      <c r="B44" s="3"/>
      <c r="C44" s="2" t="str">
        <f t="shared" si="6"/>
        <v/>
      </c>
      <c r="D44" s="2" t="str">
        <f t="shared" si="5"/>
        <v/>
      </c>
      <c r="E44" s="2" t="str">
        <f t="shared" si="7"/>
        <v/>
      </c>
      <c r="F44" s="3"/>
      <c r="G44" s="3"/>
      <c r="H44" s="4"/>
      <c r="I44" s="4"/>
      <c r="J44" s="4"/>
      <c r="K44" s="4"/>
      <c r="L44" s="4"/>
      <c r="M44" s="4"/>
      <c r="N44" s="4"/>
      <c r="O44" s="4"/>
      <c r="P44" s="4"/>
      <c r="Q44" s="4"/>
      <c r="S44" s="4">
        <v>3176.83</v>
      </c>
    </row>
    <row r="45" spans="2:19" x14ac:dyDescent="0.3">
      <c r="B45" s="3"/>
      <c r="C45" s="2" t="str">
        <f t="shared" si="6"/>
        <v/>
      </c>
      <c r="D45" s="2" t="str">
        <f t="shared" si="5"/>
        <v/>
      </c>
      <c r="E45" s="2" t="str">
        <f t="shared" si="7"/>
        <v/>
      </c>
      <c r="F45" s="3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S45" s="4">
        <v>3176.83</v>
      </c>
    </row>
    <row r="46" spans="2:19" x14ac:dyDescent="0.3">
      <c r="B46" s="3"/>
      <c r="C46" s="2" t="str">
        <f t="shared" si="6"/>
        <v/>
      </c>
      <c r="D46" s="2" t="str">
        <f t="shared" si="5"/>
        <v/>
      </c>
      <c r="E46" s="2" t="str">
        <f t="shared" si="7"/>
        <v/>
      </c>
      <c r="F46" s="3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S46" s="4">
        <v>1970555.87</v>
      </c>
    </row>
    <row r="47" spans="2:19" x14ac:dyDescent="0.3">
      <c r="B47" s="3"/>
      <c r="C47" s="2" t="str">
        <f t="shared" si="6"/>
        <v/>
      </c>
      <c r="D47" s="2" t="str">
        <f t="shared" si="5"/>
        <v/>
      </c>
      <c r="E47" s="2" t="str">
        <f t="shared" si="7"/>
        <v/>
      </c>
      <c r="F47" s="3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S47" s="4">
        <v>1925140.16</v>
      </c>
    </row>
    <row r="48" spans="2:19" x14ac:dyDescent="0.3">
      <c r="B48" s="3"/>
      <c r="C48" s="2" t="str">
        <f t="shared" si="6"/>
        <v/>
      </c>
      <c r="D48" s="2" t="str">
        <f t="shared" si="5"/>
        <v/>
      </c>
      <c r="E48" s="2" t="str">
        <f t="shared" si="7"/>
        <v/>
      </c>
      <c r="F48" s="3"/>
      <c r="G48" s="3"/>
      <c r="H48" s="4"/>
      <c r="I48" s="4"/>
      <c r="J48" s="4"/>
      <c r="K48" s="4"/>
      <c r="L48" s="4"/>
      <c r="M48" s="4"/>
      <c r="N48" s="4"/>
      <c r="O48" s="4"/>
      <c r="P48" s="4"/>
      <c r="Q48" s="4"/>
      <c r="S48" s="4">
        <v>1925140.16</v>
      </c>
    </row>
    <row r="49" spans="2:19" x14ac:dyDescent="0.3">
      <c r="B49" s="3"/>
      <c r="C49" s="2" t="str">
        <f t="shared" si="6"/>
        <v/>
      </c>
      <c r="D49" s="2" t="str">
        <f t="shared" si="5"/>
        <v/>
      </c>
      <c r="E49" s="2" t="str">
        <f t="shared" si="7"/>
        <v/>
      </c>
      <c r="F49" s="3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S49" s="4">
        <v>45415.71</v>
      </c>
    </row>
    <row r="50" spans="2:19" x14ac:dyDescent="0.3">
      <c r="B50" s="3"/>
      <c r="C50" s="2" t="str">
        <f t="shared" si="6"/>
        <v/>
      </c>
      <c r="D50" s="2" t="str">
        <f t="shared" si="5"/>
        <v/>
      </c>
      <c r="E50" s="2" t="str">
        <f t="shared" si="7"/>
        <v/>
      </c>
      <c r="F50" s="3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S50" s="4">
        <v>10000</v>
      </c>
    </row>
    <row r="51" spans="2:19" x14ac:dyDescent="0.3">
      <c r="B51" s="3"/>
      <c r="C51" s="2" t="str">
        <f t="shared" si="6"/>
        <v/>
      </c>
      <c r="D51" s="2" t="str">
        <f t="shared" si="5"/>
        <v/>
      </c>
      <c r="E51" s="2" t="str">
        <f t="shared" si="7"/>
        <v/>
      </c>
      <c r="F51" s="3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S51" s="4">
        <v>0</v>
      </c>
    </row>
    <row r="52" spans="2:19" x14ac:dyDescent="0.3">
      <c r="B52" s="3"/>
      <c r="C52" s="2" t="str">
        <f t="shared" si="6"/>
        <v/>
      </c>
      <c r="D52" s="2" t="str">
        <f t="shared" si="5"/>
        <v/>
      </c>
      <c r="E52" s="2" t="str">
        <f t="shared" si="7"/>
        <v/>
      </c>
      <c r="F52" s="3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S52" s="4">
        <v>35415.71</v>
      </c>
    </row>
    <row r="53" spans="2:19" x14ac:dyDescent="0.3">
      <c r="B53" s="3"/>
      <c r="C53" s="2" t="str">
        <f t="shared" si="6"/>
        <v/>
      </c>
      <c r="D53" s="2" t="str">
        <f t="shared" si="5"/>
        <v/>
      </c>
      <c r="E53" s="2" t="str">
        <f t="shared" si="7"/>
        <v/>
      </c>
      <c r="F53" s="3"/>
      <c r="G53" s="3"/>
      <c r="H53" s="4"/>
      <c r="I53" s="4"/>
      <c r="J53" s="4"/>
      <c r="K53" s="4"/>
      <c r="L53" s="4"/>
      <c r="M53" s="4"/>
      <c r="N53" s="4"/>
      <c r="O53" s="4"/>
      <c r="P53" s="4"/>
      <c r="Q53" s="4"/>
      <c r="S53" s="4">
        <v>0</v>
      </c>
    </row>
    <row r="54" spans="2:19" x14ac:dyDescent="0.3">
      <c r="B54" s="3"/>
      <c r="C54" s="2" t="str">
        <f t="shared" si="6"/>
        <v/>
      </c>
      <c r="D54" s="2" t="str">
        <f t="shared" si="5"/>
        <v/>
      </c>
      <c r="E54" s="2" t="str">
        <f t="shared" si="7"/>
        <v/>
      </c>
      <c r="F54" s="3"/>
      <c r="G54" s="3"/>
      <c r="H54" s="4"/>
      <c r="I54" s="4"/>
      <c r="J54" s="4"/>
      <c r="K54" s="4"/>
      <c r="L54" s="4"/>
      <c r="M54" s="4"/>
      <c r="N54" s="4"/>
      <c r="O54" s="4"/>
      <c r="P54" s="4"/>
      <c r="Q54" s="4"/>
      <c r="S54" s="4">
        <v>0</v>
      </c>
    </row>
    <row r="55" spans="2:19" x14ac:dyDescent="0.3">
      <c r="B55" s="3"/>
      <c r="C55" s="2" t="str">
        <f t="shared" si="6"/>
        <v/>
      </c>
      <c r="D55" s="2" t="str">
        <f t="shared" si="5"/>
        <v/>
      </c>
      <c r="E55" s="2" t="str">
        <f t="shared" si="7"/>
        <v/>
      </c>
      <c r="F55" s="3"/>
      <c r="G55" s="3"/>
      <c r="H55" s="4"/>
      <c r="I55" s="4"/>
      <c r="J55" s="4"/>
      <c r="K55" s="4"/>
      <c r="L55" s="4"/>
      <c r="M55" s="4"/>
      <c r="N55" s="4"/>
      <c r="O55" s="4"/>
      <c r="P55" s="4"/>
      <c r="Q55" s="4"/>
      <c r="S55" s="4">
        <v>0</v>
      </c>
    </row>
    <row r="56" spans="2:19" x14ac:dyDescent="0.3">
      <c r="B56" s="3"/>
      <c r="C56" s="2" t="str">
        <f t="shared" si="6"/>
        <v/>
      </c>
      <c r="D56" s="2" t="str">
        <f t="shared" si="5"/>
        <v/>
      </c>
      <c r="E56" s="2" t="str">
        <f t="shared" si="7"/>
        <v/>
      </c>
      <c r="F56" s="3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S56" s="4">
        <v>0</v>
      </c>
    </row>
    <row r="57" spans="2:19" x14ac:dyDescent="0.3">
      <c r="B57" s="3"/>
      <c r="C57" s="2" t="str">
        <f t="shared" si="6"/>
        <v/>
      </c>
      <c r="D57" s="2" t="str">
        <f t="shared" si="5"/>
        <v/>
      </c>
      <c r="E57" s="2" t="str">
        <f t="shared" si="7"/>
        <v/>
      </c>
      <c r="F57" s="3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S57" s="4">
        <v>3858057.14</v>
      </c>
    </row>
    <row r="58" spans="2:19" x14ac:dyDescent="0.3">
      <c r="B58" s="3"/>
      <c r="C58" s="2" t="str">
        <f t="shared" si="6"/>
        <v/>
      </c>
      <c r="D58" s="2" t="str">
        <f t="shared" si="5"/>
        <v/>
      </c>
      <c r="E58" s="2" t="str">
        <f t="shared" si="7"/>
        <v/>
      </c>
      <c r="F58" s="3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S58" s="4">
        <v>3528863.85</v>
      </c>
    </row>
    <row r="59" spans="2:19" x14ac:dyDescent="0.3">
      <c r="B59" s="3"/>
      <c r="C59" s="2" t="str">
        <f t="shared" si="6"/>
        <v/>
      </c>
      <c r="D59" s="2" t="str">
        <f t="shared" si="5"/>
        <v/>
      </c>
      <c r="E59" s="2" t="str">
        <f t="shared" si="7"/>
        <v/>
      </c>
      <c r="F59" s="3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S59" s="4">
        <v>4264516.18</v>
      </c>
    </row>
    <row r="60" spans="2:19" x14ac:dyDescent="0.3">
      <c r="B60" s="3"/>
      <c r="C60" s="2" t="str">
        <f t="shared" si="6"/>
        <v/>
      </c>
      <c r="D60" s="2" t="str">
        <f t="shared" si="5"/>
        <v/>
      </c>
      <c r="E60" s="2" t="str">
        <f t="shared" si="7"/>
        <v/>
      </c>
      <c r="F60" s="3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S60" s="4">
        <v>0</v>
      </c>
    </row>
    <row r="61" spans="2:19" x14ac:dyDescent="0.3">
      <c r="B61" s="3"/>
      <c r="C61" s="2" t="str">
        <f t="shared" si="6"/>
        <v/>
      </c>
      <c r="D61" s="2" t="str">
        <f t="shared" si="5"/>
        <v/>
      </c>
      <c r="E61" s="2" t="str">
        <f t="shared" si="7"/>
        <v/>
      </c>
      <c r="F61" s="3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S61" s="4">
        <v>0</v>
      </c>
    </row>
    <row r="62" spans="2:19" x14ac:dyDescent="0.3">
      <c r="B62" s="3"/>
      <c r="C62" s="2" t="str">
        <f t="shared" si="6"/>
        <v/>
      </c>
      <c r="D62" s="2" t="str">
        <f t="shared" si="5"/>
        <v/>
      </c>
      <c r="E62" s="2" t="str">
        <f t="shared" si="7"/>
        <v/>
      </c>
      <c r="F62" s="3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S62" s="4">
        <v>0</v>
      </c>
    </row>
    <row r="63" spans="2:19" x14ac:dyDescent="0.3">
      <c r="B63" s="3"/>
      <c r="C63" s="2" t="str">
        <f t="shared" si="6"/>
        <v/>
      </c>
      <c r="D63" s="2" t="str">
        <f t="shared" si="5"/>
        <v/>
      </c>
      <c r="E63" s="2" t="str">
        <f t="shared" si="7"/>
        <v/>
      </c>
      <c r="F63" s="3"/>
      <c r="G63" s="3"/>
      <c r="H63" s="4"/>
      <c r="I63" s="4"/>
      <c r="J63" s="4"/>
      <c r="K63" s="4"/>
      <c r="L63" s="4"/>
      <c r="M63" s="4"/>
      <c r="N63" s="4"/>
      <c r="O63" s="4"/>
      <c r="P63" s="4"/>
      <c r="Q63" s="4"/>
      <c r="S63" s="4">
        <v>-735652.33</v>
      </c>
    </row>
    <row r="64" spans="2:19" x14ac:dyDescent="0.3">
      <c r="B64" s="3"/>
      <c r="C64" s="2" t="str">
        <f t="shared" si="6"/>
        <v/>
      </c>
      <c r="D64" s="2" t="str">
        <f t="shared" si="5"/>
        <v/>
      </c>
      <c r="E64" s="2" t="str">
        <f t="shared" si="7"/>
        <v/>
      </c>
      <c r="F64" s="3"/>
      <c r="G64" s="3"/>
      <c r="H64" s="4"/>
      <c r="I64" s="4"/>
      <c r="J64" s="4"/>
      <c r="K64" s="4"/>
      <c r="L64" s="4"/>
      <c r="M64" s="4"/>
      <c r="N64" s="4"/>
      <c r="O64" s="4"/>
      <c r="P64" s="4"/>
      <c r="Q64" s="4"/>
      <c r="S64" s="4">
        <v>374598.65</v>
      </c>
    </row>
    <row r="65" spans="2:19" x14ac:dyDescent="0.3">
      <c r="B65" s="3"/>
      <c r="C65" s="2" t="str">
        <f t="shared" si="6"/>
        <v/>
      </c>
      <c r="D65" s="2" t="str">
        <f t="shared" si="5"/>
        <v/>
      </c>
      <c r="E65" s="2" t="str">
        <f t="shared" si="7"/>
        <v/>
      </c>
      <c r="F65" s="3"/>
      <c r="G65" s="3"/>
      <c r="H65" s="4"/>
      <c r="I65" s="4"/>
      <c r="J65" s="4"/>
      <c r="K65" s="4"/>
      <c r="L65" s="4"/>
      <c r="M65" s="4"/>
      <c r="N65" s="4"/>
      <c r="O65" s="4"/>
      <c r="P65" s="4"/>
      <c r="Q65" s="4"/>
      <c r="S65" s="4">
        <v>374598.65</v>
      </c>
    </row>
    <row r="66" spans="2:19" x14ac:dyDescent="0.3">
      <c r="B66" s="3"/>
      <c r="C66" s="2" t="str">
        <f t="shared" si="6"/>
        <v/>
      </c>
      <c r="D66" s="2" t="str">
        <f t="shared" si="5"/>
        <v/>
      </c>
      <c r="E66" s="2" t="str">
        <f t="shared" si="7"/>
        <v/>
      </c>
      <c r="F66" s="3"/>
      <c r="G66" s="3"/>
      <c r="H66" s="4"/>
      <c r="I66" s="4"/>
      <c r="J66" s="4"/>
      <c r="K66" s="4"/>
      <c r="L66" s="4"/>
      <c r="M66" s="4"/>
      <c r="N66" s="4"/>
      <c r="O66" s="4"/>
      <c r="P66" s="4"/>
      <c r="Q66" s="4"/>
      <c r="S66" s="4">
        <v>-45405.36</v>
      </c>
    </row>
    <row r="67" spans="2:19" x14ac:dyDescent="0.3">
      <c r="B67" s="3"/>
      <c r="C67" s="2" t="str">
        <f t="shared" si="6"/>
        <v/>
      </c>
      <c r="D67" s="2" t="str">
        <f t="shared" si="5"/>
        <v/>
      </c>
      <c r="E67" s="2" t="str">
        <f t="shared" si="7"/>
        <v/>
      </c>
      <c r="F67" s="3"/>
      <c r="G67" s="3"/>
      <c r="H67" s="4"/>
      <c r="I67" s="4"/>
      <c r="J67" s="4"/>
      <c r="K67" s="4"/>
      <c r="L67" s="4"/>
      <c r="M67" s="4"/>
      <c r="N67" s="4"/>
      <c r="O67" s="4"/>
      <c r="P67" s="4"/>
      <c r="Q67" s="4"/>
      <c r="S67" s="4">
        <v>-45405.36</v>
      </c>
    </row>
    <row r="68" spans="2:19" x14ac:dyDescent="0.3">
      <c r="B68" s="3"/>
      <c r="C68" s="2" t="str">
        <f t="shared" si="6"/>
        <v/>
      </c>
      <c r="D68" s="2" t="str">
        <f t="shared" si="5"/>
        <v/>
      </c>
      <c r="E68" s="2" t="str">
        <f t="shared" si="7"/>
        <v/>
      </c>
      <c r="F68" s="3"/>
      <c r="G68" s="3"/>
      <c r="H68" s="4"/>
      <c r="I68" s="4"/>
      <c r="J68" s="4"/>
      <c r="K68" s="4"/>
      <c r="L68" s="4"/>
      <c r="M68" s="4"/>
      <c r="N68" s="4"/>
      <c r="O68" s="4"/>
      <c r="P68" s="4"/>
      <c r="Q68" s="4"/>
      <c r="S68" s="4">
        <v>1311491.94</v>
      </c>
    </row>
    <row r="69" spans="2:19" x14ac:dyDescent="0.3">
      <c r="B69" s="3"/>
      <c r="C69" s="2" t="str">
        <f t="shared" si="6"/>
        <v/>
      </c>
      <c r="D69" s="2" t="str">
        <f t="shared" si="5"/>
        <v/>
      </c>
      <c r="E69" s="2" t="str">
        <f t="shared" si="7"/>
        <v/>
      </c>
      <c r="F69" s="3"/>
      <c r="G69" s="3"/>
      <c r="H69" s="4"/>
      <c r="I69" s="4"/>
      <c r="J69" s="4"/>
      <c r="K69" s="4"/>
      <c r="L69" s="4"/>
      <c r="M69" s="4"/>
      <c r="N69" s="4"/>
      <c r="O69" s="4"/>
      <c r="P69" s="4"/>
      <c r="Q69" s="4"/>
      <c r="S69" s="4">
        <v>1311491.94</v>
      </c>
    </row>
    <row r="70" spans="2:19" x14ac:dyDescent="0.3">
      <c r="B70" s="3"/>
      <c r="C70" s="2" t="str">
        <f t="shared" si="6"/>
        <v/>
      </c>
      <c r="D70" s="2" t="str">
        <f t="shared" si="5"/>
        <v/>
      </c>
      <c r="E70" s="2" t="str">
        <f t="shared" si="7"/>
        <v/>
      </c>
      <c r="F70" s="3"/>
      <c r="G70" s="3"/>
      <c r="H70" s="4"/>
      <c r="I70" s="4"/>
      <c r="J70" s="4"/>
      <c r="K70" s="4"/>
      <c r="L70" s="4"/>
      <c r="M70" s="4"/>
      <c r="N70" s="4"/>
      <c r="O70" s="4"/>
      <c r="P70" s="4"/>
      <c r="Q70" s="4"/>
      <c r="S70" s="4">
        <v>721772.19</v>
      </c>
    </row>
    <row r="71" spans="2:19" x14ac:dyDescent="0.3">
      <c r="B71" s="3"/>
      <c r="C71" s="2" t="str">
        <f t="shared" si="6"/>
        <v/>
      </c>
      <c r="D71" s="2" t="str">
        <f t="shared" si="5"/>
        <v/>
      </c>
      <c r="E71" s="2" t="str">
        <f t="shared" si="7"/>
        <v/>
      </c>
      <c r="F71" s="3"/>
      <c r="G71" s="3"/>
      <c r="H71" s="4"/>
      <c r="I71" s="4"/>
      <c r="J71" s="4"/>
      <c r="K71" s="4"/>
      <c r="L71" s="4"/>
      <c r="M71" s="4"/>
      <c r="N71" s="4"/>
      <c r="O71" s="4"/>
      <c r="P71" s="4"/>
      <c r="Q71" s="4"/>
      <c r="S71" s="4">
        <v>19836.29</v>
      </c>
    </row>
    <row r="72" spans="2:19" x14ac:dyDescent="0.3">
      <c r="B72" s="3"/>
      <c r="C72" s="2" t="str">
        <f t="shared" si="6"/>
        <v/>
      </c>
      <c r="D72" s="2" t="str">
        <f t="shared" si="5"/>
        <v/>
      </c>
      <c r="E72" s="2" t="str">
        <f t="shared" si="7"/>
        <v/>
      </c>
      <c r="F72" s="3"/>
      <c r="G72" s="3"/>
      <c r="H72" s="4"/>
      <c r="I72" s="4"/>
      <c r="J72" s="4"/>
      <c r="K72" s="4"/>
      <c r="L72" s="4"/>
      <c r="M72" s="4"/>
      <c r="N72" s="4"/>
      <c r="O72" s="4"/>
      <c r="P72" s="4"/>
      <c r="Q72" s="4"/>
      <c r="S72" s="4">
        <v>85263.1</v>
      </c>
    </row>
    <row r="73" spans="2:19" x14ac:dyDescent="0.3">
      <c r="B73" s="3"/>
      <c r="C73" s="2" t="str">
        <f t="shared" si="6"/>
        <v/>
      </c>
      <c r="D73" s="2" t="str">
        <f t="shared" si="5"/>
        <v/>
      </c>
      <c r="E73" s="2" t="str">
        <f t="shared" si="7"/>
        <v/>
      </c>
      <c r="F73" s="3"/>
      <c r="G73" s="3"/>
      <c r="H73" s="4"/>
      <c r="I73" s="4"/>
      <c r="J73" s="4"/>
      <c r="K73" s="4"/>
      <c r="L73" s="4"/>
      <c r="M73" s="4"/>
      <c r="N73" s="4"/>
      <c r="O73" s="4"/>
      <c r="P73" s="4"/>
      <c r="Q73" s="4"/>
      <c r="S73" s="4">
        <v>57519.25</v>
      </c>
    </row>
    <row r="74" spans="2:19" x14ac:dyDescent="0.3">
      <c r="B74" s="3"/>
      <c r="C74" s="2" t="str">
        <f t="shared" si="6"/>
        <v/>
      </c>
      <c r="D74" s="2" t="str">
        <f t="shared" si="5"/>
        <v/>
      </c>
      <c r="E74" s="2" t="str">
        <f t="shared" si="7"/>
        <v/>
      </c>
      <c r="F74" s="3"/>
      <c r="G74" s="3"/>
      <c r="H74" s="4"/>
      <c r="I74" s="4"/>
      <c r="J74" s="4"/>
      <c r="K74" s="4"/>
      <c r="L74" s="4"/>
      <c r="M74" s="4"/>
      <c r="N74" s="4"/>
      <c r="O74" s="4"/>
      <c r="P74" s="4"/>
      <c r="Q74" s="4"/>
      <c r="S74" s="4">
        <v>264937.15999999997</v>
      </c>
    </row>
    <row r="75" spans="2:19" x14ac:dyDescent="0.3">
      <c r="B75" s="3"/>
      <c r="C75" s="2" t="str">
        <f t="shared" si="6"/>
        <v/>
      </c>
      <c r="D75" s="2" t="str">
        <f t="shared" si="5"/>
        <v/>
      </c>
      <c r="E75" s="2" t="str">
        <f t="shared" si="7"/>
        <v/>
      </c>
      <c r="F75" s="3"/>
      <c r="G75" s="3"/>
      <c r="H75" s="4"/>
      <c r="I75" s="4"/>
      <c r="J75" s="4"/>
      <c r="K75" s="4"/>
      <c r="L75" s="4"/>
      <c r="M75" s="4"/>
      <c r="N75" s="4"/>
      <c r="O75" s="4"/>
      <c r="P75" s="4"/>
      <c r="Q75" s="4"/>
      <c r="S75" s="4">
        <v>10560.88</v>
      </c>
    </row>
    <row r="76" spans="2:19" x14ac:dyDescent="0.3">
      <c r="B76" s="3"/>
      <c r="C76" s="2" t="str">
        <f t="shared" si="6"/>
        <v/>
      </c>
      <c r="D76" s="2" t="str">
        <f t="shared" si="5"/>
        <v/>
      </c>
      <c r="E76" s="2" t="str">
        <f t="shared" si="7"/>
        <v/>
      </c>
      <c r="F76" s="3"/>
      <c r="G76" s="3"/>
      <c r="H76" s="4"/>
      <c r="I76" s="4"/>
      <c r="J76" s="4"/>
      <c r="K76" s="4"/>
      <c r="L76" s="4"/>
      <c r="M76" s="4"/>
      <c r="N76" s="4"/>
      <c r="O76" s="4"/>
      <c r="P76" s="4"/>
      <c r="Q76" s="4"/>
      <c r="S76" s="4">
        <v>151603.07</v>
      </c>
    </row>
    <row r="77" spans="2:19" x14ac:dyDescent="0.3">
      <c r="B77" s="3"/>
      <c r="C77" s="2" t="str">
        <f t="shared" si="6"/>
        <v/>
      </c>
      <c r="D77" s="2" t="str">
        <f t="shared" si="5"/>
        <v/>
      </c>
      <c r="E77" s="2" t="str">
        <f t="shared" si="7"/>
        <v/>
      </c>
      <c r="F77" s="3"/>
      <c r="G77" s="3"/>
      <c r="H77" s="4"/>
      <c r="I77" s="4"/>
      <c r="J77" s="4"/>
      <c r="K77" s="4"/>
      <c r="L77" s="4"/>
      <c r="M77" s="4"/>
      <c r="N77" s="4"/>
      <c r="O77" s="4"/>
      <c r="P77" s="4"/>
      <c r="Q77" s="4"/>
      <c r="S77" s="4">
        <v>2348141.31</v>
      </c>
    </row>
    <row r="78" spans="2:19" x14ac:dyDescent="0.3">
      <c r="B78" s="3"/>
      <c r="C78" s="2" t="str">
        <f t="shared" si="6"/>
        <v/>
      </c>
      <c r="D78" s="2" t="str">
        <f t="shared" si="5"/>
        <v/>
      </c>
      <c r="E78" s="2" t="str">
        <f t="shared" si="7"/>
        <v/>
      </c>
      <c r="F78" s="3"/>
      <c r="G78" s="3"/>
      <c r="H78" s="4"/>
      <c r="I78" s="4"/>
      <c r="J78" s="4"/>
      <c r="K78" s="4"/>
      <c r="L78" s="4"/>
      <c r="M78" s="4"/>
      <c r="N78" s="4"/>
      <c r="O78" s="4"/>
      <c r="P78" s="4"/>
      <c r="Q78" s="4"/>
      <c r="S78" s="4">
        <v>2348141.31</v>
      </c>
    </row>
    <row r="79" spans="2:19" x14ac:dyDescent="0.3">
      <c r="B79" s="3"/>
      <c r="C79" s="2" t="str">
        <f t="shared" si="6"/>
        <v/>
      </c>
      <c r="D79" s="2" t="str">
        <f t="shared" si="5"/>
        <v/>
      </c>
      <c r="E79" s="2" t="str">
        <f t="shared" si="7"/>
        <v/>
      </c>
      <c r="F79" s="3"/>
      <c r="G79" s="3"/>
      <c r="H79" s="4"/>
      <c r="I79" s="4"/>
      <c r="J79" s="4"/>
      <c r="K79" s="4"/>
      <c r="L79" s="4"/>
      <c r="M79" s="4"/>
      <c r="N79" s="4"/>
      <c r="O79" s="4"/>
      <c r="P79" s="4"/>
      <c r="Q79" s="4"/>
      <c r="S79" s="4">
        <v>151900</v>
      </c>
    </row>
    <row r="80" spans="2:19" x14ac:dyDescent="0.3">
      <c r="B80" s="3"/>
      <c r="C80" s="2" t="str">
        <f t="shared" si="6"/>
        <v/>
      </c>
      <c r="D80" s="2" t="str">
        <f t="shared" ref="D80:D143" si="8">IF($F80="","",IF(LEN($F80)=13,"A","S"))</f>
        <v/>
      </c>
      <c r="E80" s="2" t="str">
        <f t="shared" si="7"/>
        <v/>
      </c>
      <c r="F80" s="3"/>
      <c r="G80" s="3"/>
      <c r="H80" s="4"/>
      <c r="I80" s="4"/>
      <c r="J80" s="4"/>
      <c r="K80" s="4"/>
      <c r="L80" s="4"/>
      <c r="M80" s="4"/>
      <c r="N80" s="4"/>
      <c r="O80" s="4"/>
      <c r="P80" s="4"/>
      <c r="Q80" s="4"/>
      <c r="S80" s="4">
        <v>189442.02</v>
      </c>
    </row>
    <row r="81" spans="2:19" x14ac:dyDescent="0.3">
      <c r="B81" s="3"/>
      <c r="C81" s="2" t="str">
        <f t="shared" si="6"/>
        <v/>
      </c>
      <c r="D81" s="2" t="str">
        <f t="shared" si="8"/>
        <v/>
      </c>
      <c r="E81" s="2" t="str">
        <f t="shared" si="7"/>
        <v/>
      </c>
      <c r="F81" s="3"/>
      <c r="G81" s="3"/>
      <c r="H81" s="4"/>
      <c r="I81" s="4"/>
      <c r="J81" s="4"/>
      <c r="K81" s="4"/>
      <c r="L81" s="4"/>
      <c r="M81" s="4"/>
      <c r="N81" s="4"/>
      <c r="O81" s="4"/>
      <c r="P81" s="4"/>
      <c r="Q81" s="4"/>
      <c r="S81" s="4">
        <v>533849.93999999994</v>
      </c>
    </row>
    <row r="82" spans="2:19" x14ac:dyDescent="0.3">
      <c r="B82" s="3"/>
      <c r="C82" s="2" t="str">
        <f t="shared" ref="C82:C145" si="9">IF($F82="","",IF(LEFT($F82,1)*1=1,"A",IF(LEFT($F82,1)*1=2,"P",IF(LEFT($F82,1)*1=3,"C",IF(LEFT($F82,1)*1=4,"C",IF(LEFT($F82,1)*1=5,"R",""))))))</f>
        <v/>
      </c>
      <c r="D82" s="2" t="str">
        <f t="shared" si="8"/>
        <v/>
      </c>
      <c r="E82" s="2" t="str">
        <f t="shared" ref="E82:E145" si="10">IF($F82="","",IF(LEN($F82)=1,1,IF(LEN($F82)=3,2,IF(LEN($F82)=6,3,IF(LEN($F82)=9,4,IF(LEN($F82)=12,5,6))))))</f>
        <v/>
      </c>
      <c r="F82" s="3"/>
      <c r="G82" s="3"/>
      <c r="H82" s="4"/>
      <c r="I82" s="4"/>
      <c r="J82" s="4"/>
      <c r="K82" s="4"/>
      <c r="L82" s="4"/>
      <c r="M82" s="4"/>
      <c r="N82" s="4"/>
      <c r="O82" s="4"/>
      <c r="P82" s="4"/>
      <c r="Q82" s="4"/>
      <c r="S82" s="4">
        <v>229910.9</v>
      </c>
    </row>
    <row r="83" spans="2:19" x14ac:dyDescent="0.3">
      <c r="B83" s="3"/>
      <c r="C83" s="2" t="str">
        <f t="shared" si="9"/>
        <v/>
      </c>
      <c r="D83" s="2" t="str">
        <f t="shared" si="8"/>
        <v/>
      </c>
      <c r="E83" s="2" t="str">
        <f t="shared" si="10"/>
        <v/>
      </c>
      <c r="F83" s="3"/>
      <c r="G83" s="3"/>
      <c r="H83" s="4"/>
      <c r="I83" s="4"/>
      <c r="J83" s="4"/>
      <c r="K83" s="4"/>
      <c r="L83" s="4"/>
      <c r="M83" s="4"/>
      <c r="N83" s="4"/>
      <c r="O83" s="4"/>
      <c r="P83" s="4"/>
      <c r="Q83" s="4"/>
      <c r="S83" s="4">
        <v>35962.51</v>
      </c>
    </row>
    <row r="84" spans="2:19" x14ac:dyDescent="0.3">
      <c r="B84" s="3"/>
      <c r="C84" s="2" t="str">
        <f t="shared" si="9"/>
        <v/>
      </c>
      <c r="D84" s="2" t="str">
        <f t="shared" si="8"/>
        <v/>
      </c>
      <c r="E84" s="2" t="str">
        <f t="shared" si="10"/>
        <v/>
      </c>
      <c r="F84" s="3"/>
      <c r="G84" s="3"/>
      <c r="H84" s="4"/>
      <c r="I84" s="4"/>
      <c r="J84" s="4"/>
      <c r="K84" s="4"/>
      <c r="L84" s="4"/>
      <c r="M84" s="4"/>
      <c r="N84" s="4"/>
      <c r="O84" s="4"/>
      <c r="P84" s="4"/>
      <c r="Q84" s="4"/>
      <c r="S84" s="4">
        <v>1075110.18</v>
      </c>
    </row>
    <row r="85" spans="2:19" x14ac:dyDescent="0.3">
      <c r="B85" s="3"/>
      <c r="C85" s="2" t="str">
        <f t="shared" si="9"/>
        <v/>
      </c>
      <c r="D85" s="2" t="str">
        <f t="shared" si="8"/>
        <v/>
      </c>
      <c r="E85" s="2" t="str">
        <f t="shared" si="10"/>
        <v/>
      </c>
      <c r="F85" s="3"/>
      <c r="G85" s="3"/>
      <c r="H85" s="4"/>
      <c r="I85" s="4"/>
      <c r="J85" s="4"/>
      <c r="K85" s="4"/>
      <c r="L85" s="4"/>
      <c r="M85" s="4"/>
      <c r="N85" s="4"/>
      <c r="O85" s="4"/>
      <c r="P85" s="4"/>
      <c r="Q85" s="4"/>
      <c r="S85" s="4">
        <v>131965.76000000001</v>
      </c>
    </row>
    <row r="86" spans="2:19" x14ac:dyDescent="0.3">
      <c r="B86" s="3"/>
      <c r="C86" s="2" t="str">
        <f t="shared" si="9"/>
        <v/>
      </c>
      <c r="D86" s="2" t="str">
        <f t="shared" si="8"/>
        <v/>
      </c>
      <c r="E86" s="2" t="str">
        <f t="shared" si="10"/>
        <v/>
      </c>
      <c r="F86" s="3"/>
      <c r="G86" s="3"/>
      <c r="H86" s="4"/>
      <c r="I86" s="4"/>
      <c r="J86" s="4"/>
      <c r="K86" s="4"/>
      <c r="L86" s="4"/>
      <c r="M86" s="4"/>
      <c r="N86" s="4"/>
      <c r="O86" s="4"/>
      <c r="P86" s="4"/>
      <c r="Q86" s="4"/>
      <c r="S86" s="4">
        <v>0</v>
      </c>
    </row>
    <row r="87" spans="2:19" x14ac:dyDescent="0.3">
      <c r="B87" s="3"/>
      <c r="C87" s="2" t="str">
        <f t="shared" si="9"/>
        <v/>
      </c>
      <c r="D87" s="2" t="str">
        <f t="shared" si="8"/>
        <v/>
      </c>
      <c r="E87" s="2" t="str">
        <f t="shared" si="10"/>
        <v/>
      </c>
      <c r="F87" s="3"/>
      <c r="G87" s="3"/>
      <c r="H87" s="4"/>
      <c r="I87" s="4"/>
      <c r="J87" s="4"/>
      <c r="K87" s="4"/>
      <c r="L87" s="4"/>
      <c r="M87" s="4"/>
      <c r="N87" s="4"/>
      <c r="O87" s="4"/>
      <c r="P87" s="4"/>
      <c r="Q87" s="4"/>
      <c r="S87" s="4">
        <v>0</v>
      </c>
    </row>
    <row r="88" spans="2:19" x14ac:dyDescent="0.3">
      <c r="B88" s="3"/>
      <c r="C88" s="2" t="str">
        <f t="shared" si="9"/>
        <v/>
      </c>
      <c r="D88" s="2" t="str">
        <f t="shared" si="8"/>
        <v/>
      </c>
      <c r="E88" s="2" t="str">
        <f t="shared" si="10"/>
        <v/>
      </c>
      <c r="F88" s="3"/>
      <c r="G88" s="3"/>
      <c r="H88" s="4"/>
      <c r="I88" s="4"/>
      <c r="J88" s="4"/>
      <c r="K88" s="4"/>
      <c r="L88" s="4"/>
      <c r="M88" s="4"/>
      <c r="N88" s="4"/>
      <c r="O88" s="4"/>
      <c r="P88" s="4"/>
      <c r="Q88" s="4"/>
      <c r="S88" s="4">
        <v>0</v>
      </c>
    </row>
    <row r="89" spans="2:19" x14ac:dyDescent="0.3">
      <c r="B89" s="3"/>
      <c r="C89" s="2" t="str">
        <f t="shared" si="9"/>
        <v/>
      </c>
      <c r="D89" s="2" t="str">
        <f t="shared" si="8"/>
        <v/>
      </c>
      <c r="E89" s="2" t="str">
        <f t="shared" si="10"/>
        <v/>
      </c>
      <c r="F89" s="3"/>
      <c r="G89" s="3"/>
      <c r="H89" s="4"/>
      <c r="I89" s="4"/>
      <c r="J89" s="4"/>
      <c r="K89" s="4"/>
      <c r="L89" s="4"/>
      <c r="M89" s="4"/>
      <c r="N89" s="4"/>
      <c r="O89" s="4"/>
      <c r="P89" s="4"/>
      <c r="Q89" s="4"/>
      <c r="S89" s="4">
        <v>33431.94</v>
      </c>
    </row>
    <row r="90" spans="2:19" x14ac:dyDescent="0.3">
      <c r="B90" s="3"/>
      <c r="C90" s="2" t="str">
        <f t="shared" si="9"/>
        <v/>
      </c>
      <c r="D90" s="2" t="str">
        <f t="shared" si="8"/>
        <v/>
      </c>
      <c r="E90" s="2" t="str">
        <f t="shared" si="10"/>
        <v/>
      </c>
      <c r="F90" s="3"/>
      <c r="G90" s="3"/>
      <c r="H90" s="4"/>
      <c r="I90" s="4"/>
      <c r="J90" s="4"/>
      <c r="K90" s="4"/>
      <c r="L90" s="4"/>
      <c r="M90" s="4"/>
      <c r="N90" s="4"/>
      <c r="O90" s="4"/>
      <c r="P90" s="4"/>
      <c r="Q90" s="4"/>
      <c r="S90" s="4">
        <v>33431.94</v>
      </c>
    </row>
    <row r="91" spans="2:19" x14ac:dyDescent="0.3">
      <c r="B91" s="3"/>
      <c r="C91" s="2" t="str">
        <f t="shared" si="9"/>
        <v/>
      </c>
      <c r="D91" s="2" t="str">
        <f t="shared" si="8"/>
        <v/>
      </c>
      <c r="E91" s="2" t="str">
        <f t="shared" si="10"/>
        <v/>
      </c>
      <c r="F91" s="3"/>
      <c r="G91" s="3"/>
      <c r="H91" s="4"/>
      <c r="I91" s="4"/>
      <c r="J91" s="4"/>
      <c r="K91" s="4"/>
      <c r="L91" s="4"/>
      <c r="M91" s="4"/>
      <c r="N91" s="4"/>
      <c r="O91" s="4"/>
      <c r="P91" s="4"/>
      <c r="Q91" s="4"/>
      <c r="S91" s="4">
        <v>33431.94</v>
      </c>
    </row>
    <row r="92" spans="2:19" x14ac:dyDescent="0.3">
      <c r="B92" s="3"/>
      <c r="C92" s="2" t="str">
        <f t="shared" si="9"/>
        <v/>
      </c>
      <c r="D92" s="2" t="str">
        <f t="shared" si="8"/>
        <v/>
      </c>
      <c r="E92" s="2" t="str">
        <f t="shared" si="10"/>
        <v/>
      </c>
      <c r="F92" s="3"/>
      <c r="G92" s="3"/>
      <c r="H92" s="4"/>
      <c r="I92" s="4"/>
      <c r="J92" s="4"/>
      <c r="K92" s="4"/>
      <c r="L92" s="4"/>
      <c r="M92" s="4"/>
      <c r="N92" s="4"/>
      <c r="O92" s="4"/>
      <c r="P92" s="4"/>
      <c r="Q92" s="4"/>
      <c r="S92" s="4">
        <v>5159082.3</v>
      </c>
    </row>
    <row r="93" spans="2:19" x14ac:dyDescent="0.3">
      <c r="B93" s="3"/>
      <c r="C93" s="2" t="str">
        <f t="shared" si="9"/>
        <v/>
      </c>
      <c r="D93" s="2" t="str">
        <f t="shared" si="8"/>
        <v/>
      </c>
      <c r="E93" s="2" t="str">
        <f t="shared" si="10"/>
        <v/>
      </c>
      <c r="F93" s="3"/>
      <c r="G93" s="3"/>
      <c r="H93" s="4"/>
      <c r="I93" s="4"/>
      <c r="J93" s="4"/>
      <c r="K93" s="4"/>
      <c r="L93" s="4"/>
      <c r="M93" s="4"/>
      <c r="N93" s="4"/>
      <c r="O93" s="4"/>
      <c r="P93" s="4"/>
      <c r="Q93" s="4"/>
      <c r="S93" s="4">
        <v>5104874.22</v>
      </c>
    </row>
    <row r="94" spans="2:19" x14ac:dyDescent="0.3">
      <c r="B94" s="3"/>
      <c r="C94" s="2" t="str">
        <f t="shared" si="9"/>
        <v/>
      </c>
      <c r="D94" s="2" t="str">
        <f t="shared" si="8"/>
        <v/>
      </c>
      <c r="E94" s="2" t="str">
        <f t="shared" si="10"/>
        <v/>
      </c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S94" s="4">
        <v>5997395.0899999999</v>
      </c>
    </row>
    <row r="95" spans="2:19" x14ac:dyDescent="0.3">
      <c r="B95" s="3"/>
      <c r="C95" s="2" t="str">
        <f t="shared" si="9"/>
        <v/>
      </c>
      <c r="D95" s="2" t="str">
        <f t="shared" si="8"/>
        <v/>
      </c>
      <c r="E95" s="2" t="str">
        <f t="shared" si="10"/>
        <v/>
      </c>
      <c r="F95" s="3"/>
      <c r="G95" s="3"/>
      <c r="H95" s="4"/>
      <c r="I95" s="4"/>
      <c r="J95" s="4"/>
      <c r="K95" s="4"/>
      <c r="L95" s="4"/>
      <c r="M95" s="4"/>
      <c r="N95" s="4"/>
      <c r="O95" s="4"/>
      <c r="P95" s="4"/>
      <c r="Q95" s="4"/>
      <c r="S95" s="4">
        <v>10091</v>
      </c>
    </row>
    <row r="96" spans="2:19" x14ac:dyDescent="0.3">
      <c r="B96" s="3"/>
      <c r="C96" s="2" t="str">
        <f t="shared" si="9"/>
        <v/>
      </c>
      <c r="D96" s="2" t="str">
        <f t="shared" si="8"/>
        <v/>
      </c>
      <c r="E96" s="2" t="str">
        <f t="shared" si="10"/>
        <v/>
      </c>
      <c r="F96" s="3"/>
      <c r="G96" s="3"/>
      <c r="H96" s="4"/>
      <c r="I96" s="4"/>
      <c r="J96" s="4"/>
      <c r="K96" s="4"/>
      <c r="L96" s="4"/>
      <c r="M96" s="4"/>
      <c r="N96" s="4"/>
      <c r="O96" s="4"/>
      <c r="P96" s="4"/>
      <c r="Q96" s="4"/>
      <c r="S96" s="4">
        <v>664862.01</v>
      </c>
    </row>
    <row r="97" spans="2:19" x14ac:dyDescent="0.3">
      <c r="B97" s="3"/>
      <c r="C97" s="2" t="str">
        <f t="shared" si="9"/>
        <v/>
      </c>
      <c r="D97" s="2" t="str">
        <f t="shared" si="8"/>
        <v/>
      </c>
      <c r="E97" s="2" t="str">
        <f t="shared" si="10"/>
        <v/>
      </c>
      <c r="F97" s="3"/>
      <c r="G97" s="3"/>
      <c r="H97" s="4"/>
      <c r="I97" s="4"/>
      <c r="J97" s="4"/>
      <c r="K97" s="4"/>
      <c r="L97" s="4"/>
      <c r="M97" s="4"/>
      <c r="N97" s="4"/>
      <c r="O97" s="4"/>
      <c r="P97" s="4"/>
      <c r="Q97" s="4"/>
      <c r="S97" s="4">
        <v>20088.78</v>
      </c>
    </row>
    <row r="98" spans="2:19" x14ac:dyDescent="0.3">
      <c r="B98" s="3"/>
      <c r="C98" s="2" t="str">
        <f t="shared" si="9"/>
        <v/>
      </c>
      <c r="D98" s="2" t="str">
        <f t="shared" si="8"/>
        <v/>
      </c>
      <c r="E98" s="2" t="str">
        <f t="shared" si="10"/>
        <v/>
      </c>
      <c r="F98" s="3"/>
      <c r="G98" s="3"/>
      <c r="H98" s="4"/>
      <c r="I98" s="4"/>
      <c r="J98" s="4"/>
      <c r="K98" s="4"/>
      <c r="L98" s="4"/>
      <c r="M98" s="4"/>
      <c r="N98" s="4"/>
      <c r="O98" s="4"/>
      <c r="P98" s="4"/>
      <c r="Q98" s="4"/>
      <c r="S98" s="4">
        <v>142533.66</v>
      </c>
    </row>
    <row r="99" spans="2:19" x14ac:dyDescent="0.3">
      <c r="B99" s="3"/>
      <c r="C99" s="2" t="str">
        <f t="shared" si="9"/>
        <v/>
      </c>
      <c r="D99" s="2" t="str">
        <f t="shared" si="8"/>
        <v/>
      </c>
      <c r="E99" s="2" t="str">
        <f t="shared" si="10"/>
        <v/>
      </c>
      <c r="F99" s="3"/>
      <c r="G99" s="3"/>
      <c r="H99" s="4"/>
      <c r="I99" s="4"/>
      <c r="J99" s="4"/>
      <c r="K99" s="4"/>
      <c r="L99" s="4"/>
      <c r="M99" s="4"/>
      <c r="N99" s="4"/>
      <c r="O99" s="4"/>
      <c r="P99" s="4"/>
      <c r="Q99" s="4"/>
      <c r="S99" s="4">
        <v>4447802.8899999997</v>
      </c>
    </row>
    <row r="100" spans="2:19" x14ac:dyDescent="0.3">
      <c r="B100" s="3"/>
      <c r="C100" s="2" t="str">
        <f t="shared" si="9"/>
        <v/>
      </c>
      <c r="D100" s="2" t="str">
        <f t="shared" si="8"/>
        <v/>
      </c>
      <c r="E100" s="2" t="str">
        <f t="shared" si="10"/>
        <v/>
      </c>
      <c r="F100" s="3"/>
      <c r="G100" s="3"/>
      <c r="H100" s="4"/>
      <c r="I100" s="4"/>
      <c r="J100" s="4"/>
      <c r="K100" s="4"/>
      <c r="L100" s="4"/>
      <c r="M100" s="4"/>
      <c r="N100" s="4"/>
      <c r="O100" s="4"/>
      <c r="P100" s="4"/>
      <c r="Q100" s="4"/>
      <c r="S100" s="4">
        <v>707429.92</v>
      </c>
    </row>
    <row r="101" spans="2:19" x14ac:dyDescent="0.3">
      <c r="B101" s="3"/>
      <c r="C101" s="2" t="str">
        <f t="shared" si="9"/>
        <v/>
      </c>
      <c r="D101" s="2" t="str">
        <f t="shared" si="8"/>
        <v/>
      </c>
      <c r="E101" s="2" t="str">
        <f t="shared" si="10"/>
        <v/>
      </c>
      <c r="F101" s="3"/>
      <c r="G101" s="3"/>
      <c r="H101" s="4"/>
      <c r="I101" s="4"/>
      <c r="J101" s="4"/>
      <c r="K101" s="4"/>
      <c r="L101" s="4"/>
      <c r="M101" s="4"/>
      <c r="N101" s="4"/>
      <c r="O101" s="4"/>
      <c r="P101" s="4"/>
      <c r="Q101" s="4"/>
      <c r="S101" s="4">
        <v>4586.83</v>
      </c>
    </row>
    <row r="102" spans="2:19" x14ac:dyDescent="0.3">
      <c r="B102" s="3"/>
      <c r="C102" s="2" t="str">
        <f t="shared" si="9"/>
        <v/>
      </c>
      <c r="D102" s="2" t="str">
        <f t="shared" si="8"/>
        <v/>
      </c>
      <c r="E102" s="2" t="str">
        <f t="shared" si="10"/>
        <v/>
      </c>
      <c r="F102" s="3"/>
      <c r="G102" s="3"/>
      <c r="H102" s="4"/>
      <c r="I102" s="4"/>
      <c r="J102" s="4"/>
      <c r="K102" s="4"/>
      <c r="L102" s="4"/>
      <c r="M102" s="4"/>
      <c r="N102" s="4"/>
      <c r="O102" s="4"/>
      <c r="P102" s="4"/>
      <c r="Q102" s="4"/>
      <c r="S102" s="4">
        <v>-1064773.81</v>
      </c>
    </row>
    <row r="103" spans="2:19" x14ac:dyDescent="0.3">
      <c r="B103" s="3"/>
      <c r="C103" s="2" t="str">
        <f t="shared" si="9"/>
        <v/>
      </c>
      <c r="D103" s="2" t="str">
        <f t="shared" si="8"/>
        <v/>
      </c>
      <c r="E103" s="2" t="str">
        <f t="shared" si="10"/>
        <v/>
      </c>
      <c r="F103" s="3"/>
      <c r="G103" s="3"/>
      <c r="H103" s="4"/>
      <c r="I103" s="4"/>
      <c r="J103" s="4"/>
      <c r="K103" s="4"/>
      <c r="L103" s="4"/>
      <c r="M103" s="4"/>
      <c r="N103" s="4"/>
      <c r="O103" s="4"/>
      <c r="P103" s="4"/>
      <c r="Q103" s="4"/>
      <c r="S103" s="4">
        <v>-238068.96</v>
      </c>
    </row>
    <row r="104" spans="2:19" x14ac:dyDescent="0.3">
      <c r="B104" s="3"/>
      <c r="C104" s="2" t="str">
        <f t="shared" si="9"/>
        <v/>
      </c>
      <c r="D104" s="2" t="str">
        <f t="shared" si="8"/>
        <v/>
      </c>
      <c r="E104" s="2" t="str">
        <f t="shared" si="10"/>
        <v/>
      </c>
      <c r="F104" s="3"/>
      <c r="G104" s="3"/>
      <c r="H104" s="4"/>
      <c r="I104" s="4"/>
      <c r="J104" s="4"/>
      <c r="K104" s="4"/>
      <c r="L104" s="4"/>
      <c r="M104" s="4"/>
      <c r="N104" s="4"/>
      <c r="O104" s="4"/>
      <c r="P104" s="4"/>
      <c r="Q104" s="4"/>
      <c r="S104" s="4">
        <v>-817679.61</v>
      </c>
    </row>
    <row r="105" spans="2:19" x14ac:dyDescent="0.3">
      <c r="B105" s="3"/>
      <c r="C105" s="2" t="str">
        <f t="shared" si="9"/>
        <v/>
      </c>
      <c r="D105" s="2" t="str">
        <f t="shared" si="8"/>
        <v/>
      </c>
      <c r="E105" s="2" t="str">
        <f t="shared" si="10"/>
        <v/>
      </c>
      <c r="F105" s="3"/>
      <c r="G105" s="3"/>
      <c r="H105" s="4"/>
      <c r="I105" s="4"/>
      <c r="J105" s="4"/>
      <c r="K105" s="4"/>
      <c r="L105" s="4"/>
      <c r="M105" s="4"/>
      <c r="N105" s="4"/>
      <c r="O105" s="4"/>
      <c r="P105" s="4"/>
      <c r="Q105" s="4"/>
      <c r="S105" s="4">
        <v>-4035.09</v>
      </c>
    </row>
    <row r="106" spans="2:19" x14ac:dyDescent="0.3">
      <c r="B106" s="3"/>
      <c r="C106" s="2" t="str">
        <f t="shared" si="9"/>
        <v/>
      </c>
      <c r="D106" s="2" t="str">
        <f t="shared" si="8"/>
        <v/>
      </c>
      <c r="E106" s="2" t="str">
        <f t="shared" si="10"/>
        <v/>
      </c>
      <c r="F106" s="3"/>
      <c r="G106" s="3"/>
      <c r="H106" s="4"/>
      <c r="I106" s="4"/>
      <c r="J106" s="4"/>
      <c r="K106" s="4"/>
      <c r="L106" s="4"/>
      <c r="M106" s="4"/>
      <c r="N106" s="4"/>
      <c r="O106" s="4"/>
      <c r="P106" s="4"/>
      <c r="Q106" s="4"/>
      <c r="S106" s="4">
        <v>-3843.4</v>
      </c>
    </row>
    <row r="107" spans="2:19" x14ac:dyDescent="0.3">
      <c r="B107" s="3"/>
      <c r="C107" s="2" t="str">
        <f t="shared" si="9"/>
        <v/>
      </c>
      <c r="D107" s="2" t="str">
        <f t="shared" si="8"/>
        <v/>
      </c>
      <c r="E107" s="2" t="str">
        <f t="shared" si="10"/>
        <v/>
      </c>
      <c r="F107" s="3"/>
      <c r="G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S107" s="4">
        <v>-1146.75</v>
      </c>
    </row>
    <row r="108" spans="2:19" x14ac:dyDescent="0.3">
      <c r="B108" s="3"/>
      <c r="C108" s="2" t="str">
        <f t="shared" si="9"/>
        <v/>
      </c>
      <c r="D108" s="2" t="str">
        <f t="shared" si="8"/>
        <v/>
      </c>
      <c r="E108" s="2" t="str">
        <f t="shared" si="10"/>
        <v/>
      </c>
      <c r="F108" s="3"/>
      <c r="G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S108" s="4">
        <v>0</v>
      </c>
    </row>
    <row r="109" spans="2:19" x14ac:dyDescent="0.3">
      <c r="B109" s="3"/>
      <c r="C109" s="2" t="str">
        <f t="shared" si="9"/>
        <v/>
      </c>
      <c r="D109" s="2" t="str">
        <f t="shared" si="8"/>
        <v/>
      </c>
      <c r="E109" s="2" t="str">
        <f t="shared" si="10"/>
        <v/>
      </c>
      <c r="F109" s="3"/>
      <c r="G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S109" s="4">
        <v>172252.94</v>
      </c>
    </row>
    <row r="110" spans="2:19" x14ac:dyDescent="0.3">
      <c r="B110" s="3"/>
      <c r="C110" s="2" t="str">
        <f t="shared" si="9"/>
        <v/>
      </c>
      <c r="D110" s="2" t="str">
        <f t="shared" si="8"/>
        <v/>
      </c>
      <c r="E110" s="2" t="str">
        <f t="shared" si="10"/>
        <v/>
      </c>
      <c r="F110" s="3"/>
      <c r="G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S110" s="4">
        <v>49302.34</v>
      </c>
    </row>
    <row r="111" spans="2:19" x14ac:dyDescent="0.3">
      <c r="B111" s="3"/>
      <c r="C111" s="2" t="str">
        <f t="shared" si="9"/>
        <v/>
      </c>
      <c r="D111" s="2" t="str">
        <f t="shared" si="8"/>
        <v/>
      </c>
      <c r="E111" s="2" t="str">
        <f t="shared" si="10"/>
        <v/>
      </c>
      <c r="F111" s="3"/>
      <c r="G111" s="3"/>
      <c r="H111" s="4"/>
      <c r="I111" s="4"/>
      <c r="J111" s="4"/>
      <c r="K111" s="4"/>
      <c r="L111" s="4"/>
      <c r="M111" s="4"/>
      <c r="N111" s="4"/>
      <c r="O111" s="4"/>
      <c r="P111" s="4"/>
      <c r="Q111" s="4"/>
      <c r="S111" s="4">
        <v>17983.009999999998</v>
      </c>
    </row>
    <row r="112" spans="2:19" x14ac:dyDescent="0.3">
      <c r="B112" s="3"/>
      <c r="C112" s="2" t="str">
        <f t="shared" si="9"/>
        <v/>
      </c>
      <c r="D112" s="2" t="str">
        <f t="shared" si="8"/>
        <v/>
      </c>
      <c r="E112" s="2" t="str">
        <f t="shared" si="10"/>
        <v/>
      </c>
      <c r="F112" s="3"/>
      <c r="G112" s="3"/>
      <c r="H112" s="4"/>
      <c r="I112" s="4"/>
      <c r="J112" s="4"/>
      <c r="K112" s="4"/>
      <c r="L112" s="4"/>
      <c r="M112" s="4"/>
      <c r="N112" s="4"/>
      <c r="O112" s="4"/>
      <c r="P112" s="4"/>
      <c r="Q112" s="4"/>
      <c r="S112" s="4">
        <v>104967.59</v>
      </c>
    </row>
    <row r="113" spans="2:19" x14ac:dyDescent="0.3">
      <c r="B113" s="3"/>
      <c r="C113" s="2" t="str">
        <f t="shared" si="9"/>
        <v/>
      </c>
      <c r="D113" s="2" t="str">
        <f t="shared" si="8"/>
        <v/>
      </c>
      <c r="E113" s="2" t="str">
        <f t="shared" si="10"/>
        <v/>
      </c>
      <c r="F113" s="3"/>
      <c r="G113" s="3"/>
      <c r="H113" s="4"/>
      <c r="I113" s="4"/>
      <c r="J113" s="4"/>
      <c r="K113" s="4"/>
      <c r="L113" s="4"/>
      <c r="M113" s="4"/>
      <c r="N113" s="4"/>
      <c r="O113" s="4"/>
      <c r="P113" s="4"/>
      <c r="Q113" s="4"/>
      <c r="S113" s="4">
        <v>2287.6</v>
      </c>
    </row>
    <row r="114" spans="2:19" x14ac:dyDescent="0.3">
      <c r="B114" s="3"/>
      <c r="C114" s="2" t="str">
        <f t="shared" si="9"/>
        <v/>
      </c>
      <c r="D114" s="2" t="str">
        <f t="shared" si="8"/>
        <v/>
      </c>
      <c r="E114" s="2" t="str">
        <f t="shared" si="10"/>
        <v/>
      </c>
      <c r="F114" s="3"/>
      <c r="G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S114" s="4">
        <v>11803.6</v>
      </c>
    </row>
    <row r="115" spans="2:19" x14ac:dyDescent="0.3">
      <c r="B115" s="3"/>
      <c r="C115" s="2" t="str">
        <f t="shared" si="9"/>
        <v/>
      </c>
      <c r="D115" s="2" t="str">
        <f t="shared" si="8"/>
        <v/>
      </c>
      <c r="E115" s="2" t="str">
        <f t="shared" si="10"/>
        <v/>
      </c>
      <c r="F115" s="3"/>
      <c r="G115" s="3"/>
      <c r="H115" s="4"/>
      <c r="I115" s="4"/>
      <c r="J115" s="4"/>
      <c r="K115" s="4"/>
      <c r="L115" s="4"/>
      <c r="M115" s="4"/>
      <c r="N115" s="4"/>
      <c r="O115" s="4"/>
      <c r="P115" s="4"/>
      <c r="Q115" s="4"/>
      <c r="S115" s="4">
        <v>11803.6</v>
      </c>
    </row>
    <row r="116" spans="2:19" x14ac:dyDescent="0.3">
      <c r="B116" s="3"/>
      <c r="C116" s="2" t="str">
        <f t="shared" si="9"/>
        <v/>
      </c>
      <c r="D116" s="2" t="str">
        <f t="shared" si="8"/>
        <v/>
      </c>
      <c r="E116" s="2" t="str">
        <f t="shared" si="10"/>
        <v/>
      </c>
      <c r="F116" s="3"/>
      <c r="G116" s="3"/>
      <c r="H116" s="4"/>
      <c r="I116" s="4"/>
      <c r="J116" s="4"/>
      <c r="K116" s="4"/>
      <c r="L116" s="4"/>
      <c r="M116" s="4"/>
      <c r="N116" s="4"/>
      <c r="O116" s="4"/>
      <c r="P116" s="4"/>
      <c r="Q116" s="4"/>
      <c r="S116" s="4">
        <v>-9516</v>
      </c>
    </row>
    <row r="117" spans="2:19" x14ac:dyDescent="0.3">
      <c r="B117" s="3"/>
      <c r="C117" s="2" t="str">
        <f t="shared" si="9"/>
        <v/>
      </c>
      <c r="D117" s="2" t="str">
        <f t="shared" si="8"/>
        <v/>
      </c>
      <c r="E117" s="2" t="str">
        <f t="shared" si="10"/>
        <v/>
      </c>
      <c r="F117" s="3"/>
      <c r="G117" s="3"/>
      <c r="H117" s="4"/>
      <c r="I117" s="4"/>
      <c r="J117" s="4"/>
      <c r="K117" s="4"/>
      <c r="L117" s="4"/>
      <c r="M117" s="4"/>
      <c r="N117" s="4"/>
      <c r="O117" s="4"/>
      <c r="P117" s="4"/>
      <c r="Q117" s="4"/>
      <c r="S117" s="4">
        <v>-9516</v>
      </c>
    </row>
    <row r="118" spans="2:19" x14ac:dyDescent="0.3">
      <c r="B118" s="3"/>
      <c r="C118" s="2" t="str">
        <f t="shared" si="9"/>
        <v/>
      </c>
      <c r="D118" s="2" t="str">
        <f t="shared" si="8"/>
        <v/>
      </c>
      <c r="E118" s="2" t="str">
        <f t="shared" si="10"/>
        <v/>
      </c>
      <c r="F118" s="3"/>
      <c r="G118" s="3"/>
      <c r="H118" s="4"/>
      <c r="I118" s="4"/>
      <c r="J118" s="4"/>
      <c r="K118" s="4"/>
      <c r="L118" s="4"/>
      <c r="M118" s="4"/>
      <c r="N118" s="4"/>
      <c r="O118" s="4"/>
      <c r="P118" s="4"/>
      <c r="Q118" s="4"/>
      <c r="S118" s="4">
        <v>51920.480000000003</v>
      </c>
    </row>
    <row r="119" spans="2:19" x14ac:dyDescent="0.3">
      <c r="B119" s="3"/>
      <c r="C119" s="2" t="str">
        <f t="shared" si="9"/>
        <v/>
      </c>
      <c r="D119" s="2" t="str">
        <f t="shared" si="8"/>
        <v/>
      </c>
      <c r="E119" s="2" t="str">
        <f t="shared" si="10"/>
        <v/>
      </c>
      <c r="F119" s="3"/>
      <c r="G119" s="3"/>
      <c r="H119" s="4"/>
      <c r="I119" s="4"/>
      <c r="J119" s="4"/>
      <c r="K119" s="4"/>
      <c r="L119" s="4"/>
      <c r="M119" s="4"/>
      <c r="N119" s="4"/>
      <c r="O119" s="4"/>
      <c r="P119" s="4"/>
      <c r="Q119" s="4"/>
      <c r="S119" s="4">
        <v>51920.480000000003</v>
      </c>
    </row>
    <row r="120" spans="2:19" x14ac:dyDescent="0.3">
      <c r="B120" s="3"/>
      <c r="C120" s="2" t="str">
        <f t="shared" si="9"/>
        <v/>
      </c>
      <c r="D120" s="2" t="str">
        <f t="shared" si="8"/>
        <v/>
      </c>
      <c r="E120" s="2" t="str">
        <f t="shared" si="10"/>
        <v/>
      </c>
      <c r="F120" s="3"/>
      <c r="G120" s="3"/>
      <c r="H120" s="4"/>
      <c r="I120" s="4"/>
      <c r="J120" s="4"/>
      <c r="K120" s="4"/>
      <c r="L120" s="4"/>
      <c r="M120" s="4"/>
      <c r="N120" s="4"/>
      <c r="O120" s="4"/>
      <c r="P120" s="4"/>
      <c r="Q120" s="4"/>
      <c r="S120" s="4">
        <v>51920.480000000003</v>
      </c>
    </row>
    <row r="121" spans="2:19" x14ac:dyDescent="0.3">
      <c r="B121" s="3"/>
      <c r="C121" s="2" t="str">
        <f t="shared" si="9"/>
        <v/>
      </c>
      <c r="D121" s="2" t="str">
        <f t="shared" si="8"/>
        <v/>
      </c>
      <c r="E121" s="2" t="str">
        <f t="shared" si="10"/>
        <v/>
      </c>
      <c r="F121" s="3"/>
      <c r="G121" s="3"/>
      <c r="H121" s="4"/>
      <c r="I121" s="4"/>
      <c r="J121" s="4"/>
      <c r="K121" s="4"/>
      <c r="L121" s="4"/>
      <c r="M121" s="4"/>
      <c r="N121" s="4"/>
      <c r="O121" s="4"/>
      <c r="P121" s="4"/>
      <c r="Q121" s="4"/>
      <c r="S121" s="4">
        <v>71404</v>
      </c>
    </row>
    <row r="122" spans="2:19" x14ac:dyDescent="0.3">
      <c r="B122" s="3"/>
      <c r="C122" s="2" t="str">
        <f t="shared" si="9"/>
        <v/>
      </c>
      <c r="D122" s="2" t="str">
        <f t="shared" si="8"/>
        <v/>
      </c>
      <c r="E122" s="2" t="str">
        <f t="shared" si="10"/>
        <v/>
      </c>
      <c r="F122" s="3"/>
      <c r="G122" s="3"/>
      <c r="H122" s="4"/>
      <c r="I122" s="4"/>
      <c r="J122" s="4"/>
      <c r="K122" s="4"/>
      <c r="L122" s="4"/>
      <c r="M122" s="4"/>
      <c r="N122" s="4"/>
      <c r="O122" s="4"/>
      <c r="P122" s="4"/>
      <c r="Q122" s="4"/>
      <c r="S122" s="4">
        <v>71404</v>
      </c>
    </row>
    <row r="123" spans="2:19" x14ac:dyDescent="0.3">
      <c r="B123" s="3"/>
      <c r="C123" s="2" t="str">
        <f t="shared" si="9"/>
        <v/>
      </c>
      <c r="D123" s="2" t="str">
        <f t="shared" si="8"/>
        <v/>
      </c>
      <c r="E123" s="2" t="str">
        <f t="shared" si="10"/>
        <v/>
      </c>
      <c r="F123" s="3"/>
      <c r="G123" s="3"/>
      <c r="H123" s="4"/>
      <c r="I123" s="4"/>
      <c r="J123" s="4"/>
      <c r="K123" s="4"/>
      <c r="L123" s="4"/>
      <c r="M123" s="4"/>
      <c r="N123" s="4"/>
      <c r="O123" s="4"/>
      <c r="P123" s="4"/>
      <c r="Q123" s="4"/>
      <c r="S123" s="4">
        <v>71404</v>
      </c>
    </row>
    <row r="124" spans="2:19" x14ac:dyDescent="0.3">
      <c r="B124" s="3"/>
      <c r="C124" s="2" t="str">
        <f t="shared" si="9"/>
        <v/>
      </c>
      <c r="D124" s="2" t="str">
        <f t="shared" si="8"/>
        <v/>
      </c>
      <c r="E124" s="2" t="str">
        <f t="shared" si="10"/>
        <v/>
      </c>
      <c r="F124" s="3"/>
      <c r="G124" s="3"/>
      <c r="H124" s="4"/>
      <c r="I124" s="4"/>
      <c r="J124" s="4"/>
      <c r="K124" s="4"/>
      <c r="L124" s="4"/>
      <c r="M124" s="4"/>
      <c r="N124" s="4"/>
      <c r="O124" s="4"/>
      <c r="P124" s="4"/>
      <c r="Q124" s="4"/>
      <c r="S124" s="4">
        <v>69901</v>
      </c>
    </row>
    <row r="125" spans="2:19" x14ac:dyDescent="0.3">
      <c r="B125" s="3"/>
      <c r="C125" s="2" t="str">
        <f t="shared" si="9"/>
        <v/>
      </c>
      <c r="D125" s="2" t="str">
        <f t="shared" si="8"/>
        <v/>
      </c>
      <c r="E125" s="2" t="str">
        <f t="shared" si="10"/>
        <v/>
      </c>
      <c r="F125" s="3"/>
      <c r="G125" s="3"/>
      <c r="H125" s="4"/>
      <c r="I125" s="4"/>
      <c r="J125" s="4"/>
      <c r="K125" s="4"/>
      <c r="L125" s="4"/>
      <c r="M125" s="4"/>
      <c r="N125" s="4"/>
      <c r="O125" s="4"/>
      <c r="P125" s="4"/>
      <c r="Q125" s="4"/>
      <c r="S125" s="4">
        <v>1503</v>
      </c>
    </row>
    <row r="126" spans="2:19" x14ac:dyDescent="0.3">
      <c r="B126" s="3"/>
      <c r="C126" s="2" t="str">
        <f t="shared" si="9"/>
        <v/>
      </c>
      <c r="D126" s="2" t="str">
        <f t="shared" si="8"/>
        <v/>
      </c>
      <c r="E126" s="2" t="str">
        <f t="shared" si="10"/>
        <v/>
      </c>
      <c r="F126" s="3"/>
      <c r="G126" s="3"/>
      <c r="H126" s="4"/>
      <c r="I126" s="4"/>
      <c r="J126" s="4"/>
      <c r="K126" s="4"/>
      <c r="L126" s="4"/>
      <c r="M126" s="4"/>
      <c r="N126" s="4"/>
      <c r="O126" s="4"/>
      <c r="P126" s="4"/>
      <c r="Q126" s="4"/>
      <c r="S126" s="4">
        <v>-17937150.390000001</v>
      </c>
    </row>
    <row r="127" spans="2:19" x14ac:dyDescent="0.3">
      <c r="B127" s="3"/>
      <c r="C127" s="2" t="str">
        <f t="shared" si="9"/>
        <v/>
      </c>
      <c r="D127" s="2" t="str">
        <f t="shared" si="8"/>
        <v/>
      </c>
      <c r="E127" s="2" t="str">
        <f t="shared" si="10"/>
        <v/>
      </c>
      <c r="F127" s="3"/>
      <c r="G127" s="3"/>
      <c r="H127" s="4"/>
      <c r="I127" s="4"/>
      <c r="J127" s="4"/>
      <c r="K127" s="4"/>
      <c r="L127" s="4"/>
      <c r="M127" s="4"/>
      <c r="N127" s="4"/>
      <c r="O127" s="4"/>
      <c r="P127" s="4"/>
      <c r="Q127" s="4"/>
      <c r="S127" s="4">
        <v>-13552322.630000001</v>
      </c>
    </row>
    <row r="128" spans="2:19" x14ac:dyDescent="0.3">
      <c r="B128" s="3"/>
      <c r="C128" s="2" t="str">
        <f t="shared" si="9"/>
        <v/>
      </c>
      <c r="D128" s="2" t="str">
        <f t="shared" si="8"/>
        <v/>
      </c>
      <c r="E128" s="2" t="str">
        <f t="shared" si="10"/>
        <v/>
      </c>
      <c r="F128" s="3"/>
      <c r="G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S128" s="4">
        <v>-12960091.060000001</v>
      </c>
    </row>
    <row r="129" spans="2:19" x14ac:dyDescent="0.3">
      <c r="B129" s="3"/>
      <c r="C129" s="2" t="str">
        <f t="shared" si="9"/>
        <v/>
      </c>
      <c r="D129" s="2" t="str">
        <f t="shared" si="8"/>
        <v/>
      </c>
      <c r="E129" s="2" t="str">
        <f t="shared" si="10"/>
        <v/>
      </c>
      <c r="F129" s="3"/>
      <c r="G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S129" s="4">
        <v>-2596279.46</v>
      </c>
    </row>
    <row r="130" spans="2:19" x14ac:dyDescent="0.3">
      <c r="B130" s="3"/>
      <c r="C130" s="2" t="str">
        <f t="shared" si="9"/>
        <v/>
      </c>
      <c r="D130" s="2" t="str">
        <f t="shared" si="8"/>
        <v/>
      </c>
      <c r="E130" s="2" t="str">
        <f t="shared" si="10"/>
        <v/>
      </c>
      <c r="F130" s="3"/>
      <c r="G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S130" s="4">
        <v>-284497.19</v>
      </c>
    </row>
    <row r="131" spans="2:19" x14ac:dyDescent="0.3">
      <c r="B131" s="3"/>
      <c r="C131" s="2" t="str">
        <f t="shared" si="9"/>
        <v/>
      </c>
      <c r="D131" s="2" t="str">
        <f t="shared" si="8"/>
        <v/>
      </c>
      <c r="E131" s="2" t="str">
        <f t="shared" si="10"/>
        <v/>
      </c>
      <c r="F131" s="3"/>
      <c r="G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S131" s="4">
        <v>-1311639.95</v>
      </c>
    </row>
    <row r="132" spans="2:19" x14ac:dyDescent="0.3">
      <c r="B132" s="3"/>
      <c r="C132" s="2" t="str">
        <f t="shared" si="9"/>
        <v/>
      </c>
      <c r="D132" s="2" t="str">
        <f t="shared" si="8"/>
        <v/>
      </c>
      <c r="E132" s="2" t="str">
        <f t="shared" si="10"/>
        <v/>
      </c>
      <c r="F132" s="3"/>
      <c r="G132" s="3"/>
      <c r="H132" s="4"/>
      <c r="I132" s="4"/>
      <c r="J132" s="4"/>
      <c r="K132" s="4"/>
      <c r="L132" s="4"/>
      <c r="M132" s="4"/>
      <c r="N132" s="4"/>
      <c r="O132" s="4"/>
      <c r="P132" s="4"/>
      <c r="Q132" s="4"/>
      <c r="S132" s="4">
        <v>-570</v>
      </c>
    </row>
    <row r="133" spans="2:19" x14ac:dyDescent="0.3">
      <c r="B133" s="3"/>
      <c r="C133" s="2" t="str">
        <f t="shared" si="9"/>
        <v/>
      </c>
      <c r="D133" s="2" t="str">
        <f t="shared" si="8"/>
        <v/>
      </c>
      <c r="E133" s="2" t="str">
        <f t="shared" si="10"/>
        <v/>
      </c>
      <c r="F133" s="3"/>
      <c r="G133" s="3"/>
      <c r="H133" s="4"/>
      <c r="I133" s="4"/>
      <c r="J133" s="4"/>
      <c r="K133" s="4"/>
      <c r="L133" s="4"/>
      <c r="M133" s="4"/>
      <c r="N133" s="4"/>
      <c r="O133" s="4"/>
      <c r="P133" s="4"/>
      <c r="Q133" s="4"/>
      <c r="S133" s="4">
        <v>-832.96</v>
      </c>
    </row>
    <row r="134" spans="2:19" x14ac:dyDescent="0.3">
      <c r="B134" s="3"/>
      <c r="C134" s="2" t="str">
        <f t="shared" si="9"/>
        <v/>
      </c>
      <c r="D134" s="2" t="str">
        <f t="shared" si="8"/>
        <v/>
      </c>
      <c r="E134" s="2" t="str">
        <f t="shared" si="10"/>
        <v/>
      </c>
      <c r="F134" s="3"/>
      <c r="G134" s="3"/>
      <c r="H134" s="4"/>
      <c r="I134" s="4"/>
      <c r="J134" s="4"/>
      <c r="K134" s="4"/>
      <c r="L134" s="4"/>
      <c r="M134" s="4"/>
      <c r="N134" s="4"/>
      <c r="O134" s="4"/>
      <c r="P134" s="4"/>
      <c r="Q134" s="4"/>
      <c r="S134" s="4">
        <v>-923264.94</v>
      </c>
    </row>
    <row r="135" spans="2:19" x14ac:dyDescent="0.3">
      <c r="B135" s="3"/>
      <c r="C135" s="2" t="str">
        <f t="shared" si="9"/>
        <v/>
      </c>
      <c r="D135" s="2" t="str">
        <f t="shared" si="8"/>
        <v/>
      </c>
      <c r="E135" s="2" t="str">
        <f t="shared" si="10"/>
        <v/>
      </c>
      <c r="F135" s="3"/>
      <c r="G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S135" s="4">
        <v>-3575</v>
      </c>
    </row>
    <row r="136" spans="2:19" x14ac:dyDescent="0.3">
      <c r="B136" s="3"/>
      <c r="C136" s="2" t="str">
        <f t="shared" si="9"/>
        <v/>
      </c>
      <c r="D136" s="2" t="str">
        <f t="shared" si="8"/>
        <v/>
      </c>
      <c r="E136" s="2" t="str">
        <f t="shared" si="10"/>
        <v/>
      </c>
      <c r="F136" s="3"/>
      <c r="G136" s="3"/>
      <c r="H136" s="4"/>
      <c r="I136" s="4"/>
      <c r="J136" s="4"/>
      <c r="K136" s="4"/>
      <c r="L136" s="4"/>
      <c r="M136" s="4"/>
      <c r="N136" s="4"/>
      <c r="O136" s="4"/>
      <c r="P136" s="4"/>
      <c r="Q136" s="4"/>
      <c r="S136" s="4">
        <v>-1200</v>
      </c>
    </row>
    <row r="137" spans="2:19" x14ac:dyDescent="0.3">
      <c r="B137" s="3"/>
      <c r="C137" s="2" t="str">
        <f t="shared" si="9"/>
        <v/>
      </c>
      <c r="D137" s="2" t="str">
        <f t="shared" si="8"/>
        <v/>
      </c>
      <c r="E137" s="2" t="str">
        <f t="shared" si="10"/>
        <v/>
      </c>
      <c r="F137" s="3"/>
      <c r="G137" s="3"/>
      <c r="H137" s="4"/>
      <c r="I137" s="4"/>
      <c r="J137" s="4"/>
      <c r="K137" s="4"/>
      <c r="L137" s="4"/>
      <c r="M137" s="4"/>
      <c r="N137" s="4"/>
      <c r="O137" s="4"/>
      <c r="P137" s="4"/>
      <c r="Q137" s="4"/>
      <c r="S137" s="4">
        <v>-1733.85</v>
      </c>
    </row>
    <row r="138" spans="2:19" x14ac:dyDescent="0.3">
      <c r="B138" s="3"/>
      <c r="C138" s="2" t="str">
        <f t="shared" si="9"/>
        <v/>
      </c>
      <c r="D138" s="2" t="str">
        <f t="shared" si="8"/>
        <v/>
      </c>
      <c r="E138" s="2" t="str">
        <f t="shared" si="10"/>
        <v/>
      </c>
      <c r="F138" s="3"/>
      <c r="G138" s="3"/>
      <c r="H138" s="4"/>
      <c r="I138" s="4"/>
      <c r="J138" s="4"/>
      <c r="K138" s="4"/>
      <c r="L138" s="4"/>
      <c r="M138" s="4"/>
      <c r="N138" s="4"/>
      <c r="O138" s="4"/>
      <c r="P138" s="4"/>
      <c r="Q138" s="4"/>
      <c r="S138" s="4">
        <v>-3808.99</v>
      </c>
    </row>
    <row r="139" spans="2:19" x14ac:dyDescent="0.3">
      <c r="B139" s="3"/>
      <c r="C139" s="2" t="str">
        <f t="shared" si="9"/>
        <v/>
      </c>
      <c r="D139" s="2" t="str">
        <f t="shared" si="8"/>
        <v/>
      </c>
      <c r="E139" s="2" t="str">
        <f t="shared" si="10"/>
        <v/>
      </c>
      <c r="F139" s="3"/>
      <c r="G139" s="3"/>
      <c r="H139" s="4"/>
      <c r="I139" s="4"/>
      <c r="J139" s="4"/>
      <c r="K139" s="4"/>
      <c r="L139" s="4"/>
      <c r="M139" s="4"/>
      <c r="N139" s="4"/>
      <c r="O139" s="4"/>
      <c r="P139" s="4"/>
      <c r="Q139" s="4"/>
      <c r="S139" s="4">
        <v>-3050</v>
      </c>
    </row>
    <row r="140" spans="2:19" x14ac:dyDescent="0.3">
      <c r="B140" s="3"/>
      <c r="C140" s="2" t="str">
        <f t="shared" si="9"/>
        <v/>
      </c>
      <c r="D140" s="2" t="str">
        <f t="shared" si="8"/>
        <v/>
      </c>
      <c r="E140" s="2" t="str">
        <f t="shared" si="10"/>
        <v/>
      </c>
      <c r="F140" s="3"/>
      <c r="G140" s="3"/>
      <c r="H140" s="4"/>
      <c r="I140" s="4"/>
      <c r="J140" s="4"/>
      <c r="K140" s="4"/>
      <c r="L140" s="4"/>
      <c r="M140" s="4"/>
      <c r="N140" s="4"/>
      <c r="O140" s="4"/>
      <c r="P140" s="4"/>
      <c r="Q140" s="4"/>
      <c r="S140" s="4">
        <v>-420</v>
      </c>
    </row>
    <row r="141" spans="2:19" x14ac:dyDescent="0.3">
      <c r="B141" s="3"/>
      <c r="C141" s="2" t="str">
        <f t="shared" si="9"/>
        <v/>
      </c>
      <c r="D141" s="2" t="str">
        <f t="shared" si="8"/>
        <v/>
      </c>
      <c r="E141" s="2" t="str">
        <f t="shared" si="10"/>
        <v/>
      </c>
      <c r="F141" s="3"/>
      <c r="G141" s="3"/>
      <c r="H141" s="4"/>
      <c r="I141" s="4"/>
      <c r="J141" s="4"/>
      <c r="K141" s="4"/>
      <c r="L141" s="4"/>
      <c r="M141" s="4"/>
      <c r="N141" s="4"/>
      <c r="O141" s="4"/>
      <c r="P141" s="4"/>
      <c r="Q141" s="4"/>
      <c r="S141" s="4">
        <v>-1944.19</v>
      </c>
    </row>
    <row r="142" spans="2:19" x14ac:dyDescent="0.3">
      <c r="B142" s="3"/>
      <c r="C142" s="2" t="str">
        <f t="shared" si="9"/>
        <v/>
      </c>
      <c r="D142" s="2" t="str">
        <f t="shared" si="8"/>
        <v/>
      </c>
      <c r="E142" s="2" t="str">
        <f t="shared" si="10"/>
        <v/>
      </c>
      <c r="F142" s="3"/>
      <c r="G142" s="3"/>
      <c r="H142" s="4"/>
      <c r="I142" s="4"/>
      <c r="J142" s="4"/>
      <c r="K142" s="4"/>
      <c r="L142" s="4"/>
      <c r="M142" s="4"/>
      <c r="N142" s="4"/>
      <c r="O142" s="4"/>
      <c r="P142" s="4"/>
      <c r="Q142" s="4"/>
      <c r="S142" s="4">
        <v>-57054.34</v>
      </c>
    </row>
    <row r="143" spans="2:19" x14ac:dyDescent="0.3">
      <c r="B143" s="3"/>
      <c r="C143" s="2" t="str">
        <f t="shared" si="9"/>
        <v/>
      </c>
      <c r="D143" s="2" t="str">
        <f t="shared" si="8"/>
        <v/>
      </c>
      <c r="E143" s="2" t="str">
        <f t="shared" si="10"/>
        <v/>
      </c>
      <c r="F143" s="3"/>
      <c r="G143" s="3"/>
      <c r="H143" s="4"/>
      <c r="I143" s="4"/>
      <c r="J143" s="4"/>
      <c r="K143" s="4"/>
      <c r="L143" s="4"/>
      <c r="M143" s="4"/>
      <c r="N143" s="4"/>
      <c r="O143" s="4"/>
      <c r="P143" s="4"/>
      <c r="Q143" s="4"/>
      <c r="S143" s="4">
        <v>-180</v>
      </c>
    </row>
    <row r="144" spans="2:19" x14ac:dyDescent="0.3">
      <c r="B144" s="3"/>
      <c r="C144" s="2" t="str">
        <f t="shared" si="9"/>
        <v/>
      </c>
      <c r="D144" s="2" t="str">
        <f t="shared" ref="D144:D207" si="11">IF($F144="","",IF(LEN($F144)=13,"A","S"))</f>
        <v/>
      </c>
      <c r="E144" s="2" t="str">
        <f t="shared" si="10"/>
        <v/>
      </c>
      <c r="F144" s="3"/>
      <c r="G144" s="3"/>
      <c r="H144" s="4"/>
      <c r="I144" s="4"/>
      <c r="J144" s="4"/>
      <c r="K144" s="4"/>
      <c r="L144" s="4"/>
      <c r="M144" s="4"/>
      <c r="N144" s="4"/>
      <c r="O144" s="4"/>
      <c r="P144" s="4"/>
      <c r="Q144" s="4"/>
      <c r="S144" s="4">
        <v>-34.130000000000003</v>
      </c>
    </row>
    <row r="145" spans="2:19" x14ac:dyDescent="0.3">
      <c r="B145" s="3"/>
      <c r="C145" s="2" t="str">
        <f t="shared" si="9"/>
        <v/>
      </c>
      <c r="D145" s="2" t="str">
        <f t="shared" si="11"/>
        <v/>
      </c>
      <c r="E145" s="2" t="str">
        <f t="shared" si="10"/>
        <v/>
      </c>
      <c r="F145" s="3"/>
      <c r="G145" s="3"/>
      <c r="H145" s="4"/>
      <c r="I145" s="4"/>
      <c r="J145" s="4"/>
      <c r="K145" s="4"/>
      <c r="L145" s="4"/>
      <c r="M145" s="4"/>
      <c r="N145" s="4"/>
      <c r="O145" s="4"/>
      <c r="P145" s="4"/>
      <c r="Q145" s="4"/>
      <c r="S145" s="4">
        <v>-1863.55</v>
      </c>
    </row>
    <row r="146" spans="2:19" x14ac:dyDescent="0.3">
      <c r="B146" s="3"/>
      <c r="C146" s="2" t="str">
        <f t="shared" ref="C146:C209" si="12">IF($F146="","",IF(LEFT($F146,1)*1=1,"A",IF(LEFT($F146,1)*1=2,"P",IF(LEFT($F146,1)*1=3,"C",IF(LEFT($F146,1)*1=4,"C",IF(LEFT($F146,1)*1=5,"R",""))))))</f>
        <v/>
      </c>
      <c r="D146" s="2" t="str">
        <f t="shared" si="11"/>
        <v/>
      </c>
      <c r="E146" s="2" t="str">
        <f t="shared" ref="E146:E209" si="13">IF($F146="","",IF(LEN($F146)=1,1,IF(LEN($F146)=3,2,IF(LEN($F146)=6,3,IF(LEN($F146)=9,4,IF(LEN($F146)=12,5,6))))))</f>
        <v/>
      </c>
      <c r="F146" s="3"/>
      <c r="G146" s="3"/>
      <c r="H146" s="4"/>
      <c r="I146" s="4"/>
      <c r="J146" s="4"/>
      <c r="K146" s="4"/>
      <c r="L146" s="4"/>
      <c r="M146" s="4"/>
      <c r="N146" s="4"/>
      <c r="O146" s="4"/>
      <c r="P146" s="4"/>
      <c r="Q146" s="4"/>
      <c r="S146" s="4">
        <v>-610.37</v>
      </c>
    </row>
    <row r="147" spans="2:19" x14ac:dyDescent="0.3">
      <c r="B147" s="3"/>
      <c r="C147" s="2" t="str">
        <f t="shared" si="12"/>
        <v/>
      </c>
      <c r="D147" s="2" t="str">
        <f t="shared" si="11"/>
        <v/>
      </c>
      <c r="E147" s="2" t="str">
        <f t="shared" si="13"/>
        <v/>
      </c>
      <c r="F147" s="3"/>
      <c r="G147" s="3"/>
      <c r="H147" s="4"/>
      <c r="I147" s="4"/>
      <c r="J147" s="4"/>
      <c r="K147" s="4"/>
      <c r="L147" s="4"/>
      <c r="M147" s="4"/>
      <c r="N147" s="4"/>
      <c r="O147" s="4"/>
      <c r="P147" s="4"/>
      <c r="Q147" s="4"/>
      <c r="S147" s="4">
        <v>-4155236.9</v>
      </c>
    </row>
    <row r="148" spans="2:19" x14ac:dyDescent="0.3">
      <c r="B148" s="3"/>
      <c r="C148" s="2" t="str">
        <f t="shared" si="12"/>
        <v/>
      </c>
      <c r="D148" s="2" t="str">
        <f t="shared" si="11"/>
        <v/>
      </c>
      <c r="E148" s="2" t="str">
        <f t="shared" si="13"/>
        <v/>
      </c>
      <c r="F148" s="3"/>
      <c r="G148" s="3"/>
      <c r="H148" s="4"/>
      <c r="I148" s="4"/>
      <c r="J148" s="4"/>
      <c r="K148" s="4"/>
      <c r="L148" s="4"/>
      <c r="M148" s="4"/>
      <c r="N148" s="4"/>
      <c r="O148" s="4"/>
      <c r="P148" s="4"/>
      <c r="Q148" s="4"/>
      <c r="S148" s="4">
        <v>-3960945.82</v>
      </c>
    </row>
    <row r="149" spans="2:19" x14ac:dyDescent="0.3">
      <c r="B149" s="3"/>
      <c r="C149" s="2" t="str">
        <f t="shared" si="12"/>
        <v/>
      </c>
      <c r="D149" s="2" t="str">
        <f t="shared" si="11"/>
        <v/>
      </c>
      <c r="E149" s="2" t="str">
        <f t="shared" si="13"/>
        <v/>
      </c>
      <c r="F149" s="3"/>
      <c r="G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S149" s="4">
        <v>-9627.44</v>
      </c>
    </row>
    <row r="150" spans="2:19" x14ac:dyDescent="0.3">
      <c r="B150" s="3"/>
      <c r="C150" s="2" t="str">
        <f t="shared" si="12"/>
        <v/>
      </c>
      <c r="D150" s="2" t="str">
        <f t="shared" si="11"/>
        <v/>
      </c>
      <c r="E150" s="2" t="str">
        <f t="shared" si="13"/>
        <v/>
      </c>
      <c r="F150" s="3"/>
      <c r="G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S150" s="4">
        <v>-180000</v>
      </c>
    </row>
    <row r="151" spans="2:19" x14ac:dyDescent="0.3">
      <c r="B151" s="3"/>
      <c r="C151" s="2" t="str">
        <f t="shared" si="12"/>
        <v/>
      </c>
      <c r="D151" s="2" t="str">
        <f t="shared" si="11"/>
        <v/>
      </c>
      <c r="E151" s="2" t="str">
        <f t="shared" si="13"/>
        <v/>
      </c>
      <c r="F151" s="3"/>
      <c r="G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S151" s="4">
        <v>-970</v>
      </c>
    </row>
    <row r="152" spans="2:19" x14ac:dyDescent="0.3">
      <c r="B152" s="3"/>
      <c r="C152" s="2" t="str">
        <f t="shared" si="12"/>
        <v/>
      </c>
      <c r="D152" s="2" t="str">
        <f t="shared" si="11"/>
        <v/>
      </c>
      <c r="E152" s="2" t="str">
        <f t="shared" si="13"/>
        <v/>
      </c>
      <c r="F152" s="3"/>
      <c r="G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S152" s="4">
        <v>-3000</v>
      </c>
    </row>
    <row r="153" spans="2:19" x14ac:dyDescent="0.3">
      <c r="B153" s="3"/>
      <c r="C153" s="2" t="str">
        <f t="shared" si="12"/>
        <v/>
      </c>
      <c r="D153" s="2" t="str">
        <f t="shared" si="11"/>
        <v/>
      </c>
      <c r="E153" s="2" t="str">
        <f t="shared" si="13"/>
        <v/>
      </c>
      <c r="F153" s="3"/>
      <c r="G153" s="3"/>
      <c r="H153" s="4"/>
      <c r="I153" s="4"/>
      <c r="J153" s="4"/>
      <c r="K153" s="4"/>
      <c r="L153" s="4"/>
      <c r="M153" s="4"/>
      <c r="N153" s="4"/>
      <c r="O153" s="4"/>
      <c r="P153" s="4"/>
      <c r="Q153" s="4"/>
      <c r="S153" s="4">
        <v>-593.64</v>
      </c>
    </row>
    <row r="154" spans="2:19" x14ac:dyDescent="0.3">
      <c r="B154" s="3"/>
      <c r="C154" s="2" t="str">
        <f t="shared" si="12"/>
        <v/>
      </c>
      <c r="D154" s="2" t="str">
        <f t="shared" si="11"/>
        <v/>
      </c>
      <c r="E154" s="2" t="str">
        <f t="shared" si="13"/>
        <v/>
      </c>
      <c r="F154" s="3"/>
      <c r="G154" s="3"/>
      <c r="H154" s="4"/>
      <c r="I154" s="4"/>
      <c r="J154" s="4"/>
      <c r="K154" s="4"/>
      <c r="L154" s="4"/>
      <c r="M154" s="4"/>
      <c r="N154" s="4"/>
      <c r="O154" s="4"/>
      <c r="P154" s="4"/>
      <c r="Q154" s="4"/>
      <c r="S154" s="4">
        <v>-100</v>
      </c>
    </row>
    <row r="155" spans="2:19" x14ac:dyDescent="0.3">
      <c r="B155" s="3"/>
      <c r="C155" s="2" t="str">
        <f t="shared" si="12"/>
        <v/>
      </c>
      <c r="D155" s="2" t="str">
        <f t="shared" si="11"/>
        <v/>
      </c>
      <c r="E155" s="2" t="str">
        <f t="shared" si="13"/>
        <v/>
      </c>
      <c r="F155" s="3"/>
      <c r="G155" s="3"/>
      <c r="H155" s="4"/>
      <c r="I155" s="4"/>
      <c r="J155" s="4"/>
      <c r="K155" s="4"/>
      <c r="L155" s="4"/>
      <c r="M155" s="4"/>
      <c r="N155" s="4"/>
      <c r="O155" s="4"/>
      <c r="P155" s="4"/>
      <c r="Q155" s="4"/>
      <c r="S155" s="4">
        <v>-79287.320000000007</v>
      </c>
    </row>
    <row r="156" spans="2:19" x14ac:dyDescent="0.3">
      <c r="B156" s="3"/>
      <c r="C156" s="2" t="str">
        <f t="shared" si="12"/>
        <v/>
      </c>
      <c r="D156" s="2" t="str">
        <f t="shared" si="11"/>
        <v/>
      </c>
      <c r="E156" s="2" t="str">
        <f t="shared" si="13"/>
        <v/>
      </c>
      <c r="F156" s="3"/>
      <c r="G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S156" s="4">
        <v>-803.94</v>
      </c>
    </row>
    <row r="157" spans="2:19" x14ac:dyDescent="0.3">
      <c r="B157" s="3"/>
      <c r="C157" s="2" t="str">
        <f t="shared" si="12"/>
        <v/>
      </c>
      <c r="D157" s="2" t="str">
        <f t="shared" si="11"/>
        <v/>
      </c>
      <c r="E157" s="2" t="str">
        <f t="shared" si="13"/>
        <v/>
      </c>
      <c r="F157" s="3"/>
      <c r="G157" s="3"/>
      <c r="H157" s="4"/>
      <c r="I157" s="4"/>
      <c r="J157" s="4"/>
      <c r="K157" s="4"/>
      <c r="L157" s="4"/>
      <c r="M157" s="4"/>
      <c r="N157" s="4"/>
      <c r="O157" s="4"/>
      <c r="P157" s="4"/>
      <c r="Q157" s="4"/>
      <c r="S157" s="4">
        <v>-1920.89</v>
      </c>
    </row>
    <row r="158" spans="2:19" x14ac:dyDescent="0.3">
      <c r="B158" s="3"/>
      <c r="C158" s="2" t="str">
        <f t="shared" si="12"/>
        <v/>
      </c>
      <c r="D158" s="2" t="str">
        <f t="shared" si="11"/>
        <v/>
      </c>
      <c r="E158" s="2" t="str">
        <f t="shared" si="13"/>
        <v/>
      </c>
      <c r="F158" s="3"/>
      <c r="G158" s="3"/>
      <c r="H158" s="4"/>
      <c r="I158" s="4"/>
      <c r="J158" s="4"/>
      <c r="K158" s="4"/>
      <c r="L158" s="4"/>
      <c r="M158" s="4"/>
      <c r="N158" s="4"/>
      <c r="O158" s="4"/>
      <c r="P158" s="4"/>
      <c r="Q158" s="4"/>
      <c r="S158" s="4">
        <v>-3031.06</v>
      </c>
    </row>
    <row r="159" spans="2:19" x14ac:dyDescent="0.3">
      <c r="B159" s="3"/>
      <c r="C159" s="2" t="str">
        <f t="shared" si="12"/>
        <v/>
      </c>
      <c r="D159" s="2" t="str">
        <f t="shared" si="11"/>
        <v/>
      </c>
      <c r="E159" s="2" t="str">
        <f t="shared" si="13"/>
        <v/>
      </c>
      <c r="F159" s="3"/>
      <c r="G159" s="3"/>
      <c r="H159" s="4"/>
      <c r="I159" s="4"/>
      <c r="J159" s="4"/>
      <c r="K159" s="4"/>
      <c r="L159" s="4"/>
      <c r="M159" s="4"/>
      <c r="N159" s="4"/>
      <c r="O159" s="4"/>
      <c r="P159" s="4"/>
      <c r="Q159" s="4"/>
      <c r="S159" s="4">
        <v>-5075.3</v>
      </c>
    </row>
    <row r="160" spans="2:19" x14ac:dyDescent="0.3">
      <c r="B160" s="3"/>
      <c r="C160" s="2" t="str">
        <f t="shared" si="12"/>
        <v/>
      </c>
      <c r="D160" s="2" t="str">
        <f t="shared" si="11"/>
        <v/>
      </c>
      <c r="E160" s="2" t="str">
        <f t="shared" si="13"/>
        <v/>
      </c>
      <c r="F160" s="3"/>
      <c r="G160" s="3"/>
      <c r="H160" s="4"/>
      <c r="I160" s="4"/>
      <c r="J160" s="4"/>
      <c r="K160" s="4"/>
      <c r="L160" s="4"/>
      <c r="M160" s="4"/>
      <c r="N160" s="4"/>
      <c r="O160" s="4"/>
      <c r="P160" s="4"/>
      <c r="Q160" s="4"/>
      <c r="S160" s="4">
        <v>-33549.26</v>
      </c>
    </row>
    <row r="161" spans="2:19" x14ac:dyDescent="0.3">
      <c r="B161" s="3"/>
      <c r="C161" s="2" t="str">
        <f t="shared" si="12"/>
        <v/>
      </c>
      <c r="D161" s="2" t="str">
        <f t="shared" si="11"/>
        <v/>
      </c>
      <c r="E161" s="2" t="str">
        <f t="shared" si="13"/>
        <v/>
      </c>
      <c r="F161" s="3"/>
      <c r="G161" s="3"/>
      <c r="H161" s="4"/>
      <c r="I161" s="4"/>
      <c r="J161" s="4"/>
      <c r="K161" s="4"/>
      <c r="L161" s="4"/>
      <c r="M161" s="4"/>
      <c r="N161" s="4"/>
      <c r="O161" s="4"/>
      <c r="P161" s="4"/>
      <c r="Q161" s="4"/>
      <c r="S161" s="4">
        <v>-477.38</v>
      </c>
    </row>
    <row r="162" spans="2:19" x14ac:dyDescent="0.3">
      <c r="B162" s="3"/>
      <c r="C162" s="2" t="str">
        <f t="shared" si="12"/>
        <v/>
      </c>
      <c r="D162" s="2" t="str">
        <f t="shared" si="11"/>
        <v/>
      </c>
      <c r="E162" s="2" t="str">
        <f t="shared" si="13"/>
        <v/>
      </c>
      <c r="F162" s="3"/>
      <c r="G162" s="3"/>
      <c r="H162" s="4"/>
      <c r="I162" s="4"/>
      <c r="J162" s="4"/>
      <c r="K162" s="4"/>
      <c r="L162" s="4"/>
      <c r="M162" s="4"/>
      <c r="N162" s="4"/>
      <c r="O162" s="4"/>
      <c r="P162" s="4"/>
      <c r="Q162" s="4"/>
      <c r="S162" s="4">
        <v>1236.42</v>
      </c>
    </row>
    <row r="163" spans="2:19" x14ac:dyDescent="0.3">
      <c r="B163" s="3"/>
      <c r="C163" s="2" t="str">
        <f t="shared" si="12"/>
        <v/>
      </c>
      <c r="D163" s="2" t="str">
        <f t="shared" si="11"/>
        <v/>
      </c>
      <c r="E163" s="2" t="str">
        <f t="shared" si="13"/>
        <v/>
      </c>
      <c r="F163" s="3"/>
      <c r="G163" s="3"/>
      <c r="H163" s="4"/>
      <c r="I163" s="4"/>
      <c r="J163" s="4"/>
      <c r="K163" s="4"/>
      <c r="L163" s="4"/>
      <c r="M163" s="4"/>
      <c r="N163" s="4"/>
      <c r="O163" s="4"/>
      <c r="P163" s="4"/>
      <c r="Q163" s="4"/>
      <c r="S163" s="4">
        <v>-25829.32</v>
      </c>
    </row>
    <row r="164" spans="2:19" x14ac:dyDescent="0.3">
      <c r="B164" s="3"/>
      <c r="C164" s="2" t="str">
        <f t="shared" si="12"/>
        <v/>
      </c>
      <c r="D164" s="2" t="str">
        <f t="shared" si="11"/>
        <v/>
      </c>
      <c r="E164" s="2" t="str">
        <f t="shared" si="13"/>
        <v/>
      </c>
      <c r="F164" s="3"/>
      <c r="G164" s="3"/>
      <c r="H164" s="4"/>
      <c r="I164" s="4"/>
      <c r="J164" s="4"/>
      <c r="K164" s="4"/>
      <c r="L164" s="4"/>
      <c r="M164" s="4"/>
      <c r="N164" s="4"/>
      <c r="O164" s="4"/>
      <c r="P164" s="4"/>
      <c r="Q164" s="4"/>
      <c r="S164" s="4">
        <v>-1279.0899999999999</v>
      </c>
    </row>
    <row r="165" spans="2:19" x14ac:dyDescent="0.3">
      <c r="B165" s="3"/>
      <c r="C165" s="2" t="str">
        <f t="shared" si="12"/>
        <v/>
      </c>
      <c r="D165" s="2" t="str">
        <f t="shared" si="11"/>
        <v/>
      </c>
      <c r="E165" s="2" t="str">
        <f t="shared" si="13"/>
        <v/>
      </c>
      <c r="F165" s="3"/>
      <c r="G165" s="3"/>
      <c r="H165" s="4"/>
      <c r="I165" s="4"/>
      <c r="J165" s="4"/>
      <c r="K165" s="4"/>
      <c r="L165" s="4"/>
      <c r="M165" s="4"/>
      <c r="N165" s="4"/>
      <c r="O165" s="4"/>
      <c r="P165" s="4"/>
      <c r="Q165" s="4"/>
      <c r="S165" s="4">
        <v>-545</v>
      </c>
    </row>
    <row r="166" spans="2:19" x14ac:dyDescent="0.3">
      <c r="B166" s="3"/>
      <c r="C166" s="2" t="str">
        <f t="shared" si="12"/>
        <v/>
      </c>
      <c r="D166" s="2" t="str">
        <f t="shared" si="11"/>
        <v/>
      </c>
      <c r="E166" s="2" t="str">
        <f t="shared" si="13"/>
        <v/>
      </c>
      <c r="F166" s="3"/>
      <c r="G166" s="3"/>
      <c r="H166" s="4"/>
      <c r="I166" s="4"/>
      <c r="J166" s="4"/>
      <c r="K166" s="4"/>
      <c r="L166" s="4"/>
      <c r="M166" s="4"/>
      <c r="N166" s="4"/>
      <c r="O166" s="4"/>
      <c r="P166" s="4"/>
      <c r="Q166" s="4"/>
      <c r="S166" s="4">
        <v>-4675</v>
      </c>
    </row>
    <row r="167" spans="2:19" x14ac:dyDescent="0.3">
      <c r="B167" s="3"/>
      <c r="C167" s="2" t="str">
        <f t="shared" si="12"/>
        <v/>
      </c>
      <c r="D167" s="2" t="str">
        <f t="shared" si="11"/>
        <v/>
      </c>
      <c r="E167" s="2" t="str">
        <f t="shared" si="13"/>
        <v/>
      </c>
      <c r="F167" s="3"/>
      <c r="G167" s="3"/>
      <c r="H167" s="4"/>
      <c r="I167" s="4"/>
      <c r="J167" s="4"/>
      <c r="K167" s="4"/>
      <c r="L167" s="4"/>
      <c r="M167" s="4"/>
      <c r="N167" s="4"/>
      <c r="O167" s="4"/>
      <c r="P167" s="4"/>
      <c r="Q167" s="4"/>
      <c r="S167" s="4">
        <v>-3337.5</v>
      </c>
    </row>
    <row r="168" spans="2:19" x14ac:dyDescent="0.3">
      <c r="B168" s="3"/>
      <c r="C168" s="2" t="str">
        <f t="shared" si="12"/>
        <v/>
      </c>
      <c r="D168" s="2" t="str">
        <f t="shared" si="11"/>
        <v/>
      </c>
      <c r="E168" s="2" t="str">
        <f t="shared" si="13"/>
        <v/>
      </c>
      <c r="F168" s="3"/>
      <c r="G168" s="3"/>
      <c r="H168" s="4"/>
      <c r="I168" s="4"/>
      <c r="J168" s="4"/>
      <c r="K168" s="4"/>
      <c r="L168" s="4"/>
      <c r="M168" s="4"/>
      <c r="N168" s="4"/>
      <c r="O168" s="4"/>
      <c r="P168" s="4"/>
      <c r="Q168" s="4"/>
      <c r="S168" s="4">
        <v>-19513.080000000002</v>
      </c>
    </row>
    <row r="169" spans="2:19" x14ac:dyDescent="0.3">
      <c r="B169" s="3"/>
      <c r="C169" s="2" t="str">
        <f t="shared" si="12"/>
        <v/>
      </c>
      <c r="D169" s="2" t="str">
        <f t="shared" si="11"/>
        <v/>
      </c>
      <c r="E169" s="2" t="str">
        <f t="shared" si="13"/>
        <v/>
      </c>
      <c r="F169" s="3"/>
      <c r="G169" s="3"/>
      <c r="H169" s="4"/>
      <c r="I169" s="4"/>
      <c r="J169" s="4"/>
      <c r="K169" s="4"/>
      <c r="L169" s="4"/>
      <c r="M169" s="4"/>
      <c r="N169" s="4"/>
      <c r="O169" s="4"/>
      <c r="P169" s="4"/>
      <c r="Q169" s="4"/>
      <c r="S169" s="4">
        <v>-8254</v>
      </c>
    </row>
    <row r="170" spans="2:19" x14ac:dyDescent="0.3">
      <c r="B170" s="3"/>
      <c r="C170" s="2" t="str">
        <f t="shared" si="12"/>
        <v/>
      </c>
      <c r="D170" s="2" t="str">
        <f t="shared" si="11"/>
        <v/>
      </c>
      <c r="E170" s="2" t="str">
        <f t="shared" si="13"/>
        <v/>
      </c>
      <c r="F170" s="3"/>
      <c r="G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S170" s="4">
        <v>-310</v>
      </c>
    </row>
    <row r="171" spans="2:19" x14ac:dyDescent="0.3">
      <c r="B171" s="3"/>
      <c r="C171" s="2" t="str">
        <f t="shared" si="12"/>
        <v/>
      </c>
      <c r="D171" s="2" t="str">
        <f t="shared" si="11"/>
        <v/>
      </c>
      <c r="E171" s="2" t="str">
        <f t="shared" si="13"/>
        <v/>
      </c>
      <c r="F171" s="3"/>
      <c r="G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S171" s="4">
        <v>-10000</v>
      </c>
    </row>
    <row r="172" spans="2:19" x14ac:dyDescent="0.3">
      <c r="B172" s="3"/>
      <c r="C172" s="2" t="str">
        <f t="shared" si="12"/>
        <v/>
      </c>
      <c r="D172" s="2" t="str">
        <f t="shared" si="11"/>
        <v/>
      </c>
      <c r="E172" s="2" t="str">
        <f t="shared" si="13"/>
        <v/>
      </c>
      <c r="F172" s="3"/>
      <c r="G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S172" s="4">
        <v>-217.78</v>
      </c>
    </row>
    <row r="173" spans="2:19" x14ac:dyDescent="0.3">
      <c r="B173" s="3"/>
      <c r="C173" s="2" t="str">
        <f t="shared" si="12"/>
        <v/>
      </c>
      <c r="D173" s="2" t="str">
        <f t="shared" si="11"/>
        <v/>
      </c>
      <c r="E173" s="2" t="str">
        <f t="shared" si="13"/>
        <v/>
      </c>
      <c r="F173" s="3"/>
      <c r="G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S173" s="4">
        <v>-731.3</v>
      </c>
    </row>
    <row r="174" spans="2:19" x14ac:dyDescent="0.3">
      <c r="B174" s="3"/>
      <c r="C174" s="2" t="str">
        <f t="shared" si="12"/>
        <v/>
      </c>
      <c r="D174" s="2" t="str">
        <f t="shared" si="11"/>
        <v/>
      </c>
      <c r="E174" s="2" t="str">
        <f t="shared" si="13"/>
        <v/>
      </c>
      <c r="F174" s="3"/>
      <c r="G174" s="3"/>
      <c r="H174" s="4"/>
      <c r="I174" s="4"/>
      <c r="J174" s="4"/>
      <c r="K174" s="4"/>
      <c r="L174" s="4"/>
      <c r="M174" s="4"/>
      <c r="N174" s="4"/>
      <c r="O174" s="4"/>
      <c r="P174" s="4"/>
      <c r="Q174" s="4"/>
      <c r="S174" s="4">
        <v>-31333.67</v>
      </c>
    </row>
    <row r="175" spans="2:19" x14ac:dyDescent="0.3">
      <c r="B175" s="3"/>
      <c r="C175" s="2" t="str">
        <f t="shared" si="12"/>
        <v/>
      </c>
      <c r="D175" s="2" t="str">
        <f t="shared" si="11"/>
        <v/>
      </c>
      <c r="E175" s="2" t="str">
        <f t="shared" si="13"/>
        <v/>
      </c>
      <c r="F175" s="3"/>
      <c r="G175" s="3"/>
      <c r="H175" s="4"/>
      <c r="I175" s="4"/>
      <c r="J175" s="4"/>
      <c r="K175" s="4"/>
      <c r="L175" s="4"/>
      <c r="M175" s="4"/>
      <c r="N175" s="4"/>
      <c r="O175" s="4"/>
      <c r="P175" s="4"/>
      <c r="Q175" s="4"/>
      <c r="S175" s="4">
        <v>-4794.79</v>
      </c>
    </row>
    <row r="176" spans="2:19" x14ac:dyDescent="0.3">
      <c r="B176" s="3"/>
      <c r="C176" s="2" t="str">
        <f t="shared" si="12"/>
        <v/>
      </c>
      <c r="D176" s="2" t="str">
        <f t="shared" si="11"/>
        <v/>
      </c>
      <c r="E176" s="2" t="str">
        <f t="shared" si="13"/>
        <v/>
      </c>
      <c r="F176" s="3"/>
      <c r="G176" s="3"/>
      <c r="H176" s="4"/>
      <c r="I176" s="4"/>
      <c r="J176" s="4"/>
      <c r="K176" s="4"/>
      <c r="L176" s="4"/>
      <c r="M176" s="4"/>
      <c r="N176" s="4"/>
      <c r="O176" s="4"/>
      <c r="P176" s="4"/>
      <c r="Q176" s="4"/>
      <c r="S176" s="4">
        <v>-141.5</v>
      </c>
    </row>
    <row r="177" spans="2:19" x14ac:dyDescent="0.3">
      <c r="B177" s="3"/>
      <c r="C177" s="2" t="str">
        <f t="shared" si="12"/>
        <v/>
      </c>
      <c r="D177" s="2" t="str">
        <f t="shared" si="11"/>
        <v/>
      </c>
      <c r="E177" s="2" t="str">
        <f t="shared" si="13"/>
        <v/>
      </c>
      <c r="F177" s="3"/>
      <c r="G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S177" s="4">
        <v>-5600</v>
      </c>
    </row>
    <row r="178" spans="2:19" x14ac:dyDescent="0.3">
      <c r="B178" s="3"/>
      <c r="C178" s="2" t="str">
        <f t="shared" si="12"/>
        <v/>
      </c>
      <c r="D178" s="2" t="str">
        <f t="shared" si="11"/>
        <v/>
      </c>
      <c r="E178" s="2" t="str">
        <f t="shared" si="13"/>
        <v/>
      </c>
      <c r="F178" s="3"/>
      <c r="G178" s="3"/>
      <c r="H178" s="4"/>
      <c r="I178" s="4"/>
      <c r="J178" s="4"/>
      <c r="K178" s="4"/>
      <c r="L178" s="4"/>
      <c r="M178" s="4"/>
      <c r="N178" s="4"/>
      <c r="O178" s="4"/>
      <c r="P178" s="4"/>
      <c r="Q178" s="4"/>
      <c r="S178" s="4">
        <v>-1900</v>
      </c>
    </row>
    <row r="179" spans="2:19" x14ac:dyDescent="0.3">
      <c r="B179" s="3"/>
      <c r="C179" s="2" t="str">
        <f t="shared" si="12"/>
        <v/>
      </c>
      <c r="D179" s="2" t="str">
        <f t="shared" si="11"/>
        <v/>
      </c>
      <c r="E179" s="2" t="str">
        <f t="shared" si="13"/>
        <v/>
      </c>
      <c r="F179" s="3"/>
      <c r="G179" s="3"/>
      <c r="H179" s="4"/>
      <c r="I179" s="4"/>
      <c r="J179" s="4"/>
      <c r="K179" s="4"/>
      <c r="L179" s="4"/>
      <c r="M179" s="4"/>
      <c r="N179" s="4"/>
      <c r="O179" s="4"/>
      <c r="P179" s="4"/>
      <c r="Q179" s="4"/>
      <c r="S179" s="4">
        <v>-18768.48</v>
      </c>
    </row>
    <row r="180" spans="2:19" x14ac:dyDescent="0.3">
      <c r="B180" s="3"/>
      <c r="C180" s="2" t="str">
        <f t="shared" si="12"/>
        <v/>
      </c>
      <c r="D180" s="2" t="str">
        <f t="shared" si="11"/>
        <v/>
      </c>
      <c r="E180" s="2" t="str">
        <f t="shared" si="13"/>
        <v/>
      </c>
      <c r="F180" s="3"/>
      <c r="G180" s="3"/>
      <c r="H180" s="4"/>
      <c r="I180" s="4"/>
      <c r="J180" s="4"/>
      <c r="K180" s="4"/>
      <c r="L180" s="4"/>
      <c r="M180" s="4"/>
      <c r="N180" s="4"/>
      <c r="O180" s="4"/>
      <c r="P180" s="4"/>
      <c r="Q180" s="4"/>
      <c r="S180" s="4">
        <v>-128.9</v>
      </c>
    </row>
    <row r="181" spans="2:19" x14ac:dyDescent="0.3">
      <c r="B181" s="3"/>
      <c r="C181" s="2" t="str">
        <f t="shared" si="12"/>
        <v/>
      </c>
      <c r="D181" s="2" t="str">
        <f t="shared" si="11"/>
        <v/>
      </c>
      <c r="E181" s="2" t="str">
        <f t="shared" si="13"/>
        <v/>
      </c>
      <c r="F181" s="3"/>
      <c r="G181" s="3"/>
      <c r="H181" s="4"/>
      <c r="I181" s="4"/>
      <c r="J181" s="4"/>
      <c r="K181" s="4"/>
      <c r="L181" s="4"/>
      <c r="M181" s="4"/>
      <c r="N181" s="4"/>
      <c r="O181" s="4"/>
      <c r="P181" s="4"/>
      <c r="Q181" s="4"/>
      <c r="S181" s="4">
        <v>-1150749.8600000001</v>
      </c>
    </row>
    <row r="182" spans="2:19" x14ac:dyDescent="0.3">
      <c r="B182" s="3"/>
      <c r="C182" s="2" t="str">
        <f t="shared" si="12"/>
        <v/>
      </c>
      <c r="D182" s="2" t="str">
        <f t="shared" si="11"/>
        <v/>
      </c>
      <c r="E182" s="2" t="str">
        <f t="shared" si="13"/>
        <v/>
      </c>
      <c r="F182" s="3"/>
      <c r="G182" s="3"/>
      <c r="H182" s="4"/>
      <c r="I182" s="4"/>
      <c r="J182" s="4"/>
      <c r="K182" s="4"/>
      <c r="L182" s="4"/>
      <c r="M182" s="4"/>
      <c r="N182" s="4"/>
      <c r="O182" s="4"/>
      <c r="P182" s="4"/>
      <c r="Q182" s="4"/>
      <c r="S182" s="4">
        <v>-602231.53</v>
      </c>
    </row>
    <row r="183" spans="2:19" x14ac:dyDescent="0.3">
      <c r="B183" s="3"/>
      <c r="C183" s="2" t="str">
        <f t="shared" si="12"/>
        <v/>
      </c>
      <c r="D183" s="2" t="str">
        <f t="shared" si="11"/>
        <v/>
      </c>
      <c r="E183" s="2" t="str">
        <f t="shared" si="13"/>
        <v/>
      </c>
      <c r="F183" s="3"/>
      <c r="G183" s="3"/>
      <c r="H183" s="4"/>
      <c r="I183" s="4"/>
      <c r="J183" s="4"/>
      <c r="K183" s="4"/>
      <c r="L183" s="4"/>
      <c r="M183" s="4"/>
      <c r="N183" s="4"/>
      <c r="O183" s="4"/>
      <c r="P183" s="4"/>
      <c r="Q183" s="4"/>
      <c r="S183" s="4">
        <v>-5694.68</v>
      </c>
    </row>
    <row r="184" spans="2:19" x14ac:dyDescent="0.3">
      <c r="B184" s="3"/>
      <c r="C184" s="2" t="str">
        <f t="shared" si="12"/>
        <v/>
      </c>
      <c r="D184" s="2" t="str">
        <f t="shared" si="11"/>
        <v/>
      </c>
      <c r="E184" s="2" t="str">
        <f t="shared" si="13"/>
        <v/>
      </c>
      <c r="F184" s="3"/>
      <c r="G184" s="3"/>
      <c r="H184" s="4"/>
      <c r="I184" s="4"/>
      <c r="J184" s="4"/>
      <c r="K184" s="4"/>
      <c r="L184" s="4"/>
      <c r="M184" s="4"/>
      <c r="N184" s="4"/>
      <c r="O184" s="4"/>
      <c r="P184" s="4"/>
      <c r="Q184" s="4"/>
      <c r="S184" s="4">
        <v>-280</v>
      </c>
    </row>
    <row r="185" spans="2:19" x14ac:dyDescent="0.3">
      <c r="B185" s="3"/>
      <c r="C185" s="2" t="str">
        <f t="shared" si="12"/>
        <v/>
      </c>
      <c r="D185" s="2" t="str">
        <f t="shared" si="11"/>
        <v/>
      </c>
      <c r="E185" s="2" t="str">
        <f t="shared" si="13"/>
        <v/>
      </c>
      <c r="F185" s="3"/>
      <c r="G185" s="3"/>
      <c r="H185" s="4"/>
      <c r="I185" s="4"/>
      <c r="J185" s="4"/>
      <c r="K185" s="4"/>
      <c r="L185" s="4"/>
      <c r="M185" s="4"/>
      <c r="N185" s="4"/>
      <c r="O185" s="4"/>
      <c r="P185" s="4"/>
      <c r="Q185" s="4"/>
      <c r="S185" s="4">
        <v>-1420</v>
      </c>
    </row>
    <row r="186" spans="2:19" x14ac:dyDescent="0.3">
      <c r="B186" s="3"/>
      <c r="C186" s="2" t="str">
        <f t="shared" si="12"/>
        <v/>
      </c>
      <c r="D186" s="2" t="str">
        <f t="shared" si="11"/>
        <v/>
      </c>
      <c r="E186" s="2" t="str">
        <f t="shared" si="13"/>
        <v/>
      </c>
      <c r="F186" s="3"/>
      <c r="G186" s="3"/>
      <c r="H186" s="4"/>
      <c r="I186" s="4"/>
      <c r="J186" s="4"/>
      <c r="K186" s="4"/>
      <c r="L186" s="4"/>
      <c r="M186" s="4"/>
      <c r="N186" s="4"/>
      <c r="O186" s="4"/>
      <c r="P186" s="4"/>
      <c r="Q186" s="4"/>
      <c r="S186" s="4">
        <v>-356.24</v>
      </c>
    </row>
    <row r="187" spans="2:19" x14ac:dyDescent="0.3">
      <c r="B187" s="3"/>
      <c r="C187" s="2" t="str">
        <f t="shared" si="12"/>
        <v/>
      </c>
      <c r="D187" s="2" t="str">
        <f t="shared" si="11"/>
        <v/>
      </c>
      <c r="E187" s="2" t="str">
        <f t="shared" si="13"/>
        <v/>
      </c>
      <c r="F187" s="3"/>
      <c r="G187" s="3"/>
      <c r="H187" s="4"/>
      <c r="I187" s="4"/>
      <c r="J187" s="4"/>
      <c r="K187" s="4"/>
      <c r="L187" s="4"/>
      <c r="M187" s="4"/>
      <c r="N187" s="4"/>
      <c r="O187" s="4"/>
      <c r="P187" s="4"/>
      <c r="Q187" s="4"/>
      <c r="S187" s="4">
        <v>-2547.7399999999998</v>
      </c>
    </row>
    <row r="188" spans="2:19" x14ac:dyDescent="0.3">
      <c r="B188" s="3"/>
      <c r="C188" s="2" t="str">
        <f t="shared" si="12"/>
        <v/>
      </c>
      <c r="D188" s="2" t="str">
        <f t="shared" si="11"/>
        <v/>
      </c>
      <c r="E188" s="2" t="str">
        <f t="shared" si="13"/>
        <v/>
      </c>
      <c r="F188" s="3"/>
      <c r="G188" s="3"/>
      <c r="H188" s="4"/>
      <c r="I188" s="4"/>
      <c r="J188" s="4"/>
      <c r="K188" s="4"/>
      <c r="L188" s="4"/>
      <c r="M188" s="4"/>
      <c r="N188" s="4"/>
      <c r="O188" s="4"/>
      <c r="P188" s="4"/>
      <c r="Q188" s="4"/>
      <c r="S188" s="4">
        <v>-36353.599999999999</v>
      </c>
    </row>
    <row r="189" spans="2:19" x14ac:dyDescent="0.3">
      <c r="B189" s="3"/>
      <c r="C189" s="2" t="str">
        <f t="shared" si="12"/>
        <v/>
      </c>
      <c r="D189" s="2" t="str">
        <f t="shared" si="11"/>
        <v/>
      </c>
      <c r="E189" s="2" t="str">
        <f t="shared" si="13"/>
        <v/>
      </c>
      <c r="F189" s="3"/>
      <c r="G189" s="3"/>
      <c r="H189" s="4"/>
      <c r="I189" s="4"/>
      <c r="J189" s="4"/>
      <c r="K189" s="4"/>
      <c r="L189" s="4"/>
      <c r="M189" s="4"/>
      <c r="N189" s="4"/>
      <c r="O189" s="4"/>
      <c r="P189" s="4"/>
      <c r="Q189" s="4"/>
      <c r="S189" s="4">
        <v>-19519.330000000002</v>
      </c>
    </row>
    <row r="190" spans="2:19" x14ac:dyDescent="0.3">
      <c r="B190" s="3"/>
      <c r="C190" s="2" t="str">
        <f t="shared" si="12"/>
        <v/>
      </c>
      <c r="D190" s="2" t="str">
        <f t="shared" si="11"/>
        <v/>
      </c>
      <c r="E190" s="2" t="str">
        <f t="shared" si="13"/>
        <v/>
      </c>
      <c r="F190" s="3"/>
      <c r="G190" s="3"/>
      <c r="H190" s="4"/>
      <c r="I190" s="4"/>
      <c r="J190" s="4"/>
      <c r="K190" s="4"/>
      <c r="L190" s="4"/>
      <c r="M190" s="4"/>
      <c r="N190" s="4"/>
      <c r="O190" s="4"/>
      <c r="P190" s="4"/>
      <c r="Q190" s="4"/>
      <c r="S190" s="4">
        <v>-98.36</v>
      </c>
    </row>
    <row r="191" spans="2:19" x14ac:dyDescent="0.3">
      <c r="B191" s="3"/>
      <c r="C191" s="2" t="str">
        <f t="shared" si="12"/>
        <v/>
      </c>
      <c r="D191" s="2" t="str">
        <f t="shared" si="11"/>
        <v/>
      </c>
      <c r="E191" s="2" t="str">
        <f t="shared" si="13"/>
        <v/>
      </c>
      <c r="F191" s="3"/>
      <c r="G191" s="3"/>
      <c r="H191" s="4"/>
      <c r="I191" s="4"/>
      <c r="J191" s="4"/>
      <c r="K191" s="4"/>
      <c r="L191" s="4"/>
      <c r="M191" s="4"/>
      <c r="N191" s="4"/>
      <c r="O191" s="4"/>
      <c r="P191" s="4"/>
      <c r="Q191" s="4"/>
      <c r="S191" s="4">
        <v>-3082.23</v>
      </c>
    </row>
    <row r="192" spans="2:19" x14ac:dyDescent="0.3">
      <c r="B192" s="3"/>
      <c r="C192" s="2" t="str">
        <f t="shared" si="12"/>
        <v/>
      </c>
      <c r="D192" s="2" t="str">
        <f t="shared" si="11"/>
        <v/>
      </c>
      <c r="E192" s="2" t="str">
        <f t="shared" si="13"/>
        <v/>
      </c>
      <c r="F192" s="3"/>
      <c r="G192" s="3"/>
      <c r="H192" s="4"/>
      <c r="I192" s="4"/>
      <c r="J192" s="4"/>
      <c r="K192" s="4"/>
      <c r="L192" s="4"/>
      <c r="M192" s="4"/>
      <c r="N192" s="4"/>
      <c r="O192" s="4"/>
      <c r="P192" s="4"/>
      <c r="Q192" s="4"/>
      <c r="S192" s="4">
        <v>-250</v>
      </c>
    </row>
    <row r="193" spans="2:19" x14ac:dyDescent="0.3">
      <c r="B193" s="3"/>
      <c r="C193" s="2" t="str">
        <f t="shared" si="12"/>
        <v/>
      </c>
      <c r="D193" s="2" t="str">
        <f t="shared" si="11"/>
        <v/>
      </c>
      <c r="E193" s="2" t="str">
        <f t="shared" si="13"/>
        <v/>
      </c>
      <c r="F193" s="3"/>
      <c r="G193" s="3"/>
      <c r="H193" s="4"/>
      <c r="I193" s="4"/>
      <c r="J193" s="4"/>
      <c r="K193" s="4"/>
      <c r="L193" s="4"/>
      <c r="M193" s="4"/>
      <c r="N193" s="4"/>
      <c r="O193" s="4"/>
      <c r="P193" s="4"/>
      <c r="Q193" s="4"/>
      <c r="S193" s="4">
        <v>-2291.08</v>
      </c>
    </row>
    <row r="194" spans="2:19" x14ac:dyDescent="0.3">
      <c r="B194" s="3"/>
      <c r="C194" s="2" t="str">
        <f t="shared" si="12"/>
        <v/>
      </c>
      <c r="D194" s="2" t="str">
        <f t="shared" si="11"/>
        <v/>
      </c>
      <c r="E194" s="2" t="str">
        <f t="shared" si="13"/>
        <v/>
      </c>
      <c r="F194" s="3"/>
      <c r="G194" s="3"/>
      <c r="H194" s="4"/>
      <c r="I194" s="4"/>
      <c r="J194" s="4"/>
      <c r="K194" s="4"/>
      <c r="L194" s="4"/>
      <c r="M194" s="4"/>
      <c r="N194" s="4"/>
      <c r="O194" s="4"/>
      <c r="P194" s="4"/>
      <c r="Q194" s="4"/>
      <c r="S194" s="4">
        <v>-12466.08</v>
      </c>
    </row>
    <row r="195" spans="2:19" x14ac:dyDescent="0.3">
      <c r="B195" s="3"/>
      <c r="C195" s="2" t="str">
        <f t="shared" si="12"/>
        <v/>
      </c>
      <c r="D195" s="2" t="str">
        <f t="shared" si="11"/>
        <v/>
      </c>
      <c r="E195" s="2" t="str">
        <f t="shared" si="13"/>
        <v/>
      </c>
      <c r="F195" s="3"/>
      <c r="G195" s="3"/>
      <c r="H195" s="4"/>
      <c r="I195" s="4"/>
      <c r="J195" s="4"/>
      <c r="K195" s="4"/>
      <c r="L195" s="4"/>
      <c r="M195" s="4"/>
      <c r="N195" s="4"/>
      <c r="O195" s="4"/>
      <c r="P195" s="4"/>
      <c r="Q195" s="4"/>
      <c r="S195" s="4">
        <v>-464158.99</v>
      </c>
    </row>
    <row r="196" spans="2:19" x14ac:dyDescent="0.3">
      <c r="B196" s="3"/>
      <c r="C196" s="2" t="str">
        <f t="shared" si="12"/>
        <v/>
      </c>
      <c r="D196" s="2" t="str">
        <f t="shared" si="11"/>
        <v/>
      </c>
      <c r="E196" s="2" t="str">
        <f t="shared" si="13"/>
        <v/>
      </c>
      <c r="F196" s="3"/>
      <c r="G196" s="3"/>
      <c r="H196" s="4"/>
      <c r="I196" s="4"/>
      <c r="J196" s="4"/>
      <c r="K196" s="4"/>
      <c r="L196" s="4"/>
      <c r="M196" s="4"/>
      <c r="N196" s="4"/>
      <c r="O196" s="4"/>
      <c r="P196" s="4"/>
      <c r="Q196" s="4"/>
      <c r="S196" s="4">
        <v>-61806.89</v>
      </c>
    </row>
    <row r="197" spans="2:19" x14ac:dyDescent="0.3">
      <c r="B197" s="3"/>
      <c r="C197" s="2" t="str">
        <f t="shared" si="12"/>
        <v/>
      </c>
      <c r="D197" s="2" t="str">
        <f t="shared" si="11"/>
        <v/>
      </c>
      <c r="E197" s="2" t="str">
        <f t="shared" si="13"/>
        <v/>
      </c>
      <c r="F197" s="3"/>
      <c r="G197" s="3"/>
      <c r="H197" s="4"/>
      <c r="I197" s="4"/>
      <c r="J197" s="4"/>
      <c r="K197" s="4"/>
      <c r="L197" s="4"/>
      <c r="M197" s="4"/>
      <c r="N197" s="4"/>
      <c r="O197" s="4"/>
      <c r="P197" s="4"/>
      <c r="Q197" s="4"/>
      <c r="S197" s="4">
        <v>-32853.449999999997</v>
      </c>
    </row>
    <row r="198" spans="2:19" x14ac:dyDescent="0.3">
      <c r="B198" s="3"/>
      <c r="C198" s="2" t="str">
        <f t="shared" si="12"/>
        <v/>
      </c>
      <c r="D198" s="2" t="str">
        <f t="shared" si="11"/>
        <v/>
      </c>
      <c r="E198" s="2" t="str">
        <f t="shared" si="13"/>
        <v/>
      </c>
      <c r="F198" s="3"/>
      <c r="G198" s="3"/>
      <c r="H198" s="4"/>
      <c r="I198" s="4"/>
      <c r="J198" s="4"/>
      <c r="K198" s="4"/>
      <c r="L198" s="4"/>
      <c r="M198" s="4"/>
      <c r="N198" s="4"/>
      <c r="O198" s="4"/>
      <c r="P198" s="4"/>
      <c r="Q198" s="4"/>
      <c r="S198" s="4">
        <v>-556.25</v>
      </c>
    </row>
    <row r="199" spans="2:19" x14ac:dyDescent="0.3">
      <c r="B199" s="3"/>
      <c r="C199" s="2" t="str">
        <f t="shared" si="12"/>
        <v/>
      </c>
      <c r="D199" s="2" t="str">
        <f t="shared" si="11"/>
        <v/>
      </c>
      <c r="E199" s="2" t="str">
        <f t="shared" si="13"/>
        <v/>
      </c>
      <c r="F199" s="3"/>
      <c r="G199" s="3"/>
      <c r="H199" s="4"/>
      <c r="I199" s="4"/>
      <c r="J199" s="4"/>
      <c r="K199" s="4"/>
      <c r="L199" s="4"/>
      <c r="M199" s="4"/>
      <c r="N199" s="4"/>
      <c r="O199" s="4"/>
      <c r="P199" s="4"/>
      <c r="Q199" s="4"/>
      <c r="S199" s="4">
        <v>-1726.07</v>
      </c>
    </row>
    <row r="200" spans="2:19" x14ac:dyDescent="0.3">
      <c r="B200" s="3"/>
      <c r="C200" s="2" t="str">
        <f t="shared" si="12"/>
        <v/>
      </c>
      <c r="D200" s="2" t="str">
        <f t="shared" si="11"/>
        <v/>
      </c>
      <c r="E200" s="2" t="str">
        <f t="shared" si="13"/>
        <v/>
      </c>
      <c r="F200" s="3"/>
      <c r="G200" s="3"/>
      <c r="H200" s="4"/>
      <c r="I200" s="4"/>
      <c r="J200" s="4"/>
      <c r="K200" s="4"/>
      <c r="L200" s="4"/>
      <c r="M200" s="4"/>
      <c r="N200" s="4"/>
      <c r="O200" s="4"/>
      <c r="P200" s="4"/>
      <c r="Q200" s="4"/>
      <c r="S200" s="4">
        <v>-1391.48</v>
      </c>
    </row>
    <row r="201" spans="2:19" x14ac:dyDescent="0.3">
      <c r="B201" s="3"/>
      <c r="C201" s="2" t="str">
        <f t="shared" si="12"/>
        <v/>
      </c>
      <c r="D201" s="2" t="str">
        <f t="shared" si="11"/>
        <v/>
      </c>
      <c r="E201" s="2" t="str">
        <f t="shared" si="13"/>
        <v/>
      </c>
      <c r="F201" s="3"/>
      <c r="G201" s="3"/>
      <c r="H201" s="4"/>
      <c r="I201" s="4"/>
      <c r="J201" s="4"/>
      <c r="K201" s="4"/>
      <c r="L201" s="4"/>
      <c r="M201" s="4"/>
      <c r="N201" s="4"/>
      <c r="O201" s="4"/>
      <c r="P201" s="4"/>
      <c r="Q201" s="4"/>
      <c r="S201" s="4">
        <v>-4750.47</v>
      </c>
    </row>
    <row r="202" spans="2:19" x14ac:dyDescent="0.3">
      <c r="B202" s="3"/>
      <c r="C202" s="2" t="str">
        <f t="shared" si="12"/>
        <v/>
      </c>
      <c r="D202" s="2" t="str">
        <f t="shared" si="11"/>
        <v/>
      </c>
      <c r="E202" s="2" t="str">
        <f t="shared" si="13"/>
        <v/>
      </c>
      <c r="F202" s="3"/>
      <c r="G202" s="3"/>
      <c r="H202" s="4"/>
      <c r="I202" s="4"/>
      <c r="J202" s="4"/>
      <c r="K202" s="4"/>
      <c r="L202" s="4"/>
      <c r="M202" s="4"/>
      <c r="N202" s="4"/>
      <c r="O202" s="4"/>
      <c r="P202" s="4"/>
      <c r="Q202" s="4"/>
      <c r="S202" s="4">
        <v>-12728.87</v>
      </c>
    </row>
    <row r="203" spans="2:19" x14ac:dyDescent="0.3">
      <c r="B203" s="3"/>
      <c r="C203" s="2" t="str">
        <f t="shared" si="12"/>
        <v/>
      </c>
      <c r="D203" s="2" t="str">
        <f t="shared" si="11"/>
        <v/>
      </c>
      <c r="E203" s="2" t="str">
        <f t="shared" si="13"/>
        <v/>
      </c>
      <c r="F203" s="3"/>
      <c r="G203" s="3"/>
      <c r="H203" s="4"/>
      <c r="I203" s="4"/>
      <c r="J203" s="4"/>
      <c r="K203" s="4"/>
      <c r="L203" s="4"/>
      <c r="M203" s="4"/>
      <c r="N203" s="4"/>
      <c r="O203" s="4"/>
      <c r="P203" s="4"/>
      <c r="Q203" s="4"/>
      <c r="S203" s="4">
        <v>-595.20000000000005</v>
      </c>
    </row>
    <row r="204" spans="2:19" x14ac:dyDescent="0.3">
      <c r="B204" s="3"/>
      <c r="C204" s="2" t="str">
        <f t="shared" si="12"/>
        <v/>
      </c>
      <c r="D204" s="2" t="str">
        <f t="shared" si="11"/>
        <v/>
      </c>
      <c r="E204" s="2" t="str">
        <f t="shared" si="13"/>
        <v/>
      </c>
      <c r="F204" s="3"/>
      <c r="G204" s="3"/>
      <c r="H204" s="4"/>
      <c r="I204" s="4"/>
      <c r="J204" s="4"/>
      <c r="K204" s="4"/>
      <c r="L204" s="4"/>
      <c r="M204" s="4"/>
      <c r="N204" s="4"/>
      <c r="O204" s="4"/>
      <c r="P204" s="4"/>
      <c r="Q204" s="4"/>
      <c r="S204" s="4">
        <v>-28.75</v>
      </c>
    </row>
    <row r="205" spans="2:19" x14ac:dyDescent="0.3">
      <c r="B205" s="3"/>
      <c r="C205" s="2" t="str">
        <f t="shared" si="12"/>
        <v/>
      </c>
      <c r="D205" s="2" t="str">
        <f t="shared" si="11"/>
        <v/>
      </c>
      <c r="E205" s="2" t="str">
        <f t="shared" si="13"/>
        <v/>
      </c>
      <c r="F205" s="3"/>
      <c r="G205" s="3"/>
      <c r="H205" s="4"/>
      <c r="I205" s="4"/>
      <c r="J205" s="4"/>
      <c r="K205" s="4"/>
      <c r="L205" s="4"/>
      <c r="M205" s="4"/>
      <c r="N205" s="4"/>
      <c r="O205" s="4"/>
      <c r="P205" s="4"/>
      <c r="Q205" s="4"/>
      <c r="S205" s="4">
        <v>-512.54999999999995</v>
      </c>
    </row>
    <row r="206" spans="2:19" x14ac:dyDescent="0.3">
      <c r="B206" s="3"/>
      <c r="C206" s="2" t="str">
        <f t="shared" si="12"/>
        <v/>
      </c>
      <c r="D206" s="2" t="str">
        <f t="shared" si="11"/>
        <v/>
      </c>
      <c r="E206" s="2" t="str">
        <f t="shared" si="13"/>
        <v/>
      </c>
      <c r="F206" s="3"/>
      <c r="G206" s="3"/>
      <c r="H206" s="4"/>
      <c r="I206" s="4"/>
      <c r="J206" s="4"/>
      <c r="K206" s="4"/>
      <c r="L206" s="4"/>
      <c r="M206" s="4"/>
      <c r="N206" s="4"/>
      <c r="O206" s="4"/>
      <c r="P206" s="4"/>
      <c r="Q206" s="4"/>
      <c r="S206" s="4">
        <v>-1748</v>
      </c>
    </row>
    <row r="207" spans="2:19" x14ac:dyDescent="0.3">
      <c r="B207" s="3"/>
      <c r="C207" s="2" t="str">
        <f t="shared" si="12"/>
        <v/>
      </c>
      <c r="D207" s="2" t="str">
        <f t="shared" si="11"/>
        <v/>
      </c>
      <c r="E207" s="2" t="str">
        <f t="shared" si="13"/>
        <v/>
      </c>
      <c r="F207" s="3"/>
      <c r="G207" s="3"/>
      <c r="H207" s="4"/>
      <c r="I207" s="4"/>
      <c r="J207" s="4"/>
      <c r="K207" s="4"/>
      <c r="L207" s="4"/>
      <c r="M207" s="4"/>
      <c r="N207" s="4"/>
      <c r="O207" s="4"/>
      <c r="P207" s="4"/>
      <c r="Q207" s="4"/>
      <c r="S207" s="4">
        <v>-4915.8</v>
      </c>
    </row>
    <row r="208" spans="2:19" x14ac:dyDescent="0.3">
      <c r="B208" s="3"/>
      <c r="C208" s="2" t="str">
        <f t="shared" si="12"/>
        <v/>
      </c>
      <c r="D208" s="2" t="str">
        <f t="shared" ref="D208:D231" si="14">IF($F208="","",IF(LEN($F208)=13,"A","S"))</f>
        <v/>
      </c>
      <c r="E208" s="2" t="str">
        <f t="shared" si="13"/>
        <v/>
      </c>
      <c r="F208" s="3"/>
      <c r="G208" s="3"/>
      <c r="H208" s="4"/>
      <c r="I208" s="4"/>
      <c r="J208" s="4"/>
      <c r="K208" s="4"/>
      <c r="L208" s="4"/>
      <c r="M208" s="4"/>
      <c r="N208" s="4"/>
      <c r="O208" s="4"/>
      <c r="P208" s="4"/>
      <c r="Q208" s="4"/>
      <c r="S208" s="4">
        <v>-21597.279999999999</v>
      </c>
    </row>
    <row r="209" spans="2:19" x14ac:dyDescent="0.3">
      <c r="B209" s="3"/>
      <c r="C209" s="2" t="str">
        <f t="shared" si="12"/>
        <v/>
      </c>
      <c r="D209" s="2" t="str">
        <f t="shared" si="14"/>
        <v/>
      </c>
      <c r="E209" s="2" t="str">
        <f t="shared" si="13"/>
        <v/>
      </c>
      <c r="F209" s="3"/>
      <c r="G209" s="3"/>
      <c r="H209" s="4"/>
      <c r="I209" s="4"/>
      <c r="J209" s="4"/>
      <c r="K209" s="4"/>
      <c r="L209" s="4"/>
      <c r="M209" s="4"/>
      <c r="N209" s="4"/>
      <c r="O209" s="4"/>
      <c r="P209" s="4"/>
      <c r="Q209" s="4"/>
      <c r="S209" s="4">
        <v>-458.75</v>
      </c>
    </row>
    <row r="210" spans="2:19" x14ac:dyDescent="0.3">
      <c r="B210" s="3"/>
      <c r="C210" s="2" t="str">
        <f t="shared" ref="C210:C231" si="15">IF($F210="","",IF(LEFT($F210,1)*1=1,"A",IF(LEFT($F210,1)*1=2,"P",IF(LEFT($F210,1)*1=3,"C",IF(LEFT($F210,1)*1=4,"C",IF(LEFT($F210,1)*1=5,"R",""))))))</f>
        <v/>
      </c>
      <c r="D210" s="2" t="str">
        <f t="shared" si="14"/>
        <v/>
      </c>
      <c r="E210" s="2" t="str">
        <f t="shared" ref="E210:E231" si="16">IF($F210="","",IF(LEN($F210)=1,1,IF(LEN($F210)=3,2,IF(LEN($F210)=6,3,IF(LEN($F210)=9,4,IF(LEN($F210)=12,5,6))))))</f>
        <v/>
      </c>
      <c r="F210" s="3"/>
      <c r="G210" s="3"/>
      <c r="H210" s="4"/>
      <c r="I210" s="4"/>
      <c r="J210" s="4"/>
      <c r="K210" s="4"/>
      <c r="L210" s="4"/>
      <c r="M210" s="4"/>
      <c r="N210" s="4"/>
      <c r="O210" s="4"/>
      <c r="P210" s="4"/>
      <c r="Q210" s="4"/>
      <c r="S210" s="4">
        <v>-470</v>
      </c>
    </row>
    <row r="211" spans="2:19" x14ac:dyDescent="0.3">
      <c r="B211" s="3"/>
      <c r="C211" s="2" t="str">
        <f t="shared" si="15"/>
        <v/>
      </c>
      <c r="D211" s="2" t="str">
        <f t="shared" si="14"/>
        <v/>
      </c>
      <c r="E211" s="2" t="str">
        <f t="shared" si="16"/>
        <v/>
      </c>
      <c r="F211" s="3"/>
      <c r="G211" s="3"/>
      <c r="H211" s="4"/>
      <c r="I211" s="4"/>
      <c r="J211" s="4"/>
      <c r="K211" s="4"/>
      <c r="L211" s="4"/>
      <c r="M211" s="4"/>
      <c r="N211" s="4"/>
      <c r="O211" s="4"/>
      <c r="P211" s="4"/>
      <c r="Q211" s="4"/>
      <c r="S211" s="4">
        <v>-364.65</v>
      </c>
    </row>
    <row r="212" spans="2:19" x14ac:dyDescent="0.3">
      <c r="B212" s="3"/>
      <c r="C212" s="2" t="str">
        <f t="shared" si="15"/>
        <v/>
      </c>
      <c r="D212" s="2" t="str">
        <f t="shared" si="14"/>
        <v/>
      </c>
      <c r="E212" s="2" t="str">
        <f t="shared" si="16"/>
        <v/>
      </c>
      <c r="F212" s="3"/>
      <c r="G212" s="3"/>
      <c r="H212" s="4"/>
      <c r="I212" s="4"/>
      <c r="J212" s="4"/>
      <c r="K212" s="4"/>
      <c r="L212" s="4"/>
      <c r="M212" s="4"/>
      <c r="N212" s="4"/>
      <c r="O212" s="4"/>
      <c r="P212" s="4"/>
      <c r="Q212" s="4"/>
      <c r="S212" s="4">
        <v>-13663.88</v>
      </c>
    </row>
    <row r="213" spans="2:19" x14ac:dyDescent="0.3">
      <c r="B213" s="3"/>
      <c r="C213" s="2" t="str">
        <f t="shared" si="15"/>
        <v/>
      </c>
      <c r="D213" s="2" t="str">
        <f t="shared" si="14"/>
        <v/>
      </c>
      <c r="E213" s="2" t="str">
        <f t="shared" si="16"/>
        <v/>
      </c>
      <c r="F213" s="3"/>
      <c r="G213" s="3"/>
      <c r="H213" s="4"/>
      <c r="I213" s="4"/>
      <c r="J213" s="4"/>
      <c r="K213" s="4"/>
      <c r="L213" s="4"/>
      <c r="M213" s="4"/>
      <c r="N213" s="4"/>
      <c r="O213" s="4"/>
      <c r="P213" s="4"/>
      <c r="Q213" s="4"/>
      <c r="S213" s="4">
        <v>-6640</v>
      </c>
    </row>
    <row r="214" spans="2:19" x14ac:dyDescent="0.3">
      <c r="B214" s="3"/>
      <c r="C214" s="2" t="str">
        <f t="shared" si="15"/>
        <v/>
      </c>
      <c r="D214" s="2" t="str">
        <f t="shared" si="14"/>
        <v/>
      </c>
      <c r="E214" s="2" t="str">
        <f t="shared" si="16"/>
        <v/>
      </c>
      <c r="F214" s="3"/>
      <c r="G214" s="3"/>
      <c r="H214" s="4"/>
      <c r="I214" s="4"/>
      <c r="J214" s="4"/>
      <c r="K214" s="4"/>
      <c r="L214" s="4"/>
      <c r="M214" s="4"/>
      <c r="N214" s="4"/>
      <c r="O214" s="4"/>
      <c r="P214" s="4"/>
      <c r="Q214" s="4"/>
      <c r="S214" s="4">
        <v>-20457.52</v>
      </c>
    </row>
    <row r="215" spans="2:19" x14ac:dyDescent="0.3">
      <c r="B215" s="3"/>
      <c r="C215" s="2" t="str">
        <f t="shared" si="15"/>
        <v/>
      </c>
      <c r="D215" s="2" t="str">
        <f t="shared" si="14"/>
        <v/>
      </c>
      <c r="E215" s="2" t="str">
        <f t="shared" si="16"/>
        <v/>
      </c>
      <c r="F215" s="3"/>
      <c r="G215" s="3"/>
      <c r="H215" s="4"/>
      <c r="I215" s="4"/>
      <c r="J215" s="4"/>
      <c r="K215" s="4"/>
      <c r="L215" s="4"/>
      <c r="M215" s="4"/>
      <c r="N215" s="4"/>
      <c r="O215" s="4"/>
      <c r="P215" s="4"/>
      <c r="Q215" s="4"/>
      <c r="S215" s="4">
        <v>-9239</v>
      </c>
    </row>
    <row r="216" spans="2:19" x14ac:dyDescent="0.3">
      <c r="B216" s="3"/>
      <c r="C216" s="2" t="str">
        <f t="shared" si="15"/>
        <v/>
      </c>
      <c r="D216" s="2" t="str">
        <f t="shared" si="14"/>
        <v/>
      </c>
      <c r="E216" s="2" t="str">
        <f t="shared" si="16"/>
        <v/>
      </c>
      <c r="F216" s="3"/>
      <c r="G216" s="3"/>
      <c r="H216" s="4"/>
      <c r="I216" s="4"/>
      <c r="J216" s="4"/>
      <c r="K216" s="4"/>
      <c r="L216" s="4"/>
      <c r="M216" s="4"/>
      <c r="N216" s="4"/>
      <c r="O216" s="4"/>
      <c r="P216" s="4"/>
      <c r="Q216" s="4"/>
      <c r="S216" s="4">
        <v>-430</v>
      </c>
    </row>
    <row r="217" spans="2:19" x14ac:dyDescent="0.3">
      <c r="B217" s="3"/>
      <c r="C217" s="2" t="str">
        <f t="shared" si="15"/>
        <v/>
      </c>
      <c r="D217" s="2" t="str">
        <f t="shared" si="14"/>
        <v/>
      </c>
      <c r="E217" s="2" t="str">
        <f t="shared" si="16"/>
        <v/>
      </c>
      <c r="F217" s="3"/>
      <c r="G217" s="3"/>
      <c r="H217" s="4"/>
      <c r="I217" s="4"/>
      <c r="J217" s="4"/>
      <c r="K217" s="4"/>
      <c r="L217" s="4"/>
      <c r="M217" s="4"/>
      <c r="N217" s="4"/>
      <c r="O217" s="4"/>
      <c r="P217" s="4"/>
      <c r="Q217" s="4"/>
      <c r="S217" s="4">
        <v>-1539.7</v>
      </c>
    </row>
    <row r="218" spans="2:19" x14ac:dyDescent="0.3">
      <c r="B218" s="3"/>
      <c r="C218" s="2" t="str">
        <f t="shared" si="15"/>
        <v/>
      </c>
      <c r="D218" s="2" t="str">
        <f t="shared" si="14"/>
        <v/>
      </c>
      <c r="E218" s="2" t="str">
        <f t="shared" si="16"/>
        <v/>
      </c>
      <c r="F218" s="3"/>
      <c r="G218" s="3"/>
      <c r="H218" s="4"/>
      <c r="I218" s="4"/>
      <c r="J218" s="4"/>
      <c r="K218" s="4"/>
      <c r="L218" s="4"/>
      <c r="M218" s="4"/>
      <c r="N218" s="4"/>
      <c r="O218" s="4"/>
      <c r="P218" s="4"/>
      <c r="Q218" s="4"/>
      <c r="S218" s="4">
        <v>-171.88</v>
      </c>
    </row>
    <row r="219" spans="2:19" x14ac:dyDescent="0.3">
      <c r="B219" s="3"/>
      <c r="C219" s="2" t="str">
        <f t="shared" si="15"/>
        <v/>
      </c>
      <c r="D219" s="2" t="str">
        <f t="shared" si="14"/>
        <v/>
      </c>
      <c r="E219" s="2" t="str">
        <f t="shared" si="16"/>
        <v/>
      </c>
      <c r="F219" s="3"/>
      <c r="G219" s="3"/>
      <c r="H219" s="4"/>
      <c r="I219" s="4"/>
      <c r="J219" s="4"/>
      <c r="K219" s="4"/>
      <c r="L219" s="4"/>
      <c r="M219" s="4"/>
      <c r="N219" s="4"/>
      <c r="O219" s="4"/>
      <c r="P219" s="4"/>
      <c r="Q219" s="4"/>
      <c r="S219" s="4">
        <v>-850</v>
      </c>
    </row>
    <row r="220" spans="2:19" x14ac:dyDescent="0.3">
      <c r="B220" s="3"/>
      <c r="C220" s="2" t="str">
        <f t="shared" si="15"/>
        <v/>
      </c>
      <c r="D220" s="2" t="str">
        <f t="shared" si="14"/>
        <v/>
      </c>
      <c r="E220" s="2" t="str">
        <f t="shared" si="16"/>
        <v/>
      </c>
      <c r="F220" s="3"/>
      <c r="G220" s="3"/>
      <c r="H220" s="4"/>
      <c r="I220" s="4"/>
      <c r="J220" s="4"/>
      <c r="K220" s="4"/>
      <c r="L220" s="4"/>
      <c r="M220" s="4"/>
      <c r="N220" s="4"/>
      <c r="O220" s="4"/>
      <c r="P220" s="4"/>
      <c r="Q220" s="4"/>
      <c r="S220" s="4">
        <v>-726.94</v>
      </c>
    </row>
    <row r="221" spans="2:19" x14ac:dyDescent="0.3">
      <c r="B221" s="3"/>
      <c r="C221" s="2" t="str">
        <f t="shared" si="15"/>
        <v/>
      </c>
      <c r="D221" s="2" t="str">
        <f t="shared" si="14"/>
        <v/>
      </c>
      <c r="E221" s="2" t="str">
        <f t="shared" si="16"/>
        <v/>
      </c>
      <c r="F221" s="3"/>
      <c r="G221" s="3"/>
      <c r="H221" s="4"/>
      <c r="I221" s="4"/>
      <c r="J221" s="4"/>
      <c r="K221" s="4"/>
      <c r="L221" s="4"/>
      <c r="M221" s="4"/>
      <c r="N221" s="4"/>
      <c r="O221" s="4"/>
      <c r="P221" s="4"/>
      <c r="Q221" s="4"/>
      <c r="S221" s="4">
        <v>-7500</v>
      </c>
    </row>
    <row r="222" spans="2:19" x14ac:dyDescent="0.3">
      <c r="B222" s="3"/>
      <c r="C222" s="2" t="str">
        <f t="shared" si="15"/>
        <v/>
      </c>
      <c r="D222" s="2" t="str">
        <f t="shared" si="14"/>
        <v/>
      </c>
      <c r="E222" s="2" t="str">
        <f t="shared" si="16"/>
        <v/>
      </c>
      <c r="F222" s="3"/>
      <c r="G222" s="3"/>
      <c r="H222" s="4"/>
      <c r="I222" s="4"/>
      <c r="J222" s="4"/>
      <c r="K222" s="4"/>
      <c r="L222" s="4"/>
      <c r="M222" s="4"/>
      <c r="N222" s="4"/>
      <c r="O222" s="4"/>
      <c r="P222" s="4"/>
      <c r="Q222" s="4"/>
      <c r="S222" s="4">
        <v>-110.7</v>
      </c>
    </row>
    <row r="223" spans="2:19" x14ac:dyDescent="0.3">
      <c r="B223" s="3"/>
      <c r="C223" s="2" t="str">
        <f t="shared" si="15"/>
        <v/>
      </c>
      <c r="D223" s="2" t="str">
        <f t="shared" si="14"/>
        <v/>
      </c>
      <c r="E223" s="2" t="str">
        <f t="shared" si="16"/>
        <v/>
      </c>
      <c r="F223" s="3"/>
      <c r="G223" s="3"/>
      <c r="H223" s="4"/>
      <c r="I223" s="4"/>
      <c r="J223" s="4"/>
      <c r="K223" s="4"/>
      <c r="L223" s="4"/>
      <c r="M223" s="4"/>
      <c r="N223" s="4"/>
      <c r="O223" s="4"/>
      <c r="P223" s="4"/>
      <c r="Q223" s="4"/>
      <c r="S223" s="4">
        <v>-110.7</v>
      </c>
    </row>
    <row r="224" spans="2:19" x14ac:dyDescent="0.3">
      <c r="B224" s="3"/>
      <c r="C224" s="2" t="str">
        <f t="shared" si="15"/>
        <v/>
      </c>
      <c r="D224" s="2" t="str">
        <f t="shared" si="14"/>
        <v/>
      </c>
      <c r="E224" s="2" t="str">
        <f t="shared" si="16"/>
        <v/>
      </c>
      <c r="F224" s="3"/>
      <c r="G224" s="3"/>
      <c r="H224" s="4"/>
      <c r="I224" s="4"/>
      <c r="J224" s="4"/>
      <c r="K224" s="4"/>
      <c r="L224" s="4"/>
      <c r="M224" s="4"/>
      <c r="N224" s="4"/>
      <c r="O224" s="4"/>
      <c r="P224" s="4"/>
      <c r="Q224" s="4"/>
      <c r="S224" s="4">
        <v>-58803.5</v>
      </c>
    </row>
    <row r="225" spans="2:19" x14ac:dyDescent="0.3">
      <c r="B225" s="3"/>
      <c r="C225" s="2" t="str">
        <f t="shared" si="15"/>
        <v/>
      </c>
      <c r="D225" s="2" t="str">
        <f t="shared" si="14"/>
        <v/>
      </c>
      <c r="E225" s="2" t="str">
        <f t="shared" si="16"/>
        <v/>
      </c>
      <c r="F225" s="3"/>
      <c r="G225" s="3"/>
      <c r="H225" s="4"/>
      <c r="I225" s="4"/>
      <c r="J225" s="4"/>
      <c r="K225" s="4"/>
      <c r="L225" s="4"/>
      <c r="M225" s="4"/>
      <c r="N225" s="4"/>
      <c r="O225" s="4"/>
      <c r="P225" s="4"/>
      <c r="Q225" s="4"/>
      <c r="S225" s="4">
        <v>-9475.7900000000009</v>
      </c>
    </row>
    <row r="226" spans="2:19" x14ac:dyDescent="0.3">
      <c r="B226" s="3"/>
      <c r="C226" s="2" t="str">
        <f t="shared" si="15"/>
        <v/>
      </c>
      <c r="D226" s="2" t="str">
        <f t="shared" si="14"/>
        <v/>
      </c>
      <c r="E226" s="2" t="str">
        <f t="shared" si="16"/>
        <v/>
      </c>
      <c r="F226" s="3"/>
      <c r="G226" s="3"/>
      <c r="H226" s="4"/>
      <c r="I226" s="4"/>
      <c r="J226" s="4"/>
      <c r="K226" s="4"/>
      <c r="L226" s="4"/>
      <c r="M226" s="4"/>
      <c r="N226" s="4"/>
      <c r="O226" s="4"/>
      <c r="P226" s="4"/>
      <c r="Q226" s="4"/>
      <c r="S226" s="4">
        <v>-881.04</v>
      </c>
    </row>
    <row r="227" spans="2:19" x14ac:dyDescent="0.3">
      <c r="B227" s="3"/>
      <c r="C227" s="2" t="str">
        <f t="shared" si="15"/>
        <v/>
      </c>
      <c r="D227" s="2" t="str">
        <f t="shared" si="14"/>
        <v/>
      </c>
      <c r="E227" s="2" t="str">
        <f t="shared" si="16"/>
        <v/>
      </c>
      <c r="F227" s="3"/>
      <c r="G227" s="3"/>
      <c r="H227" s="4"/>
      <c r="I227" s="4"/>
      <c r="J227" s="4"/>
      <c r="K227" s="4"/>
      <c r="L227" s="4"/>
      <c r="M227" s="4"/>
      <c r="N227" s="4"/>
      <c r="O227" s="4"/>
      <c r="P227" s="4"/>
      <c r="Q227" s="4"/>
      <c r="S227" s="4">
        <v>-18175.66</v>
      </c>
    </row>
    <row r="228" spans="2:19" x14ac:dyDescent="0.3">
      <c r="B228" s="3"/>
      <c r="C228" s="2" t="str">
        <f t="shared" si="15"/>
        <v/>
      </c>
      <c r="D228" s="2" t="str">
        <f t="shared" si="14"/>
        <v/>
      </c>
      <c r="E228" s="2" t="str">
        <f t="shared" si="16"/>
        <v/>
      </c>
      <c r="F228" s="3"/>
      <c r="G228" s="3"/>
      <c r="H228" s="4"/>
      <c r="I228" s="4"/>
      <c r="J228" s="4"/>
      <c r="K228" s="4"/>
      <c r="L228" s="4"/>
      <c r="M228" s="4"/>
      <c r="N228" s="4"/>
      <c r="O228" s="4"/>
      <c r="P228" s="4"/>
      <c r="Q228" s="4"/>
      <c r="S228" s="4">
        <v>-3851.5</v>
      </c>
    </row>
    <row r="229" spans="2:19" x14ac:dyDescent="0.3">
      <c r="B229" s="3"/>
      <c r="C229" s="2" t="str">
        <f t="shared" si="15"/>
        <v/>
      </c>
      <c r="D229" s="2" t="str">
        <f t="shared" si="14"/>
        <v/>
      </c>
      <c r="E229" s="2" t="str">
        <f t="shared" si="16"/>
        <v/>
      </c>
      <c r="F229" s="3"/>
      <c r="G229" s="3"/>
      <c r="H229" s="4"/>
      <c r="I229" s="4"/>
      <c r="J229" s="4"/>
      <c r="K229" s="4"/>
      <c r="L229" s="4"/>
      <c r="M229" s="4"/>
      <c r="N229" s="4"/>
      <c r="O229" s="4"/>
      <c r="P229" s="4"/>
      <c r="Q229" s="4"/>
      <c r="S229" s="4">
        <v>-16102.85</v>
      </c>
    </row>
    <row r="230" spans="2:19" x14ac:dyDescent="0.3">
      <c r="B230" s="3"/>
      <c r="C230" s="2" t="str">
        <f t="shared" si="15"/>
        <v/>
      </c>
      <c r="D230" s="2" t="str">
        <f t="shared" si="14"/>
        <v/>
      </c>
      <c r="E230" s="2" t="str">
        <f t="shared" si="16"/>
        <v/>
      </c>
      <c r="F230" s="3"/>
      <c r="G230" s="3"/>
      <c r="H230" s="4"/>
      <c r="I230" s="4"/>
      <c r="J230" s="4"/>
      <c r="K230" s="4"/>
      <c r="L230" s="4"/>
      <c r="M230" s="4"/>
      <c r="N230" s="4"/>
      <c r="O230" s="4"/>
      <c r="P230" s="4"/>
      <c r="Q230" s="4"/>
      <c r="S230" s="4">
        <v>-1366.66</v>
      </c>
    </row>
    <row r="231" spans="2:19" x14ac:dyDescent="0.3">
      <c r="B231" s="3"/>
      <c r="C231" s="2" t="str">
        <f t="shared" si="15"/>
        <v/>
      </c>
      <c r="D231" s="2" t="str">
        <f t="shared" si="14"/>
        <v/>
      </c>
      <c r="E231" s="2" t="str">
        <f t="shared" si="16"/>
        <v/>
      </c>
      <c r="F231" s="3"/>
      <c r="G231" s="3"/>
      <c r="H231" s="4"/>
      <c r="I231" s="4"/>
      <c r="J231" s="4"/>
      <c r="K231" s="4"/>
      <c r="L231" s="4"/>
      <c r="M231" s="4"/>
      <c r="N231" s="4"/>
      <c r="O231" s="4"/>
      <c r="P231" s="4"/>
      <c r="Q231" s="4"/>
      <c r="S231" s="4">
        <v>-8950</v>
      </c>
    </row>
    <row r="232" spans="2:19" x14ac:dyDescent="0.3">
      <c r="B232" s="3"/>
      <c r="C232" s="2" t="str">
        <f t="shared" ref="C232:C295" si="17">IF($F232="","",IF(LEFT($F232,1)*1=1,"A",IF(LEFT($F232,1)*1=2,"P",IF(LEFT($F232,1)*1=3,"C",IF(LEFT($F232,1)*1=4,"C",IF(LEFT($F232,1)*1=5,"R",""))))))</f>
        <v/>
      </c>
      <c r="D232" s="2"/>
      <c r="E232" s="2" t="str">
        <f t="shared" ref="E232:E295" si="18">IF($F232="","",IF(LEN($F232)=1,1,IF(LEN($F232)=3,2,IF(LEN($F232)=6,3,IF(LEN($F232)=9,4,IF(LEN($F232)=12,5,6))))))</f>
        <v/>
      </c>
      <c r="F232" s="3"/>
      <c r="G232" s="3"/>
      <c r="H232" s="4"/>
      <c r="I232" s="4"/>
      <c r="J232" s="4"/>
      <c r="K232" s="4"/>
      <c r="L232" s="4"/>
      <c r="M232" s="4"/>
      <c r="N232" s="4"/>
      <c r="O232" s="4"/>
      <c r="P232" s="4"/>
      <c r="Q232" s="4"/>
      <c r="S232" s="4">
        <v>-3809041.33</v>
      </c>
    </row>
    <row r="233" spans="2:19" x14ac:dyDescent="0.3">
      <c r="B233" s="3"/>
      <c r="C233" s="2" t="str">
        <f t="shared" si="17"/>
        <v/>
      </c>
      <c r="D233" s="2"/>
      <c r="E233" s="2" t="str">
        <f t="shared" si="18"/>
        <v/>
      </c>
      <c r="F233" s="3"/>
      <c r="G233" s="3"/>
      <c r="H233" s="4"/>
      <c r="I233" s="4"/>
      <c r="J233" s="4"/>
      <c r="K233" s="4"/>
      <c r="L233" s="4"/>
      <c r="M233" s="4"/>
      <c r="N233" s="4"/>
      <c r="O233" s="4"/>
      <c r="P233" s="4"/>
      <c r="Q233" s="4"/>
      <c r="S233" s="4">
        <v>-751125.42</v>
      </c>
    </row>
    <row r="234" spans="2:19" x14ac:dyDescent="0.3">
      <c r="B234" s="3"/>
      <c r="C234" s="2" t="str">
        <f t="shared" si="17"/>
        <v/>
      </c>
      <c r="D234" s="2"/>
      <c r="E234" s="2" t="str">
        <f t="shared" si="18"/>
        <v/>
      </c>
      <c r="F234" s="3"/>
      <c r="G234" s="3"/>
      <c r="H234" s="4"/>
      <c r="I234" s="4"/>
      <c r="J234" s="4"/>
      <c r="K234" s="4"/>
      <c r="L234" s="4"/>
      <c r="M234" s="4"/>
      <c r="N234" s="4"/>
      <c r="O234" s="4"/>
      <c r="P234" s="4"/>
      <c r="Q234" s="4"/>
      <c r="S234" s="4">
        <v>-2869637.61</v>
      </c>
    </row>
    <row r="235" spans="2:19" x14ac:dyDescent="0.3">
      <c r="B235" s="3"/>
      <c r="C235" s="2" t="str">
        <f t="shared" si="17"/>
        <v/>
      </c>
      <c r="D235" s="2"/>
      <c r="E235" s="2" t="str">
        <f t="shared" si="18"/>
        <v/>
      </c>
      <c r="F235" s="3"/>
      <c r="G235" s="3"/>
      <c r="H235" s="4"/>
      <c r="I235" s="4"/>
      <c r="J235" s="4"/>
      <c r="K235" s="4"/>
      <c r="L235" s="4"/>
      <c r="M235" s="4"/>
      <c r="N235" s="4"/>
      <c r="O235" s="4"/>
      <c r="P235" s="4"/>
      <c r="Q235" s="4"/>
      <c r="S235" s="4">
        <v>-530.46</v>
      </c>
    </row>
    <row r="236" spans="2:19" x14ac:dyDescent="0.3">
      <c r="B236" s="3"/>
      <c r="C236" s="2" t="str">
        <f t="shared" si="17"/>
        <v/>
      </c>
      <c r="D236" s="2"/>
      <c r="E236" s="2" t="str">
        <f t="shared" si="18"/>
        <v/>
      </c>
      <c r="F236" s="3"/>
      <c r="G236" s="3"/>
      <c r="H236" s="4"/>
      <c r="I236" s="4"/>
      <c r="J236" s="4"/>
      <c r="K236" s="4"/>
      <c r="L236" s="4"/>
      <c r="M236" s="4"/>
      <c r="N236" s="4"/>
      <c r="O236" s="4"/>
      <c r="P236" s="4"/>
      <c r="Q236" s="4"/>
      <c r="S236" s="4">
        <v>-1126.4000000000001</v>
      </c>
    </row>
    <row r="237" spans="2:19" x14ac:dyDescent="0.3">
      <c r="B237" s="3"/>
      <c r="C237" s="2" t="str">
        <f t="shared" si="17"/>
        <v/>
      </c>
      <c r="D237" s="2"/>
      <c r="E237" s="2" t="str">
        <f t="shared" si="18"/>
        <v/>
      </c>
      <c r="F237" s="3"/>
      <c r="G237" s="3"/>
      <c r="H237" s="4"/>
      <c r="I237" s="4"/>
      <c r="J237" s="4"/>
      <c r="K237" s="4"/>
      <c r="L237" s="4"/>
      <c r="M237" s="4"/>
      <c r="N237" s="4"/>
      <c r="O237" s="4"/>
      <c r="P237" s="4"/>
      <c r="Q237" s="4"/>
      <c r="S237" s="4">
        <v>-1230</v>
      </c>
    </row>
    <row r="238" spans="2:19" x14ac:dyDescent="0.3">
      <c r="B238" s="3"/>
      <c r="C238" s="2" t="str">
        <f t="shared" si="17"/>
        <v/>
      </c>
      <c r="D238" s="2"/>
      <c r="E238" s="2" t="str">
        <f t="shared" si="18"/>
        <v/>
      </c>
      <c r="F238" s="3"/>
      <c r="G238" s="3"/>
      <c r="H238" s="4"/>
      <c r="I238" s="4"/>
      <c r="J238" s="4"/>
      <c r="K238" s="4"/>
      <c r="L238" s="4"/>
      <c r="M238" s="4"/>
      <c r="N238" s="4"/>
      <c r="O238" s="4"/>
      <c r="P238" s="4"/>
      <c r="Q238" s="4"/>
      <c r="S238" s="4">
        <v>-3410.42</v>
      </c>
    </row>
    <row r="239" spans="2:19" x14ac:dyDescent="0.3">
      <c r="B239" s="3"/>
      <c r="C239" s="2" t="str">
        <f t="shared" si="17"/>
        <v/>
      </c>
      <c r="D239" s="2"/>
      <c r="E239" s="2" t="str">
        <f t="shared" si="18"/>
        <v/>
      </c>
      <c r="F239" s="3"/>
      <c r="G239" s="3"/>
      <c r="H239" s="4"/>
      <c r="I239" s="4"/>
      <c r="J239" s="4"/>
      <c r="K239" s="4"/>
      <c r="L239" s="4"/>
      <c r="M239" s="4"/>
      <c r="N239" s="4"/>
      <c r="O239" s="4"/>
      <c r="P239" s="4"/>
      <c r="Q239" s="4"/>
      <c r="S239" s="4">
        <v>-180000</v>
      </c>
    </row>
    <row r="240" spans="2:19" x14ac:dyDescent="0.3">
      <c r="B240" s="3"/>
      <c r="C240" s="2" t="str">
        <f t="shared" si="17"/>
        <v/>
      </c>
      <c r="D240" s="2"/>
      <c r="E240" s="2" t="str">
        <f t="shared" si="18"/>
        <v/>
      </c>
      <c r="F240" s="3"/>
      <c r="G240" s="3"/>
      <c r="H240" s="4"/>
      <c r="I240" s="4"/>
      <c r="J240" s="4"/>
      <c r="K240" s="4"/>
      <c r="L240" s="4"/>
      <c r="M240" s="4"/>
      <c r="N240" s="4"/>
      <c r="O240" s="4"/>
      <c r="P240" s="4"/>
      <c r="Q240" s="4"/>
      <c r="S240" s="4">
        <v>-250</v>
      </c>
    </row>
    <row r="241" spans="2:19" x14ac:dyDescent="0.3">
      <c r="B241" s="3"/>
      <c r="C241" s="2" t="str">
        <f t="shared" si="17"/>
        <v/>
      </c>
      <c r="D241" s="2"/>
      <c r="E241" s="2" t="str">
        <f t="shared" si="18"/>
        <v/>
      </c>
      <c r="F241" s="3"/>
      <c r="G241" s="3"/>
      <c r="H241" s="4"/>
      <c r="I241" s="4"/>
      <c r="J241" s="4"/>
      <c r="K241" s="4"/>
      <c r="L241" s="4"/>
      <c r="M241" s="4"/>
      <c r="N241" s="4"/>
      <c r="O241" s="4"/>
      <c r="P241" s="4"/>
      <c r="Q241" s="4"/>
      <c r="S241" s="4">
        <v>-778</v>
      </c>
    </row>
    <row r="242" spans="2:19" x14ac:dyDescent="0.3">
      <c r="B242" s="3"/>
      <c r="C242" s="2" t="str">
        <f t="shared" si="17"/>
        <v/>
      </c>
      <c r="D242" s="2"/>
      <c r="E242" s="2" t="str">
        <f t="shared" si="18"/>
        <v/>
      </c>
      <c r="F242" s="3"/>
      <c r="G242" s="3"/>
      <c r="H242" s="4"/>
      <c r="I242" s="4"/>
      <c r="J242" s="4"/>
      <c r="K242" s="4"/>
      <c r="L242" s="4"/>
      <c r="M242" s="4"/>
      <c r="N242" s="4"/>
      <c r="O242" s="4"/>
      <c r="P242" s="4"/>
      <c r="Q242" s="4"/>
      <c r="S242" s="4">
        <v>-306</v>
      </c>
    </row>
    <row r="243" spans="2:19" x14ac:dyDescent="0.3">
      <c r="B243" s="3"/>
      <c r="C243" s="2" t="str">
        <f t="shared" si="17"/>
        <v/>
      </c>
      <c r="D243" s="2"/>
      <c r="E243" s="2" t="str">
        <f t="shared" si="18"/>
        <v/>
      </c>
      <c r="F243" s="3"/>
      <c r="G243" s="3"/>
      <c r="H243" s="4"/>
      <c r="I243" s="4"/>
      <c r="J243" s="4"/>
      <c r="K243" s="4"/>
      <c r="L243" s="4"/>
      <c r="M243" s="4"/>
      <c r="N243" s="4"/>
      <c r="O243" s="4"/>
      <c r="P243" s="4"/>
      <c r="Q243" s="4"/>
      <c r="S243" s="4">
        <v>-222.22</v>
      </c>
    </row>
    <row r="244" spans="2:19" x14ac:dyDescent="0.3">
      <c r="B244" s="3"/>
      <c r="C244" s="2" t="str">
        <f t="shared" si="17"/>
        <v/>
      </c>
      <c r="D244" s="2"/>
      <c r="E244" s="2" t="str">
        <f t="shared" si="18"/>
        <v/>
      </c>
      <c r="F244" s="3"/>
      <c r="G244" s="3"/>
      <c r="H244" s="4"/>
      <c r="I244" s="4"/>
      <c r="J244" s="4"/>
      <c r="K244" s="4"/>
      <c r="L244" s="4"/>
      <c r="M244" s="4"/>
      <c r="N244" s="4"/>
      <c r="O244" s="4"/>
      <c r="P244" s="4"/>
      <c r="Q244" s="4"/>
      <c r="S244" s="4">
        <v>-424.8</v>
      </c>
    </row>
    <row r="245" spans="2:19" x14ac:dyDescent="0.3">
      <c r="B245" s="3"/>
      <c r="C245" s="2" t="str">
        <f t="shared" si="17"/>
        <v/>
      </c>
      <c r="D245" s="2"/>
      <c r="E245" s="2" t="str">
        <f t="shared" si="18"/>
        <v/>
      </c>
      <c r="F245" s="3"/>
      <c r="G245" s="3"/>
      <c r="H245" s="4"/>
      <c r="I245" s="4"/>
      <c r="J245" s="4"/>
      <c r="K245" s="4"/>
      <c r="L245" s="4"/>
      <c r="M245" s="4"/>
      <c r="N245" s="4"/>
      <c r="O245" s="4"/>
      <c r="P245" s="4"/>
      <c r="Q245" s="4"/>
      <c r="S245" s="4">
        <v>-48569.93</v>
      </c>
    </row>
    <row r="246" spans="2:19" x14ac:dyDescent="0.3">
      <c r="B246" s="3"/>
      <c r="C246" s="2" t="str">
        <f t="shared" si="17"/>
        <v/>
      </c>
      <c r="D246" s="2"/>
      <c r="E246" s="2" t="str">
        <f t="shared" si="18"/>
        <v/>
      </c>
      <c r="F246" s="3"/>
      <c r="G246" s="3"/>
      <c r="H246" s="4"/>
      <c r="I246" s="4"/>
      <c r="J246" s="4"/>
      <c r="K246" s="4"/>
      <c r="L246" s="4"/>
      <c r="M246" s="4"/>
      <c r="N246" s="4"/>
      <c r="O246" s="4"/>
      <c r="P246" s="4"/>
      <c r="Q246" s="4"/>
      <c r="S246" s="4">
        <v>-276.01</v>
      </c>
    </row>
    <row r="247" spans="2:19" x14ac:dyDescent="0.3">
      <c r="B247" s="3"/>
      <c r="C247" s="2" t="str">
        <f t="shared" si="17"/>
        <v/>
      </c>
      <c r="D247" s="2"/>
      <c r="E247" s="2" t="str">
        <f t="shared" si="18"/>
        <v/>
      </c>
      <c r="F247" s="3"/>
      <c r="G247" s="3"/>
      <c r="H247" s="4"/>
      <c r="I247" s="4"/>
      <c r="J247" s="4"/>
      <c r="K247" s="4"/>
      <c r="L247" s="4"/>
      <c r="M247" s="4"/>
      <c r="N247" s="4"/>
      <c r="O247" s="4"/>
      <c r="P247" s="4"/>
      <c r="Q247" s="4"/>
      <c r="S247" s="4">
        <v>-32580</v>
      </c>
    </row>
    <row r="248" spans="2:19" x14ac:dyDescent="0.3">
      <c r="B248" s="3"/>
      <c r="C248" s="2" t="str">
        <f t="shared" si="17"/>
        <v/>
      </c>
      <c r="D248" s="2"/>
      <c r="E248" s="2" t="str">
        <f t="shared" si="18"/>
        <v/>
      </c>
      <c r="F248" s="3"/>
      <c r="G248" s="3"/>
      <c r="H248" s="4"/>
      <c r="I248" s="4"/>
      <c r="J248" s="4"/>
      <c r="K248" s="4"/>
      <c r="L248" s="4"/>
      <c r="M248" s="4"/>
      <c r="N248" s="4"/>
      <c r="O248" s="4"/>
      <c r="P248" s="4"/>
      <c r="Q248" s="4"/>
      <c r="S248" s="4">
        <v>-4500</v>
      </c>
    </row>
    <row r="249" spans="2:19" x14ac:dyDescent="0.3">
      <c r="B249" s="3"/>
      <c r="C249" s="2" t="str">
        <f t="shared" si="17"/>
        <v/>
      </c>
      <c r="D249" s="2"/>
      <c r="E249" s="2" t="str">
        <f t="shared" si="18"/>
        <v/>
      </c>
      <c r="F249" s="3"/>
      <c r="G249" s="3"/>
      <c r="H249" s="4"/>
      <c r="I249" s="4"/>
      <c r="J249" s="4"/>
      <c r="K249" s="4"/>
      <c r="L249" s="4"/>
      <c r="M249" s="4"/>
      <c r="N249" s="4"/>
      <c r="O249" s="4"/>
      <c r="P249" s="4"/>
      <c r="Q249" s="4"/>
      <c r="S249" s="4">
        <v>-6434.92</v>
      </c>
    </row>
    <row r="250" spans="2:19" x14ac:dyDescent="0.3">
      <c r="B250" s="3"/>
      <c r="C250" s="2" t="str">
        <f t="shared" si="17"/>
        <v/>
      </c>
      <c r="D250" s="2"/>
      <c r="E250" s="2" t="str">
        <f t="shared" si="18"/>
        <v/>
      </c>
      <c r="F250" s="3"/>
      <c r="G250" s="3"/>
      <c r="H250" s="4"/>
      <c r="I250" s="4"/>
      <c r="J250" s="4"/>
      <c r="K250" s="4"/>
      <c r="L250" s="4"/>
      <c r="M250" s="4"/>
      <c r="N250" s="4"/>
      <c r="O250" s="4"/>
      <c r="P250" s="4"/>
      <c r="Q250" s="4"/>
      <c r="S250" s="4">
        <v>-4779</v>
      </c>
    </row>
    <row r="251" spans="2:19" x14ac:dyDescent="0.3">
      <c r="B251" s="3"/>
      <c r="C251" s="2" t="str">
        <f t="shared" si="17"/>
        <v/>
      </c>
      <c r="D251" s="2"/>
      <c r="E251" s="2" t="str">
        <f t="shared" si="18"/>
        <v/>
      </c>
      <c r="F251" s="3"/>
      <c r="G251" s="3"/>
      <c r="H251" s="4"/>
      <c r="I251" s="4"/>
      <c r="J251" s="4"/>
      <c r="K251" s="4"/>
      <c r="L251" s="4"/>
      <c r="M251" s="4"/>
      <c r="N251" s="4"/>
      <c r="O251" s="4"/>
      <c r="P251" s="4"/>
      <c r="Q251" s="4"/>
      <c r="S251" s="4">
        <v>-37861.49</v>
      </c>
    </row>
    <row r="252" spans="2:19" x14ac:dyDescent="0.3">
      <c r="B252" s="3"/>
      <c r="C252" s="2" t="str">
        <f t="shared" si="17"/>
        <v/>
      </c>
      <c r="D252" s="2"/>
      <c r="E252" s="2" t="str">
        <f t="shared" si="18"/>
        <v/>
      </c>
      <c r="F252" s="3"/>
      <c r="G252" s="3"/>
      <c r="H252" s="4"/>
      <c r="I252" s="4"/>
      <c r="J252" s="4"/>
      <c r="K252" s="4"/>
      <c r="L252" s="4"/>
      <c r="M252" s="4"/>
      <c r="N252" s="4"/>
      <c r="O252" s="4"/>
      <c r="P252" s="4"/>
      <c r="Q252" s="4"/>
      <c r="S252" s="4">
        <v>-17181.490000000002</v>
      </c>
    </row>
    <row r="253" spans="2:19" x14ac:dyDescent="0.3">
      <c r="B253" s="3"/>
      <c r="C253" s="2" t="str">
        <f t="shared" si="17"/>
        <v/>
      </c>
      <c r="D253" s="2"/>
      <c r="E253" s="2" t="str">
        <f t="shared" si="18"/>
        <v/>
      </c>
      <c r="F253" s="3"/>
      <c r="G253" s="3"/>
      <c r="H253" s="4"/>
      <c r="I253" s="4"/>
      <c r="J253" s="4"/>
      <c r="K253" s="4"/>
      <c r="L253" s="4"/>
      <c r="M253" s="4"/>
      <c r="N253" s="4"/>
      <c r="O253" s="4"/>
      <c r="P253" s="4"/>
      <c r="Q253" s="4"/>
      <c r="S253" s="4">
        <v>-10680</v>
      </c>
    </row>
    <row r="254" spans="2:19" x14ac:dyDescent="0.3">
      <c r="B254" s="3"/>
      <c r="C254" s="2" t="str">
        <f t="shared" si="17"/>
        <v/>
      </c>
      <c r="D254" s="2"/>
      <c r="E254" s="2" t="str">
        <f t="shared" si="18"/>
        <v/>
      </c>
      <c r="F254" s="3"/>
      <c r="G254" s="3"/>
      <c r="H254" s="4"/>
      <c r="I254" s="4"/>
      <c r="J254" s="4"/>
      <c r="K254" s="4"/>
      <c r="L254" s="4"/>
      <c r="M254" s="4"/>
      <c r="N254" s="4"/>
      <c r="O254" s="4"/>
      <c r="P254" s="4"/>
      <c r="Q254" s="4"/>
      <c r="S254" s="4">
        <v>-10000</v>
      </c>
    </row>
    <row r="255" spans="2:19" x14ac:dyDescent="0.3">
      <c r="B255" s="3"/>
      <c r="C255" s="2" t="str">
        <f t="shared" si="17"/>
        <v/>
      </c>
      <c r="D255" s="2"/>
      <c r="E255" s="2" t="str">
        <f t="shared" si="18"/>
        <v/>
      </c>
      <c r="F255" s="3"/>
      <c r="G255" s="3"/>
      <c r="H255" s="4"/>
      <c r="I255" s="4"/>
      <c r="J255" s="4"/>
      <c r="K255" s="4"/>
      <c r="L255" s="4"/>
      <c r="M255" s="4"/>
      <c r="N255" s="4"/>
      <c r="O255" s="4"/>
      <c r="P255" s="4"/>
      <c r="Q255" s="4"/>
      <c r="S255" s="4">
        <v>-253126.95</v>
      </c>
    </row>
    <row r="256" spans="2:19" x14ac:dyDescent="0.3">
      <c r="B256" s="3"/>
      <c r="C256" s="2" t="str">
        <f t="shared" si="17"/>
        <v/>
      </c>
      <c r="D256" s="2"/>
      <c r="E256" s="2" t="str">
        <f t="shared" si="18"/>
        <v/>
      </c>
      <c r="F256" s="3"/>
      <c r="G256" s="3"/>
      <c r="H256" s="4"/>
      <c r="I256" s="4"/>
      <c r="J256" s="4"/>
      <c r="K256" s="4"/>
      <c r="L256" s="4"/>
      <c r="M256" s="4"/>
      <c r="N256" s="4"/>
      <c r="O256" s="4"/>
      <c r="P256" s="4"/>
      <c r="Q256" s="4"/>
      <c r="S256" s="4">
        <v>-385.45</v>
      </c>
    </row>
    <row r="257" spans="2:19" x14ac:dyDescent="0.3">
      <c r="B257" s="3"/>
      <c r="C257" s="2" t="str">
        <f t="shared" si="17"/>
        <v/>
      </c>
      <c r="D257" s="2"/>
      <c r="E257" s="2" t="str">
        <f t="shared" si="18"/>
        <v/>
      </c>
      <c r="F257" s="3"/>
      <c r="G257" s="3"/>
      <c r="H257" s="4"/>
      <c r="I257" s="4"/>
      <c r="J257" s="4"/>
      <c r="K257" s="4"/>
      <c r="L257" s="4"/>
      <c r="M257" s="4"/>
      <c r="N257" s="4"/>
      <c r="O257" s="4"/>
      <c r="P257" s="4"/>
      <c r="Q257" s="4"/>
      <c r="S257" s="4">
        <v>-19899.72</v>
      </c>
    </row>
    <row r="258" spans="2:19" x14ac:dyDescent="0.3">
      <c r="B258" s="3"/>
      <c r="C258" s="2" t="str">
        <f t="shared" si="17"/>
        <v/>
      </c>
      <c r="D258" s="2"/>
      <c r="E258" s="2" t="str">
        <f t="shared" si="18"/>
        <v/>
      </c>
      <c r="F258" s="3"/>
      <c r="G258" s="3"/>
      <c r="H258" s="4"/>
      <c r="I258" s="4"/>
      <c r="J258" s="4"/>
      <c r="K258" s="4"/>
      <c r="L258" s="4"/>
      <c r="M258" s="4"/>
      <c r="N258" s="4"/>
      <c r="O258" s="4"/>
      <c r="P258" s="4"/>
      <c r="Q258" s="4"/>
      <c r="S258" s="4">
        <v>-98053.59</v>
      </c>
    </row>
    <row r="259" spans="2:19" x14ac:dyDescent="0.3">
      <c r="B259" s="3"/>
      <c r="C259" s="2" t="str">
        <f t="shared" si="17"/>
        <v/>
      </c>
      <c r="D259" s="2"/>
      <c r="E259" s="2" t="str">
        <f t="shared" si="18"/>
        <v/>
      </c>
      <c r="F259" s="3"/>
      <c r="G259" s="3"/>
      <c r="H259" s="4"/>
      <c r="I259" s="4"/>
      <c r="J259" s="4"/>
      <c r="K259" s="4"/>
      <c r="L259" s="4"/>
      <c r="M259" s="4"/>
      <c r="N259" s="4"/>
      <c r="O259" s="4"/>
      <c r="P259" s="4"/>
      <c r="Q259" s="4"/>
      <c r="S259" s="4">
        <v>-236.89</v>
      </c>
    </row>
    <row r="260" spans="2:19" x14ac:dyDescent="0.3">
      <c r="B260" s="3"/>
      <c r="C260" s="2" t="str">
        <f t="shared" si="17"/>
        <v/>
      </c>
      <c r="D260" s="2"/>
      <c r="E260" s="2" t="str">
        <f t="shared" si="18"/>
        <v/>
      </c>
      <c r="F260" s="3"/>
      <c r="G260" s="3"/>
      <c r="H260" s="4"/>
      <c r="I260" s="4"/>
      <c r="J260" s="4"/>
      <c r="K260" s="4"/>
      <c r="L260" s="4"/>
      <c r="M260" s="4"/>
      <c r="N260" s="4"/>
      <c r="O260" s="4"/>
      <c r="P260" s="4"/>
      <c r="Q260" s="4"/>
      <c r="S260" s="4">
        <v>-380</v>
      </c>
    </row>
    <row r="261" spans="2:19" x14ac:dyDescent="0.3">
      <c r="B261" s="3"/>
      <c r="C261" s="2" t="str">
        <f t="shared" si="17"/>
        <v/>
      </c>
      <c r="D261" s="2"/>
      <c r="E261" s="2" t="str">
        <f t="shared" si="18"/>
        <v/>
      </c>
      <c r="F261" s="3"/>
      <c r="G261" s="3"/>
      <c r="H261" s="4"/>
      <c r="I261" s="4"/>
      <c r="J261" s="4"/>
      <c r="K261" s="4"/>
      <c r="L261" s="4"/>
      <c r="M261" s="4"/>
      <c r="N261" s="4"/>
      <c r="O261" s="4"/>
      <c r="P261" s="4"/>
      <c r="Q261" s="4"/>
      <c r="S261" s="4">
        <v>-225.6</v>
      </c>
    </row>
    <row r="262" spans="2:19" x14ac:dyDescent="0.3">
      <c r="B262" s="3"/>
      <c r="C262" s="2" t="str">
        <f t="shared" si="17"/>
        <v/>
      </c>
      <c r="D262" s="2"/>
      <c r="E262" s="2" t="str">
        <f t="shared" si="18"/>
        <v/>
      </c>
      <c r="F262" s="3"/>
      <c r="G262" s="3"/>
      <c r="H262" s="4"/>
      <c r="I262" s="4"/>
      <c r="J262" s="4"/>
      <c r="K262" s="4"/>
      <c r="L262" s="4"/>
      <c r="M262" s="4"/>
      <c r="N262" s="4"/>
      <c r="O262" s="4"/>
      <c r="P262" s="4"/>
      <c r="Q262" s="4"/>
      <c r="S262" s="4">
        <v>-127190.39999999999</v>
      </c>
    </row>
    <row r="263" spans="2:19" x14ac:dyDescent="0.3">
      <c r="B263" s="3"/>
      <c r="C263" s="2" t="str">
        <f t="shared" si="17"/>
        <v/>
      </c>
      <c r="D263" s="2"/>
      <c r="E263" s="2" t="str">
        <f t="shared" si="18"/>
        <v/>
      </c>
      <c r="F263" s="3"/>
      <c r="G263" s="3"/>
      <c r="H263" s="4"/>
      <c r="I263" s="4"/>
      <c r="J263" s="4"/>
      <c r="K263" s="4"/>
      <c r="L263" s="4"/>
      <c r="M263" s="4"/>
      <c r="N263" s="4"/>
      <c r="O263" s="4"/>
      <c r="P263" s="4"/>
      <c r="Q263" s="4"/>
      <c r="S263" s="4">
        <v>-6755.3</v>
      </c>
    </row>
    <row r="264" spans="2:19" x14ac:dyDescent="0.3">
      <c r="B264" s="3"/>
      <c r="C264" s="2" t="str">
        <f t="shared" si="17"/>
        <v/>
      </c>
      <c r="D264" s="2"/>
      <c r="E264" s="2" t="str">
        <f t="shared" si="18"/>
        <v/>
      </c>
      <c r="F264" s="3"/>
      <c r="G264" s="3"/>
      <c r="H264" s="4"/>
      <c r="I264" s="4"/>
      <c r="J264" s="4"/>
      <c r="K264" s="4"/>
      <c r="L264" s="4"/>
      <c r="M264" s="4"/>
      <c r="N264" s="4"/>
      <c r="O264" s="4"/>
      <c r="P264" s="4"/>
      <c r="Q264" s="4"/>
      <c r="S264" s="4">
        <v>-323269.14</v>
      </c>
    </row>
    <row r="265" spans="2:19" x14ac:dyDescent="0.3">
      <c r="B265" s="3"/>
      <c r="C265" s="2" t="str">
        <f t="shared" si="17"/>
        <v/>
      </c>
      <c r="D265" s="2"/>
      <c r="E265" s="2" t="str">
        <f t="shared" si="18"/>
        <v/>
      </c>
      <c r="F265" s="3"/>
      <c r="G265" s="3"/>
      <c r="H265" s="4"/>
      <c r="I265" s="4"/>
      <c r="J265" s="4"/>
      <c r="K265" s="4"/>
      <c r="L265" s="4"/>
      <c r="M265" s="4"/>
      <c r="N265" s="4"/>
      <c r="O265" s="4"/>
      <c r="P265" s="4"/>
      <c r="Q265" s="4"/>
      <c r="S265" s="4">
        <v>-1380</v>
      </c>
    </row>
    <row r="266" spans="2:19" x14ac:dyDescent="0.3">
      <c r="B266" s="3"/>
      <c r="C266" s="2" t="str">
        <f t="shared" si="17"/>
        <v/>
      </c>
      <c r="D266" s="2"/>
      <c r="E266" s="2" t="str">
        <f t="shared" si="18"/>
        <v/>
      </c>
      <c r="F266" s="3"/>
      <c r="G266" s="3"/>
      <c r="H266" s="4"/>
      <c r="I266" s="4"/>
      <c r="J266" s="4"/>
      <c r="K266" s="4"/>
      <c r="L266" s="4"/>
      <c r="M266" s="4"/>
      <c r="N266" s="4"/>
      <c r="O266" s="4"/>
      <c r="P266" s="4"/>
      <c r="Q266" s="4"/>
      <c r="S266" s="4">
        <v>-1548.84</v>
      </c>
    </row>
    <row r="267" spans="2:19" x14ac:dyDescent="0.3">
      <c r="B267" s="3"/>
      <c r="C267" s="2" t="str">
        <f t="shared" si="17"/>
        <v/>
      </c>
      <c r="D267" s="2"/>
      <c r="E267" s="2" t="str">
        <f t="shared" si="18"/>
        <v/>
      </c>
      <c r="F267" s="3"/>
      <c r="G267" s="3"/>
      <c r="H267" s="4"/>
      <c r="I267" s="4"/>
      <c r="J267" s="4"/>
      <c r="K267" s="4"/>
      <c r="L267" s="4"/>
      <c r="M267" s="4"/>
      <c r="N267" s="4"/>
      <c r="O267" s="4"/>
      <c r="P267" s="4"/>
      <c r="Q267" s="4"/>
      <c r="S267" s="4">
        <v>-699.7</v>
      </c>
    </row>
    <row r="268" spans="2:19" x14ac:dyDescent="0.3">
      <c r="B268" s="3"/>
      <c r="C268" s="2" t="str">
        <f t="shared" si="17"/>
        <v/>
      </c>
      <c r="D268" s="2"/>
      <c r="E268" s="2" t="str">
        <f t="shared" si="18"/>
        <v/>
      </c>
      <c r="F268" s="3"/>
      <c r="G268" s="3"/>
      <c r="H268" s="4"/>
      <c r="I268" s="4"/>
      <c r="J268" s="4"/>
      <c r="K268" s="4"/>
      <c r="L268" s="4"/>
      <c r="M268" s="4"/>
      <c r="N268" s="4"/>
      <c r="O268" s="4"/>
      <c r="P268" s="4"/>
      <c r="Q268" s="4"/>
      <c r="S268" s="4">
        <v>-221762.6</v>
      </c>
    </row>
    <row r="269" spans="2:19" x14ac:dyDescent="0.3">
      <c r="B269" s="3"/>
      <c r="C269" s="2" t="str">
        <f t="shared" si="17"/>
        <v/>
      </c>
      <c r="D269" s="2"/>
      <c r="E269" s="2" t="str">
        <f t="shared" si="18"/>
        <v/>
      </c>
      <c r="F269" s="3"/>
      <c r="G269" s="3"/>
      <c r="H269" s="4"/>
      <c r="I269" s="4"/>
      <c r="J269" s="4"/>
      <c r="K269" s="4"/>
      <c r="L269" s="4"/>
      <c r="M269" s="4"/>
      <c r="N269" s="4"/>
      <c r="O269" s="4"/>
      <c r="P269" s="4"/>
      <c r="Q269" s="4"/>
      <c r="S269" s="4">
        <v>-11500</v>
      </c>
    </row>
    <row r="270" spans="2:19" x14ac:dyDescent="0.3">
      <c r="B270" s="3"/>
      <c r="C270" s="2" t="str">
        <f t="shared" si="17"/>
        <v/>
      </c>
      <c r="D270" s="2"/>
      <c r="E270" s="2" t="str">
        <f t="shared" si="18"/>
        <v/>
      </c>
      <c r="F270" s="3"/>
      <c r="G270" s="3"/>
      <c r="H270" s="4"/>
      <c r="I270" s="4"/>
      <c r="J270" s="4"/>
      <c r="K270" s="4"/>
      <c r="L270" s="4"/>
      <c r="M270" s="4"/>
      <c r="N270" s="4"/>
      <c r="O270" s="4"/>
      <c r="P270" s="4"/>
      <c r="Q270" s="4"/>
      <c r="S270" s="4">
        <v>-600</v>
      </c>
    </row>
    <row r="271" spans="2:19" x14ac:dyDescent="0.3">
      <c r="B271" s="3"/>
      <c r="C271" s="2" t="str">
        <f t="shared" si="17"/>
        <v/>
      </c>
      <c r="D271" s="2"/>
      <c r="E271" s="2" t="str">
        <f t="shared" si="18"/>
        <v/>
      </c>
      <c r="F271" s="3"/>
      <c r="G271" s="3"/>
      <c r="H271" s="4"/>
      <c r="I271" s="4"/>
      <c r="J271" s="4"/>
      <c r="K271" s="4"/>
      <c r="L271" s="4"/>
      <c r="M271" s="4"/>
      <c r="N271" s="4"/>
      <c r="O271" s="4"/>
      <c r="P271" s="4"/>
      <c r="Q271" s="4"/>
      <c r="S271" s="4">
        <v>-20838.400000000001</v>
      </c>
    </row>
    <row r="272" spans="2:19" x14ac:dyDescent="0.3">
      <c r="B272" s="3"/>
      <c r="C272" s="2" t="str">
        <f t="shared" si="17"/>
        <v/>
      </c>
      <c r="D272" s="2"/>
      <c r="E272" s="2" t="str">
        <f t="shared" si="18"/>
        <v/>
      </c>
      <c r="F272" s="3"/>
      <c r="G272" s="3"/>
      <c r="H272" s="4"/>
      <c r="I272" s="4"/>
      <c r="J272" s="4"/>
      <c r="K272" s="4"/>
      <c r="L272" s="4"/>
      <c r="M272" s="4"/>
      <c r="N272" s="4"/>
      <c r="O272" s="4"/>
      <c r="P272" s="4"/>
      <c r="Q272" s="4"/>
      <c r="S272" s="4">
        <v>-2580</v>
      </c>
    </row>
    <row r="273" spans="2:19" x14ac:dyDescent="0.3">
      <c r="B273" s="3"/>
      <c r="C273" s="2" t="str">
        <f t="shared" si="17"/>
        <v/>
      </c>
      <c r="D273" s="2"/>
      <c r="E273" s="2" t="str">
        <f t="shared" si="18"/>
        <v/>
      </c>
      <c r="F273" s="3"/>
      <c r="G273" s="3"/>
      <c r="H273" s="4"/>
      <c r="I273" s="4"/>
      <c r="J273" s="4"/>
      <c r="K273" s="4"/>
      <c r="L273" s="4"/>
      <c r="M273" s="4"/>
      <c r="N273" s="4"/>
      <c r="O273" s="4"/>
      <c r="P273" s="4"/>
      <c r="Q273" s="4"/>
      <c r="S273" s="4">
        <v>-2400</v>
      </c>
    </row>
    <row r="274" spans="2:19" x14ac:dyDescent="0.3">
      <c r="B274" s="3"/>
      <c r="C274" s="2" t="str">
        <f t="shared" si="17"/>
        <v/>
      </c>
      <c r="D274" s="2"/>
      <c r="E274" s="2" t="str">
        <f t="shared" si="18"/>
        <v/>
      </c>
      <c r="F274" s="3"/>
      <c r="G274" s="3"/>
      <c r="H274" s="4"/>
      <c r="I274" s="4"/>
      <c r="J274" s="4"/>
      <c r="K274" s="4"/>
      <c r="L274" s="4"/>
      <c r="M274" s="4"/>
      <c r="N274" s="4"/>
      <c r="O274" s="4"/>
      <c r="P274" s="4"/>
      <c r="Q274" s="4"/>
      <c r="S274" s="4">
        <v>-11684.6</v>
      </c>
    </row>
    <row r="275" spans="2:19" x14ac:dyDescent="0.3">
      <c r="B275" s="3"/>
      <c r="C275" s="2" t="str">
        <f t="shared" si="17"/>
        <v/>
      </c>
      <c r="D275" s="2"/>
      <c r="E275" s="2" t="str">
        <f t="shared" si="18"/>
        <v/>
      </c>
      <c r="F275" s="3"/>
      <c r="G275" s="3"/>
      <c r="H275" s="4"/>
      <c r="I275" s="4"/>
      <c r="J275" s="4"/>
      <c r="K275" s="4"/>
      <c r="L275" s="4"/>
      <c r="M275" s="4"/>
      <c r="N275" s="4"/>
      <c r="O275" s="4"/>
      <c r="P275" s="4"/>
      <c r="Q275" s="4"/>
      <c r="S275" s="4">
        <v>-48275</v>
      </c>
    </row>
    <row r="276" spans="2:19" x14ac:dyDescent="0.3">
      <c r="B276" s="3"/>
      <c r="C276" s="2" t="str">
        <f t="shared" si="17"/>
        <v/>
      </c>
      <c r="D276" s="2"/>
      <c r="E276" s="2" t="str">
        <f t="shared" si="18"/>
        <v/>
      </c>
      <c r="F276" s="3"/>
      <c r="G276" s="3"/>
      <c r="H276" s="4"/>
      <c r="I276" s="4"/>
      <c r="J276" s="4"/>
      <c r="K276" s="4"/>
      <c r="L276" s="4"/>
      <c r="M276" s="4"/>
      <c r="N276" s="4"/>
      <c r="O276" s="4"/>
      <c r="P276" s="4"/>
      <c r="Q276" s="4"/>
      <c r="S276" s="4">
        <v>-19668.689999999999</v>
      </c>
    </row>
    <row r="277" spans="2:19" x14ac:dyDescent="0.3">
      <c r="B277" s="3"/>
      <c r="C277" s="2" t="str">
        <f t="shared" si="17"/>
        <v/>
      </c>
      <c r="D277" s="2"/>
      <c r="E277" s="2" t="str">
        <f t="shared" si="18"/>
        <v/>
      </c>
      <c r="F277" s="3"/>
      <c r="G277" s="3"/>
      <c r="H277" s="4"/>
      <c r="I277" s="4"/>
      <c r="J277" s="4"/>
      <c r="K277" s="4"/>
      <c r="L277" s="4"/>
      <c r="M277" s="4"/>
      <c r="N277" s="4"/>
      <c r="O277" s="4"/>
      <c r="P277" s="4"/>
      <c r="Q277" s="4"/>
      <c r="S277" s="4">
        <v>-5550.48</v>
      </c>
    </row>
    <row r="278" spans="2:19" x14ac:dyDescent="0.3">
      <c r="B278" s="3"/>
      <c r="C278" s="2" t="str">
        <f t="shared" si="17"/>
        <v/>
      </c>
      <c r="D278" s="2"/>
      <c r="E278" s="2" t="str">
        <f t="shared" si="18"/>
        <v/>
      </c>
      <c r="F278" s="3"/>
      <c r="G278" s="3"/>
      <c r="H278" s="4"/>
      <c r="I278" s="4"/>
      <c r="J278" s="4"/>
      <c r="K278" s="4"/>
      <c r="L278" s="4"/>
      <c r="M278" s="4"/>
      <c r="N278" s="4"/>
      <c r="O278" s="4"/>
      <c r="P278" s="4"/>
      <c r="Q278" s="4"/>
      <c r="S278" s="4">
        <v>-2450</v>
      </c>
    </row>
    <row r="279" spans="2:19" x14ac:dyDescent="0.3">
      <c r="B279" s="3"/>
      <c r="C279" s="2" t="str">
        <f t="shared" si="17"/>
        <v/>
      </c>
      <c r="D279" s="2"/>
      <c r="E279" s="2" t="str">
        <f t="shared" si="18"/>
        <v/>
      </c>
      <c r="F279" s="3"/>
      <c r="G279" s="3"/>
      <c r="H279" s="4"/>
      <c r="I279" s="4"/>
      <c r="J279" s="4"/>
      <c r="K279" s="4"/>
      <c r="L279" s="4"/>
      <c r="M279" s="4"/>
      <c r="N279" s="4"/>
      <c r="O279" s="4"/>
      <c r="P279" s="4"/>
      <c r="Q279" s="4"/>
      <c r="S279" s="4">
        <v>-2318.8000000000002</v>
      </c>
    </row>
    <row r="280" spans="2:19" x14ac:dyDescent="0.3">
      <c r="B280" s="3"/>
      <c r="C280" s="2" t="str">
        <f t="shared" si="17"/>
        <v/>
      </c>
      <c r="D280" s="2"/>
      <c r="E280" s="2" t="str">
        <f t="shared" si="18"/>
        <v/>
      </c>
      <c r="F280" s="3"/>
      <c r="G280" s="3"/>
      <c r="H280" s="4"/>
      <c r="I280" s="4"/>
      <c r="J280" s="4"/>
      <c r="K280" s="4"/>
      <c r="L280" s="4"/>
      <c r="M280" s="4"/>
      <c r="N280" s="4"/>
      <c r="O280" s="4"/>
      <c r="P280" s="4"/>
      <c r="Q280" s="4"/>
      <c r="S280" s="4">
        <v>-147.41</v>
      </c>
    </row>
    <row r="281" spans="2:19" x14ac:dyDescent="0.3">
      <c r="B281" s="3"/>
      <c r="C281" s="2" t="str">
        <f t="shared" si="17"/>
        <v/>
      </c>
      <c r="D281" s="2"/>
      <c r="E281" s="2" t="str">
        <f t="shared" si="18"/>
        <v/>
      </c>
      <c r="F281" s="3"/>
      <c r="G281" s="3"/>
      <c r="H281" s="4"/>
      <c r="I281" s="4"/>
      <c r="J281" s="4"/>
      <c r="K281" s="4"/>
      <c r="L281" s="4"/>
      <c r="M281" s="4"/>
      <c r="N281" s="4"/>
      <c r="O281" s="4"/>
      <c r="P281" s="4"/>
      <c r="Q281" s="4"/>
      <c r="S281" s="4">
        <v>-230</v>
      </c>
    </row>
    <row r="282" spans="2:19" x14ac:dyDescent="0.3">
      <c r="B282" s="3"/>
      <c r="C282" s="2" t="str">
        <f t="shared" si="17"/>
        <v/>
      </c>
      <c r="D282" s="2"/>
      <c r="E282" s="2" t="str">
        <f t="shared" si="18"/>
        <v/>
      </c>
      <c r="F282" s="3"/>
      <c r="G282" s="3"/>
      <c r="H282" s="4"/>
      <c r="I282" s="4"/>
      <c r="J282" s="4"/>
      <c r="K282" s="4"/>
      <c r="L282" s="4"/>
      <c r="M282" s="4"/>
      <c r="N282" s="4"/>
      <c r="O282" s="4"/>
      <c r="P282" s="4"/>
      <c r="Q282" s="4"/>
      <c r="S282" s="4">
        <v>-8972</v>
      </c>
    </row>
    <row r="283" spans="2:19" x14ac:dyDescent="0.3">
      <c r="B283" s="3"/>
      <c r="C283" s="2" t="str">
        <f t="shared" si="17"/>
        <v/>
      </c>
      <c r="D283" s="2"/>
      <c r="E283" s="2" t="str">
        <f t="shared" si="18"/>
        <v/>
      </c>
      <c r="F283" s="3"/>
      <c r="G283" s="3"/>
      <c r="H283" s="4"/>
      <c r="I283" s="4"/>
      <c r="J283" s="4"/>
      <c r="K283" s="4"/>
      <c r="L283" s="4"/>
      <c r="M283" s="4"/>
      <c r="N283" s="4"/>
      <c r="O283" s="4"/>
      <c r="P283" s="4"/>
      <c r="Q283" s="4"/>
      <c r="S283" s="4">
        <v>-3540.48</v>
      </c>
    </row>
    <row r="284" spans="2:19" x14ac:dyDescent="0.3">
      <c r="B284" s="3"/>
      <c r="C284" s="2" t="str">
        <f t="shared" si="17"/>
        <v/>
      </c>
      <c r="D284" s="2"/>
      <c r="E284" s="2" t="str">
        <f t="shared" si="18"/>
        <v/>
      </c>
      <c r="F284" s="3"/>
      <c r="G284" s="3"/>
      <c r="H284" s="4"/>
      <c r="I284" s="4"/>
      <c r="J284" s="4"/>
      <c r="K284" s="4"/>
      <c r="L284" s="4"/>
      <c r="M284" s="4"/>
      <c r="N284" s="4"/>
      <c r="O284" s="4"/>
      <c r="P284" s="4"/>
      <c r="Q284" s="4"/>
      <c r="S284" s="4">
        <v>-2910.48</v>
      </c>
    </row>
    <row r="285" spans="2:19" x14ac:dyDescent="0.3">
      <c r="B285" s="3"/>
      <c r="C285" s="2" t="str">
        <f t="shared" si="17"/>
        <v/>
      </c>
      <c r="D285" s="2"/>
      <c r="E285" s="2" t="str">
        <f t="shared" si="18"/>
        <v/>
      </c>
      <c r="F285" s="3"/>
      <c r="G285" s="3"/>
      <c r="H285" s="4"/>
      <c r="I285" s="4"/>
      <c r="J285" s="4"/>
      <c r="K285" s="4"/>
      <c r="L285" s="4"/>
      <c r="M285" s="4"/>
      <c r="N285" s="4"/>
      <c r="O285" s="4"/>
      <c r="P285" s="4"/>
      <c r="Q285" s="4"/>
      <c r="S285" s="4">
        <v>-190</v>
      </c>
    </row>
    <row r="286" spans="2:19" x14ac:dyDescent="0.3">
      <c r="B286" s="3"/>
      <c r="C286" s="2" t="str">
        <f t="shared" si="17"/>
        <v/>
      </c>
      <c r="D286" s="2"/>
      <c r="E286" s="2" t="str">
        <f t="shared" si="18"/>
        <v/>
      </c>
      <c r="F286" s="3"/>
      <c r="G286" s="3"/>
      <c r="H286" s="4"/>
      <c r="I286" s="4"/>
      <c r="J286" s="4"/>
      <c r="K286" s="4"/>
      <c r="L286" s="4"/>
      <c r="M286" s="4"/>
      <c r="N286" s="4"/>
      <c r="O286" s="4"/>
      <c r="P286" s="4"/>
      <c r="Q286" s="4"/>
      <c r="S286" s="4">
        <v>-280</v>
      </c>
    </row>
    <row r="287" spans="2:19" x14ac:dyDescent="0.3">
      <c r="B287" s="3"/>
      <c r="C287" s="2" t="str">
        <f t="shared" si="17"/>
        <v/>
      </c>
      <c r="D287" s="2"/>
      <c r="E287" s="2" t="str">
        <f t="shared" si="18"/>
        <v/>
      </c>
      <c r="F287" s="3"/>
      <c r="G287" s="3"/>
      <c r="H287" s="4"/>
      <c r="I287" s="4"/>
      <c r="J287" s="4"/>
      <c r="K287" s="4"/>
      <c r="L287" s="4"/>
      <c r="M287" s="4"/>
      <c r="N287" s="4"/>
      <c r="O287" s="4"/>
      <c r="P287" s="4"/>
      <c r="Q287" s="4"/>
      <c r="S287" s="4">
        <v>-160</v>
      </c>
    </row>
    <row r="288" spans="2:19" x14ac:dyDescent="0.3">
      <c r="B288" s="3"/>
      <c r="C288" s="2" t="str">
        <f t="shared" si="17"/>
        <v/>
      </c>
      <c r="D288" s="2"/>
      <c r="E288" s="2" t="str">
        <f t="shared" si="18"/>
        <v/>
      </c>
      <c r="F288" s="3"/>
      <c r="G288" s="3"/>
      <c r="H288" s="4"/>
      <c r="I288" s="4"/>
      <c r="J288" s="4"/>
      <c r="K288" s="4"/>
      <c r="L288" s="4"/>
      <c r="M288" s="4"/>
      <c r="N288" s="4"/>
      <c r="O288" s="4"/>
      <c r="P288" s="4"/>
      <c r="Q288" s="4"/>
      <c r="S288" s="4">
        <v>-520.64</v>
      </c>
    </row>
    <row r="289" spans="2:19" x14ac:dyDescent="0.3">
      <c r="B289" s="3"/>
      <c r="C289" s="2" t="str">
        <f t="shared" si="17"/>
        <v/>
      </c>
      <c r="D289" s="2"/>
      <c r="E289" s="2" t="str">
        <f t="shared" si="18"/>
        <v/>
      </c>
      <c r="F289" s="3"/>
      <c r="G289" s="3"/>
      <c r="H289" s="4"/>
      <c r="I289" s="4"/>
      <c r="J289" s="4"/>
      <c r="K289" s="4"/>
      <c r="L289" s="4"/>
      <c r="M289" s="4"/>
      <c r="N289" s="4"/>
      <c r="O289" s="4"/>
      <c r="P289" s="4"/>
      <c r="Q289" s="4"/>
      <c r="S289" s="4">
        <v>-520.64</v>
      </c>
    </row>
    <row r="290" spans="2:19" x14ac:dyDescent="0.3">
      <c r="B290" s="3"/>
      <c r="C290" s="2" t="str">
        <f t="shared" si="17"/>
        <v/>
      </c>
      <c r="D290" s="2"/>
      <c r="E290" s="2" t="str">
        <f t="shared" si="18"/>
        <v/>
      </c>
      <c r="F290" s="3"/>
      <c r="G290" s="3"/>
      <c r="H290" s="4"/>
      <c r="I290" s="4"/>
      <c r="J290" s="4"/>
      <c r="K290" s="4"/>
      <c r="L290" s="4"/>
      <c r="M290" s="4"/>
      <c r="N290" s="4"/>
      <c r="O290" s="4"/>
      <c r="P290" s="4"/>
      <c r="Q290" s="4"/>
      <c r="S290" s="4">
        <v>-3643.53</v>
      </c>
    </row>
    <row r="291" spans="2:19" x14ac:dyDescent="0.3">
      <c r="B291" s="3"/>
      <c r="C291" s="2" t="str">
        <f t="shared" si="17"/>
        <v/>
      </c>
      <c r="D291" s="2"/>
      <c r="E291" s="2" t="str">
        <f t="shared" si="18"/>
        <v/>
      </c>
      <c r="F291" s="3"/>
      <c r="G291" s="3"/>
      <c r="H291" s="4"/>
      <c r="I291" s="4"/>
      <c r="J291" s="4"/>
      <c r="K291" s="4"/>
      <c r="L291" s="4"/>
      <c r="M291" s="4"/>
      <c r="N291" s="4"/>
      <c r="O291" s="4"/>
      <c r="P291" s="4"/>
      <c r="Q291" s="4"/>
      <c r="S291" s="4">
        <v>-3158.65</v>
      </c>
    </row>
    <row r="292" spans="2:19" x14ac:dyDescent="0.3">
      <c r="B292" s="3"/>
      <c r="C292" s="2" t="str">
        <f t="shared" si="17"/>
        <v/>
      </c>
      <c r="D292" s="2"/>
      <c r="E292" s="2" t="str">
        <f t="shared" si="18"/>
        <v/>
      </c>
      <c r="F292" s="3"/>
      <c r="G292" s="3"/>
      <c r="H292" s="4"/>
      <c r="I292" s="4"/>
      <c r="J292" s="4"/>
      <c r="K292" s="4"/>
      <c r="L292" s="4"/>
      <c r="M292" s="4"/>
      <c r="N292" s="4"/>
      <c r="O292" s="4"/>
      <c r="P292" s="4"/>
      <c r="Q292" s="4"/>
      <c r="S292" s="4">
        <v>-484.88</v>
      </c>
    </row>
    <row r="293" spans="2:19" x14ac:dyDescent="0.3">
      <c r="B293" s="3"/>
      <c r="C293" s="2" t="str">
        <f t="shared" si="17"/>
        <v/>
      </c>
      <c r="D293" s="2"/>
      <c r="E293" s="2" t="str">
        <f t="shared" si="18"/>
        <v/>
      </c>
      <c r="F293" s="3"/>
      <c r="G293" s="3"/>
      <c r="H293" s="4"/>
      <c r="I293" s="4"/>
      <c r="J293" s="4"/>
      <c r="K293" s="4"/>
      <c r="L293" s="4"/>
      <c r="M293" s="4"/>
      <c r="N293" s="4"/>
      <c r="O293" s="4"/>
      <c r="P293" s="4"/>
      <c r="Q293" s="4"/>
      <c r="S293" s="4">
        <v>-380</v>
      </c>
    </row>
    <row r="294" spans="2:19" x14ac:dyDescent="0.3">
      <c r="B294" s="3"/>
      <c r="C294" s="2" t="str">
        <f t="shared" si="17"/>
        <v/>
      </c>
      <c r="D294" s="2"/>
      <c r="E294" s="2" t="str">
        <f t="shared" si="18"/>
        <v/>
      </c>
      <c r="F294" s="3"/>
      <c r="G294" s="3"/>
      <c r="H294" s="4"/>
      <c r="I294" s="4"/>
      <c r="J294" s="4"/>
      <c r="K294" s="4"/>
      <c r="L294" s="4"/>
      <c r="M294" s="4"/>
      <c r="N294" s="4"/>
      <c r="O294" s="4"/>
      <c r="P294" s="4"/>
      <c r="Q294" s="4"/>
      <c r="S294" s="4">
        <v>-380</v>
      </c>
    </row>
    <row r="295" spans="2:19" x14ac:dyDescent="0.3">
      <c r="B295" s="3"/>
      <c r="C295" s="2" t="str">
        <f t="shared" si="17"/>
        <v/>
      </c>
      <c r="D295" s="2"/>
      <c r="E295" s="2" t="str">
        <f t="shared" si="18"/>
        <v/>
      </c>
      <c r="F295" s="3"/>
      <c r="G295" s="3"/>
      <c r="H295" s="4"/>
      <c r="I295" s="4"/>
      <c r="J295" s="4"/>
      <c r="K295" s="4"/>
      <c r="L295" s="4"/>
      <c r="M295" s="4"/>
      <c r="N295" s="4"/>
      <c r="O295" s="4"/>
      <c r="P295" s="4"/>
      <c r="Q295" s="4"/>
      <c r="S295" s="4">
        <v>-265292.7</v>
      </c>
    </row>
    <row r="296" spans="2:19" x14ac:dyDescent="0.3">
      <c r="B296" s="3"/>
      <c r="C296" s="2" t="str">
        <f t="shared" ref="C296:C359" si="19">IF($F296="","",IF(LEFT($F296,1)*1=1,"A",IF(LEFT($F296,1)*1=2,"P",IF(LEFT($F296,1)*1=3,"C",IF(LEFT($F296,1)*1=4,"C",IF(LEFT($F296,1)*1=5,"R",""))))))</f>
        <v/>
      </c>
      <c r="D296" s="2"/>
      <c r="E296" s="2" t="str">
        <f t="shared" ref="E296:E359" si="20">IF($F296="","",IF(LEN($F296)=1,1,IF(LEN($F296)=3,2,IF(LEN($F296)=6,3,IF(LEN($F296)=9,4,IF(LEN($F296)=12,5,6))))))</f>
        <v/>
      </c>
      <c r="F296" s="3"/>
      <c r="G296" s="3"/>
      <c r="H296" s="4"/>
      <c r="I296" s="4"/>
      <c r="J296" s="4"/>
      <c r="K296" s="4"/>
      <c r="L296" s="4"/>
      <c r="M296" s="4"/>
      <c r="N296" s="4"/>
      <c r="O296" s="4"/>
      <c r="P296" s="4"/>
      <c r="Q296" s="4"/>
      <c r="S296" s="4">
        <v>-262149.63</v>
      </c>
    </row>
    <row r="297" spans="2:19" x14ac:dyDescent="0.3">
      <c r="B297" s="3"/>
      <c r="C297" s="2" t="str">
        <f t="shared" si="19"/>
        <v/>
      </c>
      <c r="D297" s="2"/>
      <c r="E297" s="2" t="str">
        <f t="shared" si="20"/>
        <v/>
      </c>
      <c r="F297" s="3"/>
      <c r="G297" s="3"/>
      <c r="H297" s="4"/>
      <c r="I297" s="4"/>
      <c r="J297" s="4"/>
      <c r="K297" s="4"/>
      <c r="L297" s="4"/>
      <c r="M297" s="4"/>
      <c r="N297" s="4"/>
      <c r="O297" s="4"/>
      <c r="P297" s="4"/>
      <c r="Q297" s="4"/>
      <c r="S297" s="4">
        <v>-3143.07</v>
      </c>
    </row>
    <row r="298" spans="2:19" x14ac:dyDescent="0.3">
      <c r="B298" s="3"/>
      <c r="C298" s="2" t="str">
        <f t="shared" si="19"/>
        <v/>
      </c>
      <c r="D298" s="2"/>
      <c r="E298" s="2" t="str">
        <f t="shared" si="20"/>
        <v/>
      </c>
      <c r="F298" s="3"/>
      <c r="G298" s="3"/>
      <c r="H298" s="4"/>
      <c r="I298" s="4"/>
      <c r="J298" s="4"/>
      <c r="K298" s="4"/>
      <c r="L298" s="4"/>
      <c r="M298" s="4"/>
      <c r="N298" s="4"/>
      <c r="O298" s="4"/>
      <c r="P298" s="4"/>
      <c r="Q298" s="4"/>
      <c r="S298" s="4">
        <v>-20109.27</v>
      </c>
    </row>
    <row r="299" spans="2:19" x14ac:dyDescent="0.3">
      <c r="B299" s="3"/>
      <c r="C299" s="2" t="str">
        <f t="shared" si="19"/>
        <v/>
      </c>
      <c r="D299" s="2"/>
      <c r="E299" s="2" t="str">
        <f t="shared" si="20"/>
        <v/>
      </c>
      <c r="F299" s="3"/>
      <c r="G299" s="3"/>
      <c r="H299" s="4"/>
      <c r="I299" s="4"/>
      <c r="J299" s="4"/>
      <c r="K299" s="4"/>
      <c r="L299" s="4"/>
      <c r="M299" s="4"/>
      <c r="N299" s="4"/>
      <c r="O299" s="4"/>
      <c r="P299" s="4"/>
      <c r="Q299" s="4"/>
      <c r="S299" s="4">
        <v>-8826.16</v>
      </c>
    </row>
    <row r="300" spans="2:19" x14ac:dyDescent="0.3">
      <c r="B300" s="3"/>
      <c r="C300" s="2" t="str">
        <f t="shared" si="19"/>
        <v/>
      </c>
      <c r="D300" s="2"/>
      <c r="E300" s="2" t="str">
        <f t="shared" si="20"/>
        <v/>
      </c>
      <c r="F300" s="3"/>
      <c r="G300" s="3"/>
      <c r="H300" s="4"/>
      <c r="I300" s="4"/>
      <c r="J300" s="4"/>
      <c r="K300" s="4"/>
      <c r="L300" s="4"/>
      <c r="M300" s="4"/>
      <c r="N300" s="4"/>
      <c r="O300" s="4"/>
      <c r="P300" s="4"/>
      <c r="Q300" s="4"/>
      <c r="S300" s="4">
        <v>-4001.44</v>
      </c>
    </row>
    <row r="301" spans="2:19" x14ac:dyDescent="0.3">
      <c r="B301" s="3"/>
      <c r="C301" s="2" t="str">
        <f t="shared" si="19"/>
        <v/>
      </c>
      <c r="D301" s="2"/>
      <c r="E301" s="2" t="str">
        <f t="shared" si="20"/>
        <v/>
      </c>
      <c r="F301" s="3"/>
      <c r="G301" s="3"/>
      <c r="H301" s="4"/>
      <c r="I301" s="4"/>
      <c r="J301" s="4"/>
      <c r="K301" s="4"/>
      <c r="L301" s="4"/>
      <c r="M301" s="4"/>
      <c r="N301" s="4"/>
      <c r="O301" s="4"/>
      <c r="P301" s="4"/>
      <c r="Q301" s="4"/>
      <c r="S301" s="4">
        <v>-3044.72</v>
      </c>
    </row>
    <row r="302" spans="2:19" x14ac:dyDescent="0.3">
      <c r="B302" s="3"/>
      <c r="C302" s="2" t="str">
        <f t="shared" si="19"/>
        <v/>
      </c>
      <c r="D302" s="2"/>
      <c r="E302" s="2" t="str">
        <f t="shared" si="20"/>
        <v/>
      </c>
      <c r="F302" s="3"/>
      <c r="G302" s="3"/>
      <c r="H302" s="4"/>
      <c r="I302" s="4"/>
      <c r="J302" s="4"/>
      <c r="K302" s="4"/>
      <c r="L302" s="4"/>
      <c r="M302" s="4"/>
      <c r="N302" s="4"/>
      <c r="O302" s="4"/>
      <c r="P302" s="4"/>
      <c r="Q302" s="4"/>
      <c r="S302" s="4">
        <v>-1780</v>
      </c>
    </row>
    <row r="303" spans="2:19" x14ac:dyDescent="0.3">
      <c r="B303" s="3"/>
      <c r="C303" s="2" t="str">
        <f t="shared" si="19"/>
        <v/>
      </c>
      <c r="D303" s="2"/>
      <c r="E303" s="2" t="str">
        <f t="shared" si="20"/>
        <v/>
      </c>
      <c r="F303" s="3"/>
      <c r="G303" s="3"/>
      <c r="H303" s="4"/>
      <c r="I303" s="4"/>
      <c r="J303" s="4"/>
      <c r="K303" s="4"/>
      <c r="L303" s="4"/>
      <c r="M303" s="4"/>
      <c r="N303" s="4"/>
      <c r="O303" s="4"/>
      <c r="P303" s="4"/>
      <c r="Q303" s="4"/>
      <c r="S303" s="4">
        <v>-5074.22</v>
      </c>
    </row>
    <row r="304" spans="2:19" x14ac:dyDescent="0.3">
      <c r="B304" s="3"/>
      <c r="C304" s="2" t="str">
        <f t="shared" si="19"/>
        <v/>
      </c>
      <c r="D304" s="2"/>
      <c r="E304" s="2" t="str">
        <f t="shared" si="20"/>
        <v/>
      </c>
      <c r="F304" s="3"/>
      <c r="G304" s="3"/>
      <c r="H304" s="4"/>
      <c r="I304" s="4"/>
      <c r="J304" s="4"/>
      <c r="K304" s="4"/>
      <c r="L304" s="4"/>
      <c r="M304" s="4"/>
      <c r="N304" s="4"/>
      <c r="O304" s="4"/>
      <c r="P304" s="4"/>
      <c r="Q304" s="4"/>
      <c r="S304" s="4">
        <v>-5074.22</v>
      </c>
    </row>
    <row r="305" spans="2:19" x14ac:dyDescent="0.3">
      <c r="B305" s="3"/>
      <c r="C305" s="2" t="str">
        <f t="shared" si="19"/>
        <v/>
      </c>
      <c r="D305" s="2"/>
      <c r="E305" s="2" t="str">
        <f t="shared" si="20"/>
        <v/>
      </c>
      <c r="F305" s="3"/>
      <c r="G305" s="3"/>
      <c r="H305" s="4"/>
      <c r="I305" s="4"/>
      <c r="J305" s="4"/>
      <c r="K305" s="4"/>
      <c r="L305" s="4"/>
      <c r="M305" s="4"/>
      <c r="N305" s="4"/>
      <c r="O305" s="4"/>
      <c r="P305" s="4"/>
      <c r="Q305" s="4"/>
      <c r="S305" s="4">
        <v>0</v>
      </c>
    </row>
    <row r="306" spans="2:19" x14ac:dyDescent="0.3">
      <c r="B306" s="3"/>
      <c r="C306" s="2" t="str">
        <f t="shared" si="19"/>
        <v/>
      </c>
      <c r="D306" s="2"/>
      <c r="E306" s="2" t="str">
        <f t="shared" si="20"/>
        <v/>
      </c>
      <c r="F306" s="3"/>
      <c r="G306" s="3"/>
      <c r="H306" s="4"/>
      <c r="I306" s="4"/>
      <c r="J306" s="4"/>
      <c r="K306" s="4"/>
      <c r="L306" s="4"/>
      <c r="M306" s="4"/>
      <c r="N306" s="4"/>
      <c r="O306" s="4"/>
      <c r="P306" s="4"/>
      <c r="Q306" s="4"/>
      <c r="S306" s="4">
        <v>0</v>
      </c>
    </row>
    <row r="307" spans="2:19" x14ac:dyDescent="0.3">
      <c r="B307" s="3"/>
      <c r="C307" s="2" t="str">
        <f t="shared" si="19"/>
        <v/>
      </c>
      <c r="D307" s="2"/>
      <c r="E307" s="2" t="str">
        <f t="shared" si="20"/>
        <v/>
      </c>
      <c r="F307" s="3"/>
      <c r="G307" s="3"/>
      <c r="H307" s="4"/>
      <c r="I307" s="4"/>
      <c r="J307" s="4"/>
      <c r="K307" s="4"/>
      <c r="L307" s="4"/>
      <c r="M307" s="4"/>
      <c r="N307" s="4"/>
      <c r="O307" s="4"/>
      <c r="P307" s="4"/>
      <c r="Q307" s="4"/>
      <c r="S307" s="4">
        <v>-1095.99</v>
      </c>
    </row>
    <row r="308" spans="2:19" x14ac:dyDescent="0.3">
      <c r="B308" s="3"/>
      <c r="C308" s="2" t="str">
        <f t="shared" si="19"/>
        <v/>
      </c>
      <c r="D308" s="2"/>
      <c r="E308" s="2" t="str">
        <f t="shared" si="20"/>
        <v/>
      </c>
      <c r="F308" s="3"/>
      <c r="G308" s="3"/>
      <c r="H308" s="4"/>
      <c r="I308" s="4"/>
      <c r="J308" s="4"/>
      <c r="K308" s="4"/>
      <c r="L308" s="4"/>
      <c r="M308" s="4"/>
      <c r="N308" s="4"/>
      <c r="O308" s="4"/>
      <c r="P308" s="4"/>
      <c r="Q308" s="4"/>
      <c r="S308" s="4">
        <v>-742.45</v>
      </c>
    </row>
    <row r="309" spans="2:19" x14ac:dyDescent="0.3">
      <c r="B309" s="3"/>
      <c r="C309" s="2" t="str">
        <f t="shared" si="19"/>
        <v/>
      </c>
      <c r="D309" s="2"/>
      <c r="E309" s="2" t="str">
        <f t="shared" si="20"/>
        <v/>
      </c>
      <c r="F309" s="3"/>
      <c r="G309" s="3"/>
      <c r="H309" s="4"/>
      <c r="I309" s="4"/>
      <c r="J309" s="4"/>
      <c r="K309" s="4"/>
      <c r="L309" s="4"/>
      <c r="M309" s="4"/>
      <c r="N309" s="4"/>
      <c r="O309" s="4"/>
      <c r="P309" s="4"/>
      <c r="Q309" s="4"/>
      <c r="S309" s="4">
        <v>-353.54</v>
      </c>
    </row>
    <row r="310" spans="2:19" x14ac:dyDescent="0.3">
      <c r="B310" s="3"/>
      <c r="C310" s="2" t="str">
        <f t="shared" si="19"/>
        <v/>
      </c>
      <c r="D310" s="2"/>
      <c r="E310" s="2" t="str">
        <f t="shared" si="20"/>
        <v/>
      </c>
      <c r="F310" s="3"/>
      <c r="G310" s="3"/>
      <c r="H310" s="4"/>
      <c r="I310" s="4"/>
      <c r="J310" s="4"/>
      <c r="K310" s="4"/>
      <c r="L310" s="4"/>
      <c r="M310" s="4"/>
      <c r="N310" s="4"/>
      <c r="O310" s="4"/>
      <c r="P310" s="4"/>
      <c r="Q310" s="4"/>
      <c r="S310" s="4">
        <v>-5112.8999999999996</v>
      </c>
    </row>
    <row r="311" spans="2:19" x14ac:dyDescent="0.3">
      <c r="B311" s="3"/>
      <c r="C311" s="2" t="str">
        <f t="shared" si="19"/>
        <v/>
      </c>
      <c r="D311" s="2"/>
      <c r="E311" s="2" t="str">
        <f t="shared" si="20"/>
        <v/>
      </c>
      <c r="F311" s="3"/>
      <c r="G311" s="3"/>
      <c r="H311" s="4"/>
      <c r="I311" s="4"/>
      <c r="J311" s="4"/>
      <c r="K311" s="4"/>
      <c r="L311" s="4"/>
      <c r="M311" s="4"/>
      <c r="N311" s="4"/>
      <c r="O311" s="4"/>
      <c r="P311" s="4"/>
      <c r="Q311" s="4"/>
      <c r="S311" s="4">
        <v>-4422.71</v>
      </c>
    </row>
    <row r="312" spans="2:19" x14ac:dyDescent="0.3">
      <c r="B312" s="3"/>
      <c r="C312" s="2" t="str">
        <f t="shared" si="19"/>
        <v/>
      </c>
      <c r="D312" s="2"/>
      <c r="E312" s="2" t="str">
        <f t="shared" si="20"/>
        <v/>
      </c>
      <c r="F312" s="3"/>
      <c r="G312" s="3"/>
      <c r="H312" s="4"/>
      <c r="I312" s="4"/>
      <c r="J312" s="4"/>
      <c r="K312" s="4"/>
      <c r="L312" s="4"/>
      <c r="M312" s="4"/>
      <c r="N312" s="4"/>
      <c r="O312" s="4"/>
      <c r="P312" s="4"/>
      <c r="Q312" s="4"/>
      <c r="S312" s="4">
        <v>-690.19</v>
      </c>
    </row>
    <row r="313" spans="2:19" x14ac:dyDescent="0.3">
      <c r="B313" s="3"/>
      <c r="C313" s="2" t="str">
        <f t="shared" si="19"/>
        <v/>
      </c>
      <c r="D313" s="2"/>
      <c r="E313" s="2" t="str">
        <f t="shared" si="20"/>
        <v/>
      </c>
      <c r="F313" s="3"/>
      <c r="G313" s="3"/>
      <c r="H313" s="4"/>
      <c r="I313" s="4"/>
      <c r="J313" s="4"/>
      <c r="K313" s="4"/>
      <c r="L313" s="4"/>
      <c r="M313" s="4"/>
      <c r="N313" s="4"/>
      <c r="O313" s="4"/>
      <c r="P313" s="4"/>
      <c r="Q313" s="4"/>
      <c r="S313" s="4">
        <v>0</v>
      </c>
    </row>
    <row r="314" spans="2:19" x14ac:dyDescent="0.3">
      <c r="B314" s="3"/>
      <c r="C314" s="2" t="str">
        <f t="shared" si="19"/>
        <v/>
      </c>
      <c r="D314" s="2"/>
      <c r="E314" s="2" t="str">
        <f t="shared" si="20"/>
        <v/>
      </c>
      <c r="F314" s="3"/>
      <c r="G314" s="3"/>
      <c r="H314" s="4"/>
      <c r="I314" s="4"/>
      <c r="J314" s="4"/>
      <c r="K314" s="4"/>
      <c r="L314" s="4"/>
      <c r="M314" s="4"/>
      <c r="N314" s="4"/>
      <c r="O314" s="4"/>
      <c r="P314" s="4"/>
      <c r="Q314" s="4"/>
      <c r="S314" s="4">
        <v>0</v>
      </c>
    </row>
    <row r="315" spans="2:19" x14ac:dyDescent="0.3">
      <c r="B315" s="3"/>
      <c r="C315" s="2" t="str">
        <f t="shared" si="19"/>
        <v/>
      </c>
      <c r="D315" s="2"/>
      <c r="E315" s="2" t="str">
        <f t="shared" si="20"/>
        <v/>
      </c>
      <c r="F315" s="3"/>
      <c r="G315" s="3"/>
      <c r="H315" s="4"/>
      <c r="I315" s="4"/>
      <c r="J315" s="4"/>
      <c r="K315" s="4"/>
      <c r="L315" s="4"/>
      <c r="M315" s="4"/>
      <c r="N315" s="4"/>
      <c r="O315" s="4"/>
      <c r="P315" s="4"/>
      <c r="Q315" s="4"/>
      <c r="S315" s="4">
        <v>0</v>
      </c>
    </row>
    <row r="316" spans="2:19" x14ac:dyDescent="0.3">
      <c r="B316" s="3"/>
      <c r="C316" s="2" t="str">
        <f t="shared" si="19"/>
        <v/>
      </c>
      <c r="D316" s="2"/>
      <c r="E316" s="2" t="str">
        <f t="shared" si="20"/>
        <v/>
      </c>
      <c r="F316" s="3"/>
      <c r="G316" s="3"/>
      <c r="H316" s="4"/>
      <c r="I316" s="4"/>
      <c r="J316" s="4"/>
      <c r="K316" s="4"/>
      <c r="L316" s="4"/>
      <c r="M316" s="4"/>
      <c r="N316" s="4"/>
      <c r="O316" s="4"/>
      <c r="P316" s="4"/>
      <c r="Q316" s="4"/>
      <c r="S316" s="4">
        <v>0</v>
      </c>
    </row>
    <row r="317" spans="2:19" x14ac:dyDescent="0.3">
      <c r="B317" s="3"/>
      <c r="C317" s="2" t="str">
        <f t="shared" si="19"/>
        <v/>
      </c>
      <c r="D317" s="2"/>
      <c r="E317" s="2" t="str">
        <f t="shared" si="20"/>
        <v/>
      </c>
      <c r="F317" s="3"/>
      <c r="G317" s="3"/>
      <c r="H317" s="4"/>
      <c r="I317" s="4"/>
      <c r="J317" s="4"/>
      <c r="K317" s="4"/>
      <c r="L317" s="4"/>
      <c r="M317" s="4"/>
      <c r="N317" s="4"/>
      <c r="O317" s="4"/>
      <c r="P317" s="4"/>
      <c r="Q317" s="4"/>
      <c r="S317" s="4">
        <v>0</v>
      </c>
    </row>
    <row r="318" spans="2:19" x14ac:dyDescent="0.3">
      <c r="B318" s="3"/>
      <c r="C318" s="2" t="str">
        <f t="shared" si="19"/>
        <v/>
      </c>
      <c r="D318" s="2"/>
      <c r="E318" s="2" t="str">
        <f t="shared" si="20"/>
        <v/>
      </c>
      <c r="F318" s="3"/>
      <c r="G318" s="3"/>
      <c r="H318" s="4"/>
      <c r="I318" s="4"/>
      <c r="J318" s="4"/>
      <c r="K318" s="4"/>
      <c r="L318" s="4"/>
      <c r="M318" s="4"/>
      <c r="N318" s="4"/>
      <c r="O318" s="4"/>
      <c r="P318" s="4"/>
      <c r="Q318" s="4"/>
      <c r="S318" s="4">
        <v>0</v>
      </c>
    </row>
    <row r="319" spans="2:19" x14ac:dyDescent="0.3">
      <c r="B319" s="3"/>
      <c r="C319" s="2" t="str">
        <f t="shared" si="19"/>
        <v/>
      </c>
      <c r="D319" s="2"/>
      <c r="E319" s="2" t="str">
        <f t="shared" si="20"/>
        <v/>
      </c>
      <c r="F319" s="3"/>
      <c r="G319" s="3"/>
      <c r="H319" s="4"/>
      <c r="I319" s="4"/>
      <c r="J319" s="4"/>
      <c r="K319" s="4"/>
      <c r="L319" s="4"/>
      <c r="M319" s="4"/>
      <c r="N319" s="4"/>
      <c r="O319" s="4"/>
      <c r="P319" s="4"/>
      <c r="Q319" s="4"/>
      <c r="S319" s="4">
        <v>0</v>
      </c>
    </row>
    <row r="320" spans="2:19" x14ac:dyDescent="0.3">
      <c r="B320" s="3"/>
      <c r="C320" s="2" t="str">
        <f t="shared" si="19"/>
        <v/>
      </c>
      <c r="D320" s="2"/>
      <c r="E320" s="2" t="str">
        <f t="shared" si="20"/>
        <v/>
      </c>
      <c r="F320" s="3"/>
      <c r="G320" s="3"/>
      <c r="H320" s="4"/>
      <c r="I320" s="4"/>
      <c r="J320" s="4"/>
      <c r="K320" s="4"/>
      <c r="L320" s="4"/>
      <c r="M320" s="4"/>
      <c r="N320" s="4"/>
      <c r="O320" s="4"/>
      <c r="P320" s="4"/>
      <c r="Q320" s="4"/>
      <c r="S320" s="4">
        <v>0</v>
      </c>
    </row>
    <row r="321" spans="2:19" x14ac:dyDescent="0.3">
      <c r="B321" s="3"/>
      <c r="C321" s="2" t="str">
        <f t="shared" si="19"/>
        <v/>
      </c>
      <c r="D321" s="2"/>
      <c r="E321" s="2" t="str">
        <f t="shared" si="20"/>
        <v/>
      </c>
      <c r="F321" s="3"/>
      <c r="G321" s="3"/>
      <c r="H321" s="4"/>
      <c r="I321" s="4"/>
      <c r="J321" s="4"/>
      <c r="K321" s="4"/>
      <c r="L321" s="4"/>
      <c r="M321" s="4"/>
      <c r="N321" s="4"/>
      <c r="O321" s="4"/>
      <c r="P321" s="4"/>
      <c r="Q321" s="4"/>
      <c r="S321" s="4">
        <v>0</v>
      </c>
    </row>
    <row r="322" spans="2:19" x14ac:dyDescent="0.3">
      <c r="B322" s="3"/>
      <c r="C322" s="2" t="str">
        <f t="shared" si="19"/>
        <v/>
      </c>
      <c r="D322" s="2"/>
      <c r="E322" s="2" t="str">
        <f t="shared" si="20"/>
        <v/>
      </c>
      <c r="F322" s="3"/>
      <c r="G322" s="3"/>
      <c r="H322" s="4"/>
      <c r="I322" s="4"/>
      <c r="J322" s="4"/>
      <c r="K322" s="4"/>
      <c r="L322" s="4"/>
      <c r="M322" s="4"/>
      <c r="N322" s="4"/>
      <c r="O322" s="4"/>
      <c r="P322" s="4"/>
      <c r="Q322" s="4"/>
      <c r="S322" s="4">
        <v>0</v>
      </c>
    </row>
    <row r="323" spans="2:19" x14ac:dyDescent="0.3">
      <c r="B323" s="3"/>
      <c r="C323" s="2" t="str">
        <f t="shared" si="19"/>
        <v/>
      </c>
      <c r="D323" s="2"/>
      <c r="E323" s="2" t="str">
        <f t="shared" si="20"/>
        <v/>
      </c>
      <c r="F323" s="3"/>
      <c r="G323" s="3"/>
      <c r="H323" s="4"/>
      <c r="I323" s="4"/>
      <c r="J323" s="4"/>
      <c r="K323" s="4"/>
      <c r="L323" s="4"/>
      <c r="M323" s="4"/>
      <c r="N323" s="4"/>
      <c r="O323" s="4"/>
      <c r="P323" s="4"/>
      <c r="Q323" s="4"/>
      <c r="S323" s="4">
        <v>-258192.16</v>
      </c>
    </row>
    <row r="324" spans="2:19" x14ac:dyDescent="0.3">
      <c r="B324" s="3"/>
      <c r="C324" s="2" t="str">
        <f t="shared" si="19"/>
        <v/>
      </c>
      <c r="D324" s="2"/>
      <c r="E324" s="2" t="str">
        <f t="shared" si="20"/>
        <v/>
      </c>
      <c r="F324" s="3"/>
      <c r="G324" s="3"/>
      <c r="H324" s="4"/>
      <c r="I324" s="4"/>
      <c r="J324" s="4"/>
      <c r="K324" s="4"/>
      <c r="L324" s="4"/>
      <c r="M324" s="4"/>
      <c r="N324" s="4"/>
      <c r="O324" s="4"/>
      <c r="P324" s="4"/>
      <c r="Q324" s="4"/>
      <c r="S324" s="4">
        <v>-258192.16</v>
      </c>
    </row>
    <row r="325" spans="2:19" x14ac:dyDescent="0.3">
      <c r="B325" s="3"/>
      <c r="C325" s="2" t="str">
        <f t="shared" si="19"/>
        <v/>
      </c>
      <c r="D325" s="2"/>
      <c r="E325" s="2" t="str">
        <f t="shared" si="20"/>
        <v/>
      </c>
      <c r="F325" s="3"/>
      <c r="G325" s="3"/>
      <c r="H325" s="4"/>
      <c r="I325" s="4"/>
      <c r="J325" s="4"/>
      <c r="K325" s="4"/>
      <c r="L325" s="4"/>
      <c r="M325" s="4"/>
      <c r="N325" s="4"/>
      <c r="O325" s="4"/>
      <c r="P325" s="4"/>
      <c r="Q325" s="4"/>
      <c r="S325" s="4">
        <v>0</v>
      </c>
    </row>
    <row r="326" spans="2:19" x14ac:dyDescent="0.3">
      <c r="B326" s="3"/>
      <c r="C326" s="2" t="str">
        <f t="shared" si="19"/>
        <v/>
      </c>
      <c r="D326" s="2"/>
      <c r="E326" s="2" t="str">
        <f t="shared" si="20"/>
        <v/>
      </c>
      <c r="F326" s="3"/>
      <c r="G326" s="3"/>
      <c r="H326" s="4"/>
      <c r="I326" s="4"/>
      <c r="J326" s="4"/>
      <c r="K326" s="4"/>
      <c r="L326" s="4"/>
      <c r="M326" s="4"/>
      <c r="N326" s="4"/>
      <c r="O326" s="4"/>
      <c r="P326" s="4"/>
      <c r="Q326" s="4"/>
      <c r="S326" s="4">
        <v>0</v>
      </c>
    </row>
    <row r="327" spans="2:19" x14ac:dyDescent="0.3">
      <c r="B327" s="3"/>
      <c r="C327" s="2" t="str">
        <f t="shared" si="19"/>
        <v/>
      </c>
      <c r="D327" s="2"/>
      <c r="E327" s="2" t="str">
        <f t="shared" si="20"/>
        <v/>
      </c>
      <c r="F327" s="3"/>
      <c r="G327" s="3"/>
      <c r="H327" s="4"/>
      <c r="I327" s="4"/>
      <c r="J327" s="4"/>
      <c r="K327" s="4"/>
      <c r="L327" s="4"/>
      <c r="M327" s="4"/>
      <c r="N327" s="4"/>
      <c r="O327" s="4"/>
      <c r="P327" s="4"/>
      <c r="Q327" s="4"/>
      <c r="S327" s="4">
        <v>0</v>
      </c>
    </row>
    <row r="328" spans="2:19" x14ac:dyDescent="0.3">
      <c r="B328" s="3"/>
      <c r="C328" s="2" t="str">
        <f t="shared" si="19"/>
        <v/>
      </c>
      <c r="D328" s="2"/>
      <c r="E328" s="2" t="str">
        <f t="shared" si="20"/>
        <v/>
      </c>
      <c r="F328" s="3"/>
      <c r="G328" s="3"/>
      <c r="H328" s="4"/>
      <c r="I328" s="4"/>
      <c r="J328" s="4"/>
      <c r="K328" s="4"/>
      <c r="L328" s="4"/>
      <c r="M328" s="4"/>
      <c r="N328" s="4"/>
      <c r="O328" s="4"/>
      <c r="P328" s="4"/>
      <c r="Q328" s="4"/>
      <c r="S328" s="4">
        <v>0</v>
      </c>
    </row>
    <row r="329" spans="2:19" x14ac:dyDescent="0.3">
      <c r="B329" s="3"/>
      <c r="C329" s="2" t="str">
        <f t="shared" si="19"/>
        <v/>
      </c>
      <c r="D329" s="2"/>
      <c r="E329" s="2" t="str">
        <f t="shared" si="20"/>
        <v/>
      </c>
      <c r="F329" s="3"/>
      <c r="G329" s="3"/>
      <c r="H329" s="4"/>
      <c r="I329" s="4"/>
      <c r="J329" s="4"/>
      <c r="K329" s="4"/>
      <c r="L329" s="4"/>
      <c r="M329" s="4"/>
      <c r="N329" s="4"/>
      <c r="O329" s="4"/>
      <c r="P329" s="4"/>
      <c r="Q329" s="4"/>
      <c r="S329" s="4">
        <v>-141895.04999999999</v>
      </c>
    </row>
    <row r="330" spans="2:19" x14ac:dyDescent="0.3">
      <c r="B330" s="3"/>
      <c r="C330" s="2" t="str">
        <f t="shared" si="19"/>
        <v/>
      </c>
      <c r="D330" s="2"/>
      <c r="E330" s="2" t="str">
        <f t="shared" si="20"/>
        <v/>
      </c>
      <c r="F330" s="3"/>
      <c r="G330" s="3"/>
      <c r="H330" s="4"/>
      <c r="I330" s="4"/>
      <c r="J330" s="4"/>
      <c r="K330" s="4"/>
      <c r="L330" s="4"/>
      <c r="M330" s="4"/>
      <c r="N330" s="4"/>
      <c r="O330" s="4"/>
      <c r="P330" s="4"/>
      <c r="Q330" s="4"/>
      <c r="S330" s="4">
        <v>-55402.22</v>
      </c>
    </row>
    <row r="331" spans="2:19" x14ac:dyDescent="0.3">
      <c r="B331" s="3"/>
      <c r="C331" s="2" t="str">
        <f t="shared" si="19"/>
        <v/>
      </c>
      <c r="D331" s="2"/>
      <c r="E331" s="2" t="str">
        <f t="shared" si="20"/>
        <v/>
      </c>
      <c r="F331" s="3"/>
      <c r="G331" s="3"/>
      <c r="H331" s="4"/>
      <c r="I331" s="4"/>
      <c r="J331" s="4"/>
      <c r="K331" s="4"/>
      <c r="L331" s="4"/>
      <c r="M331" s="4"/>
      <c r="N331" s="4"/>
      <c r="O331" s="4"/>
      <c r="P331" s="4"/>
      <c r="Q331" s="4"/>
      <c r="S331" s="4">
        <v>-69.75</v>
      </c>
    </row>
    <row r="332" spans="2:19" x14ac:dyDescent="0.3">
      <c r="B332" s="3"/>
      <c r="C332" s="2" t="str">
        <f t="shared" si="19"/>
        <v/>
      </c>
      <c r="D332" s="2"/>
      <c r="E332" s="2" t="str">
        <f t="shared" si="20"/>
        <v/>
      </c>
      <c r="F332" s="3"/>
      <c r="G332" s="3"/>
      <c r="H332" s="4"/>
      <c r="I332" s="4"/>
      <c r="J332" s="4"/>
      <c r="K332" s="4"/>
      <c r="L332" s="4"/>
      <c r="M332" s="4"/>
      <c r="N332" s="4"/>
      <c r="O332" s="4"/>
      <c r="P332" s="4"/>
      <c r="Q332" s="4"/>
      <c r="S332" s="4">
        <v>0</v>
      </c>
    </row>
    <row r="333" spans="2:19" x14ac:dyDescent="0.3">
      <c r="B333" s="3"/>
      <c r="C333" s="2" t="str">
        <f t="shared" si="19"/>
        <v/>
      </c>
      <c r="D333" s="2"/>
      <c r="E333" s="2" t="str">
        <f t="shared" si="20"/>
        <v/>
      </c>
      <c r="F333" s="3"/>
      <c r="G333" s="3"/>
      <c r="H333" s="4"/>
      <c r="I333" s="4"/>
      <c r="J333" s="4"/>
      <c r="K333" s="4"/>
      <c r="L333" s="4"/>
      <c r="M333" s="4"/>
      <c r="N333" s="4"/>
      <c r="O333" s="4"/>
      <c r="P333" s="4"/>
      <c r="Q333" s="4"/>
      <c r="S333" s="4">
        <v>-60825.14</v>
      </c>
    </row>
    <row r="334" spans="2:19" x14ac:dyDescent="0.3">
      <c r="B334" s="3"/>
      <c r="C334" s="2" t="str">
        <f t="shared" si="19"/>
        <v/>
      </c>
      <c r="D334" s="2"/>
      <c r="E334" s="2" t="str">
        <f t="shared" si="20"/>
        <v/>
      </c>
      <c r="F334" s="3"/>
      <c r="G334" s="3"/>
      <c r="H334" s="4"/>
      <c r="I334" s="4"/>
      <c r="J334" s="4"/>
      <c r="K334" s="4"/>
      <c r="L334" s="4"/>
      <c r="M334" s="4"/>
      <c r="N334" s="4"/>
      <c r="O334" s="4"/>
      <c r="P334" s="4"/>
      <c r="Q334" s="4"/>
      <c r="S334" s="4">
        <v>0</v>
      </c>
    </row>
    <row r="335" spans="2:19" x14ac:dyDescent="0.3">
      <c r="B335" s="3"/>
      <c r="C335" s="2" t="str">
        <f t="shared" si="19"/>
        <v/>
      </c>
      <c r="D335" s="2"/>
      <c r="E335" s="2" t="str">
        <f t="shared" si="20"/>
        <v/>
      </c>
      <c r="F335" s="3"/>
      <c r="G335" s="3"/>
      <c r="H335" s="4"/>
      <c r="I335" s="4"/>
      <c r="J335" s="4"/>
      <c r="K335" s="4"/>
      <c r="L335" s="4"/>
      <c r="M335" s="4"/>
      <c r="N335" s="4"/>
      <c r="O335" s="4"/>
      <c r="P335" s="4"/>
      <c r="Q335" s="4"/>
      <c r="S335" s="4">
        <v>-26830.42</v>
      </c>
    </row>
    <row r="336" spans="2:19" x14ac:dyDescent="0.3">
      <c r="B336" s="3"/>
      <c r="C336" s="2" t="str">
        <f t="shared" si="19"/>
        <v/>
      </c>
      <c r="D336" s="2"/>
      <c r="E336" s="2" t="str">
        <f t="shared" si="20"/>
        <v/>
      </c>
      <c r="F336" s="3"/>
      <c r="G336" s="3"/>
      <c r="H336" s="4"/>
      <c r="I336" s="4"/>
      <c r="J336" s="4"/>
      <c r="K336" s="4"/>
      <c r="L336" s="4"/>
      <c r="M336" s="4"/>
      <c r="N336" s="4"/>
      <c r="O336" s="4"/>
      <c r="P336" s="4"/>
      <c r="Q336" s="4"/>
      <c r="S336" s="4">
        <v>-26830.42</v>
      </c>
    </row>
    <row r="337" spans="2:19" x14ac:dyDescent="0.3">
      <c r="B337" s="3"/>
      <c r="C337" s="2" t="str">
        <f t="shared" si="19"/>
        <v/>
      </c>
      <c r="D337" s="2"/>
      <c r="E337" s="2" t="str">
        <f t="shared" si="20"/>
        <v/>
      </c>
      <c r="F337" s="3"/>
      <c r="G337" s="3"/>
      <c r="H337" s="4"/>
      <c r="I337" s="4"/>
      <c r="J337" s="4"/>
      <c r="K337" s="4"/>
      <c r="L337" s="4"/>
      <c r="M337" s="4"/>
      <c r="N337" s="4"/>
      <c r="O337" s="4"/>
      <c r="P337" s="4"/>
      <c r="Q337" s="4"/>
      <c r="S337" s="4">
        <v>-23410.55</v>
      </c>
    </row>
    <row r="338" spans="2:19" x14ac:dyDescent="0.3">
      <c r="B338" s="3"/>
      <c r="C338" s="2" t="str">
        <f t="shared" si="19"/>
        <v/>
      </c>
      <c r="D338" s="2"/>
      <c r="E338" s="2" t="str">
        <f t="shared" si="20"/>
        <v/>
      </c>
      <c r="F338" s="3"/>
      <c r="G338" s="3"/>
      <c r="H338" s="4"/>
      <c r="I338" s="4"/>
      <c r="J338" s="4"/>
      <c r="K338" s="4"/>
      <c r="L338" s="4"/>
      <c r="M338" s="4"/>
      <c r="N338" s="4"/>
      <c r="O338" s="4"/>
      <c r="P338" s="4"/>
      <c r="Q338" s="4"/>
      <c r="S338" s="4">
        <v>-3419.87</v>
      </c>
    </row>
    <row r="339" spans="2:19" x14ac:dyDescent="0.3">
      <c r="B339" s="3"/>
      <c r="C339" s="2" t="str">
        <f t="shared" si="19"/>
        <v/>
      </c>
      <c r="D339" s="2"/>
      <c r="E339" s="2" t="str">
        <f t="shared" si="20"/>
        <v/>
      </c>
      <c r="F339" s="3"/>
      <c r="G339" s="3"/>
      <c r="H339" s="4"/>
      <c r="I339" s="4"/>
      <c r="J339" s="4"/>
      <c r="K339" s="4"/>
      <c r="L339" s="4"/>
      <c r="M339" s="4"/>
      <c r="N339" s="4"/>
      <c r="O339" s="4"/>
      <c r="P339" s="4"/>
      <c r="Q339" s="4"/>
      <c r="S339" s="4">
        <v>-66989.3</v>
      </c>
    </row>
    <row r="340" spans="2:19" x14ac:dyDescent="0.3">
      <c r="B340" s="3"/>
      <c r="C340" s="2" t="str">
        <f t="shared" si="19"/>
        <v/>
      </c>
      <c r="D340" s="2"/>
      <c r="E340" s="2" t="str">
        <f t="shared" si="20"/>
        <v/>
      </c>
      <c r="F340" s="3"/>
      <c r="G340" s="3"/>
      <c r="H340" s="4"/>
      <c r="I340" s="4"/>
      <c r="J340" s="4"/>
      <c r="K340" s="4"/>
      <c r="L340" s="4"/>
      <c r="M340" s="4"/>
      <c r="N340" s="4"/>
      <c r="O340" s="4"/>
      <c r="P340" s="4"/>
      <c r="Q340" s="4"/>
      <c r="S340" s="4">
        <v>-62760.19</v>
      </c>
    </row>
    <row r="341" spans="2:19" x14ac:dyDescent="0.3">
      <c r="B341" s="3"/>
      <c r="C341" s="2" t="str">
        <f t="shared" si="19"/>
        <v/>
      </c>
      <c r="D341" s="2"/>
      <c r="E341" s="2" t="str">
        <f t="shared" si="20"/>
        <v/>
      </c>
      <c r="F341" s="3"/>
      <c r="G341" s="3"/>
      <c r="H341" s="4"/>
      <c r="I341" s="4"/>
      <c r="J341" s="4"/>
      <c r="K341" s="4"/>
      <c r="L341" s="4"/>
      <c r="M341" s="4"/>
      <c r="N341" s="4"/>
      <c r="O341" s="4"/>
      <c r="P341" s="4"/>
      <c r="Q341" s="4"/>
      <c r="S341" s="4">
        <v>-40386.379999999997</v>
      </c>
    </row>
    <row r="342" spans="2:19" x14ac:dyDescent="0.3">
      <c r="B342" s="3"/>
      <c r="C342" s="2" t="str">
        <f t="shared" si="19"/>
        <v/>
      </c>
      <c r="D342" s="2"/>
      <c r="E342" s="2" t="str">
        <f t="shared" si="20"/>
        <v/>
      </c>
      <c r="F342" s="3"/>
      <c r="G342" s="3"/>
      <c r="H342" s="4"/>
      <c r="I342" s="4"/>
      <c r="J342" s="4"/>
      <c r="K342" s="4"/>
      <c r="L342" s="4"/>
      <c r="M342" s="4"/>
      <c r="N342" s="4"/>
      <c r="O342" s="4"/>
      <c r="P342" s="4"/>
      <c r="Q342" s="4"/>
      <c r="S342" s="4">
        <v>-22373.81</v>
      </c>
    </row>
    <row r="343" spans="2:19" x14ac:dyDescent="0.3">
      <c r="B343" s="3"/>
      <c r="C343" s="2" t="str">
        <f t="shared" si="19"/>
        <v/>
      </c>
      <c r="D343" s="2"/>
      <c r="E343" s="2" t="str">
        <f t="shared" si="20"/>
        <v/>
      </c>
      <c r="F343" s="3"/>
      <c r="G343" s="3"/>
      <c r="H343" s="4"/>
      <c r="I343" s="4"/>
      <c r="J343" s="4"/>
      <c r="K343" s="4"/>
      <c r="L343" s="4"/>
      <c r="M343" s="4"/>
      <c r="N343" s="4"/>
      <c r="O343" s="4"/>
      <c r="P343" s="4"/>
      <c r="Q343" s="4"/>
      <c r="S343" s="4">
        <v>0</v>
      </c>
    </row>
    <row r="344" spans="2:19" x14ac:dyDescent="0.3">
      <c r="B344" s="3"/>
      <c r="C344" s="2" t="str">
        <f t="shared" si="19"/>
        <v/>
      </c>
      <c r="D344" s="2"/>
      <c r="E344" s="2" t="str">
        <f t="shared" si="20"/>
        <v/>
      </c>
      <c r="F344" s="3"/>
      <c r="G344" s="3"/>
      <c r="H344" s="4"/>
      <c r="I344" s="4"/>
      <c r="J344" s="4"/>
      <c r="K344" s="4"/>
      <c r="L344" s="4"/>
      <c r="M344" s="4"/>
      <c r="N344" s="4"/>
      <c r="O344" s="4"/>
      <c r="P344" s="4"/>
      <c r="Q344" s="4"/>
      <c r="S344" s="4">
        <v>-4229.1099999999997</v>
      </c>
    </row>
    <row r="345" spans="2:19" x14ac:dyDescent="0.3">
      <c r="B345" s="3"/>
      <c r="C345" s="2" t="str">
        <f t="shared" si="19"/>
        <v/>
      </c>
      <c r="D345" s="2"/>
      <c r="E345" s="2" t="str">
        <f t="shared" si="20"/>
        <v/>
      </c>
      <c r="F345" s="3"/>
      <c r="G345" s="3"/>
      <c r="H345" s="4"/>
      <c r="I345" s="4"/>
      <c r="J345" s="4"/>
      <c r="K345" s="4"/>
      <c r="L345" s="4"/>
      <c r="M345" s="4"/>
      <c r="N345" s="4"/>
      <c r="O345" s="4"/>
      <c r="P345" s="4"/>
      <c r="Q345" s="4"/>
      <c r="S345" s="4">
        <v>-0.01</v>
      </c>
    </row>
    <row r="346" spans="2:19" x14ac:dyDescent="0.3">
      <c r="B346" s="3"/>
      <c r="C346" s="2" t="str">
        <f t="shared" si="19"/>
        <v/>
      </c>
      <c r="D346" s="2"/>
      <c r="E346" s="2" t="str">
        <f t="shared" si="20"/>
        <v/>
      </c>
      <c r="F346" s="3"/>
      <c r="G346" s="3"/>
      <c r="H346" s="4"/>
      <c r="I346" s="4"/>
      <c r="J346" s="4"/>
      <c r="K346" s="4"/>
      <c r="L346" s="4"/>
      <c r="M346" s="4"/>
      <c r="N346" s="4"/>
      <c r="O346" s="4"/>
      <c r="P346" s="4"/>
      <c r="Q346" s="4"/>
      <c r="S346" s="4">
        <v>-688.33</v>
      </c>
    </row>
    <row r="347" spans="2:19" x14ac:dyDescent="0.3">
      <c r="B347" s="3"/>
      <c r="C347" s="2" t="str">
        <f t="shared" si="19"/>
        <v/>
      </c>
      <c r="D347" s="2"/>
      <c r="E347" s="2" t="str">
        <f t="shared" si="20"/>
        <v/>
      </c>
      <c r="F347" s="3"/>
      <c r="G347" s="3"/>
      <c r="H347" s="4"/>
      <c r="I347" s="4"/>
      <c r="J347" s="4"/>
      <c r="K347" s="4"/>
      <c r="L347" s="4"/>
      <c r="M347" s="4"/>
      <c r="N347" s="4"/>
      <c r="O347" s="4"/>
      <c r="P347" s="4"/>
      <c r="Q347" s="4"/>
      <c r="S347" s="4">
        <v>-1914.12</v>
      </c>
    </row>
    <row r="348" spans="2:19" x14ac:dyDescent="0.3">
      <c r="B348" s="3"/>
      <c r="C348" s="2" t="str">
        <f t="shared" si="19"/>
        <v/>
      </c>
      <c r="D348" s="2"/>
      <c r="E348" s="2" t="str">
        <f t="shared" si="20"/>
        <v/>
      </c>
      <c r="F348" s="3"/>
      <c r="G348" s="3"/>
      <c r="H348" s="4"/>
      <c r="I348" s="4"/>
      <c r="J348" s="4"/>
      <c r="K348" s="4"/>
      <c r="L348" s="4"/>
      <c r="M348" s="4"/>
      <c r="N348" s="4"/>
      <c r="O348" s="4"/>
      <c r="P348" s="4"/>
      <c r="Q348" s="4"/>
      <c r="S348" s="4">
        <v>-1626.65</v>
      </c>
    </row>
    <row r="349" spans="2:19" x14ac:dyDescent="0.3">
      <c r="B349" s="3"/>
      <c r="C349" s="2" t="str">
        <f t="shared" si="19"/>
        <v/>
      </c>
      <c r="D349" s="2"/>
      <c r="E349" s="2" t="str">
        <f t="shared" si="20"/>
        <v/>
      </c>
      <c r="F349" s="3"/>
      <c r="G349" s="3"/>
      <c r="H349" s="4"/>
      <c r="I349" s="4"/>
      <c r="J349" s="4"/>
      <c r="K349" s="4"/>
      <c r="L349" s="4"/>
      <c r="M349" s="4"/>
      <c r="N349" s="4"/>
      <c r="O349" s="4"/>
      <c r="P349" s="4"/>
      <c r="Q349" s="4"/>
      <c r="S349" s="4">
        <v>-220110.42</v>
      </c>
    </row>
    <row r="350" spans="2:19" x14ac:dyDescent="0.3">
      <c r="B350" s="3"/>
      <c r="C350" s="2" t="str">
        <f t="shared" si="19"/>
        <v/>
      </c>
      <c r="D350" s="2"/>
      <c r="E350" s="2" t="str">
        <f t="shared" si="20"/>
        <v/>
      </c>
      <c r="F350" s="3"/>
      <c r="G350" s="3"/>
      <c r="H350" s="4"/>
      <c r="I350" s="4"/>
      <c r="J350" s="4"/>
      <c r="K350" s="4"/>
      <c r="L350" s="4"/>
      <c r="M350" s="4"/>
      <c r="N350" s="4"/>
      <c r="O350" s="4"/>
      <c r="P350" s="4"/>
      <c r="Q350" s="4"/>
      <c r="S350" s="4">
        <v>-220110.42</v>
      </c>
    </row>
    <row r="351" spans="2:19" x14ac:dyDescent="0.3">
      <c r="B351" s="3"/>
      <c r="C351" s="2" t="str">
        <f t="shared" si="19"/>
        <v/>
      </c>
      <c r="D351" s="2"/>
      <c r="E351" s="2" t="str">
        <f t="shared" si="20"/>
        <v/>
      </c>
      <c r="F351" s="3"/>
      <c r="G351" s="3"/>
      <c r="H351" s="4"/>
      <c r="I351" s="4"/>
      <c r="J351" s="4"/>
      <c r="K351" s="4"/>
      <c r="L351" s="4"/>
      <c r="M351" s="4"/>
      <c r="N351" s="4"/>
      <c r="O351" s="4"/>
      <c r="P351" s="4"/>
      <c r="Q351" s="4"/>
      <c r="S351" s="4">
        <v>-220110.42</v>
      </c>
    </row>
    <row r="352" spans="2:19" x14ac:dyDescent="0.3">
      <c r="B352" s="3"/>
      <c r="C352" s="2" t="str">
        <f t="shared" si="19"/>
        <v/>
      </c>
      <c r="D352" s="2"/>
      <c r="E352" s="2" t="str">
        <f t="shared" si="20"/>
        <v/>
      </c>
      <c r="F352" s="3"/>
      <c r="G352" s="3"/>
      <c r="H352" s="4"/>
      <c r="I352" s="4"/>
      <c r="J352" s="4"/>
      <c r="K352" s="4"/>
      <c r="L352" s="4"/>
      <c r="M352" s="4"/>
      <c r="N352" s="4"/>
      <c r="O352" s="4"/>
      <c r="P352" s="4"/>
      <c r="Q352" s="4"/>
      <c r="S352" s="4">
        <v>-5257036.18</v>
      </c>
    </row>
    <row r="353" spans="2:19" x14ac:dyDescent="0.3">
      <c r="B353" s="3"/>
      <c r="C353" s="2" t="str">
        <f t="shared" si="19"/>
        <v/>
      </c>
      <c r="D353" s="2"/>
      <c r="E353" s="2" t="str">
        <f t="shared" si="20"/>
        <v/>
      </c>
      <c r="F353" s="3"/>
      <c r="G353" s="3"/>
      <c r="H353" s="4"/>
      <c r="I353" s="4"/>
      <c r="J353" s="4"/>
      <c r="K353" s="4"/>
      <c r="L353" s="4"/>
      <c r="M353" s="4"/>
      <c r="N353" s="4"/>
      <c r="O353" s="4"/>
      <c r="P353" s="4"/>
      <c r="Q353" s="4"/>
      <c r="S353" s="4">
        <v>-5257036.18</v>
      </c>
    </row>
    <row r="354" spans="2:19" x14ac:dyDescent="0.3">
      <c r="B354" s="3"/>
      <c r="C354" s="2" t="str">
        <f t="shared" si="19"/>
        <v/>
      </c>
      <c r="D354" s="2"/>
      <c r="E354" s="2" t="str">
        <f t="shared" si="20"/>
        <v/>
      </c>
      <c r="F354" s="3"/>
      <c r="G354" s="3"/>
      <c r="H354" s="4"/>
      <c r="I354" s="4"/>
      <c r="J354" s="4"/>
      <c r="K354" s="4"/>
      <c r="L354" s="4"/>
      <c r="M354" s="4"/>
      <c r="N354" s="4"/>
      <c r="O354" s="4"/>
      <c r="P354" s="4"/>
      <c r="Q354" s="4"/>
      <c r="S354" s="4">
        <v>-4462659.96</v>
      </c>
    </row>
    <row r="355" spans="2:19" x14ac:dyDescent="0.3">
      <c r="B355" s="3"/>
      <c r="C355" s="2" t="str">
        <f t="shared" si="19"/>
        <v/>
      </c>
      <c r="D355" s="2"/>
      <c r="E355" s="2" t="str">
        <f t="shared" si="20"/>
        <v/>
      </c>
      <c r="F355" s="3"/>
      <c r="G355" s="3"/>
      <c r="H355" s="4"/>
      <c r="I355" s="4"/>
      <c r="J355" s="4"/>
      <c r="K355" s="4"/>
      <c r="L355" s="4"/>
      <c r="M355" s="4"/>
      <c r="N355" s="4"/>
      <c r="O355" s="4"/>
      <c r="P355" s="4"/>
      <c r="Q355" s="4"/>
      <c r="S355" s="4">
        <v>-760597.12</v>
      </c>
    </row>
    <row r="356" spans="2:19" x14ac:dyDescent="0.3">
      <c r="B356" s="3"/>
      <c r="C356" s="2" t="str">
        <f t="shared" si="19"/>
        <v/>
      </c>
      <c r="D356" s="2"/>
      <c r="E356" s="2" t="str">
        <f t="shared" si="20"/>
        <v/>
      </c>
      <c r="F356" s="3"/>
      <c r="G356" s="3"/>
      <c r="H356" s="4"/>
      <c r="I356" s="4"/>
      <c r="J356" s="4"/>
      <c r="K356" s="4"/>
      <c r="L356" s="4"/>
      <c r="M356" s="4"/>
      <c r="N356" s="4"/>
      <c r="O356" s="4"/>
      <c r="P356" s="4"/>
      <c r="Q356" s="4"/>
      <c r="S356" s="4">
        <v>-2253494.1</v>
      </c>
    </row>
    <row r="357" spans="2:19" x14ac:dyDescent="0.3">
      <c r="B357" s="3"/>
      <c r="C357" s="2" t="str">
        <f t="shared" si="19"/>
        <v/>
      </c>
      <c r="D357" s="2"/>
      <c r="E357" s="2" t="str">
        <f t="shared" si="20"/>
        <v/>
      </c>
      <c r="F357" s="3"/>
      <c r="G357" s="3"/>
      <c r="H357" s="4"/>
      <c r="I357" s="4"/>
      <c r="J357" s="4"/>
      <c r="K357" s="4"/>
      <c r="L357" s="4"/>
      <c r="M357" s="4"/>
      <c r="N357" s="4"/>
      <c r="O357" s="4"/>
      <c r="P357" s="4"/>
      <c r="Q357" s="4"/>
      <c r="S357" s="4">
        <v>-17272.64</v>
      </c>
    </row>
    <row r="358" spans="2:19" x14ac:dyDescent="0.3">
      <c r="B358" s="3"/>
      <c r="C358" s="2" t="str">
        <f t="shared" si="19"/>
        <v/>
      </c>
      <c r="D358" s="2"/>
      <c r="E358" s="2" t="str">
        <f t="shared" si="20"/>
        <v/>
      </c>
      <c r="F358" s="3"/>
      <c r="G358" s="3"/>
      <c r="H358" s="4"/>
      <c r="I358" s="4"/>
      <c r="J358" s="4"/>
      <c r="K358" s="4"/>
      <c r="L358" s="4"/>
      <c r="M358" s="4"/>
      <c r="N358" s="4"/>
      <c r="O358" s="4"/>
      <c r="P358" s="4"/>
      <c r="Q358" s="4"/>
      <c r="S358" s="4">
        <v>-228863.28</v>
      </c>
    </row>
    <row r="359" spans="2:19" x14ac:dyDescent="0.3">
      <c r="B359" s="3"/>
      <c r="C359" s="2" t="str">
        <f t="shared" si="19"/>
        <v/>
      </c>
      <c r="D359" s="2"/>
      <c r="E359" s="2" t="str">
        <f t="shared" si="20"/>
        <v/>
      </c>
      <c r="F359" s="3"/>
      <c r="G359" s="3"/>
      <c r="H359" s="4"/>
      <c r="I359" s="4"/>
      <c r="J359" s="4"/>
      <c r="K359" s="4"/>
      <c r="L359" s="4"/>
      <c r="M359" s="4"/>
      <c r="N359" s="4"/>
      <c r="O359" s="4"/>
      <c r="P359" s="4"/>
      <c r="Q359" s="4"/>
      <c r="S359" s="4">
        <v>-142840.28</v>
      </c>
    </row>
    <row r="360" spans="2:19" x14ac:dyDescent="0.3">
      <c r="B360" s="3"/>
      <c r="C360" s="2" t="str">
        <f t="shared" ref="C360:C423" si="21">IF($F360="","",IF(LEFT($F360,1)*1=1,"A",IF(LEFT($F360,1)*1=2,"P",IF(LEFT($F360,1)*1=3,"C",IF(LEFT($F360,1)*1=4,"C",IF(LEFT($F360,1)*1=5,"R",""))))))</f>
        <v/>
      </c>
      <c r="D360" s="2"/>
      <c r="E360" s="2" t="str">
        <f t="shared" ref="E360:E423" si="22">IF($F360="","",IF(LEN($F360)=1,1,IF(LEN($F360)=3,2,IF(LEN($F360)=6,3,IF(LEN($F360)=9,4,IF(LEN($F360)=12,5,6))))))</f>
        <v/>
      </c>
      <c r="F360" s="3"/>
      <c r="G360" s="3"/>
      <c r="H360" s="4"/>
      <c r="I360" s="4"/>
      <c r="J360" s="4"/>
      <c r="K360" s="4"/>
      <c r="L360" s="4"/>
      <c r="M360" s="4"/>
      <c r="N360" s="4"/>
      <c r="O360" s="4"/>
      <c r="P360" s="4"/>
      <c r="Q360" s="4"/>
      <c r="S360" s="4">
        <v>-463080.96000000002</v>
      </c>
    </row>
    <row r="361" spans="2:19" x14ac:dyDescent="0.3">
      <c r="B361" s="3"/>
      <c r="C361" s="2" t="str">
        <f t="shared" si="21"/>
        <v/>
      </c>
      <c r="D361" s="2"/>
      <c r="E361" s="2" t="str">
        <f t="shared" si="22"/>
        <v/>
      </c>
      <c r="F361" s="3"/>
      <c r="G361" s="3"/>
      <c r="H361" s="4"/>
      <c r="I361" s="4"/>
      <c r="J361" s="4"/>
      <c r="K361" s="4"/>
      <c r="L361" s="4"/>
      <c r="M361" s="4"/>
      <c r="N361" s="4"/>
      <c r="O361" s="4"/>
      <c r="P361" s="4"/>
      <c r="Q361" s="4"/>
      <c r="S361" s="4">
        <v>-555451.02</v>
      </c>
    </row>
    <row r="362" spans="2:19" x14ac:dyDescent="0.3">
      <c r="B362" s="3"/>
      <c r="C362" s="2" t="str">
        <f t="shared" si="21"/>
        <v/>
      </c>
      <c r="D362" s="2"/>
      <c r="E362" s="2" t="str">
        <f t="shared" si="22"/>
        <v/>
      </c>
      <c r="F362" s="3"/>
      <c r="G362" s="3"/>
      <c r="H362" s="4"/>
      <c r="I362" s="4"/>
      <c r="J362" s="4"/>
      <c r="K362" s="4"/>
      <c r="L362" s="4"/>
      <c r="M362" s="4"/>
      <c r="N362" s="4"/>
      <c r="O362" s="4"/>
      <c r="P362" s="4"/>
      <c r="Q362" s="4"/>
      <c r="S362" s="4">
        <v>-41060.559999999998</v>
      </c>
    </row>
    <row r="363" spans="2:19" x14ac:dyDescent="0.3">
      <c r="B363" s="3"/>
      <c r="C363" s="2" t="str">
        <f t="shared" si="21"/>
        <v/>
      </c>
      <c r="D363" s="2"/>
      <c r="E363" s="2" t="str">
        <f t="shared" si="22"/>
        <v/>
      </c>
      <c r="F363" s="3"/>
      <c r="G363" s="3"/>
      <c r="H363" s="4"/>
      <c r="I363" s="4"/>
      <c r="J363" s="4"/>
      <c r="K363" s="4"/>
      <c r="L363" s="4"/>
      <c r="M363" s="4"/>
      <c r="N363" s="4"/>
      <c r="O363" s="4"/>
      <c r="P363" s="4"/>
      <c r="Q363" s="4"/>
      <c r="S363" s="4">
        <v>-1570173.15</v>
      </c>
    </row>
    <row r="364" spans="2:19" x14ac:dyDescent="0.3">
      <c r="B364" s="3"/>
      <c r="C364" s="2" t="str">
        <f t="shared" si="21"/>
        <v/>
      </c>
      <c r="D364" s="2"/>
      <c r="E364" s="2" t="str">
        <f t="shared" si="22"/>
        <v/>
      </c>
      <c r="F364" s="3"/>
      <c r="G364" s="3"/>
      <c r="H364" s="4"/>
      <c r="I364" s="4"/>
      <c r="J364" s="4"/>
      <c r="K364" s="4"/>
      <c r="L364" s="4"/>
      <c r="M364" s="4"/>
      <c r="N364" s="4"/>
      <c r="O364" s="4"/>
      <c r="P364" s="4"/>
      <c r="Q364" s="4"/>
      <c r="S364" s="4">
        <v>-1570173.15</v>
      </c>
    </row>
    <row r="365" spans="2:19" x14ac:dyDescent="0.3">
      <c r="B365" s="3"/>
      <c r="C365" s="2" t="str">
        <f t="shared" si="21"/>
        <v/>
      </c>
      <c r="D365" s="2"/>
      <c r="E365" s="2" t="str">
        <f t="shared" si="22"/>
        <v/>
      </c>
      <c r="F365" s="3"/>
      <c r="G365" s="3"/>
      <c r="H365" s="4"/>
      <c r="I365" s="4"/>
      <c r="J365" s="4"/>
      <c r="K365" s="4"/>
      <c r="L365" s="4"/>
      <c r="M365" s="4"/>
      <c r="N365" s="4"/>
      <c r="O365" s="4"/>
      <c r="P365" s="4"/>
      <c r="Q365" s="4"/>
      <c r="S365" s="4">
        <v>775796.93</v>
      </c>
    </row>
    <row r="366" spans="2:19" x14ac:dyDescent="0.3">
      <c r="B366" s="3"/>
      <c r="C366" s="2" t="str">
        <f t="shared" si="21"/>
        <v/>
      </c>
      <c r="D366" s="2"/>
      <c r="E366" s="2" t="str">
        <f t="shared" si="22"/>
        <v/>
      </c>
      <c r="F366" s="3"/>
      <c r="G366" s="3"/>
      <c r="H366" s="4"/>
      <c r="I366" s="4"/>
      <c r="J366" s="4"/>
      <c r="K366" s="4"/>
      <c r="L366" s="4"/>
      <c r="M366" s="4"/>
      <c r="N366" s="4"/>
      <c r="O366" s="4"/>
      <c r="P366" s="4"/>
      <c r="Q366" s="4"/>
      <c r="S366" s="4">
        <v>289278.65000000002</v>
      </c>
    </row>
    <row r="367" spans="2:19" x14ac:dyDescent="0.3">
      <c r="B367" s="3"/>
      <c r="C367" s="2" t="str">
        <f t="shared" si="21"/>
        <v/>
      </c>
      <c r="D367" s="2"/>
      <c r="E367" s="2" t="str">
        <f t="shared" si="22"/>
        <v/>
      </c>
      <c r="F367" s="3"/>
      <c r="G367" s="3"/>
      <c r="H367" s="4"/>
      <c r="I367" s="4"/>
      <c r="J367" s="4"/>
      <c r="K367" s="4"/>
      <c r="L367" s="4"/>
      <c r="M367" s="4"/>
      <c r="N367" s="4"/>
      <c r="O367" s="4"/>
      <c r="P367" s="4"/>
      <c r="Q367" s="4"/>
      <c r="S367" s="4">
        <v>107523.9</v>
      </c>
    </row>
    <row r="368" spans="2:19" x14ac:dyDescent="0.3">
      <c r="B368" s="3"/>
      <c r="C368" s="2" t="str">
        <f t="shared" si="21"/>
        <v/>
      </c>
      <c r="D368" s="2"/>
      <c r="E368" s="2" t="str">
        <f t="shared" si="22"/>
        <v/>
      </c>
      <c r="F368" s="3"/>
      <c r="G368" s="3"/>
      <c r="H368" s="4"/>
      <c r="I368" s="4"/>
      <c r="J368" s="4"/>
      <c r="K368" s="4"/>
      <c r="L368" s="4"/>
      <c r="M368" s="4"/>
      <c r="N368" s="4"/>
      <c r="O368" s="4"/>
      <c r="P368" s="4"/>
      <c r="Q368" s="4"/>
      <c r="S368" s="4">
        <v>20710.849999999999</v>
      </c>
    </row>
    <row r="369" spans="2:19" x14ac:dyDescent="0.3">
      <c r="B369" s="3"/>
      <c r="C369" s="2" t="str">
        <f t="shared" si="21"/>
        <v/>
      </c>
      <c r="D369" s="2"/>
      <c r="E369" s="2" t="str">
        <f t="shared" si="22"/>
        <v/>
      </c>
      <c r="F369" s="3"/>
      <c r="G369" s="3"/>
      <c r="H369" s="4"/>
      <c r="I369" s="4"/>
      <c r="J369" s="4"/>
      <c r="K369" s="4"/>
      <c r="L369" s="4"/>
      <c r="M369" s="4"/>
      <c r="N369" s="4"/>
      <c r="O369" s="4"/>
      <c r="P369" s="4"/>
      <c r="Q369" s="4"/>
      <c r="S369" s="4">
        <v>16350.04</v>
      </c>
    </row>
    <row r="370" spans="2:19" x14ac:dyDescent="0.3">
      <c r="B370" s="3"/>
      <c r="C370" s="2" t="str">
        <f t="shared" si="21"/>
        <v/>
      </c>
      <c r="D370" s="2"/>
      <c r="E370" s="2" t="str">
        <f t="shared" si="22"/>
        <v/>
      </c>
      <c r="F370" s="3"/>
      <c r="G370" s="3"/>
      <c r="H370" s="4"/>
      <c r="I370" s="4"/>
      <c r="J370" s="4"/>
      <c r="K370" s="4"/>
      <c r="L370" s="4"/>
      <c r="M370" s="4"/>
      <c r="N370" s="4"/>
      <c r="O370" s="4"/>
      <c r="P370" s="4"/>
      <c r="Q370" s="4"/>
      <c r="S370" s="4">
        <v>35811.79</v>
      </c>
    </row>
    <row r="371" spans="2:19" x14ac:dyDescent="0.3">
      <c r="B371" s="3"/>
      <c r="C371" s="2" t="str">
        <f t="shared" si="21"/>
        <v/>
      </c>
      <c r="D371" s="2"/>
      <c r="E371" s="2" t="str">
        <f t="shared" si="22"/>
        <v/>
      </c>
      <c r="F371" s="3"/>
      <c r="G371" s="3"/>
      <c r="H371" s="4"/>
      <c r="I371" s="4"/>
      <c r="J371" s="4"/>
      <c r="K371" s="4"/>
      <c r="L371" s="4"/>
      <c r="M371" s="4"/>
      <c r="N371" s="4"/>
      <c r="O371" s="4"/>
      <c r="P371" s="4"/>
      <c r="Q371" s="4"/>
      <c r="S371" s="4">
        <v>124742.15</v>
      </c>
    </row>
    <row r="372" spans="2:19" x14ac:dyDescent="0.3">
      <c r="B372" s="3"/>
      <c r="C372" s="2" t="str">
        <f t="shared" si="21"/>
        <v/>
      </c>
      <c r="D372" s="2"/>
      <c r="E372" s="2" t="str">
        <f t="shared" si="22"/>
        <v/>
      </c>
      <c r="F372" s="3"/>
      <c r="G372" s="3"/>
      <c r="H372" s="4"/>
      <c r="I372" s="4"/>
      <c r="J372" s="4"/>
      <c r="K372" s="4"/>
      <c r="L372" s="4"/>
      <c r="M372" s="4"/>
      <c r="N372" s="4"/>
      <c r="O372" s="4"/>
      <c r="P372" s="4"/>
      <c r="Q372" s="4"/>
      <c r="S372" s="4">
        <v>181379.55</v>
      </c>
    </row>
    <row r="373" spans="2:19" x14ac:dyDescent="0.3">
      <c r="B373" s="3"/>
      <c r="C373" s="2" t="str">
        <f t="shared" si="21"/>
        <v/>
      </c>
      <c r="D373" s="2"/>
      <c r="E373" s="2" t="str">
        <f t="shared" si="22"/>
        <v/>
      </c>
      <c r="F373" s="3"/>
      <c r="G373" s="3"/>
      <c r="H373" s="4"/>
      <c r="I373" s="4"/>
      <c r="J373" s="4"/>
      <c r="K373" s="4"/>
      <c r="L373" s="4"/>
      <c r="M373" s="4"/>
      <c r="N373" s="4"/>
      <c r="O373" s="4"/>
      <c r="P373" s="4"/>
      <c r="Q373" s="4"/>
      <c r="S373" s="4">
        <v>943612.42</v>
      </c>
    </row>
    <row r="374" spans="2:19" x14ac:dyDescent="0.3">
      <c r="B374" s="3"/>
      <c r="C374" s="2" t="str">
        <f t="shared" si="21"/>
        <v/>
      </c>
      <c r="D374" s="2"/>
      <c r="E374" s="2" t="str">
        <f t="shared" si="22"/>
        <v/>
      </c>
      <c r="F374" s="3"/>
      <c r="G374" s="3"/>
      <c r="H374" s="4"/>
      <c r="I374" s="4"/>
      <c r="J374" s="4"/>
      <c r="K374" s="4"/>
      <c r="L374" s="4"/>
      <c r="M374" s="4"/>
      <c r="N374" s="4"/>
      <c r="O374" s="4"/>
      <c r="P374" s="4"/>
      <c r="Q374" s="4"/>
      <c r="S374" s="4">
        <v>-250000</v>
      </c>
    </row>
    <row r="375" spans="2:19" x14ac:dyDescent="0.3">
      <c r="B375" s="3"/>
      <c r="C375" s="2" t="str">
        <f t="shared" si="21"/>
        <v/>
      </c>
      <c r="D375" s="2"/>
      <c r="E375" s="2" t="str">
        <f t="shared" si="22"/>
        <v/>
      </c>
      <c r="F375" s="3"/>
      <c r="G375" s="3"/>
      <c r="H375" s="4"/>
      <c r="I375" s="4"/>
      <c r="J375" s="4"/>
      <c r="K375" s="4"/>
      <c r="L375" s="4"/>
      <c r="M375" s="4"/>
      <c r="N375" s="4"/>
      <c r="O375" s="4"/>
      <c r="P375" s="4"/>
      <c r="Q375" s="4"/>
      <c r="S375" s="4">
        <v>-250000</v>
      </c>
    </row>
    <row r="376" spans="2:19" x14ac:dyDescent="0.3">
      <c r="B376" s="3"/>
      <c r="C376" s="2" t="str">
        <f t="shared" si="21"/>
        <v/>
      </c>
      <c r="D376" s="2"/>
      <c r="E376" s="2" t="str">
        <f t="shared" si="22"/>
        <v/>
      </c>
      <c r="F376" s="3"/>
      <c r="G376" s="3"/>
      <c r="H376" s="4"/>
      <c r="I376" s="4"/>
      <c r="J376" s="4"/>
      <c r="K376" s="4"/>
      <c r="L376" s="4"/>
      <c r="M376" s="4"/>
      <c r="N376" s="4"/>
      <c r="O376" s="4"/>
      <c r="P376" s="4"/>
      <c r="Q376" s="4"/>
      <c r="S376" s="4">
        <v>-250000</v>
      </c>
    </row>
    <row r="377" spans="2:19" x14ac:dyDescent="0.3">
      <c r="B377" s="3"/>
      <c r="C377" s="2" t="str">
        <f t="shared" si="21"/>
        <v/>
      </c>
      <c r="D377" s="2"/>
      <c r="E377" s="2" t="str">
        <f t="shared" si="22"/>
        <v/>
      </c>
      <c r="F377" s="3"/>
      <c r="G377" s="3"/>
      <c r="H377" s="4"/>
      <c r="I377" s="4"/>
      <c r="J377" s="4"/>
      <c r="K377" s="4"/>
      <c r="L377" s="4"/>
      <c r="M377" s="4"/>
      <c r="N377" s="4"/>
      <c r="O377" s="4"/>
      <c r="P377" s="4"/>
      <c r="Q377" s="4"/>
      <c r="S377" s="4">
        <v>1193612.42</v>
      </c>
    </row>
    <row r="378" spans="2:19" x14ac:dyDescent="0.3">
      <c r="B378" s="3"/>
      <c r="C378" s="2" t="str">
        <f t="shared" si="21"/>
        <v/>
      </c>
      <c r="D378" s="2"/>
      <c r="E378" s="2" t="str">
        <f t="shared" si="22"/>
        <v/>
      </c>
      <c r="F378" s="3"/>
      <c r="G378" s="3"/>
      <c r="H378" s="4"/>
      <c r="I378" s="4"/>
      <c r="J378" s="4"/>
      <c r="K378" s="4"/>
      <c r="L378" s="4"/>
      <c r="M378" s="4"/>
      <c r="N378" s="4"/>
      <c r="O378" s="4"/>
      <c r="P378" s="4"/>
      <c r="Q378" s="4"/>
      <c r="S378" s="4">
        <v>1193612.42</v>
      </c>
    </row>
    <row r="379" spans="2:19" x14ac:dyDescent="0.3">
      <c r="B379" s="3"/>
      <c r="C379" s="2" t="str">
        <f t="shared" si="21"/>
        <v/>
      </c>
      <c r="D379" s="2"/>
      <c r="E379" s="2" t="str">
        <f t="shared" si="22"/>
        <v/>
      </c>
      <c r="F379" s="3"/>
      <c r="G379" s="3"/>
      <c r="H379" s="4"/>
      <c r="I379" s="4"/>
      <c r="J379" s="4"/>
      <c r="K379" s="4"/>
      <c r="L379" s="4"/>
      <c r="M379" s="4"/>
      <c r="N379" s="4"/>
      <c r="O379" s="4"/>
      <c r="P379" s="4"/>
      <c r="Q379" s="4"/>
      <c r="S379" s="4">
        <v>1193912.42</v>
      </c>
    </row>
    <row r="380" spans="2:19" x14ac:dyDescent="0.3">
      <c r="B380" s="3"/>
      <c r="C380" s="2" t="str">
        <f t="shared" si="21"/>
        <v/>
      </c>
      <c r="D380" s="2"/>
      <c r="E380" s="2" t="str">
        <f t="shared" si="22"/>
        <v/>
      </c>
      <c r="F380" s="3"/>
      <c r="G380" s="3"/>
      <c r="H380" s="4"/>
      <c r="I380" s="4"/>
      <c r="J380" s="4"/>
      <c r="K380" s="4"/>
      <c r="L380" s="4"/>
      <c r="M380" s="4"/>
      <c r="N380" s="4"/>
      <c r="O380" s="4"/>
      <c r="P380" s="4"/>
      <c r="Q380" s="4"/>
      <c r="S380" s="4">
        <v>-300</v>
      </c>
    </row>
    <row r="381" spans="2:19" x14ac:dyDescent="0.3">
      <c r="B381" s="3"/>
      <c r="C381" s="2" t="str">
        <f t="shared" si="21"/>
        <v/>
      </c>
      <c r="D381" s="2"/>
      <c r="E381" s="2" t="str">
        <f t="shared" si="22"/>
        <v/>
      </c>
      <c r="F381" s="3"/>
      <c r="G381" s="3"/>
      <c r="H381" s="4"/>
      <c r="I381" s="4"/>
      <c r="J381" s="4"/>
      <c r="K381" s="4"/>
      <c r="L381" s="4"/>
      <c r="M381" s="4"/>
      <c r="N381" s="4"/>
      <c r="O381" s="4"/>
      <c r="P381" s="4"/>
      <c r="Q381" s="4"/>
      <c r="S381" s="4">
        <v>-71404</v>
      </c>
    </row>
    <row r="382" spans="2:19" x14ac:dyDescent="0.3">
      <c r="B382" s="3"/>
      <c r="C382" s="2" t="str">
        <f t="shared" si="21"/>
        <v/>
      </c>
      <c r="D382" s="2"/>
      <c r="E382" s="2" t="str">
        <f t="shared" si="22"/>
        <v/>
      </c>
      <c r="F382" s="3"/>
      <c r="G382" s="3"/>
      <c r="H382" s="4"/>
      <c r="I382" s="4"/>
      <c r="J382" s="4"/>
      <c r="K382" s="4"/>
      <c r="L382" s="4"/>
      <c r="M382" s="4"/>
      <c r="N382" s="4"/>
      <c r="O382" s="4"/>
      <c r="P382" s="4"/>
      <c r="Q382" s="4"/>
      <c r="S382" s="4">
        <v>-71404</v>
      </c>
    </row>
    <row r="383" spans="2:19" x14ac:dyDescent="0.3">
      <c r="B383" s="3"/>
      <c r="C383" s="2" t="str">
        <f t="shared" si="21"/>
        <v/>
      </c>
      <c r="D383" s="2"/>
      <c r="E383" s="2" t="str">
        <f t="shared" si="22"/>
        <v/>
      </c>
      <c r="F383" s="3"/>
      <c r="G383" s="3"/>
      <c r="H383" s="4"/>
      <c r="I383" s="4"/>
      <c r="J383" s="4"/>
      <c r="K383" s="4"/>
      <c r="L383" s="4"/>
      <c r="M383" s="4"/>
      <c r="N383" s="4"/>
      <c r="O383" s="4"/>
      <c r="P383" s="4"/>
      <c r="Q383" s="4"/>
      <c r="S383" s="4">
        <v>-71404</v>
      </c>
    </row>
    <row r="384" spans="2:19" x14ac:dyDescent="0.3">
      <c r="B384" s="3"/>
      <c r="C384" s="2" t="str">
        <f t="shared" si="21"/>
        <v/>
      </c>
      <c r="D384" s="2"/>
      <c r="E384" s="2" t="str">
        <f t="shared" si="22"/>
        <v/>
      </c>
      <c r="F384" s="3"/>
      <c r="G384" s="3"/>
      <c r="H384" s="4"/>
      <c r="I384" s="4"/>
      <c r="J384" s="4"/>
      <c r="K384" s="4"/>
      <c r="L384" s="4"/>
      <c r="M384" s="4"/>
      <c r="N384" s="4"/>
      <c r="O384" s="4"/>
      <c r="P384" s="4"/>
      <c r="Q384" s="4"/>
      <c r="S384" s="4">
        <v>-69901</v>
      </c>
    </row>
    <row r="385" spans="2:19" x14ac:dyDescent="0.3">
      <c r="B385" s="3"/>
      <c r="C385" s="2" t="str">
        <f t="shared" si="21"/>
        <v/>
      </c>
      <c r="D385" s="2"/>
      <c r="E385" s="2" t="str">
        <f t="shared" si="22"/>
        <v/>
      </c>
      <c r="F385" s="3"/>
      <c r="G385" s="3"/>
      <c r="H385" s="4"/>
      <c r="I385" s="4"/>
      <c r="J385" s="4"/>
      <c r="K385" s="4"/>
      <c r="L385" s="4"/>
      <c r="M385" s="4"/>
      <c r="N385" s="4"/>
      <c r="O385" s="4"/>
      <c r="P385" s="4"/>
      <c r="Q385" s="4"/>
      <c r="S385" s="4">
        <v>-1503</v>
      </c>
    </row>
    <row r="386" spans="2:19" x14ac:dyDescent="0.3">
      <c r="B386" s="3"/>
      <c r="C386" s="2" t="str">
        <f t="shared" si="21"/>
        <v/>
      </c>
      <c r="D386" s="2"/>
      <c r="E386" s="2" t="str">
        <f t="shared" si="22"/>
        <v/>
      </c>
      <c r="F386" s="3"/>
      <c r="G386" s="3"/>
      <c r="H386" s="4"/>
      <c r="I386" s="4"/>
      <c r="J386" s="4"/>
      <c r="K386" s="4"/>
      <c r="L386" s="4"/>
      <c r="M386" s="4"/>
      <c r="N386" s="4"/>
      <c r="O386" s="4"/>
      <c r="P386" s="4"/>
      <c r="Q386" s="4"/>
      <c r="S386" s="4">
        <v>0</v>
      </c>
    </row>
    <row r="387" spans="2:19" x14ac:dyDescent="0.3">
      <c r="B387" s="3"/>
      <c r="C387" s="2" t="str">
        <f t="shared" si="21"/>
        <v/>
      </c>
      <c r="D387" s="2"/>
      <c r="E387" s="2" t="str">
        <f t="shared" si="22"/>
        <v/>
      </c>
      <c r="F387" s="3"/>
      <c r="G387" s="3"/>
      <c r="H387" s="4"/>
      <c r="I387" s="4"/>
      <c r="J387" s="4"/>
      <c r="K387" s="4"/>
      <c r="L387" s="4"/>
      <c r="M387" s="4"/>
      <c r="N387" s="4"/>
      <c r="O387" s="4"/>
      <c r="P387" s="4"/>
      <c r="Q387" s="4"/>
      <c r="S387" s="4">
        <v>0</v>
      </c>
    </row>
    <row r="388" spans="2:19" x14ac:dyDescent="0.3">
      <c r="B388" s="3"/>
      <c r="C388" s="2" t="str">
        <f t="shared" si="21"/>
        <v/>
      </c>
      <c r="D388" s="2"/>
      <c r="E388" s="2" t="str">
        <f t="shared" si="22"/>
        <v/>
      </c>
      <c r="F388" s="3"/>
      <c r="G388" s="3"/>
      <c r="H388" s="4"/>
      <c r="I388" s="4"/>
      <c r="J388" s="4"/>
      <c r="K388" s="4"/>
      <c r="L388" s="4"/>
      <c r="M388" s="4"/>
      <c r="N388" s="4"/>
      <c r="O388" s="4"/>
      <c r="P388" s="4"/>
      <c r="Q388" s="4"/>
      <c r="S388" s="4">
        <v>0</v>
      </c>
    </row>
    <row r="389" spans="2:19" x14ac:dyDescent="0.3">
      <c r="B389" s="3"/>
      <c r="C389" s="2" t="str">
        <f t="shared" si="21"/>
        <v/>
      </c>
      <c r="D389" s="2"/>
      <c r="E389" s="2" t="str">
        <f t="shared" si="22"/>
        <v/>
      </c>
      <c r="F389" s="3"/>
      <c r="G389" s="3"/>
      <c r="H389" s="4"/>
      <c r="I389" s="4"/>
      <c r="J389" s="4"/>
      <c r="K389" s="4"/>
      <c r="L389" s="4"/>
      <c r="M389" s="4"/>
      <c r="N389" s="4"/>
      <c r="O389" s="4"/>
      <c r="P389" s="4"/>
      <c r="Q389" s="4"/>
      <c r="S389" s="4">
        <v>0</v>
      </c>
    </row>
    <row r="390" spans="2:19" x14ac:dyDescent="0.3">
      <c r="B390" s="3"/>
      <c r="C390" s="2" t="str">
        <f t="shared" si="21"/>
        <v/>
      </c>
      <c r="D390" s="2"/>
      <c r="E390" s="2" t="str">
        <f t="shared" si="22"/>
        <v/>
      </c>
      <c r="F390" s="3"/>
      <c r="G390" s="3"/>
      <c r="H390" s="4"/>
      <c r="I390" s="4"/>
      <c r="J390" s="4"/>
      <c r="K390" s="4"/>
      <c r="L390" s="4"/>
      <c r="M390" s="4"/>
      <c r="N390" s="4"/>
      <c r="O390" s="4"/>
      <c r="P390" s="4"/>
      <c r="Q390" s="4"/>
      <c r="S390" s="4">
        <v>0</v>
      </c>
    </row>
    <row r="391" spans="2:19" x14ac:dyDescent="0.3">
      <c r="B391" s="3"/>
      <c r="C391" s="2" t="str">
        <f t="shared" si="21"/>
        <v/>
      </c>
      <c r="D391" s="2"/>
      <c r="E391" s="2" t="str">
        <f t="shared" si="22"/>
        <v/>
      </c>
      <c r="F391" s="3"/>
      <c r="G391" s="3"/>
      <c r="H391" s="4"/>
      <c r="I391" s="4"/>
      <c r="J391" s="4"/>
      <c r="K391" s="4"/>
      <c r="L391" s="4"/>
      <c r="M391" s="4"/>
      <c r="N391" s="4"/>
      <c r="O391" s="4"/>
      <c r="P391" s="4"/>
      <c r="Q391" s="4"/>
      <c r="S391" s="4">
        <v>0</v>
      </c>
    </row>
    <row r="392" spans="2:19" x14ac:dyDescent="0.3">
      <c r="B392" s="3"/>
      <c r="C392" s="2" t="str">
        <f t="shared" si="21"/>
        <v/>
      </c>
      <c r="D392" s="2"/>
      <c r="E392" s="2" t="str">
        <f t="shared" si="22"/>
        <v/>
      </c>
      <c r="F392" s="3"/>
      <c r="G392" s="3"/>
      <c r="H392" s="4"/>
      <c r="I392" s="4"/>
      <c r="J392" s="4"/>
      <c r="K392" s="4"/>
      <c r="L392" s="4"/>
      <c r="M392" s="4"/>
      <c r="N392" s="4"/>
      <c r="O392" s="4"/>
      <c r="P392" s="4"/>
      <c r="Q392" s="4"/>
      <c r="S392" s="4">
        <v>0</v>
      </c>
    </row>
    <row r="393" spans="2:19" x14ac:dyDescent="0.3">
      <c r="B393" s="3"/>
      <c r="C393" s="2" t="str">
        <f t="shared" si="21"/>
        <v/>
      </c>
      <c r="D393" s="2"/>
      <c r="E393" s="2" t="str">
        <f t="shared" si="22"/>
        <v/>
      </c>
      <c r="F393" s="3"/>
      <c r="G393" s="3"/>
      <c r="H393" s="4"/>
      <c r="I393" s="4"/>
      <c r="J393" s="4"/>
      <c r="K393" s="4"/>
      <c r="L393" s="4"/>
      <c r="M393" s="4"/>
      <c r="N393" s="4"/>
      <c r="O393" s="4"/>
      <c r="P393" s="4"/>
      <c r="Q393" s="4"/>
      <c r="S393" s="4">
        <v>0</v>
      </c>
    </row>
    <row r="394" spans="2:19" x14ac:dyDescent="0.3">
      <c r="B394" s="3"/>
      <c r="C394" s="2" t="str">
        <f t="shared" si="21"/>
        <v/>
      </c>
      <c r="D394" s="2"/>
      <c r="E394" s="2" t="str">
        <f t="shared" si="22"/>
        <v/>
      </c>
      <c r="F394" s="3"/>
      <c r="G394" s="3"/>
      <c r="H394" s="4"/>
      <c r="I394" s="4"/>
      <c r="J394" s="4"/>
      <c r="K394" s="4"/>
      <c r="L394" s="4"/>
      <c r="M394" s="4"/>
      <c r="N394" s="4"/>
      <c r="O394" s="4"/>
      <c r="P394" s="4"/>
      <c r="Q394" s="4"/>
      <c r="S394" s="4">
        <v>0</v>
      </c>
    </row>
    <row r="395" spans="2:19" x14ac:dyDescent="0.3">
      <c r="B395" s="3"/>
      <c r="C395" s="2" t="str">
        <f t="shared" si="21"/>
        <v/>
      </c>
      <c r="D395" s="2"/>
      <c r="E395" s="2" t="str">
        <f t="shared" si="22"/>
        <v/>
      </c>
      <c r="F395" s="3"/>
      <c r="G395" s="3"/>
      <c r="H395" s="4"/>
      <c r="I395" s="4"/>
      <c r="J395" s="4"/>
      <c r="K395" s="4"/>
      <c r="L395" s="4"/>
      <c r="M395" s="4"/>
      <c r="N395" s="4"/>
      <c r="O395" s="4"/>
      <c r="P395" s="4"/>
      <c r="Q395" s="4"/>
      <c r="S395" s="4">
        <v>0</v>
      </c>
    </row>
    <row r="396" spans="2:19" x14ac:dyDescent="0.3">
      <c r="B396" s="3"/>
      <c r="C396" s="2" t="str">
        <f t="shared" si="21"/>
        <v/>
      </c>
      <c r="D396" s="2"/>
      <c r="E396" s="2" t="str">
        <f t="shared" si="22"/>
        <v/>
      </c>
      <c r="F396" s="3"/>
      <c r="G396" s="3"/>
      <c r="H396" s="4"/>
      <c r="I396" s="4"/>
      <c r="J396" s="4"/>
      <c r="K396" s="4"/>
      <c r="L396" s="4"/>
      <c r="M396" s="4"/>
      <c r="N396" s="4"/>
      <c r="O396" s="4"/>
      <c r="P396" s="4"/>
      <c r="Q396" s="4"/>
      <c r="S396" s="4">
        <v>0</v>
      </c>
    </row>
    <row r="397" spans="2:19" x14ac:dyDescent="0.3">
      <c r="B397" s="3"/>
      <c r="C397" s="2" t="str">
        <f t="shared" si="21"/>
        <v/>
      </c>
      <c r="D397" s="2"/>
      <c r="E397" s="2" t="str">
        <f t="shared" si="22"/>
        <v/>
      </c>
      <c r="F397" s="3"/>
      <c r="G397" s="3"/>
      <c r="H397" s="4"/>
      <c r="I397" s="4"/>
      <c r="J397" s="4"/>
      <c r="K397" s="4"/>
      <c r="L397" s="4"/>
      <c r="M397" s="4"/>
      <c r="N397" s="4"/>
      <c r="O397" s="4"/>
      <c r="P397" s="4"/>
      <c r="Q397" s="4"/>
      <c r="S397" s="4">
        <v>0</v>
      </c>
    </row>
    <row r="398" spans="2:19" x14ac:dyDescent="0.3">
      <c r="B398" s="3"/>
      <c r="C398" s="2" t="str">
        <f t="shared" si="21"/>
        <v/>
      </c>
      <c r="D398" s="2"/>
      <c r="E398" s="2" t="str">
        <f t="shared" si="22"/>
        <v/>
      </c>
      <c r="F398" s="3"/>
      <c r="G398" s="3"/>
      <c r="H398" s="4"/>
      <c r="I398" s="4"/>
      <c r="J398" s="4"/>
      <c r="K398" s="4"/>
      <c r="L398" s="4"/>
      <c r="M398" s="4"/>
      <c r="N398" s="4"/>
      <c r="O398" s="4"/>
      <c r="P398" s="4"/>
      <c r="Q398" s="4"/>
      <c r="S398" s="4">
        <v>0</v>
      </c>
    </row>
    <row r="399" spans="2:19" x14ac:dyDescent="0.3">
      <c r="B399" s="3"/>
      <c r="C399" s="2" t="str">
        <f t="shared" si="21"/>
        <v/>
      </c>
      <c r="D399" s="2"/>
      <c r="E399" s="2" t="str">
        <f t="shared" si="22"/>
        <v/>
      </c>
      <c r="F399" s="3"/>
      <c r="G399" s="3"/>
      <c r="H399" s="4"/>
      <c r="I399" s="4"/>
      <c r="J399" s="4"/>
      <c r="K399" s="4"/>
      <c r="L399" s="4"/>
      <c r="M399" s="4"/>
      <c r="N399" s="4"/>
      <c r="O399" s="4"/>
      <c r="P399" s="4"/>
      <c r="Q399" s="4"/>
      <c r="S399" s="4">
        <v>0</v>
      </c>
    </row>
    <row r="400" spans="2:19" x14ac:dyDescent="0.3">
      <c r="B400" s="3"/>
      <c r="C400" s="2" t="str">
        <f t="shared" si="21"/>
        <v/>
      </c>
      <c r="D400" s="2"/>
      <c r="E400" s="2" t="str">
        <f t="shared" si="22"/>
        <v/>
      </c>
      <c r="F400" s="3"/>
      <c r="G400" s="3"/>
      <c r="H400" s="4"/>
      <c r="I400" s="4"/>
      <c r="J400" s="4"/>
      <c r="K400" s="4"/>
      <c r="L400" s="4"/>
      <c r="M400" s="4"/>
      <c r="N400" s="4"/>
      <c r="O400" s="4"/>
      <c r="P400" s="4"/>
      <c r="Q400" s="4"/>
      <c r="S400" s="4">
        <v>0</v>
      </c>
    </row>
    <row r="401" spans="2:19" x14ac:dyDescent="0.3">
      <c r="B401" s="3"/>
      <c r="C401" s="2" t="str">
        <f t="shared" si="21"/>
        <v/>
      </c>
      <c r="D401" s="2"/>
      <c r="E401" s="2" t="str">
        <f t="shared" si="22"/>
        <v/>
      </c>
      <c r="F401" s="3"/>
      <c r="G401" s="3"/>
      <c r="H401" s="4"/>
      <c r="I401" s="4"/>
      <c r="J401" s="4"/>
      <c r="K401" s="4"/>
      <c r="L401" s="4"/>
      <c r="M401" s="4"/>
      <c r="N401" s="4"/>
      <c r="O401" s="4"/>
      <c r="P401" s="4"/>
      <c r="Q401" s="4"/>
      <c r="S401" s="4">
        <v>0</v>
      </c>
    </row>
    <row r="402" spans="2:19" x14ac:dyDescent="0.3">
      <c r="B402" s="3"/>
      <c r="C402" s="2" t="str">
        <f t="shared" si="21"/>
        <v/>
      </c>
      <c r="D402" s="2"/>
      <c r="E402" s="2" t="str">
        <f t="shared" si="22"/>
        <v/>
      </c>
      <c r="F402" s="3"/>
      <c r="G402" s="3"/>
      <c r="H402" s="4"/>
      <c r="I402" s="4"/>
      <c r="J402" s="4"/>
      <c r="K402" s="4"/>
      <c r="L402" s="4"/>
      <c r="M402" s="4"/>
      <c r="N402" s="4"/>
      <c r="O402" s="4"/>
      <c r="P402" s="4"/>
      <c r="Q402" s="4"/>
      <c r="S402" s="4">
        <v>0</v>
      </c>
    </row>
    <row r="403" spans="2:19" x14ac:dyDescent="0.3">
      <c r="B403" s="3"/>
      <c r="C403" s="2" t="str">
        <f t="shared" si="21"/>
        <v/>
      </c>
      <c r="D403" s="2"/>
      <c r="E403" s="2" t="str">
        <f t="shared" si="22"/>
        <v/>
      </c>
      <c r="F403" s="3"/>
      <c r="G403" s="3"/>
      <c r="H403" s="4"/>
      <c r="I403" s="4"/>
      <c r="J403" s="4"/>
      <c r="K403" s="4"/>
      <c r="L403" s="4"/>
      <c r="M403" s="4"/>
      <c r="N403" s="4"/>
      <c r="O403" s="4"/>
      <c r="P403" s="4"/>
      <c r="Q403" s="4"/>
      <c r="S403" s="4">
        <v>0</v>
      </c>
    </row>
    <row r="404" spans="2:19" x14ac:dyDescent="0.3">
      <c r="B404" s="3"/>
      <c r="C404" s="2" t="str">
        <f t="shared" si="21"/>
        <v/>
      </c>
      <c r="D404" s="2"/>
      <c r="E404" s="2" t="str">
        <f t="shared" si="22"/>
        <v/>
      </c>
      <c r="F404" s="3"/>
      <c r="G404" s="3"/>
      <c r="H404" s="4"/>
      <c r="I404" s="4"/>
      <c r="J404" s="4"/>
      <c r="K404" s="4"/>
      <c r="L404" s="4"/>
      <c r="M404" s="4"/>
      <c r="N404" s="4"/>
      <c r="O404" s="4"/>
      <c r="P404" s="4"/>
      <c r="Q404" s="4"/>
      <c r="S404" s="4">
        <v>0</v>
      </c>
    </row>
    <row r="405" spans="2:19" x14ac:dyDescent="0.3">
      <c r="B405" s="3"/>
      <c r="C405" s="2" t="str">
        <f t="shared" si="21"/>
        <v/>
      </c>
      <c r="D405" s="2"/>
      <c r="E405" s="2" t="str">
        <f t="shared" si="22"/>
        <v/>
      </c>
      <c r="F405" s="3"/>
      <c r="G405" s="3"/>
      <c r="H405" s="4"/>
      <c r="I405" s="4"/>
      <c r="J405" s="4"/>
      <c r="K405" s="4"/>
      <c r="L405" s="4"/>
      <c r="M405" s="4"/>
      <c r="N405" s="4"/>
      <c r="O405" s="4"/>
      <c r="P405" s="4"/>
      <c r="Q405" s="4"/>
      <c r="S405" s="4">
        <v>0</v>
      </c>
    </row>
    <row r="406" spans="2:19" x14ac:dyDescent="0.3">
      <c r="B406" s="3"/>
      <c r="C406" s="2" t="str">
        <f t="shared" si="21"/>
        <v/>
      </c>
      <c r="D406" s="2"/>
      <c r="E406" s="2" t="str">
        <f t="shared" si="22"/>
        <v/>
      </c>
      <c r="F406" s="3"/>
      <c r="G406" s="3"/>
      <c r="H406" s="4"/>
      <c r="I406" s="4"/>
      <c r="J406" s="4"/>
      <c r="K406" s="4"/>
      <c r="L406" s="4"/>
      <c r="M406" s="4"/>
      <c r="N406" s="4"/>
      <c r="O406" s="4"/>
      <c r="P406" s="4"/>
      <c r="Q406" s="4"/>
      <c r="S406" s="4">
        <v>0</v>
      </c>
    </row>
    <row r="407" spans="2:19" x14ac:dyDescent="0.3">
      <c r="B407" s="3"/>
      <c r="C407" s="2" t="str">
        <f t="shared" si="21"/>
        <v/>
      </c>
      <c r="D407" s="2"/>
      <c r="E407" s="2" t="str">
        <f t="shared" si="22"/>
        <v/>
      </c>
      <c r="F407" s="3"/>
      <c r="G407" s="3"/>
      <c r="H407" s="4"/>
      <c r="I407" s="4"/>
      <c r="J407" s="4"/>
      <c r="K407" s="4"/>
      <c r="L407" s="4"/>
      <c r="M407" s="4"/>
      <c r="N407" s="4"/>
      <c r="O407" s="4"/>
      <c r="P407" s="4"/>
      <c r="Q407" s="4"/>
      <c r="S407" s="4">
        <v>0</v>
      </c>
    </row>
    <row r="408" spans="2:19" x14ac:dyDescent="0.3">
      <c r="B408" s="3"/>
      <c r="C408" s="2" t="str">
        <f t="shared" si="21"/>
        <v/>
      </c>
      <c r="D408" s="2"/>
      <c r="E408" s="2" t="str">
        <f t="shared" si="22"/>
        <v/>
      </c>
      <c r="F408" s="3"/>
      <c r="G408" s="3"/>
      <c r="H408" s="4"/>
      <c r="I408" s="4"/>
      <c r="J408" s="4"/>
      <c r="K408" s="4"/>
      <c r="L408" s="4"/>
      <c r="M408" s="4"/>
      <c r="N408" s="4"/>
      <c r="O408" s="4"/>
      <c r="P408" s="4"/>
      <c r="Q408" s="4"/>
      <c r="S408" s="4">
        <v>0</v>
      </c>
    </row>
    <row r="409" spans="2:19" x14ac:dyDescent="0.3">
      <c r="B409" s="3"/>
      <c r="C409" s="2" t="str">
        <f t="shared" si="21"/>
        <v/>
      </c>
      <c r="D409" s="2"/>
      <c r="E409" s="2" t="str">
        <f t="shared" si="22"/>
        <v/>
      </c>
      <c r="F409" s="3"/>
      <c r="G409" s="3"/>
      <c r="H409" s="4"/>
      <c r="I409" s="4"/>
      <c r="J409" s="4"/>
      <c r="K409" s="4"/>
      <c r="L409" s="4"/>
      <c r="M409" s="4"/>
      <c r="N409" s="4"/>
      <c r="O409" s="4"/>
      <c r="P409" s="4"/>
      <c r="Q409" s="4"/>
      <c r="S409" s="4">
        <v>0</v>
      </c>
    </row>
    <row r="410" spans="2:19" x14ac:dyDescent="0.3">
      <c r="B410" s="3"/>
      <c r="C410" s="2" t="str">
        <f t="shared" si="21"/>
        <v/>
      </c>
      <c r="D410" s="2"/>
      <c r="E410" s="2" t="str">
        <f t="shared" si="22"/>
        <v/>
      </c>
      <c r="F410" s="3"/>
      <c r="G410" s="3"/>
      <c r="H410" s="4"/>
      <c r="I410" s="4"/>
      <c r="J410" s="4"/>
      <c r="K410" s="4"/>
      <c r="L410" s="4"/>
      <c r="M410" s="4"/>
      <c r="N410" s="4"/>
      <c r="O410" s="4"/>
      <c r="P410" s="4"/>
      <c r="Q410" s="4"/>
      <c r="S410" s="4">
        <v>0</v>
      </c>
    </row>
    <row r="411" spans="2:19" x14ac:dyDescent="0.3">
      <c r="B411" s="3"/>
      <c r="C411" s="2" t="str">
        <f t="shared" si="21"/>
        <v/>
      </c>
      <c r="D411" s="2"/>
      <c r="E411" s="2" t="str">
        <f t="shared" si="22"/>
        <v/>
      </c>
      <c r="F411" s="3"/>
      <c r="G411" s="3"/>
      <c r="H411" s="4"/>
      <c r="I411" s="4"/>
      <c r="J411" s="4"/>
      <c r="K411" s="4"/>
      <c r="L411" s="4"/>
      <c r="M411" s="4"/>
      <c r="N411" s="4"/>
      <c r="O411" s="4"/>
      <c r="P411" s="4"/>
      <c r="Q411" s="4"/>
      <c r="S411" s="4">
        <v>0</v>
      </c>
    </row>
    <row r="412" spans="2:19" x14ac:dyDescent="0.3">
      <c r="B412" s="3"/>
      <c r="C412" s="2" t="str">
        <f t="shared" si="21"/>
        <v/>
      </c>
      <c r="D412" s="2"/>
      <c r="E412" s="2" t="str">
        <f t="shared" si="22"/>
        <v/>
      </c>
      <c r="F412" s="3"/>
      <c r="G412" s="3"/>
      <c r="H412" s="4"/>
      <c r="I412" s="4"/>
      <c r="J412" s="4"/>
      <c r="K412" s="4"/>
      <c r="L412" s="4"/>
      <c r="M412" s="4"/>
      <c r="N412" s="4"/>
      <c r="O412" s="4"/>
      <c r="P412" s="4"/>
      <c r="Q412" s="4"/>
      <c r="S412" s="4">
        <v>0</v>
      </c>
    </row>
    <row r="413" spans="2:19" x14ac:dyDescent="0.3">
      <c r="B413" s="3"/>
      <c r="C413" s="2" t="str">
        <f t="shared" si="21"/>
        <v/>
      </c>
      <c r="D413" s="2"/>
      <c r="E413" s="2" t="str">
        <f t="shared" si="22"/>
        <v/>
      </c>
      <c r="F413" s="3"/>
      <c r="G413" s="3"/>
      <c r="H413" s="4"/>
      <c r="I413" s="4"/>
      <c r="J413" s="4"/>
      <c r="K413" s="4"/>
      <c r="L413" s="4"/>
      <c r="M413" s="4"/>
      <c r="N413" s="4"/>
      <c r="O413" s="4"/>
      <c r="P413" s="4"/>
      <c r="Q413" s="4"/>
      <c r="S413" s="4">
        <v>0</v>
      </c>
    </row>
    <row r="414" spans="2:19" x14ac:dyDescent="0.3">
      <c r="B414" s="3"/>
      <c r="C414" s="2" t="str">
        <f t="shared" si="21"/>
        <v/>
      </c>
      <c r="D414" s="2"/>
      <c r="E414" s="2" t="str">
        <f t="shared" si="22"/>
        <v/>
      </c>
      <c r="F414" s="3"/>
      <c r="G414" s="3"/>
      <c r="H414" s="4"/>
      <c r="I414" s="4"/>
      <c r="J414" s="4"/>
      <c r="K414" s="4"/>
      <c r="L414" s="4"/>
      <c r="M414" s="4"/>
      <c r="N414" s="4"/>
      <c r="O414" s="4"/>
      <c r="P414" s="4"/>
      <c r="Q414" s="4"/>
      <c r="S414" s="4">
        <v>0</v>
      </c>
    </row>
    <row r="415" spans="2:19" x14ac:dyDescent="0.3">
      <c r="B415" s="3"/>
      <c r="C415" s="2" t="str">
        <f t="shared" si="21"/>
        <v/>
      </c>
      <c r="D415" s="2"/>
      <c r="E415" s="2" t="str">
        <f t="shared" si="22"/>
        <v/>
      </c>
      <c r="F415" s="3"/>
      <c r="G415" s="3"/>
      <c r="H415" s="4"/>
      <c r="I415" s="4"/>
      <c r="J415" s="4"/>
      <c r="K415" s="4"/>
      <c r="L415" s="4"/>
      <c r="M415" s="4"/>
      <c r="N415" s="4"/>
      <c r="O415" s="4"/>
      <c r="P415" s="4"/>
      <c r="Q415" s="4"/>
      <c r="S415" s="4">
        <v>0</v>
      </c>
    </row>
    <row r="416" spans="2:19" x14ac:dyDescent="0.3">
      <c r="B416" s="3"/>
      <c r="C416" s="2" t="str">
        <f t="shared" si="21"/>
        <v/>
      </c>
      <c r="D416" s="2"/>
      <c r="E416" s="2" t="str">
        <f t="shared" si="22"/>
        <v/>
      </c>
      <c r="F416" s="3"/>
      <c r="G416" s="3"/>
      <c r="H416" s="4"/>
      <c r="I416" s="4"/>
      <c r="J416" s="4"/>
      <c r="K416" s="4"/>
      <c r="L416" s="4"/>
      <c r="M416" s="4"/>
      <c r="N416" s="4"/>
      <c r="O416" s="4"/>
      <c r="P416" s="4"/>
      <c r="Q416" s="4"/>
      <c r="S416" s="4">
        <v>0</v>
      </c>
    </row>
    <row r="417" spans="2:19" x14ac:dyDescent="0.3">
      <c r="B417" s="3"/>
      <c r="C417" s="2" t="str">
        <f t="shared" si="21"/>
        <v/>
      </c>
      <c r="D417" s="2"/>
      <c r="E417" s="2" t="str">
        <f t="shared" si="22"/>
        <v/>
      </c>
      <c r="F417" s="3"/>
      <c r="G417" s="3"/>
      <c r="H417" s="4"/>
      <c r="I417" s="4"/>
      <c r="J417" s="4"/>
      <c r="K417" s="4"/>
      <c r="L417" s="4"/>
      <c r="M417" s="4"/>
      <c r="N417" s="4"/>
      <c r="O417" s="4"/>
      <c r="P417" s="4"/>
      <c r="Q417" s="4"/>
      <c r="S417" s="4">
        <v>0</v>
      </c>
    </row>
    <row r="418" spans="2:19" x14ac:dyDescent="0.3">
      <c r="B418" s="3"/>
      <c r="C418" s="2" t="str">
        <f t="shared" si="21"/>
        <v/>
      </c>
      <c r="D418" s="2"/>
      <c r="E418" s="2" t="str">
        <f t="shared" si="22"/>
        <v/>
      </c>
      <c r="F418" s="3"/>
      <c r="G418" s="3"/>
      <c r="H418" s="4"/>
      <c r="I418" s="4"/>
      <c r="J418" s="4"/>
      <c r="K418" s="4"/>
      <c r="L418" s="4"/>
      <c r="M418" s="4"/>
      <c r="N418" s="4"/>
      <c r="O418" s="4"/>
      <c r="P418" s="4"/>
      <c r="Q418" s="4"/>
      <c r="S418" s="4">
        <v>0</v>
      </c>
    </row>
    <row r="419" spans="2:19" x14ac:dyDescent="0.3">
      <c r="B419" s="3"/>
      <c r="C419" s="2" t="str">
        <f t="shared" si="21"/>
        <v/>
      </c>
      <c r="D419" s="2"/>
      <c r="E419" s="2" t="str">
        <f t="shared" si="22"/>
        <v/>
      </c>
      <c r="F419" s="3"/>
      <c r="G419" s="3"/>
      <c r="H419" s="4"/>
      <c r="I419" s="4"/>
      <c r="J419" s="4"/>
      <c r="K419" s="4"/>
      <c r="L419" s="4"/>
      <c r="M419" s="4"/>
      <c r="N419" s="4"/>
      <c r="O419" s="4"/>
      <c r="P419" s="4"/>
      <c r="Q419" s="4"/>
      <c r="S419" s="4">
        <v>0</v>
      </c>
    </row>
    <row r="420" spans="2:19" x14ac:dyDescent="0.3">
      <c r="B420" s="3"/>
      <c r="C420" s="2" t="str">
        <f t="shared" si="21"/>
        <v/>
      </c>
      <c r="D420" s="2"/>
      <c r="E420" s="2" t="str">
        <f t="shared" si="22"/>
        <v/>
      </c>
      <c r="F420" s="3"/>
      <c r="G420" s="3"/>
      <c r="H420" s="4"/>
      <c r="I420" s="4"/>
      <c r="J420" s="4"/>
      <c r="K420" s="4"/>
      <c r="L420" s="4"/>
      <c r="M420" s="4"/>
      <c r="N420" s="4"/>
      <c r="O420" s="4"/>
      <c r="P420" s="4"/>
      <c r="Q420" s="4"/>
      <c r="S420" s="4">
        <v>0</v>
      </c>
    </row>
    <row r="421" spans="2:19" x14ac:dyDescent="0.3">
      <c r="B421" s="3"/>
      <c r="C421" s="2" t="str">
        <f t="shared" si="21"/>
        <v/>
      </c>
      <c r="D421" s="2"/>
      <c r="E421" s="2" t="str">
        <f t="shared" si="22"/>
        <v/>
      </c>
      <c r="F421" s="3"/>
      <c r="G421" s="3"/>
      <c r="H421" s="4"/>
      <c r="I421" s="4"/>
      <c r="J421" s="4"/>
      <c r="K421" s="4"/>
      <c r="L421" s="4"/>
      <c r="M421" s="4"/>
      <c r="N421" s="4"/>
      <c r="O421" s="4"/>
      <c r="P421" s="4"/>
      <c r="Q421" s="4"/>
      <c r="S421" s="4">
        <v>0</v>
      </c>
    </row>
    <row r="422" spans="2:19" x14ac:dyDescent="0.3">
      <c r="B422" s="3"/>
      <c r="C422" s="2" t="str">
        <f t="shared" si="21"/>
        <v/>
      </c>
      <c r="D422" s="2"/>
      <c r="E422" s="2" t="str">
        <f t="shared" si="22"/>
        <v/>
      </c>
      <c r="F422" s="3"/>
      <c r="G422" s="3"/>
      <c r="H422" s="4"/>
      <c r="I422" s="4"/>
      <c r="J422" s="4"/>
      <c r="K422" s="4"/>
      <c r="L422" s="4"/>
      <c r="M422" s="4"/>
      <c r="N422" s="4"/>
      <c r="O422" s="4"/>
      <c r="P422" s="4"/>
      <c r="Q422" s="4"/>
      <c r="S422" s="4">
        <v>0</v>
      </c>
    </row>
    <row r="423" spans="2:19" x14ac:dyDescent="0.3">
      <c r="B423" s="3"/>
      <c r="C423" s="2" t="str">
        <f t="shared" si="21"/>
        <v/>
      </c>
      <c r="D423" s="2"/>
      <c r="E423" s="2" t="str">
        <f t="shared" si="22"/>
        <v/>
      </c>
      <c r="F423" s="3"/>
      <c r="G423" s="3"/>
      <c r="H423" s="4"/>
      <c r="I423" s="4"/>
      <c r="J423" s="4"/>
      <c r="K423" s="4"/>
      <c r="L423" s="4"/>
      <c r="M423" s="4"/>
      <c r="N423" s="4"/>
      <c r="O423" s="4"/>
      <c r="P423" s="4"/>
      <c r="Q423" s="4"/>
      <c r="S423" s="4">
        <v>0</v>
      </c>
    </row>
    <row r="424" spans="2:19" x14ac:dyDescent="0.3">
      <c r="B424" s="3"/>
      <c r="C424" s="2" t="str">
        <f t="shared" ref="C424:C487" si="23">IF($F424="","",IF(LEFT($F424,1)*1=1,"A",IF(LEFT($F424,1)*1=2,"P",IF(LEFT($F424,1)*1=3,"C",IF(LEFT($F424,1)*1=4,"C",IF(LEFT($F424,1)*1=5,"R",""))))))</f>
        <v/>
      </c>
      <c r="D424" s="2"/>
      <c r="E424" s="2" t="str">
        <f t="shared" ref="E424:E487" si="24">IF($F424="","",IF(LEN($F424)=1,1,IF(LEN($F424)=3,2,IF(LEN($F424)=6,3,IF(LEN($F424)=9,4,IF(LEN($F424)=12,5,6))))))</f>
        <v/>
      </c>
      <c r="F424" s="3"/>
      <c r="G424" s="3"/>
      <c r="H424" s="4"/>
      <c r="I424" s="4"/>
      <c r="J424" s="4"/>
      <c r="K424" s="4"/>
      <c r="L424" s="4"/>
      <c r="M424" s="4"/>
      <c r="N424" s="4"/>
      <c r="O424" s="4"/>
      <c r="P424" s="4"/>
      <c r="Q424" s="4"/>
      <c r="S424" s="4">
        <v>0</v>
      </c>
    </row>
    <row r="425" spans="2:19" x14ac:dyDescent="0.3">
      <c r="B425" s="3"/>
      <c r="C425" s="2" t="str">
        <f t="shared" si="23"/>
        <v/>
      </c>
      <c r="D425" s="2"/>
      <c r="E425" s="2" t="str">
        <f t="shared" si="24"/>
        <v/>
      </c>
      <c r="F425" s="3"/>
      <c r="G425" s="3"/>
      <c r="H425" s="4"/>
      <c r="I425" s="4"/>
      <c r="J425" s="4"/>
      <c r="K425" s="4"/>
      <c r="L425" s="4"/>
      <c r="M425" s="4"/>
      <c r="N425" s="4"/>
      <c r="O425" s="4"/>
      <c r="P425" s="4"/>
      <c r="Q425" s="4"/>
      <c r="S425" s="4">
        <v>0</v>
      </c>
    </row>
    <row r="426" spans="2:19" x14ac:dyDescent="0.3">
      <c r="B426" s="3"/>
      <c r="C426" s="2" t="str">
        <f t="shared" si="23"/>
        <v/>
      </c>
      <c r="D426" s="2"/>
      <c r="E426" s="2" t="str">
        <f t="shared" si="24"/>
        <v/>
      </c>
      <c r="F426" s="3"/>
      <c r="G426" s="3"/>
      <c r="H426" s="4"/>
      <c r="I426" s="4"/>
      <c r="J426" s="4"/>
      <c r="K426" s="4"/>
      <c r="L426" s="4"/>
      <c r="M426" s="4"/>
      <c r="N426" s="4"/>
      <c r="O426" s="4"/>
      <c r="P426" s="4"/>
      <c r="Q426" s="4"/>
      <c r="S426" s="4">
        <v>0</v>
      </c>
    </row>
    <row r="427" spans="2:19" x14ac:dyDescent="0.3">
      <c r="B427" s="3"/>
      <c r="C427" s="2" t="str">
        <f t="shared" si="23"/>
        <v/>
      </c>
      <c r="D427" s="2"/>
      <c r="E427" s="2" t="str">
        <f t="shared" si="24"/>
        <v/>
      </c>
      <c r="F427" s="3"/>
      <c r="G427" s="3"/>
      <c r="H427" s="4"/>
      <c r="I427" s="4"/>
      <c r="J427" s="4"/>
      <c r="K427" s="4"/>
      <c r="L427" s="4"/>
      <c r="M427" s="4"/>
      <c r="N427" s="4"/>
      <c r="O427" s="4"/>
      <c r="P427" s="4"/>
      <c r="Q427" s="4"/>
      <c r="S427" s="4">
        <v>0</v>
      </c>
    </row>
    <row r="428" spans="2:19" x14ac:dyDescent="0.3">
      <c r="B428" s="3"/>
      <c r="C428" s="2" t="str">
        <f t="shared" si="23"/>
        <v/>
      </c>
      <c r="D428" s="2"/>
      <c r="E428" s="2" t="str">
        <f t="shared" si="24"/>
        <v/>
      </c>
      <c r="F428" s="3"/>
      <c r="G428" s="3"/>
      <c r="H428" s="4"/>
      <c r="I428" s="4"/>
      <c r="J428" s="4"/>
      <c r="K428" s="4"/>
      <c r="L428" s="4"/>
      <c r="M428" s="4"/>
      <c r="N428" s="4"/>
      <c r="O428" s="4"/>
      <c r="P428" s="4"/>
      <c r="Q428" s="4"/>
      <c r="S428" s="4">
        <v>0</v>
      </c>
    </row>
    <row r="429" spans="2:19" x14ac:dyDescent="0.3">
      <c r="B429" s="3"/>
      <c r="C429" s="2" t="str">
        <f t="shared" si="23"/>
        <v/>
      </c>
      <c r="D429" s="2"/>
      <c r="E429" s="2" t="str">
        <f t="shared" si="24"/>
        <v/>
      </c>
      <c r="F429" s="3"/>
      <c r="G429" s="3"/>
      <c r="H429" s="4"/>
      <c r="I429" s="4"/>
      <c r="J429" s="4"/>
      <c r="K429" s="4"/>
      <c r="L429" s="4"/>
      <c r="M429" s="4"/>
      <c r="N429" s="4"/>
      <c r="O429" s="4"/>
      <c r="P429" s="4"/>
      <c r="Q429" s="4"/>
      <c r="S429" s="4">
        <v>0</v>
      </c>
    </row>
    <row r="430" spans="2:19" x14ac:dyDescent="0.3">
      <c r="B430" s="3"/>
      <c r="C430" s="2" t="str">
        <f t="shared" si="23"/>
        <v/>
      </c>
      <c r="D430" s="2"/>
      <c r="E430" s="2" t="str">
        <f t="shared" si="24"/>
        <v/>
      </c>
      <c r="F430" s="3"/>
      <c r="G430" s="3"/>
      <c r="H430" s="4"/>
      <c r="I430" s="4"/>
      <c r="J430" s="4"/>
      <c r="K430" s="4"/>
      <c r="L430" s="4"/>
      <c r="M430" s="4"/>
      <c r="N430" s="4"/>
      <c r="O430" s="4"/>
      <c r="P430" s="4"/>
      <c r="Q430" s="4"/>
      <c r="S430" s="4">
        <v>0</v>
      </c>
    </row>
    <row r="431" spans="2:19" x14ac:dyDescent="0.3">
      <c r="B431" s="3"/>
      <c r="C431" s="2" t="str">
        <f t="shared" si="23"/>
        <v/>
      </c>
      <c r="D431" s="2"/>
      <c r="E431" s="2" t="str">
        <f t="shared" si="24"/>
        <v/>
      </c>
      <c r="F431" s="3"/>
      <c r="G431" s="3"/>
      <c r="H431" s="4"/>
      <c r="I431" s="4"/>
      <c r="J431" s="4"/>
      <c r="K431" s="4"/>
      <c r="L431" s="4"/>
      <c r="M431" s="4"/>
      <c r="N431" s="4"/>
      <c r="O431" s="4"/>
      <c r="P431" s="4"/>
      <c r="Q431" s="4"/>
      <c r="S431" s="4">
        <v>0</v>
      </c>
    </row>
    <row r="432" spans="2:19" x14ac:dyDescent="0.3">
      <c r="B432" s="3"/>
      <c r="C432" s="2" t="str">
        <f t="shared" si="23"/>
        <v/>
      </c>
      <c r="D432" s="2"/>
      <c r="E432" s="2" t="str">
        <f t="shared" si="24"/>
        <v/>
      </c>
      <c r="F432" s="3"/>
      <c r="G432" s="3"/>
      <c r="H432" s="4"/>
      <c r="I432" s="4"/>
      <c r="J432" s="4"/>
      <c r="K432" s="4"/>
      <c r="L432" s="4"/>
      <c r="M432" s="4"/>
      <c r="N432" s="4"/>
      <c r="O432" s="4"/>
      <c r="P432" s="4"/>
      <c r="Q432" s="4"/>
      <c r="S432" s="4">
        <v>0</v>
      </c>
    </row>
    <row r="433" spans="2:19" x14ac:dyDescent="0.3">
      <c r="B433" s="3"/>
      <c r="C433" s="2" t="str">
        <f t="shared" si="23"/>
        <v/>
      </c>
      <c r="D433" s="2"/>
      <c r="E433" s="2" t="str">
        <f t="shared" si="24"/>
        <v/>
      </c>
      <c r="F433" s="3"/>
      <c r="G433" s="3"/>
      <c r="H433" s="4"/>
      <c r="I433" s="4"/>
      <c r="J433" s="4"/>
      <c r="K433" s="4"/>
      <c r="L433" s="4"/>
      <c r="M433" s="4"/>
      <c r="N433" s="4"/>
      <c r="O433" s="4"/>
      <c r="P433" s="4"/>
      <c r="Q433" s="4"/>
      <c r="S433" s="4">
        <v>0</v>
      </c>
    </row>
    <row r="434" spans="2:19" x14ac:dyDescent="0.3">
      <c r="B434" s="3"/>
      <c r="C434" s="2" t="str">
        <f t="shared" si="23"/>
        <v/>
      </c>
      <c r="D434" s="2"/>
      <c r="E434" s="2" t="str">
        <f t="shared" si="24"/>
        <v/>
      </c>
      <c r="F434" s="3"/>
      <c r="G434" s="3"/>
      <c r="H434" s="4"/>
      <c r="I434" s="4"/>
      <c r="J434" s="4"/>
      <c r="K434" s="4"/>
      <c r="L434" s="4"/>
      <c r="M434" s="4"/>
      <c r="N434" s="4"/>
      <c r="O434" s="4"/>
      <c r="P434" s="4"/>
      <c r="Q434" s="4"/>
      <c r="S434" s="4">
        <v>0</v>
      </c>
    </row>
    <row r="435" spans="2:19" x14ac:dyDescent="0.3">
      <c r="B435" s="3"/>
      <c r="C435" s="2" t="str">
        <f t="shared" si="23"/>
        <v/>
      </c>
      <c r="D435" s="2"/>
      <c r="E435" s="2" t="str">
        <f t="shared" si="24"/>
        <v/>
      </c>
      <c r="F435" s="3"/>
      <c r="G435" s="3"/>
      <c r="H435" s="4"/>
      <c r="I435" s="4"/>
      <c r="J435" s="4"/>
      <c r="K435" s="4"/>
      <c r="L435" s="4"/>
      <c r="M435" s="4"/>
      <c r="N435" s="4"/>
      <c r="O435" s="4"/>
      <c r="P435" s="4"/>
      <c r="Q435" s="4"/>
      <c r="S435" s="4">
        <v>0</v>
      </c>
    </row>
    <row r="436" spans="2:19" x14ac:dyDescent="0.3">
      <c r="B436" s="3"/>
      <c r="C436" s="2" t="str">
        <f t="shared" si="23"/>
        <v/>
      </c>
      <c r="D436" s="2"/>
      <c r="E436" s="2" t="str">
        <f t="shared" si="24"/>
        <v/>
      </c>
      <c r="F436" s="3"/>
      <c r="G436" s="3"/>
      <c r="H436" s="4"/>
      <c r="I436" s="4"/>
      <c r="J436" s="4"/>
      <c r="K436" s="4"/>
      <c r="L436" s="4"/>
      <c r="M436" s="4"/>
      <c r="N436" s="4"/>
      <c r="O436" s="4"/>
      <c r="P436" s="4"/>
      <c r="Q436" s="4"/>
      <c r="S436" s="4">
        <v>0</v>
      </c>
    </row>
    <row r="437" spans="2:19" x14ac:dyDescent="0.3">
      <c r="B437" s="3"/>
      <c r="C437" s="2" t="str">
        <f t="shared" si="23"/>
        <v/>
      </c>
      <c r="D437" s="2"/>
      <c r="E437" s="2" t="str">
        <f t="shared" si="24"/>
        <v/>
      </c>
      <c r="F437" s="3"/>
      <c r="G437" s="3"/>
      <c r="H437" s="4"/>
      <c r="I437" s="4"/>
      <c r="J437" s="4"/>
      <c r="K437" s="4"/>
      <c r="L437" s="4"/>
      <c r="M437" s="4"/>
      <c r="N437" s="4"/>
      <c r="O437" s="4"/>
      <c r="P437" s="4"/>
      <c r="Q437" s="4"/>
      <c r="S437" s="4">
        <v>0</v>
      </c>
    </row>
    <row r="438" spans="2:19" x14ac:dyDescent="0.3">
      <c r="B438" s="3"/>
      <c r="C438" s="2" t="str">
        <f t="shared" si="23"/>
        <v/>
      </c>
      <c r="D438" s="2"/>
      <c r="E438" s="2" t="str">
        <f t="shared" si="24"/>
        <v/>
      </c>
      <c r="F438" s="3"/>
      <c r="G438" s="3"/>
      <c r="H438" s="4"/>
      <c r="I438" s="4"/>
      <c r="J438" s="4"/>
      <c r="K438" s="4"/>
      <c r="L438" s="4"/>
      <c r="M438" s="4"/>
      <c r="N438" s="4"/>
      <c r="O438" s="4"/>
      <c r="P438" s="4"/>
      <c r="Q438" s="4"/>
      <c r="S438" s="4">
        <v>0</v>
      </c>
    </row>
    <row r="439" spans="2:19" x14ac:dyDescent="0.3">
      <c r="B439" s="3"/>
      <c r="C439" s="2" t="str">
        <f t="shared" si="23"/>
        <v/>
      </c>
      <c r="D439" s="2"/>
      <c r="E439" s="2" t="str">
        <f t="shared" si="24"/>
        <v/>
      </c>
      <c r="F439" s="3"/>
      <c r="G439" s="3"/>
      <c r="H439" s="4"/>
      <c r="I439" s="4"/>
      <c r="J439" s="4"/>
      <c r="K439" s="4"/>
      <c r="L439" s="4"/>
      <c r="M439" s="4"/>
      <c r="N439" s="4"/>
      <c r="O439" s="4"/>
      <c r="P439" s="4"/>
      <c r="Q439" s="4"/>
      <c r="S439" s="4">
        <v>0</v>
      </c>
    </row>
    <row r="440" spans="2:19" x14ac:dyDescent="0.3">
      <c r="B440" s="3"/>
      <c r="C440" s="2" t="str">
        <f t="shared" si="23"/>
        <v/>
      </c>
      <c r="D440" s="2"/>
      <c r="E440" s="2" t="str">
        <f t="shared" si="24"/>
        <v/>
      </c>
      <c r="F440" s="3"/>
      <c r="G440" s="3"/>
      <c r="H440" s="4"/>
      <c r="I440" s="4"/>
      <c r="J440" s="4"/>
      <c r="K440" s="4"/>
      <c r="L440" s="4"/>
      <c r="M440" s="4"/>
      <c r="N440" s="4"/>
      <c r="O440" s="4"/>
      <c r="P440" s="4"/>
      <c r="Q440" s="4"/>
      <c r="S440" s="4">
        <v>0</v>
      </c>
    </row>
    <row r="441" spans="2:19" x14ac:dyDescent="0.3">
      <c r="B441" s="3"/>
      <c r="C441" s="2" t="str">
        <f t="shared" si="23"/>
        <v/>
      </c>
      <c r="D441" s="2"/>
      <c r="E441" s="2" t="str">
        <f t="shared" si="24"/>
        <v/>
      </c>
      <c r="F441" s="3"/>
      <c r="G441" s="3"/>
      <c r="H441" s="4"/>
      <c r="I441" s="4"/>
      <c r="J441" s="4"/>
      <c r="K441" s="4"/>
      <c r="L441" s="4"/>
      <c r="M441" s="4"/>
      <c r="N441" s="4"/>
      <c r="O441" s="4"/>
      <c r="P441" s="4"/>
      <c r="Q441" s="4"/>
      <c r="S441" s="4">
        <v>0</v>
      </c>
    </row>
    <row r="442" spans="2:19" x14ac:dyDescent="0.3">
      <c r="B442" s="3"/>
      <c r="C442" s="2" t="str">
        <f t="shared" si="23"/>
        <v/>
      </c>
      <c r="D442" s="2"/>
      <c r="E442" s="2" t="str">
        <f t="shared" si="24"/>
        <v/>
      </c>
      <c r="F442" s="3"/>
      <c r="G442" s="3"/>
      <c r="H442" s="4"/>
      <c r="I442" s="4"/>
      <c r="J442" s="4"/>
      <c r="K442" s="4"/>
      <c r="L442" s="4"/>
      <c r="M442" s="4"/>
      <c r="N442" s="4"/>
      <c r="O442" s="4"/>
      <c r="P442" s="4"/>
      <c r="Q442" s="4"/>
      <c r="S442" s="4">
        <v>0</v>
      </c>
    </row>
    <row r="443" spans="2:19" x14ac:dyDescent="0.3">
      <c r="B443" s="3"/>
      <c r="C443" s="2" t="str">
        <f t="shared" si="23"/>
        <v/>
      </c>
      <c r="D443" s="2"/>
      <c r="E443" s="2" t="str">
        <f t="shared" si="24"/>
        <v/>
      </c>
      <c r="F443" s="3"/>
      <c r="G443" s="3"/>
      <c r="H443" s="4"/>
      <c r="I443" s="4"/>
      <c r="J443" s="4"/>
      <c r="K443" s="4"/>
      <c r="L443" s="4"/>
      <c r="M443" s="4"/>
      <c r="N443" s="4"/>
      <c r="O443" s="4"/>
      <c r="P443" s="4"/>
      <c r="Q443" s="4"/>
      <c r="S443" s="4">
        <v>0</v>
      </c>
    </row>
    <row r="444" spans="2:19" x14ac:dyDescent="0.3">
      <c r="B444" s="3"/>
      <c r="C444" s="2" t="str">
        <f t="shared" si="23"/>
        <v/>
      </c>
      <c r="D444" s="2"/>
      <c r="E444" s="2" t="str">
        <f t="shared" si="24"/>
        <v/>
      </c>
      <c r="F444" s="3"/>
      <c r="G444" s="3"/>
      <c r="H444" s="4"/>
      <c r="I444" s="4"/>
      <c r="J444" s="4"/>
      <c r="K444" s="4"/>
      <c r="L444" s="4"/>
      <c r="M444" s="4"/>
      <c r="N444" s="4"/>
      <c r="O444" s="4"/>
      <c r="P444" s="4"/>
      <c r="Q444" s="4"/>
      <c r="S444" s="4">
        <v>0</v>
      </c>
    </row>
    <row r="445" spans="2:19" x14ac:dyDescent="0.3">
      <c r="B445" s="3"/>
      <c r="C445" s="2" t="str">
        <f t="shared" si="23"/>
        <v/>
      </c>
      <c r="D445" s="2"/>
      <c r="E445" s="2" t="str">
        <f t="shared" si="24"/>
        <v/>
      </c>
      <c r="F445" s="3"/>
      <c r="G445" s="3"/>
      <c r="H445" s="4"/>
      <c r="I445" s="4"/>
      <c r="J445" s="4"/>
      <c r="K445" s="4"/>
      <c r="L445" s="4"/>
      <c r="M445" s="4"/>
      <c r="N445" s="4"/>
      <c r="O445" s="4"/>
      <c r="P445" s="4"/>
      <c r="Q445" s="4"/>
      <c r="S445" s="4">
        <v>0</v>
      </c>
    </row>
    <row r="446" spans="2:19" x14ac:dyDescent="0.3">
      <c r="B446" s="3"/>
      <c r="C446" s="2" t="str">
        <f t="shared" si="23"/>
        <v/>
      </c>
      <c r="D446" s="2"/>
      <c r="E446" s="2" t="str">
        <f t="shared" si="24"/>
        <v/>
      </c>
      <c r="F446" s="3"/>
      <c r="G446" s="3"/>
      <c r="H446" s="4"/>
      <c r="I446" s="4"/>
      <c r="J446" s="4"/>
      <c r="K446" s="4"/>
      <c r="L446" s="4"/>
      <c r="M446" s="4"/>
      <c r="N446" s="4"/>
      <c r="O446" s="4"/>
      <c r="P446" s="4"/>
      <c r="Q446" s="4"/>
      <c r="S446" s="4">
        <v>0</v>
      </c>
    </row>
    <row r="447" spans="2:19" x14ac:dyDescent="0.3">
      <c r="B447" s="3"/>
      <c r="C447" s="2" t="str">
        <f t="shared" si="23"/>
        <v/>
      </c>
      <c r="D447" s="2"/>
      <c r="E447" s="2" t="str">
        <f t="shared" si="24"/>
        <v/>
      </c>
      <c r="F447" s="3"/>
      <c r="G447" s="3"/>
      <c r="H447" s="4"/>
      <c r="I447" s="4"/>
      <c r="J447" s="4"/>
      <c r="K447" s="4"/>
      <c r="L447" s="4"/>
      <c r="M447" s="4"/>
      <c r="N447" s="4"/>
      <c r="O447" s="4"/>
      <c r="P447" s="4"/>
      <c r="Q447" s="4"/>
      <c r="S447" s="4">
        <v>0</v>
      </c>
    </row>
    <row r="448" spans="2:19" x14ac:dyDescent="0.3">
      <c r="B448" s="3"/>
      <c r="C448" s="2" t="str">
        <f t="shared" si="23"/>
        <v/>
      </c>
      <c r="D448" s="2"/>
      <c r="E448" s="2" t="str">
        <f t="shared" si="24"/>
        <v/>
      </c>
      <c r="F448" s="3"/>
      <c r="G448" s="3"/>
      <c r="H448" s="4"/>
      <c r="I448" s="4"/>
      <c r="J448" s="4"/>
      <c r="K448" s="4"/>
      <c r="L448" s="4"/>
      <c r="M448" s="4"/>
      <c r="N448" s="4"/>
      <c r="O448" s="4"/>
      <c r="P448" s="4"/>
      <c r="Q448" s="4"/>
      <c r="S448" s="4">
        <v>0</v>
      </c>
    </row>
    <row r="449" spans="2:19" x14ac:dyDescent="0.3">
      <c r="B449" s="3"/>
      <c r="C449" s="2" t="str">
        <f t="shared" si="23"/>
        <v/>
      </c>
      <c r="D449" s="2"/>
      <c r="E449" s="2" t="str">
        <f t="shared" si="24"/>
        <v/>
      </c>
      <c r="F449" s="3"/>
      <c r="G449" s="3"/>
      <c r="H449" s="4"/>
      <c r="I449" s="4"/>
      <c r="J449" s="4"/>
      <c r="K449" s="4"/>
      <c r="L449" s="4"/>
      <c r="M449" s="4"/>
      <c r="N449" s="4"/>
      <c r="O449" s="4"/>
      <c r="P449" s="4"/>
      <c r="Q449" s="4"/>
      <c r="S449" s="4">
        <v>0</v>
      </c>
    </row>
    <row r="450" spans="2:19" x14ac:dyDescent="0.3">
      <c r="B450" s="3"/>
      <c r="C450" s="2" t="str">
        <f t="shared" si="23"/>
        <v/>
      </c>
      <c r="D450" s="2"/>
      <c r="E450" s="2" t="str">
        <f t="shared" si="24"/>
        <v/>
      </c>
      <c r="F450" s="3"/>
      <c r="G450" s="3"/>
      <c r="H450" s="4"/>
      <c r="I450" s="4"/>
      <c r="J450" s="4"/>
      <c r="K450" s="4"/>
      <c r="L450" s="4"/>
      <c r="M450" s="4"/>
      <c r="N450" s="4"/>
      <c r="O450" s="4"/>
      <c r="P450" s="4"/>
      <c r="Q450" s="4"/>
      <c r="S450" s="4">
        <v>0</v>
      </c>
    </row>
    <row r="451" spans="2:19" x14ac:dyDescent="0.3">
      <c r="B451" s="3"/>
      <c r="C451" s="2" t="str">
        <f t="shared" si="23"/>
        <v/>
      </c>
      <c r="D451" s="2"/>
      <c r="E451" s="2" t="str">
        <f t="shared" si="24"/>
        <v/>
      </c>
      <c r="F451" s="3"/>
      <c r="G451" s="3"/>
      <c r="H451" s="4"/>
      <c r="I451" s="4"/>
      <c r="J451" s="4"/>
      <c r="K451" s="4"/>
      <c r="L451" s="4"/>
      <c r="M451" s="4"/>
      <c r="N451" s="4"/>
      <c r="O451" s="4"/>
      <c r="P451" s="4"/>
      <c r="Q451" s="4"/>
      <c r="S451" s="4">
        <v>0</v>
      </c>
    </row>
    <row r="452" spans="2:19" x14ac:dyDescent="0.3">
      <c r="B452" s="3"/>
      <c r="C452" s="2" t="str">
        <f t="shared" si="23"/>
        <v/>
      </c>
      <c r="D452" s="2"/>
      <c r="E452" s="2" t="str">
        <f t="shared" si="24"/>
        <v/>
      </c>
      <c r="F452" s="3"/>
      <c r="G452" s="3"/>
      <c r="H452" s="4"/>
      <c r="I452" s="4"/>
      <c r="J452" s="4"/>
      <c r="K452" s="4"/>
      <c r="L452" s="4"/>
      <c r="M452" s="4"/>
      <c r="N452" s="4"/>
      <c r="O452" s="4"/>
      <c r="P452" s="4"/>
      <c r="Q452" s="4"/>
      <c r="S452" s="4">
        <v>0</v>
      </c>
    </row>
    <row r="453" spans="2:19" x14ac:dyDescent="0.3">
      <c r="B453" s="3"/>
      <c r="C453" s="2" t="str">
        <f t="shared" si="23"/>
        <v/>
      </c>
      <c r="D453" s="2"/>
      <c r="E453" s="2" t="str">
        <f t="shared" si="24"/>
        <v/>
      </c>
      <c r="F453" s="3"/>
      <c r="G453" s="3"/>
      <c r="H453" s="4"/>
      <c r="I453" s="4"/>
      <c r="J453" s="4"/>
      <c r="K453" s="4"/>
      <c r="L453" s="4"/>
      <c r="M453" s="4"/>
      <c r="N453" s="4"/>
      <c r="O453" s="4"/>
      <c r="P453" s="4"/>
      <c r="Q453" s="4"/>
      <c r="S453" s="4">
        <v>0</v>
      </c>
    </row>
    <row r="454" spans="2:19" x14ac:dyDescent="0.3">
      <c r="B454" s="3"/>
      <c r="C454" s="2" t="str">
        <f t="shared" si="23"/>
        <v/>
      </c>
      <c r="D454" s="2"/>
      <c r="E454" s="2" t="str">
        <f t="shared" si="24"/>
        <v/>
      </c>
      <c r="F454" s="3"/>
      <c r="G454" s="3"/>
      <c r="H454" s="4"/>
      <c r="I454" s="4"/>
      <c r="J454" s="4"/>
      <c r="K454" s="4"/>
      <c r="L454" s="4"/>
      <c r="M454" s="4"/>
      <c r="N454" s="4"/>
      <c r="O454" s="4"/>
      <c r="P454" s="4"/>
      <c r="Q454" s="4"/>
      <c r="S454" s="4">
        <v>0</v>
      </c>
    </row>
    <row r="455" spans="2:19" x14ac:dyDescent="0.3">
      <c r="B455" s="3"/>
      <c r="C455" s="2" t="str">
        <f t="shared" si="23"/>
        <v/>
      </c>
      <c r="D455" s="2"/>
      <c r="E455" s="2" t="str">
        <f t="shared" si="24"/>
        <v/>
      </c>
      <c r="F455" s="3"/>
      <c r="G455" s="3"/>
      <c r="H455" s="4"/>
      <c r="I455" s="4"/>
      <c r="J455" s="4"/>
      <c r="K455" s="4"/>
      <c r="L455" s="4"/>
      <c r="M455" s="4"/>
      <c r="N455" s="4"/>
      <c r="O455" s="4"/>
      <c r="P455" s="4"/>
      <c r="Q455" s="4"/>
      <c r="S455" s="4">
        <v>0</v>
      </c>
    </row>
    <row r="456" spans="2:19" x14ac:dyDescent="0.3">
      <c r="B456" s="3"/>
      <c r="C456" s="2" t="str">
        <f t="shared" si="23"/>
        <v/>
      </c>
      <c r="D456" s="2"/>
      <c r="E456" s="2" t="str">
        <f t="shared" si="24"/>
        <v/>
      </c>
      <c r="F456" s="3"/>
      <c r="G456" s="3"/>
      <c r="H456" s="4"/>
      <c r="I456" s="4"/>
      <c r="J456" s="4"/>
      <c r="K456" s="4"/>
      <c r="L456" s="4"/>
      <c r="M456" s="4"/>
      <c r="N456" s="4"/>
      <c r="O456" s="4"/>
      <c r="P456" s="4"/>
      <c r="Q456" s="4"/>
      <c r="S456" s="4">
        <v>0</v>
      </c>
    </row>
    <row r="457" spans="2:19" x14ac:dyDescent="0.3">
      <c r="B457" s="3"/>
      <c r="C457" s="2" t="str">
        <f t="shared" si="23"/>
        <v/>
      </c>
      <c r="D457" s="2"/>
      <c r="E457" s="2" t="str">
        <f t="shared" si="24"/>
        <v/>
      </c>
      <c r="F457" s="3"/>
      <c r="G457" s="3"/>
      <c r="H457" s="4"/>
      <c r="I457" s="4"/>
      <c r="J457" s="4"/>
      <c r="K457" s="4"/>
      <c r="L457" s="4"/>
      <c r="M457" s="4"/>
      <c r="N457" s="4"/>
      <c r="O457" s="4"/>
      <c r="P457" s="4"/>
      <c r="Q457" s="4"/>
      <c r="S457" s="4">
        <v>0</v>
      </c>
    </row>
    <row r="458" spans="2:19" x14ac:dyDescent="0.3">
      <c r="B458" s="3"/>
      <c r="C458" s="2" t="str">
        <f t="shared" si="23"/>
        <v/>
      </c>
      <c r="D458" s="2"/>
      <c r="E458" s="2" t="str">
        <f t="shared" si="24"/>
        <v/>
      </c>
      <c r="F458" s="3"/>
      <c r="G458" s="3"/>
      <c r="H458" s="4"/>
      <c r="I458" s="4"/>
      <c r="J458" s="4"/>
      <c r="K458" s="4"/>
      <c r="L458" s="4"/>
      <c r="M458" s="4"/>
      <c r="N458" s="4"/>
      <c r="O458" s="4"/>
      <c r="P458" s="4"/>
      <c r="Q458" s="4"/>
      <c r="S458" s="4">
        <v>0</v>
      </c>
    </row>
    <row r="459" spans="2:19" x14ac:dyDescent="0.3">
      <c r="B459" s="3"/>
      <c r="C459" s="2" t="str">
        <f t="shared" si="23"/>
        <v/>
      </c>
      <c r="D459" s="2"/>
      <c r="E459" s="2" t="str">
        <f t="shared" si="24"/>
        <v/>
      </c>
      <c r="F459" s="3"/>
      <c r="G459" s="3"/>
      <c r="H459" s="4"/>
      <c r="I459" s="4"/>
      <c r="J459" s="4"/>
      <c r="K459" s="4"/>
      <c r="L459" s="4"/>
      <c r="M459" s="4"/>
      <c r="N459" s="4"/>
      <c r="O459" s="4"/>
      <c r="P459" s="4"/>
      <c r="Q459" s="4"/>
      <c r="S459" s="4">
        <v>0</v>
      </c>
    </row>
    <row r="460" spans="2:19" x14ac:dyDescent="0.3">
      <c r="B460" s="3"/>
      <c r="C460" s="2" t="str">
        <f t="shared" si="23"/>
        <v/>
      </c>
      <c r="D460" s="2"/>
      <c r="E460" s="2" t="str">
        <f t="shared" si="24"/>
        <v/>
      </c>
      <c r="F460" s="3"/>
      <c r="G460" s="3"/>
      <c r="H460" s="4"/>
      <c r="I460" s="4"/>
      <c r="J460" s="4"/>
      <c r="K460" s="4"/>
      <c r="L460" s="4"/>
      <c r="M460" s="4"/>
      <c r="N460" s="4"/>
      <c r="O460" s="4"/>
      <c r="P460" s="4"/>
      <c r="Q460" s="4"/>
      <c r="S460" s="4">
        <v>0</v>
      </c>
    </row>
    <row r="461" spans="2:19" x14ac:dyDescent="0.3">
      <c r="B461" s="3"/>
      <c r="C461" s="2" t="str">
        <f t="shared" si="23"/>
        <v/>
      </c>
      <c r="D461" s="2"/>
      <c r="E461" s="2" t="str">
        <f t="shared" si="24"/>
        <v/>
      </c>
      <c r="F461" s="3"/>
      <c r="G461" s="3"/>
      <c r="H461" s="4"/>
      <c r="I461" s="4"/>
      <c r="J461" s="4"/>
      <c r="K461" s="4"/>
      <c r="L461" s="4"/>
      <c r="M461" s="4"/>
      <c r="N461" s="4"/>
      <c r="O461" s="4"/>
      <c r="P461" s="4"/>
      <c r="Q461" s="4"/>
      <c r="S461" s="4">
        <v>0</v>
      </c>
    </row>
    <row r="462" spans="2:19" x14ac:dyDescent="0.3">
      <c r="B462" s="3"/>
      <c r="C462" s="2" t="str">
        <f t="shared" si="23"/>
        <v/>
      </c>
      <c r="D462" s="2"/>
      <c r="E462" s="2" t="str">
        <f t="shared" si="24"/>
        <v/>
      </c>
      <c r="F462" s="3"/>
      <c r="G462" s="3"/>
      <c r="H462" s="4"/>
      <c r="I462" s="4"/>
      <c r="J462" s="4"/>
      <c r="K462" s="4"/>
      <c r="L462" s="4"/>
      <c r="M462" s="4"/>
      <c r="N462" s="4"/>
      <c r="O462" s="4"/>
      <c r="P462" s="4"/>
      <c r="Q462" s="4"/>
      <c r="S462" s="4">
        <v>0</v>
      </c>
    </row>
    <row r="463" spans="2:19" x14ac:dyDescent="0.3">
      <c r="B463" s="3"/>
      <c r="C463" s="2" t="str">
        <f t="shared" si="23"/>
        <v/>
      </c>
      <c r="D463" s="2"/>
      <c r="E463" s="2" t="str">
        <f t="shared" si="24"/>
        <v/>
      </c>
      <c r="F463" s="3"/>
      <c r="G463" s="3"/>
      <c r="H463" s="4"/>
      <c r="I463" s="4"/>
      <c r="J463" s="4"/>
      <c r="K463" s="4"/>
      <c r="L463" s="4"/>
      <c r="M463" s="4"/>
      <c r="N463" s="4"/>
      <c r="O463" s="4"/>
      <c r="P463" s="4"/>
      <c r="Q463" s="4"/>
      <c r="S463" s="4">
        <v>0</v>
      </c>
    </row>
    <row r="464" spans="2:19" x14ac:dyDescent="0.3">
      <c r="B464" s="3"/>
      <c r="C464" s="2" t="str">
        <f t="shared" si="23"/>
        <v/>
      </c>
      <c r="D464" s="2"/>
      <c r="E464" s="2" t="str">
        <f t="shared" si="24"/>
        <v/>
      </c>
      <c r="F464" s="3"/>
      <c r="G464" s="3"/>
      <c r="H464" s="4"/>
      <c r="I464" s="4"/>
      <c r="J464" s="4"/>
      <c r="K464" s="4"/>
      <c r="L464" s="4"/>
      <c r="M464" s="4"/>
      <c r="N464" s="4"/>
      <c r="O464" s="4"/>
      <c r="P464" s="4"/>
      <c r="Q464" s="4"/>
      <c r="S464" s="4">
        <v>0</v>
      </c>
    </row>
    <row r="465" spans="2:19" x14ac:dyDescent="0.3">
      <c r="B465" s="3"/>
      <c r="C465" s="2" t="str">
        <f t="shared" si="23"/>
        <v/>
      </c>
      <c r="D465" s="2"/>
      <c r="E465" s="2" t="str">
        <f t="shared" si="24"/>
        <v/>
      </c>
      <c r="F465" s="3"/>
      <c r="G465" s="3"/>
      <c r="H465" s="4"/>
      <c r="I465" s="4"/>
      <c r="J465" s="4"/>
      <c r="K465" s="4"/>
      <c r="L465" s="4"/>
      <c r="M465" s="4"/>
      <c r="N465" s="4"/>
      <c r="O465" s="4"/>
      <c r="P465" s="4"/>
      <c r="Q465" s="4"/>
      <c r="S465" s="4">
        <v>0</v>
      </c>
    </row>
    <row r="466" spans="2:19" x14ac:dyDescent="0.3">
      <c r="B466" s="3"/>
      <c r="C466" s="2" t="str">
        <f t="shared" si="23"/>
        <v/>
      </c>
      <c r="D466" s="2"/>
      <c r="E466" s="2" t="str">
        <f t="shared" si="24"/>
        <v/>
      </c>
      <c r="F466" s="3"/>
      <c r="G466" s="3"/>
      <c r="H466" s="4"/>
      <c r="I466" s="4"/>
      <c r="J466" s="4"/>
      <c r="K466" s="4"/>
      <c r="L466" s="4"/>
      <c r="M466" s="4"/>
      <c r="N466" s="4"/>
      <c r="O466" s="4"/>
      <c r="P466" s="4"/>
      <c r="Q466" s="4"/>
      <c r="S466" s="4">
        <v>0</v>
      </c>
    </row>
    <row r="467" spans="2:19" x14ac:dyDescent="0.3">
      <c r="B467" s="3"/>
      <c r="C467" s="2" t="str">
        <f t="shared" si="23"/>
        <v/>
      </c>
      <c r="D467" s="2"/>
      <c r="E467" s="2" t="str">
        <f t="shared" si="24"/>
        <v/>
      </c>
      <c r="F467" s="3"/>
      <c r="G467" s="3"/>
      <c r="H467" s="4"/>
      <c r="I467" s="4"/>
      <c r="J467" s="4"/>
      <c r="K467" s="4"/>
      <c r="L467" s="4"/>
      <c r="M467" s="4"/>
      <c r="N467" s="4"/>
      <c r="O467" s="4"/>
      <c r="P467" s="4"/>
      <c r="Q467" s="4"/>
      <c r="S467" s="4">
        <v>0</v>
      </c>
    </row>
    <row r="468" spans="2:19" x14ac:dyDescent="0.3">
      <c r="B468" s="3"/>
      <c r="C468" s="2" t="str">
        <f t="shared" si="23"/>
        <v/>
      </c>
      <c r="D468" s="2"/>
      <c r="E468" s="2" t="str">
        <f t="shared" si="24"/>
        <v/>
      </c>
      <c r="F468" s="3"/>
      <c r="G468" s="3"/>
      <c r="H468" s="4"/>
      <c r="I468" s="4"/>
      <c r="J468" s="4"/>
      <c r="K468" s="4"/>
      <c r="L468" s="4"/>
      <c r="M468" s="4"/>
      <c r="N468" s="4"/>
      <c r="O468" s="4"/>
      <c r="P468" s="4"/>
      <c r="Q468" s="4"/>
      <c r="S468" s="4">
        <v>0</v>
      </c>
    </row>
    <row r="469" spans="2:19" x14ac:dyDescent="0.3">
      <c r="B469" s="3"/>
      <c r="C469" s="2" t="str">
        <f t="shared" si="23"/>
        <v/>
      </c>
      <c r="D469" s="2"/>
      <c r="E469" s="2" t="str">
        <f t="shared" si="24"/>
        <v/>
      </c>
      <c r="F469" s="3"/>
      <c r="G469" s="3"/>
      <c r="H469" s="4"/>
      <c r="I469" s="4"/>
      <c r="J469" s="4"/>
      <c r="K469" s="4"/>
      <c r="L469" s="4"/>
      <c r="M469" s="4"/>
      <c r="N469" s="4"/>
      <c r="O469" s="4"/>
      <c r="P469" s="4"/>
      <c r="Q469" s="4"/>
      <c r="S469" s="4">
        <v>0</v>
      </c>
    </row>
    <row r="470" spans="2:19" x14ac:dyDescent="0.3">
      <c r="B470" s="3"/>
      <c r="C470" s="2" t="str">
        <f t="shared" si="23"/>
        <v/>
      </c>
      <c r="D470" s="2"/>
      <c r="E470" s="2" t="str">
        <f t="shared" si="24"/>
        <v/>
      </c>
      <c r="F470" s="3"/>
      <c r="G470" s="3"/>
      <c r="H470" s="4"/>
      <c r="I470" s="4"/>
      <c r="J470" s="4"/>
      <c r="K470" s="4"/>
      <c r="L470" s="4"/>
      <c r="M470" s="4"/>
      <c r="N470" s="4"/>
      <c r="O470" s="4"/>
      <c r="P470" s="4"/>
      <c r="Q470" s="4"/>
      <c r="S470" s="4">
        <v>0</v>
      </c>
    </row>
    <row r="471" spans="2:19" x14ac:dyDescent="0.3">
      <c r="B471" s="3"/>
      <c r="C471" s="2" t="str">
        <f t="shared" si="23"/>
        <v/>
      </c>
      <c r="D471" s="2"/>
      <c r="E471" s="2" t="str">
        <f t="shared" si="24"/>
        <v/>
      </c>
      <c r="F471" s="3"/>
      <c r="G471" s="3"/>
      <c r="H471" s="4"/>
      <c r="I471" s="4"/>
      <c r="J471" s="4"/>
      <c r="K471" s="4"/>
      <c r="L471" s="4"/>
      <c r="M471" s="4"/>
      <c r="N471" s="4"/>
      <c r="O471" s="4"/>
      <c r="P471" s="4"/>
      <c r="Q471" s="4"/>
      <c r="S471" s="4">
        <v>0</v>
      </c>
    </row>
    <row r="472" spans="2:19" x14ac:dyDescent="0.3">
      <c r="B472" s="3"/>
      <c r="C472" s="2" t="str">
        <f t="shared" si="23"/>
        <v/>
      </c>
      <c r="D472" s="2"/>
      <c r="E472" s="2" t="str">
        <f t="shared" si="24"/>
        <v/>
      </c>
      <c r="F472" s="3"/>
      <c r="G472" s="3"/>
      <c r="H472" s="4"/>
      <c r="I472" s="4"/>
      <c r="J472" s="4"/>
      <c r="K472" s="4"/>
      <c r="L472" s="4"/>
      <c r="M472" s="4"/>
      <c r="N472" s="4"/>
      <c r="O472" s="4"/>
      <c r="P472" s="4"/>
      <c r="Q472" s="4"/>
      <c r="S472" s="4">
        <v>0</v>
      </c>
    </row>
    <row r="473" spans="2:19" x14ac:dyDescent="0.3">
      <c r="B473" s="3"/>
      <c r="C473" s="2" t="str">
        <f t="shared" si="23"/>
        <v/>
      </c>
      <c r="D473" s="2"/>
      <c r="E473" s="2" t="str">
        <f t="shared" si="24"/>
        <v/>
      </c>
      <c r="F473" s="3"/>
      <c r="G473" s="3"/>
      <c r="H473" s="4"/>
      <c r="I473" s="4"/>
      <c r="J473" s="4"/>
      <c r="K473" s="4"/>
      <c r="L473" s="4"/>
      <c r="M473" s="4"/>
      <c r="N473" s="4"/>
      <c r="O473" s="4"/>
      <c r="P473" s="4"/>
      <c r="Q473" s="4"/>
      <c r="S473" s="4">
        <v>0</v>
      </c>
    </row>
    <row r="474" spans="2:19" x14ac:dyDescent="0.3">
      <c r="B474" s="3"/>
      <c r="C474" s="2" t="str">
        <f t="shared" si="23"/>
        <v/>
      </c>
      <c r="D474" s="2"/>
      <c r="E474" s="2" t="str">
        <f t="shared" si="24"/>
        <v/>
      </c>
      <c r="F474" s="3"/>
      <c r="G474" s="3"/>
      <c r="H474" s="4"/>
      <c r="I474" s="4"/>
      <c r="J474" s="4"/>
      <c r="K474" s="4"/>
      <c r="L474" s="4"/>
      <c r="M474" s="4"/>
      <c r="N474" s="4"/>
      <c r="O474" s="4"/>
      <c r="P474" s="4"/>
      <c r="Q474" s="4"/>
      <c r="S474" s="4">
        <v>0</v>
      </c>
    </row>
    <row r="475" spans="2:19" x14ac:dyDescent="0.3">
      <c r="B475" s="3"/>
      <c r="C475" s="2" t="str">
        <f t="shared" si="23"/>
        <v/>
      </c>
      <c r="D475" s="2"/>
      <c r="E475" s="2" t="str">
        <f t="shared" si="24"/>
        <v/>
      </c>
      <c r="F475" s="3"/>
      <c r="G475" s="3"/>
      <c r="H475" s="4"/>
      <c r="I475" s="4"/>
      <c r="J475" s="4"/>
      <c r="K475" s="4"/>
      <c r="L475" s="4"/>
      <c r="M475" s="4"/>
      <c r="N475" s="4"/>
      <c r="O475" s="4"/>
      <c r="P475" s="4"/>
      <c r="Q475" s="4"/>
    </row>
    <row r="476" spans="2:19" x14ac:dyDescent="0.3">
      <c r="B476" s="3"/>
      <c r="C476" s="2" t="str">
        <f t="shared" si="23"/>
        <v/>
      </c>
      <c r="D476" s="2"/>
      <c r="E476" s="2" t="str">
        <f t="shared" si="24"/>
        <v/>
      </c>
      <c r="F476" s="3"/>
      <c r="G476" s="3"/>
      <c r="H476" s="4"/>
      <c r="I476" s="4"/>
      <c r="J476" s="4"/>
      <c r="K476" s="4"/>
      <c r="L476" s="4"/>
      <c r="M476" s="4"/>
      <c r="N476" s="4"/>
      <c r="O476" s="4"/>
      <c r="P476" s="4"/>
      <c r="Q476" s="4"/>
    </row>
    <row r="477" spans="2:19" x14ac:dyDescent="0.3">
      <c r="B477" s="3"/>
      <c r="C477" s="2" t="str">
        <f t="shared" si="23"/>
        <v/>
      </c>
      <c r="D477" s="2"/>
      <c r="E477" s="2" t="str">
        <f t="shared" si="24"/>
        <v/>
      </c>
      <c r="F477" s="3"/>
      <c r="G477" s="3"/>
      <c r="H477" s="4"/>
      <c r="I477" s="4"/>
      <c r="J477" s="4"/>
      <c r="K477" s="4"/>
      <c r="L477" s="4"/>
      <c r="M477" s="4"/>
      <c r="N477" s="4"/>
      <c r="O477" s="4"/>
      <c r="P477" s="4"/>
      <c r="Q477" s="4"/>
    </row>
    <row r="478" spans="2:19" x14ac:dyDescent="0.3">
      <c r="B478" s="3"/>
      <c r="C478" s="2" t="str">
        <f t="shared" si="23"/>
        <v/>
      </c>
      <c r="D478" s="2"/>
      <c r="E478" s="2" t="str">
        <f t="shared" si="24"/>
        <v/>
      </c>
      <c r="F478" s="3"/>
      <c r="G478" s="3"/>
      <c r="H478" s="4"/>
      <c r="I478" s="4"/>
      <c r="J478" s="4"/>
      <c r="K478" s="4"/>
      <c r="L478" s="4"/>
      <c r="M478" s="4"/>
      <c r="N478" s="4"/>
      <c r="O478" s="4"/>
      <c r="P478" s="4"/>
      <c r="Q478" s="4"/>
    </row>
    <row r="479" spans="2:19" x14ac:dyDescent="0.3">
      <c r="B479" s="3"/>
      <c r="C479" s="2" t="str">
        <f t="shared" si="23"/>
        <v/>
      </c>
      <c r="D479" s="2"/>
      <c r="E479" s="2" t="str">
        <f t="shared" si="24"/>
        <v/>
      </c>
      <c r="F479" s="3"/>
      <c r="G479" s="3"/>
      <c r="H479" s="4"/>
      <c r="I479" s="4"/>
      <c r="J479" s="4"/>
      <c r="K479" s="4"/>
      <c r="L479" s="4"/>
      <c r="M479" s="4"/>
      <c r="N479" s="4"/>
      <c r="O479" s="4"/>
      <c r="P479" s="4"/>
      <c r="Q479" s="4"/>
    </row>
    <row r="480" spans="2:19" x14ac:dyDescent="0.3">
      <c r="B480" s="3"/>
      <c r="C480" s="2" t="str">
        <f t="shared" si="23"/>
        <v/>
      </c>
      <c r="D480" s="2"/>
      <c r="E480" s="2" t="str">
        <f t="shared" si="24"/>
        <v/>
      </c>
      <c r="F480" s="3"/>
      <c r="G480" s="3"/>
      <c r="H480" s="4"/>
      <c r="I480" s="4"/>
      <c r="J480" s="4"/>
      <c r="K480" s="4"/>
      <c r="L480" s="4"/>
      <c r="M480" s="4"/>
      <c r="N480" s="4"/>
      <c r="O480" s="4"/>
      <c r="P480" s="4"/>
      <c r="Q480" s="4"/>
    </row>
    <row r="481" spans="2:17" x14ac:dyDescent="0.3">
      <c r="B481" s="3"/>
      <c r="C481" s="2" t="str">
        <f t="shared" si="23"/>
        <v/>
      </c>
      <c r="D481" s="2"/>
      <c r="E481" s="2" t="str">
        <f t="shared" si="24"/>
        <v/>
      </c>
      <c r="F481" s="3"/>
      <c r="G481" s="3"/>
      <c r="H481" s="4"/>
      <c r="I481" s="4"/>
      <c r="J481" s="4"/>
      <c r="K481" s="4"/>
      <c r="L481" s="4"/>
      <c r="M481" s="4"/>
      <c r="N481" s="4"/>
      <c r="O481" s="4"/>
      <c r="P481" s="4"/>
      <c r="Q481" s="4"/>
    </row>
    <row r="482" spans="2:17" x14ac:dyDescent="0.3">
      <c r="B482" s="3"/>
      <c r="C482" s="2" t="str">
        <f t="shared" si="23"/>
        <v/>
      </c>
      <c r="D482" s="2"/>
      <c r="E482" s="2" t="str">
        <f t="shared" si="24"/>
        <v/>
      </c>
      <c r="F482" s="3"/>
      <c r="G482" s="3"/>
      <c r="H482" s="4"/>
      <c r="I482" s="4"/>
      <c r="J482" s="4"/>
      <c r="K482" s="4"/>
      <c r="L482" s="4"/>
      <c r="M482" s="4"/>
      <c r="N482" s="4"/>
      <c r="O482" s="4"/>
      <c r="P482" s="4"/>
      <c r="Q482" s="4"/>
    </row>
    <row r="483" spans="2:17" x14ac:dyDescent="0.3">
      <c r="B483" s="3"/>
      <c r="C483" s="2" t="str">
        <f t="shared" si="23"/>
        <v/>
      </c>
      <c r="D483" s="2"/>
      <c r="E483" s="2" t="str">
        <f t="shared" si="24"/>
        <v/>
      </c>
      <c r="F483" s="3"/>
      <c r="G483" s="3"/>
      <c r="H483" s="4"/>
      <c r="I483" s="4"/>
      <c r="J483" s="4"/>
      <c r="K483" s="4"/>
      <c r="L483" s="4"/>
      <c r="M483" s="4"/>
      <c r="N483" s="4"/>
      <c r="O483" s="4"/>
      <c r="P483" s="4"/>
      <c r="Q483" s="4"/>
    </row>
    <row r="484" spans="2:17" x14ac:dyDescent="0.3">
      <c r="B484" s="3"/>
      <c r="C484" s="2" t="str">
        <f t="shared" si="23"/>
        <v/>
      </c>
      <c r="D484" s="2"/>
      <c r="E484" s="2" t="str">
        <f t="shared" si="24"/>
        <v/>
      </c>
      <c r="F484" s="3"/>
      <c r="G484" s="3"/>
      <c r="H484" s="4"/>
      <c r="I484" s="4"/>
      <c r="J484" s="4"/>
      <c r="K484" s="4"/>
      <c r="L484" s="4"/>
      <c r="M484" s="4"/>
      <c r="N484" s="4"/>
      <c r="O484" s="4"/>
      <c r="P484" s="4"/>
      <c r="Q484" s="4"/>
    </row>
    <row r="485" spans="2:17" x14ac:dyDescent="0.3">
      <c r="B485" s="3"/>
      <c r="C485" s="2" t="str">
        <f t="shared" si="23"/>
        <v/>
      </c>
      <c r="D485" s="2"/>
      <c r="E485" s="2" t="str">
        <f t="shared" si="24"/>
        <v/>
      </c>
      <c r="F485" s="3"/>
      <c r="G485" s="3"/>
      <c r="H485" s="4"/>
      <c r="I485" s="4"/>
      <c r="J485" s="4"/>
      <c r="K485" s="4"/>
      <c r="L485" s="4"/>
      <c r="M485" s="4"/>
      <c r="N485" s="4"/>
      <c r="O485" s="4"/>
      <c r="P485" s="4"/>
      <c r="Q485" s="4"/>
    </row>
    <row r="486" spans="2:17" x14ac:dyDescent="0.3">
      <c r="B486" s="3"/>
      <c r="C486" s="2" t="str">
        <f t="shared" si="23"/>
        <v/>
      </c>
      <c r="D486" s="2"/>
      <c r="E486" s="2" t="str">
        <f t="shared" si="24"/>
        <v/>
      </c>
      <c r="F486" s="3"/>
      <c r="G486" s="3"/>
      <c r="H486" s="4"/>
      <c r="I486" s="4"/>
      <c r="J486" s="4"/>
      <c r="K486" s="4"/>
      <c r="L486" s="4"/>
      <c r="M486" s="4"/>
      <c r="N486" s="4"/>
      <c r="O486" s="4"/>
      <c r="P486" s="4"/>
      <c r="Q486" s="4"/>
    </row>
    <row r="487" spans="2:17" x14ac:dyDescent="0.3">
      <c r="B487" s="3"/>
      <c r="C487" s="2" t="str">
        <f t="shared" si="23"/>
        <v/>
      </c>
      <c r="D487" s="2"/>
      <c r="E487" s="2" t="str">
        <f t="shared" si="24"/>
        <v/>
      </c>
      <c r="F487" s="3"/>
      <c r="G487" s="3"/>
      <c r="H487" s="4"/>
      <c r="I487" s="4"/>
      <c r="J487" s="4"/>
      <c r="K487" s="4"/>
      <c r="L487" s="4"/>
      <c r="M487" s="4"/>
      <c r="N487" s="4"/>
      <c r="O487" s="4"/>
      <c r="P487" s="4"/>
      <c r="Q487" s="4"/>
    </row>
    <row r="488" spans="2:17" x14ac:dyDescent="0.3">
      <c r="B488" s="3"/>
      <c r="C488" s="2" t="str">
        <f t="shared" ref="C488:C551" si="25">IF($F488="","",IF(LEFT($F488,1)*1=1,"A",IF(LEFT($F488,1)*1=2,"P",IF(LEFT($F488,1)*1=3,"C",IF(LEFT($F488,1)*1=4,"C",IF(LEFT($F488,1)*1=5,"R",""))))))</f>
        <v/>
      </c>
      <c r="D488" s="2"/>
      <c r="E488" s="2" t="str">
        <f t="shared" ref="E488:E551" si="26">IF($F488="","",IF(LEN($F488)=1,1,IF(LEN($F488)=3,2,IF(LEN($F488)=6,3,IF(LEN($F488)=9,4,IF(LEN($F488)=12,5,6))))))</f>
        <v/>
      </c>
      <c r="F488" s="3"/>
      <c r="G488" s="3"/>
      <c r="H488" s="4"/>
      <c r="I488" s="4"/>
      <c r="J488" s="4"/>
      <c r="K488" s="4"/>
      <c r="L488" s="4"/>
      <c r="M488" s="4"/>
      <c r="N488" s="4"/>
      <c r="O488" s="4"/>
      <c r="P488" s="4"/>
      <c r="Q488" s="4"/>
    </row>
    <row r="489" spans="2:17" x14ac:dyDescent="0.3">
      <c r="B489" s="3"/>
      <c r="C489" s="2" t="str">
        <f t="shared" si="25"/>
        <v/>
      </c>
      <c r="D489" s="2"/>
      <c r="E489" s="2" t="str">
        <f t="shared" si="26"/>
        <v/>
      </c>
      <c r="F489" s="3"/>
      <c r="G489" s="3"/>
      <c r="H489" s="4"/>
      <c r="I489" s="4"/>
      <c r="J489" s="4"/>
      <c r="K489" s="4"/>
      <c r="L489" s="4"/>
      <c r="M489" s="4"/>
      <c r="N489" s="4"/>
      <c r="O489" s="4"/>
      <c r="P489" s="4"/>
      <c r="Q489" s="4"/>
    </row>
    <row r="490" spans="2:17" x14ac:dyDescent="0.3">
      <c r="B490" s="3"/>
      <c r="C490" s="2" t="str">
        <f t="shared" si="25"/>
        <v/>
      </c>
      <c r="D490" s="2"/>
      <c r="E490" s="2" t="str">
        <f t="shared" si="26"/>
        <v/>
      </c>
      <c r="F490" s="3"/>
      <c r="G490" s="3"/>
      <c r="H490" s="4"/>
      <c r="I490" s="4"/>
      <c r="J490" s="4"/>
      <c r="K490" s="4"/>
      <c r="L490" s="4"/>
      <c r="M490" s="4"/>
      <c r="N490" s="4"/>
      <c r="O490" s="4"/>
      <c r="P490" s="4"/>
      <c r="Q490" s="4"/>
    </row>
    <row r="491" spans="2:17" x14ac:dyDescent="0.3">
      <c r="B491" s="3"/>
      <c r="C491" s="2" t="str">
        <f t="shared" si="25"/>
        <v/>
      </c>
      <c r="D491" s="2"/>
      <c r="E491" s="2" t="str">
        <f t="shared" si="26"/>
        <v/>
      </c>
      <c r="F491" s="3"/>
      <c r="G491" s="3"/>
      <c r="H491" s="4"/>
      <c r="I491" s="4"/>
      <c r="J491" s="4"/>
      <c r="K491" s="4"/>
      <c r="L491" s="4"/>
      <c r="M491" s="4"/>
      <c r="N491" s="4"/>
      <c r="O491" s="4"/>
      <c r="P491" s="4"/>
      <c r="Q491" s="4"/>
    </row>
    <row r="492" spans="2:17" x14ac:dyDescent="0.3">
      <c r="B492" s="3"/>
      <c r="C492" s="2" t="str">
        <f t="shared" si="25"/>
        <v/>
      </c>
      <c r="D492" s="2"/>
      <c r="E492" s="2" t="str">
        <f t="shared" si="26"/>
        <v/>
      </c>
      <c r="F492" s="3"/>
      <c r="G492" s="3"/>
      <c r="H492" s="4"/>
      <c r="I492" s="4"/>
      <c r="J492" s="4"/>
      <c r="K492" s="4"/>
      <c r="L492" s="4"/>
      <c r="M492" s="4"/>
      <c r="N492" s="4"/>
      <c r="O492" s="4"/>
      <c r="P492" s="4"/>
      <c r="Q492" s="4"/>
    </row>
    <row r="493" spans="2:17" x14ac:dyDescent="0.3">
      <c r="B493" s="3"/>
      <c r="C493" s="2" t="str">
        <f t="shared" si="25"/>
        <v/>
      </c>
      <c r="D493" s="2"/>
      <c r="E493" s="2" t="str">
        <f t="shared" si="26"/>
        <v/>
      </c>
      <c r="F493" s="3"/>
      <c r="G493" s="3"/>
      <c r="H493" s="4"/>
      <c r="I493" s="4"/>
      <c r="J493" s="4"/>
      <c r="K493" s="4"/>
      <c r="L493" s="4"/>
      <c r="M493" s="4"/>
      <c r="N493" s="4"/>
      <c r="O493" s="4"/>
      <c r="P493" s="4"/>
      <c r="Q493" s="4"/>
    </row>
    <row r="494" spans="2:17" x14ac:dyDescent="0.3">
      <c r="B494" s="3"/>
      <c r="C494" s="2" t="str">
        <f t="shared" si="25"/>
        <v/>
      </c>
      <c r="D494" s="2"/>
      <c r="E494" s="2" t="str">
        <f t="shared" si="26"/>
        <v/>
      </c>
      <c r="F494" s="3"/>
      <c r="G494" s="3"/>
      <c r="H494" s="4"/>
      <c r="I494" s="4"/>
      <c r="J494" s="4"/>
      <c r="K494" s="4"/>
      <c r="L494" s="4"/>
      <c r="M494" s="4"/>
      <c r="N494" s="4"/>
      <c r="O494" s="4"/>
      <c r="P494" s="4"/>
      <c r="Q494" s="4"/>
    </row>
    <row r="495" spans="2:17" x14ac:dyDescent="0.3">
      <c r="B495" s="3"/>
      <c r="C495" s="2" t="str">
        <f t="shared" si="25"/>
        <v/>
      </c>
      <c r="D495" s="2"/>
      <c r="E495" s="2" t="str">
        <f t="shared" si="26"/>
        <v/>
      </c>
      <c r="F495" s="3"/>
      <c r="G495" s="3"/>
      <c r="H495" s="4"/>
      <c r="I495" s="4"/>
      <c r="J495" s="4"/>
      <c r="K495" s="4"/>
      <c r="L495" s="4"/>
      <c r="M495" s="4"/>
      <c r="N495" s="4"/>
      <c r="O495" s="4"/>
      <c r="P495" s="4"/>
      <c r="Q495" s="4"/>
    </row>
    <row r="496" spans="2:17" x14ac:dyDescent="0.3">
      <c r="B496" s="3"/>
      <c r="C496" s="2" t="str">
        <f t="shared" si="25"/>
        <v/>
      </c>
      <c r="D496" s="2"/>
      <c r="E496" s="2" t="str">
        <f t="shared" si="26"/>
        <v/>
      </c>
      <c r="F496" s="3"/>
      <c r="G496" s="3"/>
      <c r="H496" s="4"/>
      <c r="I496" s="4"/>
      <c r="J496" s="4"/>
      <c r="K496" s="4"/>
      <c r="L496" s="4"/>
      <c r="M496" s="4"/>
      <c r="N496" s="4"/>
      <c r="O496" s="4"/>
      <c r="P496" s="4"/>
      <c r="Q496" s="4"/>
    </row>
    <row r="497" spans="2:17" x14ac:dyDescent="0.3">
      <c r="B497" s="3"/>
      <c r="C497" s="2" t="str">
        <f t="shared" si="25"/>
        <v/>
      </c>
      <c r="D497" s="2"/>
      <c r="E497" s="2" t="str">
        <f t="shared" si="26"/>
        <v/>
      </c>
      <c r="F497" s="3"/>
      <c r="G497" s="3"/>
      <c r="H497" s="4"/>
      <c r="I497" s="4"/>
      <c r="J497" s="4"/>
      <c r="K497" s="4"/>
      <c r="L497" s="4"/>
      <c r="M497" s="4"/>
      <c r="N497" s="4"/>
      <c r="O497" s="4"/>
      <c r="P497" s="4"/>
      <c r="Q497" s="4"/>
    </row>
    <row r="498" spans="2:17" x14ac:dyDescent="0.3">
      <c r="B498" s="3"/>
      <c r="C498" s="2" t="str">
        <f t="shared" si="25"/>
        <v/>
      </c>
      <c r="D498" s="2"/>
      <c r="E498" s="2" t="str">
        <f t="shared" si="26"/>
        <v/>
      </c>
      <c r="F498" s="3"/>
      <c r="G498" s="3"/>
      <c r="H498" s="4"/>
      <c r="I498" s="4"/>
      <c r="J498" s="4"/>
      <c r="K498" s="4"/>
      <c r="L498" s="4"/>
      <c r="M498" s="4"/>
      <c r="N498" s="4"/>
      <c r="O498" s="4"/>
      <c r="P498" s="4"/>
      <c r="Q498" s="4"/>
    </row>
    <row r="499" spans="2:17" x14ac:dyDescent="0.3">
      <c r="B499" s="3"/>
      <c r="C499" s="2" t="str">
        <f t="shared" si="25"/>
        <v/>
      </c>
      <c r="D499" s="2"/>
      <c r="E499" s="2" t="str">
        <f t="shared" si="26"/>
        <v/>
      </c>
      <c r="F499" s="3"/>
      <c r="G499" s="3"/>
      <c r="H499" s="4"/>
      <c r="I499" s="4"/>
      <c r="J499" s="4"/>
      <c r="K499" s="4"/>
      <c r="L499" s="4"/>
      <c r="M499" s="4"/>
      <c r="N499" s="4"/>
      <c r="O499" s="4"/>
      <c r="P499" s="4"/>
      <c r="Q499" s="4"/>
    </row>
    <row r="500" spans="2:17" x14ac:dyDescent="0.3">
      <c r="B500" s="3"/>
      <c r="C500" s="2" t="str">
        <f t="shared" si="25"/>
        <v/>
      </c>
      <c r="D500" s="2"/>
      <c r="E500" s="2" t="str">
        <f t="shared" si="26"/>
        <v/>
      </c>
      <c r="F500" s="3"/>
      <c r="G500" s="3"/>
      <c r="H500" s="4"/>
      <c r="I500" s="4"/>
      <c r="J500" s="4"/>
      <c r="K500" s="4"/>
      <c r="L500" s="4"/>
      <c r="M500" s="4"/>
      <c r="N500" s="4"/>
      <c r="O500" s="4"/>
      <c r="P500" s="4"/>
      <c r="Q500" s="4"/>
    </row>
    <row r="501" spans="2:17" x14ac:dyDescent="0.3">
      <c r="B501" s="3"/>
      <c r="C501" s="2" t="str">
        <f t="shared" si="25"/>
        <v/>
      </c>
      <c r="D501" s="2"/>
      <c r="E501" s="2" t="str">
        <f t="shared" si="26"/>
        <v/>
      </c>
      <c r="F501" s="3"/>
      <c r="G501" s="3"/>
      <c r="H501" s="4"/>
      <c r="I501" s="4"/>
      <c r="J501" s="4"/>
      <c r="K501" s="4"/>
      <c r="L501" s="4"/>
      <c r="M501" s="4"/>
      <c r="N501" s="4"/>
      <c r="O501" s="4"/>
      <c r="P501" s="4"/>
      <c r="Q501" s="4"/>
    </row>
    <row r="502" spans="2:17" x14ac:dyDescent="0.3">
      <c r="B502" s="3"/>
      <c r="C502" s="2" t="str">
        <f t="shared" si="25"/>
        <v/>
      </c>
      <c r="D502" s="2"/>
      <c r="E502" s="2" t="str">
        <f t="shared" si="26"/>
        <v/>
      </c>
      <c r="F502" s="3"/>
      <c r="G502" s="3"/>
      <c r="H502" s="4"/>
      <c r="I502" s="4"/>
      <c r="J502" s="4"/>
      <c r="K502" s="4"/>
      <c r="L502" s="4"/>
      <c r="M502" s="4"/>
      <c r="N502" s="4"/>
      <c r="O502" s="4"/>
      <c r="P502" s="4"/>
      <c r="Q502" s="4"/>
    </row>
    <row r="503" spans="2:17" x14ac:dyDescent="0.3">
      <c r="B503" s="3"/>
      <c r="C503" s="2" t="str">
        <f t="shared" si="25"/>
        <v/>
      </c>
      <c r="D503" s="2"/>
      <c r="E503" s="2" t="str">
        <f t="shared" si="26"/>
        <v/>
      </c>
      <c r="F503" s="3"/>
      <c r="G503" s="3"/>
      <c r="H503" s="4"/>
      <c r="I503" s="4"/>
      <c r="J503" s="4"/>
      <c r="K503" s="4"/>
      <c r="L503" s="4"/>
      <c r="M503" s="4"/>
      <c r="N503" s="4"/>
      <c r="O503" s="4"/>
      <c r="P503" s="4"/>
      <c r="Q503" s="4"/>
    </row>
    <row r="504" spans="2:17" x14ac:dyDescent="0.3">
      <c r="B504" s="3"/>
      <c r="C504" s="2" t="str">
        <f t="shared" si="25"/>
        <v/>
      </c>
      <c r="D504" s="2"/>
      <c r="E504" s="2" t="str">
        <f t="shared" si="26"/>
        <v/>
      </c>
      <c r="F504" s="3"/>
      <c r="G504" s="3"/>
      <c r="H504" s="4"/>
      <c r="I504" s="4"/>
      <c r="J504" s="4"/>
      <c r="K504" s="4"/>
      <c r="L504" s="4"/>
      <c r="M504" s="4"/>
      <c r="N504" s="4"/>
      <c r="O504" s="4"/>
      <c r="P504" s="4"/>
      <c r="Q504" s="4"/>
    </row>
    <row r="505" spans="2:17" x14ac:dyDescent="0.3">
      <c r="B505" s="3"/>
      <c r="C505" s="2" t="str">
        <f t="shared" si="25"/>
        <v/>
      </c>
      <c r="D505" s="2"/>
      <c r="E505" s="2" t="str">
        <f t="shared" si="26"/>
        <v/>
      </c>
      <c r="F505" s="3"/>
      <c r="G505" s="3"/>
      <c r="H505" s="4"/>
      <c r="I505" s="4"/>
      <c r="J505" s="4"/>
      <c r="K505" s="4"/>
      <c r="L505" s="4"/>
      <c r="M505" s="4"/>
      <c r="N505" s="4"/>
      <c r="O505" s="4"/>
      <c r="P505" s="4"/>
      <c r="Q505" s="4"/>
    </row>
    <row r="506" spans="2:17" x14ac:dyDescent="0.3">
      <c r="B506" s="3"/>
      <c r="C506" s="2" t="str">
        <f t="shared" si="25"/>
        <v/>
      </c>
      <c r="D506" s="2"/>
      <c r="E506" s="2" t="str">
        <f t="shared" si="26"/>
        <v/>
      </c>
      <c r="F506" s="3"/>
      <c r="G506" s="3"/>
      <c r="H506" s="4"/>
      <c r="I506" s="4"/>
      <c r="J506" s="4"/>
      <c r="K506" s="4"/>
      <c r="L506" s="4"/>
      <c r="M506" s="4"/>
      <c r="N506" s="4"/>
      <c r="O506" s="4"/>
      <c r="P506" s="4"/>
      <c r="Q506" s="4"/>
    </row>
    <row r="507" spans="2:17" x14ac:dyDescent="0.3">
      <c r="B507" s="3"/>
      <c r="C507" s="2" t="str">
        <f t="shared" si="25"/>
        <v/>
      </c>
      <c r="D507" s="2"/>
      <c r="E507" s="2" t="str">
        <f t="shared" si="26"/>
        <v/>
      </c>
      <c r="F507" s="3"/>
      <c r="G507" s="3"/>
      <c r="H507" s="4"/>
      <c r="I507" s="4"/>
      <c r="J507" s="4"/>
      <c r="K507" s="4"/>
      <c r="L507" s="4"/>
      <c r="M507" s="4"/>
      <c r="N507" s="4"/>
      <c r="O507" s="4"/>
      <c r="P507" s="4"/>
      <c r="Q507" s="4"/>
    </row>
    <row r="508" spans="2:17" x14ac:dyDescent="0.3">
      <c r="B508" s="3"/>
      <c r="C508" s="2" t="str">
        <f t="shared" si="25"/>
        <v/>
      </c>
      <c r="D508" s="2"/>
      <c r="E508" s="2" t="str">
        <f t="shared" si="26"/>
        <v/>
      </c>
      <c r="F508" s="3"/>
      <c r="G508" s="3"/>
      <c r="H508" s="4"/>
      <c r="I508" s="4"/>
      <c r="J508" s="4"/>
      <c r="K508" s="4"/>
      <c r="L508" s="4"/>
      <c r="M508" s="4"/>
      <c r="N508" s="4"/>
      <c r="O508" s="4"/>
      <c r="P508" s="4"/>
      <c r="Q508" s="4"/>
    </row>
    <row r="509" spans="2:17" x14ac:dyDescent="0.3">
      <c r="B509" s="3"/>
      <c r="C509" s="2" t="str">
        <f t="shared" si="25"/>
        <v/>
      </c>
      <c r="D509" s="2"/>
      <c r="E509" s="2" t="str">
        <f t="shared" si="26"/>
        <v/>
      </c>
      <c r="F509" s="3"/>
      <c r="G509" s="3"/>
      <c r="H509" s="4"/>
      <c r="I509" s="4"/>
      <c r="J509" s="4"/>
      <c r="K509" s="4"/>
      <c r="L509" s="4"/>
      <c r="M509" s="4"/>
      <c r="N509" s="4"/>
      <c r="O509" s="4"/>
      <c r="P509" s="4"/>
      <c r="Q509" s="4"/>
    </row>
    <row r="510" spans="2:17" x14ac:dyDescent="0.3">
      <c r="B510" s="3"/>
      <c r="C510" s="2" t="str">
        <f t="shared" si="25"/>
        <v/>
      </c>
      <c r="D510" s="2"/>
      <c r="E510" s="2" t="str">
        <f t="shared" si="26"/>
        <v/>
      </c>
      <c r="F510" s="3"/>
      <c r="G510" s="3"/>
      <c r="H510" s="4"/>
      <c r="I510" s="4"/>
      <c r="J510" s="4"/>
      <c r="K510" s="4"/>
      <c r="L510" s="4"/>
      <c r="M510" s="4"/>
      <c r="N510" s="4"/>
      <c r="O510" s="4"/>
      <c r="P510" s="4"/>
      <c r="Q510" s="4"/>
    </row>
    <row r="511" spans="2:17" x14ac:dyDescent="0.3">
      <c r="B511" s="3"/>
      <c r="C511" s="2" t="str">
        <f t="shared" si="25"/>
        <v/>
      </c>
      <c r="D511" s="2"/>
      <c r="E511" s="2" t="str">
        <f t="shared" si="26"/>
        <v/>
      </c>
      <c r="F511" s="3"/>
      <c r="G511" s="3"/>
      <c r="H511" s="4"/>
      <c r="I511" s="4"/>
      <c r="J511" s="4"/>
      <c r="K511" s="4"/>
      <c r="L511" s="4"/>
      <c r="M511" s="4"/>
      <c r="N511" s="4"/>
      <c r="O511" s="4"/>
      <c r="P511" s="4"/>
      <c r="Q511" s="4"/>
    </row>
    <row r="512" spans="2:17" x14ac:dyDescent="0.3">
      <c r="B512" s="3"/>
      <c r="C512" s="2" t="str">
        <f t="shared" si="25"/>
        <v/>
      </c>
      <c r="D512" s="2"/>
      <c r="E512" s="2" t="str">
        <f t="shared" si="26"/>
        <v/>
      </c>
      <c r="F512" s="3"/>
      <c r="G512" s="3"/>
      <c r="H512" s="4"/>
      <c r="I512" s="4"/>
      <c r="J512" s="4"/>
      <c r="K512" s="4"/>
      <c r="L512" s="4"/>
      <c r="M512" s="4"/>
      <c r="N512" s="4"/>
      <c r="O512" s="4"/>
      <c r="P512" s="4"/>
      <c r="Q512" s="4"/>
    </row>
    <row r="513" spans="2:17" x14ac:dyDescent="0.3">
      <c r="B513" s="3"/>
      <c r="C513" s="2" t="str">
        <f t="shared" si="25"/>
        <v/>
      </c>
      <c r="D513" s="2"/>
      <c r="E513" s="2" t="str">
        <f t="shared" si="26"/>
        <v/>
      </c>
      <c r="F513" s="3"/>
      <c r="G513" s="3"/>
      <c r="H513" s="4"/>
      <c r="I513" s="4"/>
      <c r="J513" s="4"/>
      <c r="K513" s="4"/>
      <c r="L513" s="4"/>
      <c r="M513" s="4"/>
      <c r="N513" s="4"/>
      <c r="O513" s="4"/>
      <c r="P513" s="4"/>
      <c r="Q513" s="4"/>
    </row>
    <row r="514" spans="2:17" x14ac:dyDescent="0.3">
      <c r="B514" s="3"/>
      <c r="C514" s="2" t="str">
        <f t="shared" si="25"/>
        <v/>
      </c>
      <c r="D514" s="2"/>
      <c r="E514" s="2" t="str">
        <f t="shared" si="26"/>
        <v/>
      </c>
      <c r="F514" s="3"/>
      <c r="G514" s="3"/>
      <c r="H514" s="4"/>
      <c r="I514" s="4"/>
      <c r="J514" s="4"/>
      <c r="K514" s="4"/>
      <c r="L514" s="4"/>
      <c r="M514" s="4"/>
      <c r="N514" s="4"/>
      <c r="O514" s="4"/>
      <c r="P514" s="4"/>
      <c r="Q514" s="4"/>
    </row>
    <row r="515" spans="2:17" x14ac:dyDescent="0.3">
      <c r="B515" s="3"/>
      <c r="C515" s="2" t="str">
        <f t="shared" si="25"/>
        <v/>
      </c>
      <c r="D515" s="2"/>
      <c r="E515" s="2" t="str">
        <f t="shared" si="26"/>
        <v/>
      </c>
      <c r="F515" s="3"/>
      <c r="G515" s="3"/>
      <c r="H515" s="4"/>
      <c r="I515" s="4"/>
      <c r="J515" s="4"/>
      <c r="K515" s="4"/>
      <c r="L515" s="4"/>
      <c r="M515" s="4"/>
      <c r="N515" s="4"/>
      <c r="O515" s="4"/>
      <c r="P515" s="4"/>
      <c r="Q515" s="4"/>
    </row>
    <row r="516" spans="2:17" x14ac:dyDescent="0.3">
      <c r="B516" s="3"/>
      <c r="C516" s="2" t="str">
        <f t="shared" si="25"/>
        <v/>
      </c>
      <c r="D516" s="2"/>
      <c r="E516" s="2" t="str">
        <f t="shared" si="26"/>
        <v/>
      </c>
      <c r="F516" s="3"/>
      <c r="G516" s="3"/>
      <c r="H516" s="4"/>
      <c r="I516" s="4"/>
      <c r="J516" s="4"/>
      <c r="K516" s="4"/>
      <c r="L516" s="4"/>
      <c r="M516" s="4"/>
      <c r="N516" s="4"/>
      <c r="O516" s="4"/>
      <c r="P516" s="4"/>
      <c r="Q516" s="4"/>
    </row>
    <row r="517" spans="2:17" x14ac:dyDescent="0.3">
      <c r="B517" s="3"/>
      <c r="C517" s="2" t="str">
        <f t="shared" si="25"/>
        <v/>
      </c>
      <c r="D517" s="2"/>
      <c r="E517" s="2" t="str">
        <f t="shared" si="26"/>
        <v/>
      </c>
      <c r="F517" s="3"/>
      <c r="G517" s="3"/>
      <c r="H517" s="4"/>
      <c r="I517" s="4"/>
      <c r="J517" s="4"/>
      <c r="K517" s="4"/>
      <c r="L517" s="4"/>
      <c r="M517" s="4"/>
      <c r="N517" s="4"/>
      <c r="O517" s="4"/>
      <c r="P517" s="4"/>
      <c r="Q517" s="4"/>
    </row>
    <row r="518" spans="2:17" x14ac:dyDescent="0.3">
      <c r="B518" s="3"/>
      <c r="C518" s="2" t="str">
        <f t="shared" si="25"/>
        <v/>
      </c>
      <c r="D518" s="2"/>
      <c r="E518" s="2" t="str">
        <f t="shared" si="26"/>
        <v/>
      </c>
      <c r="F518" s="3"/>
      <c r="G518" s="3"/>
      <c r="H518" s="4"/>
      <c r="I518" s="4"/>
      <c r="J518" s="4"/>
      <c r="K518" s="4"/>
      <c r="L518" s="4"/>
      <c r="M518" s="4"/>
      <c r="N518" s="4"/>
      <c r="O518" s="4"/>
      <c r="P518" s="4"/>
      <c r="Q518" s="4"/>
    </row>
    <row r="519" spans="2:17" x14ac:dyDescent="0.3">
      <c r="B519" s="3"/>
      <c r="C519" s="2" t="str">
        <f t="shared" si="25"/>
        <v/>
      </c>
      <c r="D519" s="2"/>
      <c r="E519" s="2" t="str">
        <f t="shared" si="26"/>
        <v/>
      </c>
      <c r="F519" s="3"/>
      <c r="G519" s="3"/>
      <c r="H519" s="4"/>
      <c r="I519" s="4"/>
      <c r="J519" s="4"/>
      <c r="K519" s="4"/>
      <c r="L519" s="4"/>
      <c r="M519" s="4"/>
      <c r="N519" s="4"/>
      <c r="O519" s="4"/>
      <c r="P519" s="4"/>
      <c r="Q519" s="4"/>
    </row>
    <row r="520" spans="2:17" x14ac:dyDescent="0.3">
      <c r="B520" s="3"/>
      <c r="C520" s="2" t="str">
        <f t="shared" si="25"/>
        <v/>
      </c>
      <c r="D520" s="2"/>
      <c r="E520" s="2" t="str">
        <f t="shared" si="26"/>
        <v/>
      </c>
      <c r="F520" s="3"/>
      <c r="G520" s="3"/>
      <c r="H520" s="4"/>
      <c r="I520" s="4"/>
      <c r="J520" s="4"/>
      <c r="K520" s="4"/>
      <c r="L520" s="4"/>
      <c r="M520" s="4"/>
      <c r="N520" s="4"/>
      <c r="O520" s="4"/>
      <c r="P520" s="4"/>
      <c r="Q520" s="4"/>
    </row>
    <row r="521" spans="2:17" x14ac:dyDescent="0.3">
      <c r="B521" s="3"/>
      <c r="C521" s="2" t="str">
        <f t="shared" si="25"/>
        <v/>
      </c>
      <c r="D521" s="2"/>
      <c r="E521" s="2" t="str">
        <f t="shared" si="26"/>
        <v/>
      </c>
      <c r="F521" s="3"/>
      <c r="G521" s="3"/>
      <c r="H521" s="4"/>
      <c r="I521" s="4"/>
      <c r="J521" s="4"/>
      <c r="K521" s="4"/>
      <c r="L521" s="4"/>
      <c r="M521" s="4"/>
      <c r="N521" s="4"/>
      <c r="O521" s="4"/>
      <c r="P521" s="4"/>
      <c r="Q521" s="4"/>
    </row>
    <row r="522" spans="2:17" x14ac:dyDescent="0.3">
      <c r="B522" s="3"/>
      <c r="C522" s="2" t="str">
        <f t="shared" si="25"/>
        <v/>
      </c>
      <c r="D522" s="2"/>
      <c r="E522" s="2" t="str">
        <f t="shared" si="26"/>
        <v/>
      </c>
      <c r="F522" s="3"/>
      <c r="G522" s="3"/>
      <c r="H522" s="4"/>
      <c r="I522" s="4"/>
      <c r="J522" s="4"/>
      <c r="K522" s="4"/>
      <c r="L522" s="4"/>
      <c r="M522" s="4"/>
      <c r="N522" s="4"/>
      <c r="O522" s="4"/>
      <c r="P522" s="4"/>
      <c r="Q522" s="4"/>
    </row>
    <row r="523" spans="2:17" x14ac:dyDescent="0.3">
      <c r="B523" s="3"/>
      <c r="C523" s="2" t="str">
        <f t="shared" si="25"/>
        <v/>
      </c>
      <c r="D523" s="2"/>
      <c r="E523" s="2" t="str">
        <f t="shared" si="26"/>
        <v/>
      </c>
      <c r="F523" s="3"/>
      <c r="G523" s="3"/>
      <c r="H523" s="4"/>
      <c r="I523" s="4"/>
      <c r="J523" s="4"/>
      <c r="K523" s="4"/>
      <c r="L523" s="4"/>
      <c r="M523" s="4"/>
      <c r="N523" s="4"/>
      <c r="O523" s="4"/>
      <c r="P523" s="4"/>
      <c r="Q523" s="4"/>
    </row>
    <row r="524" spans="2:17" x14ac:dyDescent="0.3">
      <c r="B524" s="3"/>
      <c r="C524" s="2" t="str">
        <f t="shared" si="25"/>
        <v/>
      </c>
      <c r="D524" s="2"/>
      <c r="E524" s="2" t="str">
        <f t="shared" si="26"/>
        <v/>
      </c>
      <c r="F524" s="3"/>
      <c r="G524" s="3"/>
      <c r="H524" s="4"/>
      <c r="I524" s="4"/>
      <c r="J524" s="4"/>
      <c r="K524" s="4"/>
      <c r="L524" s="4"/>
      <c r="M524" s="4"/>
      <c r="N524" s="4"/>
      <c r="O524" s="4"/>
      <c r="P524" s="4"/>
      <c r="Q524" s="4"/>
    </row>
    <row r="525" spans="2:17" x14ac:dyDescent="0.3">
      <c r="B525" s="3"/>
      <c r="C525" s="2" t="str">
        <f t="shared" si="25"/>
        <v/>
      </c>
      <c r="D525" s="2"/>
      <c r="E525" s="2" t="str">
        <f t="shared" si="26"/>
        <v/>
      </c>
      <c r="F525" s="3"/>
      <c r="G525" s="3"/>
      <c r="H525" s="4"/>
      <c r="I525" s="4"/>
      <c r="J525" s="4"/>
      <c r="K525" s="4"/>
      <c r="L525" s="4"/>
      <c r="M525" s="4"/>
      <c r="N525" s="4"/>
      <c r="O525" s="4"/>
      <c r="P525" s="4"/>
      <c r="Q525" s="4"/>
    </row>
    <row r="526" spans="2:17" x14ac:dyDescent="0.3">
      <c r="B526" s="3"/>
      <c r="C526" s="2" t="str">
        <f t="shared" si="25"/>
        <v/>
      </c>
      <c r="D526" s="2"/>
      <c r="E526" s="2" t="str">
        <f t="shared" si="26"/>
        <v/>
      </c>
      <c r="F526" s="3"/>
      <c r="G526" s="3"/>
      <c r="H526" s="4"/>
      <c r="I526" s="4"/>
      <c r="J526" s="4"/>
      <c r="K526" s="4"/>
      <c r="L526" s="4"/>
      <c r="M526" s="4"/>
      <c r="N526" s="4"/>
      <c r="O526" s="4"/>
      <c r="P526" s="4"/>
      <c r="Q526" s="4"/>
    </row>
    <row r="527" spans="2:17" x14ac:dyDescent="0.3">
      <c r="B527" s="3"/>
      <c r="C527" s="2" t="str">
        <f t="shared" si="25"/>
        <v/>
      </c>
      <c r="D527" s="2"/>
      <c r="E527" s="2" t="str">
        <f t="shared" si="26"/>
        <v/>
      </c>
      <c r="F527" s="3"/>
      <c r="G527" s="3"/>
      <c r="H527" s="4"/>
      <c r="I527" s="4"/>
      <c r="J527" s="4"/>
      <c r="K527" s="4"/>
      <c r="L527" s="4"/>
      <c r="M527" s="4"/>
      <c r="N527" s="4"/>
      <c r="O527" s="4"/>
      <c r="P527" s="4"/>
      <c r="Q527" s="4"/>
    </row>
    <row r="528" spans="2:17" x14ac:dyDescent="0.3">
      <c r="B528" s="3"/>
      <c r="C528" s="2" t="str">
        <f t="shared" si="25"/>
        <v/>
      </c>
      <c r="D528" s="2"/>
      <c r="E528" s="2" t="str">
        <f t="shared" si="26"/>
        <v/>
      </c>
      <c r="F528" s="3"/>
      <c r="G528" s="3"/>
      <c r="H528" s="4"/>
      <c r="I528" s="4"/>
      <c r="J528" s="4"/>
      <c r="K528" s="4"/>
      <c r="L528" s="4"/>
      <c r="M528" s="4"/>
      <c r="N528" s="4"/>
      <c r="O528" s="4"/>
      <c r="P528" s="4"/>
      <c r="Q528" s="4"/>
    </row>
    <row r="529" spans="2:17" x14ac:dyDescent="0.3">
      <c r="B529" s="3"/>
      <c r="C529" s="2" t="str">
        <f t="shared" si="25"/>
        <v/>
      </c>
      <c r="D529" s="2"/>
      <c r="E529" s="2" t="str">
        <f t="shared" si="26"/>
        <v/>
      </c>
      <c r="F529" s="3"/>
      <c r="G529" s="3"/>
      <c r="H529" s="4"/>
      <c r="I529" s="4"/>
      <c r="J529" s="4"/>
      <c r="K529" s="4"/>
      <c r="L529" s="4"/>
      <c r="M529" s="4"/>
      <c r="N529" s="4"/>
      <c r="O529" s="4"/>
      <c r="P529" s="4"/>
      <c r="Q529" s="4"/>
    </row>
    <row r="530" spans="2:17" x14ac:dyDescent="0.3">
      <c r="B530" s="3"/>
      <c r="C530" s="2" t="str">
        <f t="shared" si="25"/>
        <v/>
      </c>
      <c r="D530" s="2"/>
      <c r="E530" s="2" t="str">
        <f t="shared" si="26"/>
        <v/>
      </c>
      <c r="F530" s="3"/>
      <c r="G530" s="3"/>
      <c r="H530" s="4"/>
      <c r="I530" s="4"/>
      <c r="J530" s="4"/>
      <c r="K530" s="4"/>
      <c r="L530" s="4"/>
      <c r="M530" s="4"/>
      <c r="N530" s="4"/>
      <c r="O530" s="4"/>
      <c r="P530" s="4"/>
      <c r="Q530" s="4"/>
    </row>
    <row r="531" spans="2:17" x14ac:dyDescent="0.3">
      <c r="B531" s="3"/>
      <c r="C531" s="2" t="str">
        <f t="shared" si="25"/>
        <v/>
      </c>
      <c r="D531" s="2"/>
      <c r="E531" s="2" t="str">
        <f t="shared" si="26"/>
        <v/>
      </c>
      <c r="F531" s="3"/>
      <c r="G531" s="3"/>
      <c r="H531" s="4"/>
      <c r="I531" s="4"/>
      <c r="J531" s="4"/>
      <c r="K531" s="4"/>
      <c r="L531" s="4"/>
      <c r="M531" s="4"/>
      <c r="N531" s="4"/>
      <c r="O531" s="4"/>
      <c r="P531" s="4"/>
      <c r="Q531" s="4"/>
    </row>
    <row r="532" spans="2:17" x14ac:dyDescent="0.3">
      <c r="B532" s="3"/>
      <c r="C532" s="2" t="str">
        <f t="shared" si="25"/>
        <v/>
      </c>
      <c r="D532" s="2"/>
      <c r="E532" s="2" t="str">
        <f t="shared" si="26"/>
        <v/>
      </c>
      <c r="F532" s="3"/>
      <c r="G532" s="3"/>
      <c r="H532" s="4"/>
      <c r="I532" s="4"/>
      <c r="J532" s="4"/>
      <c r="K532" s="4"/>
      <c r="L532" s="4"/>
      <c r="M532" s="4"/>
      <c r="N532" s="4"/>
      <c r="O532" s="4"/>
      <c r="P532" s="4"/>
      <c r="Q532" s="4"/>
    </row>
    <row r="533" spans="2:17" x14ac:dyDescent="0.3">
      <c r="B533" s="3"/>
      <c r="C533" s="2" t="str">
        <f t="shared" si="25"/>
        <v/>
      </c>
      <c r="D533" s="2"/>
      <c r="E533" s="2" t="str">
        <f t="shared" si="26"/>
        <v/>
      </c>
      <c r="F533" s="3"/>
      <c r="G533" s="3"/>
      <c r="H533" s="4"/>
      <c r="I533" s="4"/>
      <c r="J533" s="4"/>
      <c r="K533" s="4"/>
      <c r="L533" s="4"/>
      <c r="M533" s="4"/>
      <c r="N533" s="4"/>
      <c r="O533" s="4"/>
      <c r="P533" s="4"/>
      <c r="Q533" s="4"/>
    </row>
    <row r="534" spans="2:17" x14ac:dyDescent="0.3">
      <c r="B534" s="3"/>
      <c r="C534" s="2" t="str">
        <f t="shared" si="25"/>
        <v/>
      </c>
      <c r="D534" s="2"/>
      <c r="E534" s="2" t="str">
        <f t="shared" si="26"/>
        <v/>
      </c>
      <c r="F534" s="3"/>
      <c r="G534" s="3"/>
      <c r="H534" s="4"/>
      <c r="I534" s="4"/>
      <c r="J534" s="4"/>
      <c r="K534" s="4"/>
      <c r="L534" s="4"/>
      <c r="M534" s="4"/>
      <c r="N534" s="4"/>
      <c r="O534" s="4"/>
      <c r="P534" s="4"/>
      <c r="Q534" s="4"/>
    </row>
    <row r="535" spans="2:17" x14ac:dyDescent="0.3">
      <c r="B535" s="3"/>
      <c r="C535" s="2" t="str">
        <f t="shared" si="25"/>
        <v/>
      </c>
      <c r="D535" s="2"/>
      <c r="E535" s="2" t="str">
        <f t="shared" si="26"/>
        <v/>
      </c>
      <c r="F535" s="3"/>
      <c r="G535" s="3"/>
      <c r="H535" s="4"/>
      <c r="I535" s="4"/>
      <c r="J535" s="4"/>
      <c r="K535" s="4"/>
      <c r="L535" s="4"/>
      <c r="M535" s="4"/>
      <c r="N535" s="4"/>
      <c r="O535" s="4"/>
      <c r="P535" s="4"/>
      <c r="Q535" s="4"/>
    </row>
    <row r="536" spans="2:17" x14ac:dyDescent="0.3">
      <c r="B536" s="3"/>
      <c r="C536" s="2" t="str">
        <f t="shared" si="25"/>
        <v/>
      </c>
      <c r="D536" s="2"/>
      <c r="E536" s="2" t="str">
        <f t="shared" si="26"/>
        <v/>
      </c>
      <c r="F536" s="3"/>
      <c r="G536" s="3"/>
      <c r="H536" s="4"/>
      <c r="I536" s="4"/>
      <c r="J536" s="4"/>
      <c r="K536" s="4"/>
      <c r="L536" s="4"/>
      <c r="M536" s="4"/>
      <c r="N536" s="4"/>
      <c r="O536" s="4"/>
      <c r="P536" s="4"/>
      <c r="Q536" s="4"/>
    </row>
    <row r="537" spans="2:17" x14ac:dyDescent="0.3">
      <c r="B537" s="3"/>
      <c r="C537" s="2" t="str">
        <f t="shared" si="25"/>
        <v/>
      </c>
      <c r="D537" s="2"/>
      <c r="E537" s="2" t="str">
        <f t="shared" si="26"/>
        <v/>
      </c>
      <c r="F537" s="3"/>
      <c r="G537" s="3"/>
      <c r="H537" s="4"/>
      <c r="I537" s="4"/>
      <c r="J537" s="4"/>
      <c r="K537" s="4"/>
      <c r="L537" s="4"/>
      <c r="M537" s="4"/>
      <c r="N537" s="4"/>
      <c r="O537" s="4"/>
      <c r="P537" s="4"/>
      <c r="Q537" s="4"/>
    </row>
    <row r="538" spans="2:17" x14ac:dyDescent="0.3">
      <c r="B538" s="3"/>
      <c r="C538" s="2" t="str">
        <f t="shared" si="25"/>
        <v/>
      </c>
      <c r="D538" s="2"/>
      <c r="E538" s="2" t="str">
        <f t="shared" si="26"/>
        <v/>
      </c>
      <c r="F538" s="3"/>
      <c r="G538" s="3"/>
      <c r="H538" s="4"/>
      <c r="I538" s="4"/>
      <c r="J538" s="4"/>
      <c r="K538" s="4"/>
      <c r="L538" s="4"/>
      <c r="M538" s="4"/>
      <c r="N538" s="4"/>
      <c r="O538" s="4"/>
      <c r="P538" s="4"/>
      <c r="Q538" s="4"/>
    </row>
    <row r="539" spans="2:17" x14ac:dyDescent="0.3">
      <c r="B539" s="3"/>
      <c r="C539" s="2" t="str">
        <f t="shared" si="25"/>
        <v/>
      </c>
      <c r="D539" s="2"/>
      <c r="E539" s="2" t="str">
        <f t="shared" si="26"/>
        <v/>
      </c>
      <c r="F539" s="3"/>
      <c r="G539" s="3"/>
      <c r="H539" s="4"/>
      <c r="I539" s="4"/>
      <c r="J539" s="4"/>
      <c r="K539" s="4"/>
      <c r="L539" s="4"/>
      <c r="M539" s="4"/>
      <c r="N539" s="4"/>
      <c r="O539" s="4"/>
      <c r="P539" s="4"/>
      <c r="Q539" s="4"/>
    </row>
    <row r="540" spans="2:17" x14ac:dyDescent="0.3">
      <c r="B540" s="3"/>
      <c r="C540" s="2" t="str">
        <f t="shared" si="25"/>
        <v/>
      </c>
      <c r="D540" s="2"/>
      <c r="E540" s="2" t="str">
        <f t="shared" si="26"/>
        <v/>
      </c>
      <c r="F540" s="3"/>
      <c r="G540" s="3"/>
      <c r="H540" s="4"/>
      <c r="I540" s="4"/>
      <c r="J540" s="4"/>
      <c r="K540" s="4"/>
      <c r="L540" s="4"/>
      <c r="M540" s="4"/>
      <c r="N540" s="4"/>
      <c r="O540" s="4"/>
      <c r="P540" s="4"/>
      <c r="Q540" s="4"/>
    </row>
    <row r="541" spans="2:17" x14ac:dyDescent="0.3">
      <c r="B541" s="3"/>
      <c r="C541" s="2" t="str">
        <f t="shared" si="25"/>
        <v/>
      </c>
      <c r="D541" s="2"/>
      <c r="E541" s="2" t="str">
        <f t="shared" si="26"/>
        <v/>
      </c>
      <c r="F541" s="3"/>
      <c r="G541" s="3"/>
      <c r="H541" s="4"/>
      <c r="I541" s="4"/>
      <c r="J541" s="4"/>
      <c r="K541" s="4"/>
      <c r="L541" s="4"/>
      <c r="M541" s="4"/>
      <c r="N541" s="4"/>
      <c r="O541" s="4"/>
      <c r="P541" s="4"/>
      <c r="Q541" s="4"/>
    </row>
    <row r="542" spans="2:17" x14ac:dyDescent="0.3">
      <c r="B542" s="3"/>
      <c r="C542" s="2" t="str">
        <f t="shared" si="25"/>
        <v/>
      </c>
      <c r="D542" s="2"/>
      <c r="E542" s="2" t="str">
        <f t="shared" si="26"/>
        <v/>
      </c>
      <c r="F542" s="3"/>
      <c r="G542" s="3"/>
      <c r="H542" s="4"/>
      <c r="I542" s="4"/>
      <c r="J542" s="4"/>
      <c r="K542" s="4"/>
      <c r="L542" s="4"/>
      <c r="M542" s="4"/>
      <c r="N542" s="4"/>
      <c r="O542" s="4"/>
      <c r="P542" s="4"/>
      <c r="Q542" s="4"/>
    </row>
    <row r="543" spans="2:17" x14ac:dyDescent="0.3">
      <c r="B543" s="3"/>
      <c r="C543" s="2" t="str">
        <f t="shared" si="25"/>
        <v/>
      </c>
      <c r="D543" s="2"/>
      <c r="E543" s="2" t="str">
        <f t="shared" si="26"/>
        <v/>
      </c>
      <c r="F543" s="3"/>
      <c r="G543" s="3"/>
      <c r="H543" s="4"/>
      <c r="I543" s="4"/>
      <c r="J543" s="4"/>
      <c r="K543" s="4"/>
      <c r="L543" s="4"/>
      <c r="M543" s="4"/>
      <c r="N543" s="4"/>
      <c r="O543" s="4"/>
      <c r="P543" s="4"/>
      <c r="Q543" s="4"/>
    </row>
    <row r="544" spans="2:17" x14ac:dyDescent="0.3">
      <c r="B544" s="3"/>
      <c r="C544" s="2" t="str">
        <f t="shared" si="25"/>
        <v/>
      </c>
      <c r="D544" s="2"/>
      <c r="E544" s="2" t="str">
        <f t="shared" si="26"/>
        <v/>
      </c>
      <c r="F544" s="3"/>
      <c r="G544" s="3"/>
      <c r="H544" s="4"/>
      <c r="I544" s="4"/>
      <c r="J544" s="4"/>
      <c r="K544" s="4"/>
      <c r="L544" s="4"/>
      <c r="M544" s="4"/>
      <c r="N544" s="4"/>
      <c r="O544" s="4"/>
      <c r="P544" s="4"/>
      <c r="Q544" s="4"/>
    </row>
    <row r="545" spans="2:17" x14ac:dyDescent="0.3">
      <c r="B545" s="3"/>
      <c r="C545" s="2" t="str">
        <f t="shared" si="25"/>
        <v/>
      </c>
      <c r="D545" s="2"/>
      <c r="E545" s="2" t="str">
        <f t="shared" si="26"/>
        <v/>
      </c>
      <c r="F545" s="3"/>
      <c r="G545" s="3"/>
      <c r="H545" s="4"/>
      <c r="I545" s="4"/>
      <c r="J545" s="4"/>
      <c r="K545" s="4"/>
      <c r="L545" s="4"/>
      <c r="M545" s="4"/>
      <c r="N545" s="4"/>
      <c r="O545" s="4"/>
      <c r="P545" s="4"/>
      <c r="Q545" s="4"/>
    </row>
    <row r="546" spans="2:17" x14ac:dyDescent="0.3">
      <c r="B546" s="3"/>
      <c r="C546" s="2" t="str">
        <f t="shared" si="25"/>
        <v/>
      </c>
      <c r="D546" s="2"/>
      <c r="E546" s="2" t="str">
        <f t="shared" si="26"/>
        <v/>
      </c>
      <c r="F546" s="3"/>
      <c r="G546" s="3"/>
      <c r="H546" s="4"/>
      <c r="I546" s="4"/>
      <c r="J546" s="4"/>
      <c r="K546" s="4"/>
      <c r="L546" s="4"/>
      <c r="M546" s="4"/>
      <c r="N546" s="4"/>
      <c r="O546" s="4"/>
      <c r="P546" s="4"/>
      <c r="Q546" s="4"/>
    </row>
    <row r="547" spans="2:17" x14ac:dyDescent="0.3">
      <c r="B547" s="3"/>
      <c r="C547" s="2" t="str">
        <f t="shared" si="25"/>
        <v/>
      </c>
      <c r="D547" s="2"/>
      <c r="E547" s="2" t="str">
        <f t="shared" si="26"/>
        <v/>
      </c>
      <c r="F547" s="3"/>
      <c r="G547" s="3"/>
      <c r="H547" s="4"/>
      <c r="I547" s="4"/>
      <c r="J547" s="4"/>
      <c r="K547" s="4"/>
      <c r="L547" s="4"/>
      <c r="M547" s="4"/>
      <c r="N547" s="4"/>
      <c r="O547" s="4"/>
      <c r="P547" s="4"/>
      <c r="Q547" s="4"/>
    </row>
    <row r="548" spans="2:17" x14ac:dyDescent="0.3">
      <c r="B548" s="3"/>
      <c r="C548" s="2" t="str">
        <f t="shared" si="25"/>
        <v/>
      </c>
      <c r="D548" s="2"/>
      <c r="E548" s="2" t="str">
        <f t="shared" si="26"/>
        <v/>
      </c>
      <c r="F548" s="3"/>
      <c r="G548" s="3"/>
      <c r="H548" s="4"/>
      <c r="I548" s="4"/>
      <c r="J548" s="4"/>
      <c r="K548" s="4"/>
      <c r="L548" s="4"/>
      <c r="M548" s="4"/>
      <c r="N548" s="4"/>
      <c r="O548" s="4"/>
      <c r="P548" s="4"/>
      <c r="Q548" s="4"/>
    </row>
    <row r="549" spans="2:17" x14ac:dyDescent="0.3">
      <c r="B549" s="3"/>
      <c r="C549" s="2" t="str">
        <f t="shared" si="25"/>
        <v/>
      </c>
      <c r="D549" s="2"/>
      <c r="E549" s="2" t="str">
        <f t="shared" si="26"/>
        <v/>
      </c>
      <c r="F549" s="3"/>
      <c r="G549" s="3"/>
      <c r="H549" s="4"/>
      <c r="I549" s="4"/>
      <c r="J549" s="4"/>
      <c r="K549" s="4"/>
      <c r="L549" s="4"/>
      <c r="M549" s="4"/>
      <c r="N549" s="4"/>
      <c r="O549" s="4"/>
      <c r="P549" s="4"/>
      <c r="Q549" s="4"/>
    </row>
    <row r="550" spans="2:17" x14ac:dyDescent="0.3">
      <c r="B550" s="3"/>
      <c r="C550" s="2" t="str">
        <f t="shared" si="25"/>
        <v/>
      </c>
      <c r="D550" s="2"/>
      <c r="E550" s="2" t="str">
        <f t="shared" si="26"/>
        <v/>
      </c>
      <c r="F550" s="3"/>
      <c r="G550" s="3"/>
      <c r="H550" s="4"/>
      <c r="I550" s="4"/>
      <c r="J550" s="4"/>
      <c r="K550" s="4"/>
      <c r="L550" s="4"/>
      <c r="M550" s="4"/>
      <c r="N550" s="4"/>
      <c r="O550" s="4"/>
      <c r="P550" s="4"/>
      <c r="Q550" s="4"/>
    </row>
    <row r="551" spans="2:17" x14ac:dyDescent="0.3">
      <c r="B551" s="3"/>
      <c r="C551" s="2" t="str">
        <f t="shared" si="25"/>
        <v/>
      </c>
      <c r="D551" s="2"/>
      <c r="E551" s="2" t="str">
        <f t="shared" si="26"/>
        <v/>
      </c>
      <c r="F551" s="3"/>
      <c r="G551" s="3"/>
      <c r="H551" s="4"/>
      <c r="I551" s="4"/>
      <c r="J551" s="4"/>
      <c r="K551" s="4"/>
      <c r="L551" s="4"/>
      <c r="M551" s="4"/>
      <c r="N551" s="4"/>
      <c r="O551" s="4"/>
      <c r="P551" s="4"/>
      <c r="Q551" s="4"/>
    </row>
    <row r="552" spans="2:17" x14ac:dyDescent="0.3">
      <c r="B552" s="3"/>
      <c r="C552" s="2" t="str">
        <f t="shared" ref="C552:C572" si="27">IF($F552="","",IF(LEFT($F552,1)*1=1,"A",IF(LEFT($F552,1)*1=2,"P",IF(LEFT($F552,1)*1=3,"C",IF(LEFT($F552,1)*1=4,"C",IF(LEFT($F552,1)*1=5,"R",""))))))</f>
        <v/>
      </c>
      <c r="D552" s="2"/>
      <c r="E552" s="2" t="str">
        <f t="shared" ref="E552:E572" si="28">IF($F552="","",IF(LEN($F552)=1,1,IF(LEN($F552)=3,2,IF(LEN($F552)=6,3,IF(LEN($F552)=9,4,IF(LEN($F552)=12,5,6))))))</f>
        <v/>
      </c>
      <c r="F552" s="3"/>
      <c r="G552" s="3"/>
      <c r="H552" s="4"/>
      <c r="I552" s="4"/>
      <c r="J552" s="4"/>
      <c r="K552" s="4"/>
      <c r="L552" s="4"/>
      <c r="M552" s="4"/>
      <c r="N552" s="4"/>
      <c r="O552" s="4"/>
      <c r="P552" s="4"/>
      <c r="Q552" s="4"/>
    </row>
    <row r="553" spans="2:17" x14ac:dyDescent="0.3">
      <c r="B553" s="3"/>
      <c r="C553" s="2" t="str">
        <f t="shared" si="27"/>
        <v/>
      </c>
      <c r="D553" s="2"/>
      <c r="E553" s="2" t="str">
        <f t="shared" si="28"/>
        <v/>
      </c>
      <c r="F553" s="3"/>
      <c r="G553" s="3"/>
      <c r="H553" s="4"/>
      <c r="I553" s="4"/>
      <c r="J553" s="4"/>
      <c r="K553" s="4"/>
      <c r="L553" s="4"/>
      <c r="M553" s="4"/>
      <c r="N553" s="4"/>
      <c r="O553" s="4"/>
      <c r="P553" s="4"/>
      <c r="Q553" s="4"/>
    </row>
    <row r="554" spans="2:17" x14ac:dyDescent="0.3">
      <c r="B554" s="3"/>
      <c r="C554" s="2" t="str">
        <f t="shared" si="27"/>
        <v/>
      </c>
      <c r="D554" s="2"/>
      <c r="E554" s="2" t="str">
        <f t="shared" si="28"/>
        <v/>
      </c>
      <c r="F554" s="3"/>
      <c r="G554" s="3"/>
      <c r="H554" s="4"/>
      <c r="I554" s="4"/>
      <c r="J554" s="4"/>
      <c r="K554" s="4"/>
      <c r="L554" s="4"/>
      <c r="M554" s="4"/>
      <c r="N554" s="4"/>
      <c r="O554" s="4"/>
      <c r="P554" s="4"/>
      <c r="Q554" s="4"/>
    </row>
    <row r="555" spans="2:17" x14ac:dyDescent="0.3">
      <c r="B555" s="3"/>
      <c r="C555" s="2" t="str">
        <f t="shared" si="27"/>
        <v/>
      </c>
      <c r="D555" s="2"/>
      <c r="E555" s="2" t="str">
        <f t="shared" si="28"/>
        <v/>
      </c>
      <c r="F555" s="3"/>
      <c r="G555" s="3"/>
      <c r="H555" s="4"/>
      <c r="I555" s="4"/>
      <c r="J555" s="4"/>
      <c r="K555" s="4"/>
      <c r="L555" s="4"/>
      <c r="M555" s="4"/>
      <c r="N555" s="4"/>
      <c r="O555" s="4"/>
      <c r="P555" s="4"/>
      <c r="Q555" s="4"/>
    </row>
    <row r="556" spans="2:17" x14ac:dyDescent="0.3">
      <c r="B556" s="3"/>
      <c r="C556" s="2" t="str">
        <f t="shared" si="27"/>
        <v/>
      </c>
      <c r="D556" s="2"/>
      <c r="E556" s="2" t="str">
        <f t="shared" si="28"/>
        <v/>
      </c>
      <c r="F556" s="3"/>
      <c r="G556" s="3"/>
      <c r="H556" s="4"/>
      <c r="I556" s="4"/>
      <c r="J556" s="4"/>
      <c r="K556" s="4"/>
      <c r="L556" s="4"/>
      <c r="M556" s="4"/>
      <c r="N556" s="4"/>
      <c r="O556" s="4"/>
      <c r="P556" s="4"/>
      <c r="Q556" s="4"/>
    </row>
    <row r="557" spans="2:17" x14ac:dyDescent="0.3">
      <c r="B557" s="3"/>
      <c r="C557" s="2" t="str">
        <f t="shared" si="27"/>
        <v/>
      </c>
      <c r="D557" s="2"/>
      <c r="E557" s="2" t="str">
        <f t="shared" si="28"/>
        <v/>
      </c>
      <c r="F557" s="3"/>
      <c r="G557" s="3"/>
      <c r="H557" s="4"/>
      <c r="I557" s="4"/>
      <c r="J557" s="4"/>
      <c r="K557" s="4"/>
      <c r="L557" s="4"/>
      <c r="M557" s="4"/>
      <c r="N557" s="4"/>
      <c r="O557" s="4"/>
      <c r="P557" s="4"/>
      <c r="Q557" s="4"/>
    </row>
    <row r="558" spans="2:17" x14ac:dyDescent="0.3">
      <c r="B558" s="3"/>
      <c r="C558" s="2" t="str">
        <f t="shared" si="27"/>
        <v/>
      </c>
      <c r="D558" s="2"/>
      <c r="E558" s="2" t="str">
        <f t="shared" si="28"/>
        <v/>
      </c>
      <c r="F558" s="3"/>
      <c r="G558" s="3"/>
      <c r="H558" s="4"/>
      <c r="I558" s="4"/>
      <c r="J558" s="4"/>
      <c r="K558" s="4"/>
      <c r="L558" s="4"/>
      <c r="M558" s="4"/>
      <c r="N558" s="4"/>
      <c r="O558" s="4"/>
      <c r="P558" s="4"/>
      <c r="Q558" s="4"/>
    </row>
    <row r="559" spans="2:17" x14ac:dyDescent="0.3">
      <c r="B559" s="3"/>
      <c r="C559" s="2" t="str">
        <f t="shared" si="27"/>
        <v/>
      </c>
      <c r="D559" s="2"/>
      <c r="E559" s="2" t="str">
        <f t="shared" si="28"/>
        <v/>
      </c>
      <c r="F559" s="3"/>
      <c r="G559" s="3"/>
      <c r="H559" s="4"/>
      <c r="I559" s="4"/>
      <c r="J559" s="4"/>
      <c r="K559" s="4"/>
      <c r="L559" s="4"/>
      <c r="M559" s="4"/>
      <c r="N559" s="4"/>
      <c r="O559" s="4"/>
      <c r="P559" s="4"/>
      <c r="Q559" s="4"/>
    </row>
    <row r="560" spans="2:17" x14ac:dyDescent="0.3">
      <c r="B560" s="3"/>
      <c r="C560" s="2" t="str">
        <f t="shared" si="27"/>
        <v/>
      </c>
      <c r="D560" s="2"/>
      <c r="E560" s="2" t="str">
        <f t="shared" si="28"/>
        <v/>
      </c>
      <c r="F560" s="3"/>
      <c r="G560" s="3"/>
      <c r="H560" s="4"/>
      <c r="I560" s="4"/>
      <c r="J560" s="4"/>
      <c r="K560" s="4"/>
      <c r="L560" s="4"/>
      <c r="M560" s="4"/>
      <c r="N560" s="4"/>
      <c r="O560" s="4"/>
      <c r="P560" s="4"/>
      <c r="Q560" s="4"/>
    </row>
    <row r="561" spans="2:17" x14ac:dyDescent="0.3">
      <c r="B561" s="3"/>
      <c r="C561" s="2" t="str">
        <f t="shared" si="27"/>
        <v/>
      </c>
      <c r="D561" s="2"/>
      <c r="E561" s="2" t="str">
        <f t="shared" si="28"/>
        <v/>
      </c>
      <c r="F561" s="3"/>
      <c r="G561" s="3"/>
      <c r="H561" s="4"/>
      <c r="I561" s="4"/>
      <c r="J561" s="4"/>
      <c r="K561" s="4"/>
      <c r="L561" s="4"/>
      <c r="M561" s="4"/>
      <c r="N561" s="4"/>
      <c r="O561" s="4"/>
      <c r="P561" s="4"/>
      <c r="Q561" s="4"/>
    </row>
    <row r="562" spans="2:17" x14ac:dyDescent="0.3">
      <c r="B562" s="3"/>
      <c r="C562" s="2" t="str">
        <f t="shared" si="27"/>
        <v/>
      </c>
      <c r="D562" s="2"/>
      <c r="E562" s="2" t="str">
        <f t="shared" si="28"/>
        <v/>
      </c>
      <c r="F562" s="3"/>
      <c r="G562" s="3"/>
      <c r="H562" s="4"/>
      <c r="I562" s="4"/>
      <c r="J562" s="4"/>
      <c r="K562" s="4"/>
      <c r="L562" s="4"/>
      <c r="M562" s="4"/>
      <c r="N562" s="4"/>
      <c r="O562" s="4"/>
      <c r="P562" s="4"/>
      <c r="Q562" s="4"/>
    </row>
    <row r="563" spans="2:17" x14ac:dyDescent="0.3">
      <c r="B563" s="3"/>
      <c r="C563" s="2" t="str">
        <f t="shared" si="27"/>
        <v/>
      </c>
      <c r="D563" s="2"/>
      <c r="E563" s="2" t="str">
        <f t="shared" si="28"/>
        <v/>
      </c>
      <c r="F563" s="3"/>
      <c r="G563" s="3"/>
      <c r="H563" s="4"/>
      <c r="I563" s="4"/>
      <c r="J563" s="4"/>
      <c r="K563" s="4"/>
      <c r="L563" s="4"/>
      <c r="M563" s="4"/>
      <c r="N563" s="4"/>
      <c r="O563" s="4"/>
      <c r="P563" s="4"/>
      <c r="Q563" s="4"/>
    </row>
    <row r="564" spans="2:17" x14ac:dyDescent="0.3">
      <c r="B564" s="3"/>
      <c r="C564" s="2" t="str">
        <f t="shared" si="27"/>
        <v/>
      </c>
      <c r="D564" s="2"/>
      <c r="E564" s="2" t="str">
        <f t="shared" si="28"/>
        <v/>
      </c>
      <c r="F564" s="3"/>
      <c r="G564" s="3"/>
      <c r="H564" s="4"/>
      <c r="I564" s="4"/>
      <c r="J564" s="4"/>
      <c r="K564" s="4"/>
      <c r="L564" s="4"/>
      <c r="M564" s="4"/>
      <c r="N564" s="4"/>
      <c r="O564" s="4"/>
      <c r="P564" s="4"/>
      <c r="Q564" s="4"/>
    </row>
    <row r="565" spans="2:17" x14ac:dyDescent="0.3">
      <c r="B565" s="3"/>
      <c r="C565" s="2" t="str">
        <f t="shared" si="27"/>
        <v/>
      </c>
      <c r="D565" s="2"/>
      <c r="E565" s="2" t="str">
        <f t="shared" si="28"/>
        <v/>
      </c>
      <c r="F565" s="3"/>
      <c r="G565" s="3"/>
      <c r="H565" s="4"/>
      <c r="I565" s="4"/>
      <c r="J565" s="4"/>
      <c r="K565" s="4"/>
      <c r="L565" s="4"/>
      <c r="M565" s="4"/>
      <c r="N565" s="4"/>
      <c r="O565" s="4"/>
      <c r="P565" s="4"/>
      <c r="Q565" s="4"/>
    </row>
    <row r="566" spans="2:17" x14ac:dyDescent="0.3">
      <c r="B566" s="3"/>
      <c r="C566" s="2" t="str">
        <f t="shared" si="27"/>
        <v/>
      </c>
      <c r="D566" s="2"/>
      <c r="E566" s="2" t="str">
        <f t="shared" si="28"/>
        <v/>
      </c>
      <c r="F566" s="3"/>
      <c r="G566" s="3"/>
      <c r="H566" s="4"/>
      <c r="I566" s="4"/>
      <c r="J566" s="4"/>
      <c r="K566" s="4"/>
      <c r="L566" s="4"/>
      <c r="M566" s="4"/>
      <c r="N566" s="4"/>
      <c r="O566" s="4"/>
      <c r="P566" s="4"/>
      <c r="Q566" s="4"/>
    </row>
    <row r="567" spans="2:17" x14ac:dyDescent="0.3">
      <c r="B567" s="3"/>
      <c r="C567" s="2" t="str">
        <f t="shared" si="27"/>
        <v/>
      </c>
      <c r="D567" s="2"/>
      <c r="E567" s="2" t="str">
        <f t="shared" si="28"/>
        <v/>
      </c>
      <c r="F567" s="3"/>
      <c r="G567" s="3"/>
      <c r="H567" s="4"/>
      <c r="I567" s="4"/>
      <c r="J567" s="4"/>
      <c r="K567" s="4"/>
      <c r="L567" s="4"/>
      <c r="M567" s="4"/>
      <c r="N567" s="4"/>
      <c r="O567" s="4"/>
      <c r="P567" s="4"/>
      <c r="Q567" s="4"/>
    </row>
    <row r="568" spans="2:17" x14ac:dyDescent="0.3">
      <c r="B568" s="3"/>
      <c r="C568" s="2" t="str">
        <f t="shared" si="27"/>
        <v/>
      </c>
      <c r="D568" s="2"/>
      <c r="E568" s="2" t="str">
        <f t="shared" si="28"/>
        <v/>
      </c>
      <c r="F568" s="3"/>
      <c r="G568" s="3"/>
      <c r="H568" s="4"/>
      <c r="I568" s="4"/>
      <c r="J568" s="4"/>
      <c r="K568" s="4"/>
      <c r="L568" s="4"/>
      <c r="M568" s="4"/>
      <c r="N568" s="4"/>
      <c r="O568" s="4"/>
      <c r="P568" s="4"/>
      <c r="Q568" s="4"/>
    </row>
    <row r="569" spans="2:17" x14ac:dyDescent="0.3">
      <c r="B569" s="3"/>
      <c r="C569" s="2" t="str">
        <f t="shared" si="27"/>
        <v/>
      </c>
      <c r="D569" s="2"/>
      <c r="E569" s="2" t="str">
        <f t="shared" si="28"/>
        <v/>
      </c>
      <c r="F569" s="3"/>
      <c r="G569" s="3"/>
      <c r="H569" s="4"/>
      <c r="I569" s="4"/>
      <c r="J569" s="4"/>
      <c r="K569" s="4"/>
      <c r="L569" s="4"/>
      <c r="M569" s="4"/>
      <c r="N569" s="4"/>
      <c r="O569" s="4"/>
      <c r="P569" s="4"/>
      <c r="Q569" s="4"/>
    </row>
    <row r="570" spans="2:17" x14ac:dyDescent="0.3">
      <c r="B570" s="3"/>
      <c r="C570" s="2" t="str">
        <f t="shared" si="27"/>
        <v/>
      </c>
      <c r="D570" s="2"/>
      <c r="E570" s="2" t="str">
        <f t="shared" si="28"/>
        <v/>
      </c>
      <c r="F570" s="3"/>
      <c r="G570" s="3"/>
      <c r="H570" s="4"/>
      <c r="I570" s="4"/>
      <c r="J570" s="4"/>
      <c r="K570" s="4"/>
      <c r="L570" s="4"/>
      <c r="M570" s="4"/>
      <c r="N570" s="4"/>
      <c r="O570" s="4"/>
      <c r="P570" s="4"/>
      <c r="Q570" s="4"/>
    </row>
    <row r="571" spans="2:17" x14ac:dyDescent="0.3">
      <c r="B571" s="3"/>
      <c r="C571" s="2" t="str">
        <f t="shared" si="27"/>
        <v/>
      </c>
      <c r="D571" s="2"/>
      <c r="E571" s="2" t="str">
        <f t="shared" si="28"/>
        <v/>
      </c>
      <c r="F571" s="3"/>
      <c r="G571" s="3"/>
      <c r="H571" s="4"/>
      <c r="I571" s="4"/>
      <c r="J571" s="4"/>
      <c r="K571" s="4"/>
      <c r="L571" s="4"/>
      <c r="M571" s="4"/>
      <c r="N571" s="4"/>
      <c r="O571" s="4"/>
      <c r="P571" s="4"/>
      <c r="Q571" s="4"/>
    </row>
    <row r="572" spans="2:17" x14ac:dyDescent="0.3">
      <c r="B572" s="3"/>
      <c r="C572" s="2" t="str">
        <f t="shared" si="27"/>
        <v/>
      </c>
      <c r="D572" s="2"/>
      <c r="E572" s="2" t="str">
        <f t="shared" si="28"/>
        <v/>
      </c>
      <c r="F572" s="3"/>
      <c r="G572" s="3"/>
      <c r="H572" s="4"/>
      <c r="I572" s="4"/>
      <c r="J572" s="4"/>
      <c r="K572" s="4"/>
      <c r="L572" s="4"/>
      <c r="M572" s="4"/>
      <c r="N572" s="4"/>
      <c r="O572" s="4"/>
      <c r="P572" s="4"/>
      <c r="Q572" s="4"/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E01F6-4F7B-4BCF-B91B-E2D20259AE8A}">
  <sheetPr codeName="Planilha10">
    <outlinePr summaryRight="0"/>
  </sheetPr>
  <dimension ref="B1:S357"/>
  <sheetViews>
    <sheetView showGridLines="0" zoomScale="90" zoomScaleNormal="90" workbookViewId="0">
      <pane xSplit="7" ySplit="14" topLeftCell="H325" activePane="bottomRight" state="frozen"/>
      <selection activeCell="L574" sqref="L574"/>
      <selection pane="topRight" activeCell="L574" sqref="L574"/>
      <selection pane="bottomLeft" activeCell="L574" sqref="L574"/>
      <selection pane="bottomRight" activeCell="F341" sqref="F341:G342"/>
    </sheetView>
  </sheetViews>
  <sheetFormatPr defaultColWidth="8.88671875" defaultRowHeight="13.8" outlineLevelRow="1" x14ac:dyDescent="0.3"/>
  <cols>
    <col min="1" max="1" width="2.6640625" style="1" customWidth="1"/>
    <col min="2" max="2" width="8.6640625" customWidth="1"/>
    <col min="3" max="4" width="4.6640625" customWidth="1"/>
    <col min="5" max="5" width="4.6640625" style="2" customWidth="1"/>
    <col min="6" max="6" width="19.6640625" customWidth="1"/>
    <col min="7" max="7" width="80.6640625" style="2" customWidth="1"/>
    <col min="8" max="9" width="16.6640625" style="3" customWidth="1"/>
    <col min="10" max="10" width="16.6640625" style="3" customWidth="1" collapsed="1"/>
    <col min="11" max="15" width="16.6640625" customWidth="1"/>
    <col min="16" max="17" width="16.6640625" style="2" customWidth="1"/>
    <col min="18" max="19" width="16.6640625" style="4" customWidth="1"/>
    <col min="20" max="16384" width="8.88671875" style="1"/>
  </cols>
  <sheetData>
    <row r="1" spans="2:19" x14ac:dyDescent="0.3">
      <c r="B1" s="3"/>
      <c r="C1" s="2"/>
      <c r="D1" s="2"/>
      <c r="F1" s="3"/>
      <c r="G1" s="3"/>
      <c r="H1" s="4"/>
      <c r="I1" s="4"/>
      <c r="J1" s="4"/>
      <c r="K1" s="4"/>
      <c r="L1" s="4"/>
      <c r="M1" s="4"/>
      <c r="N1" s="4"/>
      <c r="O1" s="4"/>
      <c r="P1" s="4"/>
      <c r="Q1" s="4"/>
    </row>
    <row r="2" spans="2:19" outlineLevel="1" x14ac:dyDescent="0.3">
      <c r="B2" s="3"/>
      <c r="C2" s="2" t="s">
        <v>16</v>
      </c>
      <c r="D2" s="2"/>
      <c r="F2" s="3"/>
      <c r="G2" s="88" t="s">
        <v>15</v>
      </c>
      <c r="H2" s="7">
        <f ca="1">SUMIFS(INDIRECT("Tab_00.Trial["&amp;H$14&amp;"]"),Tab_00.Trial[TP],$C2,Tab_00.Trial[S/A],"A")</f>
        <v>83838931.319999993</v>
      </c>
      <c r="I2" s="7">
        <f ca="1">SUMIFS(INDIRECT("Tab_00.Trial["&amp;I$14&amp;"]"),Tab_00.Trial[TP],$C2,Tab_00.Trial[S/A],"A")</f>
        <v>83183649.450000003</v>
      </c>
      <c r="J2" s="7">
        <f ca="1">SUMIFS(INDIRECT("Tab_00.Trial["&amp;J$14&amp;"]"),Tab_00.Trial[TP],$C2,Tab_00.Trial[S/A],"A")</f>
        <v>83266768.689999998</v>
      </c>
      <c r="K2" s="7">
        <f ca="1">SUMIFS(INDIRECT("Tab_00.Trial["&amp;K$14&amp;"]"),Tab_00.Trial[TP],$C2,Tab_00.Trial[S/A],"A")</f>
        <v>83616244.030000001</v>
      </c>
      <c r="L2" s="7">
        <f ca="1">SUMIFS(INDIRECT("Tab_00.Trial["&amp;L$14&amp;"]"),Tab_00.Trial[TP],$C2,Tab_00.Trial[S/A],"A")</f>
        <v>83951070.920000002</v>
      </c>
      <c r="M2" s="7">
        <f ca="1">SUMIFS(INDIRECT("Tab_00.Trial["&amp;M$14&amp;"]"),Tab_00.Trial[TP],$C2,Tab_00.Trial[S/A],"A")</f>
        <v>84190298.299999997</v>
      </c>
      <c r="N2" s="7">
        <f ca="1">SUMIFS(INDIRECT("Tab_00.Trial["&amp;N$14&amp;"]"),Tab_00.Trial[TP],$C2,Tab_00.Trial[S/A],"A")</f>
        <v>84733754.090000004</v>
      </c>
      <c r="O2" s="7">
        <f ca="1">SUMIFS(INDIRECT("Tab_00.Trial["&amp;O$14&amp;"]"),Tab_00.Trial[TP],$C2,Tab_00.Trial[S/A],"A")</f>
        <v>85129496.230000004</v>
      </c>
      <c r="P2" s="7">
        <f ca="1">SUMIFS(INDIRECT("Tab_00.Trial["&amp;P$14&amp;"]"),Tab_00.Trial[TP],$C2,Tab_00.Trial[S/A],"A")</f>
        <v>85129419.170000002</v>
      </c>
      <c r="Q2" s="7">
        <f ca="1">SUMIFS(INDIRECT("Tab_00.Trial["&amp;Q$14&amp;"]"),Tab_00.Trial[TP],$C2,Tab_00.Trial[S/A],"A")</f>
        <v>85355176.530000001</v>
      </c>
      <c r="R2" s="7">
        <f ca="1">SUMIFS(INDIRECT("Tab_00.Trial["&amp;R$14&amp;"]"),Tab_00.Trial[TP],$C2,Tab_00.Trial[S/A],"A")</f>
        <v>85670972.069999993</v>
      </c>
      <c r="S2" s="7">
        <f ca="1">SUMIFS(INDIRECT("Tab_00.Trial["&amp;S$14&amp;"]"),Tab_00.Trial[TP],$C2,Tab_00.Trial[S/A],"A")</f>
        <v>85565083.819999993</v>
      </c>
    </row>
    <row r="3" spans="2:19" outlineLevel="1" x14ac:dyDescent="0.3">
      <c r="B3" s="3"/>
      <c r="C3" s="2" t="s">
        <v>116</v>
      </c>
      <c r="D3" s="2"/>
      <c r="F3" s="3"/>
      <c r="G3" s="88" t="s">
        <v>110</v>
      </c>
      <c r="H3" s="7">
        <f ca="1">SUMIFS(INDIRECT("Tab_00.Trial["&amp;H$14&amp;"]"),Tab_00.Trial[TP],$C3,Tab_00.Trial[S/A],"A")</f>
        <v>-83950196.079999998</v>
      </c>
      <c r="I3" s="7">
        <f ca="1">SUMIFS(INDIRECT("Tab_00.Trial["&amp;I$14&amp;"]"),Tab_00.Trial[TP],$C3,Tab_00.Trial[S/A],"A")</f>
        <v>-83791314.099999994</v>
      </c>
      <c r="J3" s="7">
        <f ca="1">SUMIFS(INDIRECT("Tab_00.Trial["&amp;J$14&amp;"]"),Tab_00.Trial[TP],$C3,Tab_00.Trial[S/A],"A")</f>
        <v>-83339117.469999999</v>
      </c>
      <c r="K3" s="7">
        <f ca="1">SUMIFS(INDIRECT("Tab_00.Trial["&amp;K$14&amp;"]"),Tab_00.Trial[TP],$C3,Tab_00.Trial[S/A],"A")</f>
        <v>-83686314.609999999</v>
      </c>
      <c r="L3" s="7">
        <f ca="1">SUMIFS(INDIRECT("Tab_00.Trial["&amp;L$14&amp;"]"),Tab_00.Trial[TP],$C3,Tab_00.Trial[S/A],"A")</f>
        <v>-83558635.609999999</v>
      </c>
      <c r="M3" s="7">
        <f ca="1">SUMIFS(INDIRECT("Tab_00.Trial["&amp;M$14&amp;"]"),Tab_00.Trial[TP],$C3,Tab_00.Trial[S/A],"A")</f>
        <v>-83446298.989999995</v>
      </c>
      <c r="N3" s="7">
        <f ca="1">SUMIFS(INDIRECT("Tab_00.Trial["&amp;N$14&amp;"]"),Tab_00.Trial[TP],$C3,Tab_00.Trial[S/A],"A")</f>
        <v>-83580674.829999998</v>
      </c>
      <c r="O3" s="7">
        <f ca="1">SUMIFS(INDIRECT("Tab_00.Trial["&amp;O$14&amp;"]"),Tab_00.Trial[TP],$C3,Tab_00.Trial[S/A],"A")</f>
        <v>-83640031.019999996</v>
      </c>
      <c r="P3" s="7">
        <f ca="1">SUMIFS(INDIRECT("Tab_00.Trial["&amp;P$14&amp;"]"),Tab_00.Trial[TP],$C3,Tab_00.Trial[S/A],"A")</f>
        <v>-83577325.900000006</v>
      </c>
      <c r="Q3" s="7">
        <f ca="1">SUMIFS(INDIRECT("Tab_00.Trial["&amp;Q$14&amp;"]"),Tab_00.Trial[TP],$C3,Tab_00.Trial[S/A],"A")</f>
        <v>-83576152.079999998</v>
      </c>
      <c r="R3" s="7">
        <f ca="1">SUMIFS(INDIRECT("Tab_00.Trial["&amp;R$14&amp;"]"),Tab_00.Trial[TP],$C3,Tab_00.Trial[S/A],"A")</f>
        <v>-83390588.689999998</v>
      </c>
      <c r="S3" s="7">
        <f ca="1">SUMIFS(INDIRECT("Tab_00.Trial["&amp;S$14&amp;"]"),Tab_00.Trial[TP],$C3,Tab_00.Trial[S/A],"A")</f>
        <v>-83775742.239999995</v>
      </c>
    </row>
    <row r="4" spans="2:19" outlineLevel="1" x14ac:dyDescent="0.3">
      <c r="B4" s="3"/>
      <c r="C4" s="2"/>
      <c r="D4" s="2"/>
      <c r="F4" s="3"/>
      <c r="G4" s="88"/>
      <c r="H4" s="8">
        <f t="shared" ref="H4:S4" ca="1" si="0">SUM(H$2:H$3)</f>
        <v>-111264.76</v>
      </c>
      <c r="I4" s="8">
        <f t="shared" ca="1" si="0"/>
        <v>-607664.65</v>
      </c>
      <c r="J4" s="8">
        <f t="shared" ca="1" si="0"/>
        <v>-72348.78</v>
      </c>
      <c r="K4" s="8">
        <f t="shared" ca="1" si="0"/>
        <v>-70070.58</v>
      </c>
      <c r="L4" s="8">
        <f t="shared" ca="1" si="0"/>
        <v>392435.31</v>
      </c>
      <c r="M4" s="8">
        <f t="shared" ca="1" si="0"/>
        <v>743999.31</v>
      </c>
      <c r="N4" s="8">
        <f t="shared" ca="1" si="0"/>
        <v>1153079.26</v>
      </c>
      <c r="O4" s="8">
        <f t="shared" ca="1" si="0"/>
        <v>1489465.21</v>
      </c>
      <c r="P4" s="8">
        <f t="shared" ca="1" si="0"/>
        <v>1552093.27</v>
      </c>
      <c r="Q4" s="8">
        <f t="shared" ca="1" si="0"/>
        <v>1779024.45</v>
      </c>
      <c r="R4" s="8">
        <f t="shared" ca="1" si="0"/>
        <v>2280383.38</v>
      </c>
      <c r="S4" s="8">
        <f t="shared" ca="1" si="0"/>
        <v>1789341.58</v>
      </c>
    </row>
    <row r="5" spans="2:19" ht="5.0999999999999996" customHeight="1" outlineLevel="1" x14ac:dyDescent="0.3">
      <c r="B5" s="3"/>
      <c r="C5" s="2"/>
      <c r="D5" s="2"/>
      <c r="F5" s="3"/>
      <c r="G5" s="89"/>
      <c r="H5" s="4"/>
      <c r="I5" s="4"/>
      <c r="J5" s="4"/>
      <c r="K5" s="4"/>
      <c r="L5" s="4"/>
      <c r="M5" s="4"/>
      <c r="N5" s="4"/>
      <c r="O5" s="4"/>
      <c r="P5" s="4"/>
      <c r="Q5" s="4"/>
    </row>
    <row r="6" spans="2:19" outlineLevel="1" x14ac:dyDescent="0.3">
      <c r="B6" s="3"/>
      <c r="C6" s="2" t="s">
        <v>19</v>
      </c>
      <c r="D6" s="2"/>
      <c r="F6" s="3"/>
      <c r="G6" s="88" t="s">
        <v>18</v>
      </c>
      <c r="H6" s="7">
        <f ca="1">SUMIFS(INDIRECT("Tab_00.Trial["&amp;H$14&amp;"]"),Tab_00.Trial[TP],$C6,Tab_00.Trial[S/A],"A")</f>
        <v>-1152924.6399999999</v>
      </c>
      <c r="I6" s="7">
        <f ca="1">SUMIFS(INDIRECT("Tab_00.Trial["&amp;I$14&amp;"]"),Tab_00.Trial[TP],$C6,Tab_00.Trial[S/A],"A")</f>
        <v>-2346861.59</v>
      </c>
      <c r="J6" s="7">
        <f ca="1">SUMIFS(INDIRECT("Tab_00.Trial["&amp;J$14&amp;"]"),Tab_00.Trial[TP],$C6,Tab_00.Trial[S/A],"A")</f>
        <v>-3704345.37</v>
      </c>
      <c r="K6" s="7">
        <f ca="1">SUMIFS(INDIRECT("Tab_00.Trial["&amp;K$14&amp;"]"),Tab_00.Trial[TP],$C6,Tab_00.Trial[S/A],"A")</f>
        <v>-4786345.3099999996</v>
      </c>
      <c r="L6" s="7">
        <f ca="1">SUMIFS(INDIRECT("Tab_00.Trial["&amp;L$14&amp;"]"),Tab_00.Trial[TP],$C6,Tab_00.Trial[S/A],"A")</f>
        <v>-6324872.71</v>
      </c>
      <c r="M6" s="7">
        <f ca="1">SUMIFS(INDIRECT("Tab_00.Trial["&amp;M$14&amp;"]"),Tab_00.Trial[TP],$C6,Tab_00.Trial[S/A],"A")</f>
        <v>-7536287.2699999996</v>
      </c>
      <c r="N6" s="7">
        <f ca="1">SUMIFS(INDIRECT("Tab_00.Trial["&amp;N$14&amp;"]"),Tab_00.Trial[TP],$C6,Tab_00.Trial[S/A],"A")</f>
        <v>-9046854.1099999994</v>
      </c>
      <c r="O6" s="7">
        <f ca="1">SUMIFS(INDIRECT("Tab_00.Trial["&amp;O$14&amp;"]"),Tab_00.Trial[TP],$C6,Tab_00.Trial[S/A],"A")</f>
        <v>-10466674.550000001</v>
      </c>
      <c r="P6" s="7">
        <f ca="1">SUMIFS(INDIRECT("Tab_00.Trial["&amp;P$14&amp;"]"),Tab_00.Trial[TP],$C6,Tab_00.Trial[S/A],"A")</f>
        <v>-11583591.220000001</v>
      </c>
      <c r="Q6" s="7">
        <f ca="1">SUMIFS(INDIRECT("Tab_00.Trial["&amp;Q$14&amp;"]"),Tab_00.Trial[TP],$C6,Tab_00.Trial[S/A],"A")</f>
        <v>-13040652.34</v>
      </c>
      <c r="R6" s="7">
        <f ca="1">SUMIFS(INDIRECT("Tab_00.Trial["&amp;R$14&amp;"]"),Tab_00.Trial[TP],$C6,Tab_00.Trial[S/A],"A")</f>
        <v>-14289890.52</v>
      </c>
      <c r="S6" s="7">
        <f ca="1">SUMIFS(INDIRECT("Tab_00.Trial["&amp;S$14&amp;"]"),Tab_00.Trial[TP],$C6,Tab_00.Trial[S/A],"A")</f>
        <v>-15680208.08</v>
      </c>
    </row>
    <row r="7" spans="2:19" outlineLevel="1" x14ac:dyDescent="0.3">
      <c r="B7" s="3"/>
      <c r="C7" s="2" t="s">
        <v>20</v>
      </c>
      <c r="D7" s="2"/>
      <c r="F7" s="3"/>
      <c r="G7" s="88" t="s">
        <v>111</v>
      </c>
      <c r="H7" s="7">
        <f ca="1">SUMIFS(INDIRECT("Tab_00.Trial["&amp;H$14&amp;"]"),Tab_00.Trial[TP],$C7,Tab_00.Trial[S/A],"A")</f>
        <v>1264189.3999999999</v>
      </c>
      <c r="I7" s="7">
        <f ca="1">SUMIFS(INDIRECT("Tab_00.Trial["&amp;I$14&amp;"]"),Tab_00.Trial[TP],$C7,Tab_00.Trial[S/A],"A")</f>
        <v>2954526.24</v>
      </c>
      <c r="J7" s="7">
        <f ca="1">SUMIFS(INDIRECT("Tab_00.Trial["&amp;J$14&amp;"]"),Tab_00.Trial[TP],$C7,Tab_00.Trial[S/A],"A")</f>
        <v>3776694.15</v>
      </c>
      <c r="K7" s="7">
        <f ca="1">SUMIFS(INDIRECT("Tab_00.Trial["&amp;K$14&amp;"]"),Tab_00.Trial[TP],$C7,Tab_00.Trial[S/A],"A")</f>
        <v>4856415.8899999997</v>
      </c>
      <c r="L7" s="7">
        <f ca="1">SUMIFS(INDIRECT("Tab_00.Trial["&amp;L$14&amp;"]"),Tab_00.Trial[TP],$C7,Tab_00.Trial[S/A],"A")</f>
        <v>5932437.4000000004</v>
      </c>
      <c r="M7" s="7">
        <f ca="1">SUMIFS(INDIRECT("Tab_00.Trial["&amp;M$14&amp;"]"),Tab_00.Trial[TP],$C7,Tab_00.Trial[S/A],"A")</f>
        <v>6792287.96</v>
      </c>
      <c r="N7" s="7">
        <f ca="1">SUMIFS(INDIRECT("Tab_00.Trial["&amp;N$14&amp;"]"),Tab_00.Trial[TP],$C7,Tab_00.Trial[S/A],"A")</f>
        <v>7893774.8499999996</v>
      </c>
      <c r="O7" s="7">
        <f ca="1">SUMIFS(INDIRECT("Tab_00.Trial["&amp;O$14&amp;"]"),Tab_00.Trial[TP],$C7,Tab_00.Trial[S/A],"A")</f>
        <v>8977209.3399999999</v>
      </c>
      <c r="P7" s="7">
        <f ca="1">SUMIFS(INDIRECT("Tab_00.Trial["&amp;P$14&amp;"]"),Tab_00.Trial[TP],$C7,Tab_00.Trial[S/A],"A")</f>
        <v>10031497.949999999</v>
      </c>
      <c r="Q7" s="7">
        <f ca="1">SUMIFS(INDIRECT("Tab_00.Trial["&amp;Q$14&amp;"]"),Tab_00.Trial[TP],$C7,Tab_00.Trial[S/A],"A")</f>
        <v>11261627.890000001</v>
      </c>
      <c r="R7" s="7">
        <f ca="1">SUMIFS(INDIRECT("Tab_00.Trial["&amp;R$14&amp;"]"),Tab_00.Trial[TP],$C7,Tab_00.Trial[S/A],"A")</f>
        <v>12009507.140000001</v>
      </c>
      <c r="S7" s="7">
        <f ca="1">SUMIFS(INDIRECT("Tab_00.Trial["&amp;S$14&amp;"]"),Tab_00.Trial[TP],$C7,Tab_00.Trial[S/A],"A")</f>
        <v>13890866.5</v>
      </c>
    </row>
    <row r="8" spans="2:19" outlineLevel="1" x14ac:dyDescent="0.3">
      <c r="B8" s="3"/>
      <c r="C8" s="2"/>
      <c r="D8" s="2"/>
      <c r="F8" s="3"/>
      <c r="G8" s="88"/>
      <c r="H8" s="8">
        <f ca="1">SUM(H$6:H$7)</f>
        <v>111264.76</v>
      </c>
      <c r="I8" s="8">
        <f t="shared" ref="I8:S8" ca="1" si="1">SUM(I$6:I$7)</f>
        <v>607664.65</v>
      </c>
      <c r="J8" s="8">
        <f t="shared" ca="1" si="1"/>
        <v>72348.78</v>
      </c>
      <c r="K8" s="8">
        <f t="shared" ca="1" si="1"/>
        <v>70070.58</v>
      </c>
      <c r="L8" s="8">
        <f t="shared" ca="1" si="1"/>
        <v>-392435.31</v>
      </c>
      <c r="M8" s="8">
        <f t="shared" ca="1" si="1"/>
        <v>-743999.31</v>
      </c>
      <c r="N8" s="8">
        <f t="shared" ca="1" si="1"/>
        <v>-1153079.26</v>
      </c>
      <c r="O8" s="8">
        <f t="shared" ca="1" si="1"/>
        <v>-1489465.21</v>
      </c>
      <c r="P8" s="8">
        <f t="shared" ca="1" si="1"/>
        <v>-1552093.27</v>
      </c>
      <c r="Q8" s="8">
        <f t="shared" ca="1" si="1"/>
        <v>-1779024.45</v>
      </c>
      <c r="R8" s="8">
        <f t="shared" ca="1" si="1"/>
        <v>-2280383.38</v>
      </c>
      <c r="S8" s="8">
        <f t="shared" ca="1" si="1"/>
        <v>-1789341.58</v>
      </c>
    </row>
    <row r="9" spans="2:19" ht="5.0999999999999996" customHeight="1" outlineLevel="1" x14ac:dyDescent="0.3">
      <c r="B9" s="3"/>
      <c r="C9" s="2"/>
      <c r="D9" s="2"/>
      <c r="F9" s="3"/>
      <c r="G9" s="89"/>
      <c r="H9" s="4"/>
      <c r="I9" s="4"/>
      <c r="J9" s="4"/>
      <c r="K9" s="4"/>
      <c r="L9" s="4"/>
      <c r="M9" s="4"/>
      <c r="N9" s="4"/>
      <c r="O9" s="4"/>
      <c r="P9" s="4"/>
      <c r="Q9" s="4"/>
    </row>
    <row r="10" spans="2:19" x14ac:dyDescent="0.3">
      <c r="C10" s="2"/>
      <c r="D10" s="2"/>
      <c r="F10" s="94">
        <f>F12-par_Ajuste.Trial</f>
        <v>0</v>
      </c>
      <c r="G10" s="88" t="s">
        <v>22</v>
      </c>
      <c r="H10" s="11">
        <f t="shared" ref="H10:R10" ca="1" si="2">SUM(H$4,H$8)</f>
        <v>0</v>
      </c>
      <c r="I10" s="11">
        <f t="shared" ca="1" si="2"/>
        <v>0</v>
      </c>
      <c r="J10" s="11">
        <f t="shared" ca="1" si="2"/>
        <v>0</v>
      </c>
      <c r="K10" s="11">
        <f t="shared" ca="1" si="2"/>
        <v>0</v>
      </c>
      <c r="L10" s="11">
        <f t="shared" ca="1" si="2"/>
        <v>0</v>
      </c>
      <c r="M10" s="11">
        <f t="shared" ca="1" si="2"/>
        <v>0</v>
      </c>
      <c r="N10" s="11">
        <f t="shared" ca="1" si="2"/>
        <v>0</v>
      </c>
      <c r="O10" s="11">
        <f t="shared" ca="1" si="2"/>
        <v>0</v>
      </c>
      <c r="P10" s="11">
        <f t="shared" ca="1" si="2"/>
        <v>0</v>
      </c>
      <c r="Q10" s="11">
        <f t="shared" ca="1" si="2"/>
        <v>0</v>
      </c>
      <c r="R10" s="11">
        <f t="shared" ca="1" si="2"/>
        <v>0</v>
      </c>
      <c r="S10" s="11">
        <f ca="1">SUM(S$4,S$8)</f>
        <v>0</v>
      </c>
    </row>
    <row r="11" spans="2:19" ht="5.0999999999999996" customHeight="1" x14ac:dyDescent="0.3">
      <c r="B11" s="3"/>
      <c r="C11" s="2"/>
      <c r="D11" s="2"/>
      <c r="G11" s="3"/>
      <c r="H11" s="4"/>
      <c r="I11" s="4"/>
      <c r="J11" s="4"/>
      <c r="K11" s="4"/>
      <c r="L11" s="4"/>
      <c r="M11" s="4"/>
      <c r="N11" s="4"/>
      <c r="O11" s="4"/>
      <c r="P11" s="4"/>
      <c r="Q11" s="4"/>
    </row>
    <row r="12" spans="2:19" x14ac:dyDescent="0.3">
      <c r="B12" s="94">
        <f>COUNTIFS(Tab_00.Trial[DC],"",Tab_00.Trial[S/A],"A")</f>
        <v>0</v>
      </c>
      <c r="C12" s="2"/>
      <c r="D12" s="2"/>
      <c r="F12" s="95">
        <f>COUNTA(Tab_00.Trial[CONTA])</f>
        <v>343</v>
      </c>
      <c r="G12" s="3"/>
      <c r="H12" s="7">
        <f>SUBTOTAL(9,Tab_00.Trial[JANEIRO])</f>
        <v>0</v>
      </c>
      <c r="I12" s="7">
        <f>SUBTOTAL(9,Tab_00.Trial[FEVEREIRO])</f>
        <v>0</v>
      </c>
      <c r="J12" s="7">
        <f>SUBTOTAL(9,Tab_00.Trial[MARÇO])</f>
        <v>0</v>
      </c>
      <c r="K12" s="7">
        <f>SUBTOTAL(9,Tab_00.Trial[ABRIL])</f>
        <v>0</v>
      </c>
      <c r="L12" s="7">
        <f>SUBTOTAL(9,Tab_00.Trial[MAIO])</f>
        <v>0</v>
      </c>
      <c r="M12" s="7">
        <f>SUBTOTAL(9,Tab_00.Trial[JUNHO])</f>
        <v>0</v>
      </c>
      <c r="N12" s="7">
        <f>SUBTOTAL(9,Tab_00.Trial[JULHO])</f>
        <v>0</v>
      </c>
      <c r="O12" s="7">
        <f>SUBTOTAL(9,Tab_00.Trial[AGOSTO])</f>
        <v>0</v>
      </c>
      <c r="P12" s="7">
        <f>SUBTOTAL(9,Tab_00.Trial[SETEMBRO])</f>
        <v>0</v>
      </c>
      <c r="Q12" s="7">
        <f>SUBTOTAL(9,Tab_00.Trial[OUTUBRO])</f>
        <v>0</v>
      </c>
      <c r="R12" s="7">
        <f>SUBTOTAL(9,Tab_00.Trial[NOVEMBRO])</f>
        <v>0</v>
      </c>
      <c r="S12" s="7">
        <f>SUBTOTAL(9,Tab_00.Trial[DEZEMBRO])</f>
        <v>0</v>
      </c>
    </row>
    <row r="13" spans="2:19" ht="5.0999999999999996" customHeight="1" x14ac:dyDescent="0.3">
      <c r="B13" s="3"/>
      <c r="C13" s="2"/>
      <c r="D13" s="2"/>
      <c r="F13" s="3"/>
      <c r="G13" s="3"/>
      <c r="H13" s="4"/>
      <c r="I13" s="4"/>
      <c r="J13" s="4"/>
      <c r="K13" s="4"/>
      <c r="L13" s="4"/>
      <c r="M13" s="4"/>
      <c r="N13" s="4"/>
      <c r="O13" s="4"/>
      <c r="P13" s="4"/>
      <c r="Q13" s="4"/>
    </row>
    <row r="14" spans="2:19" ht="24.9" customHeight="1" x14ac:dyDescent="0.3">
      <c r="B14" s="19" t="s">
        <v>44</v>
      </c>
      <c r="C14" s="5" t="s">
        <v>1</v>
      </c>
      <c r="D14" s="5" t="s">
        <v>81</v>
      </c>
      <c r="E14" s="5" t="s">
        <v>2</v>
      </c>
      <c r="F14" s="5" t="s">
        <v>23</v>
      </c>
      <c r="G14" s="5" t="s">
        <v>0</v>
      </c>
      <c r="H14" s="6" t="s">
        <v>3</v>
      </c>
      <c r="I14" s="6" t="s">
        <v>4</v>
      </c>
      <c r="J14" s="6" t="s">
        <v>5</v>
      </c>
      <c r="K14" s="6" t="s">
        <v>6</v>
      </c>
      <c r="L14" s="6" t="s">
        <v>7</v>
      </c>
      <c r="M14" s="6" t="s">
        <v>8</v>
      </c>
      <c r="N14" s="6" t="s">
        <v>9</v>
      </c>
      <c r="O14" s="6" t="s">
        <v>10</v>
      </c>
      <c r="P14" s="6" t="s">
        <v>11</v>
      </c>
      <c r="Q14" s="6" t="s">
        <v>12</v>
      </c>
      <c r="R14" s="6" t="s">
        <v>13</v>
      </c>
      <c r="S14" s="6" t="s">
        <v>14</v>
      </c>
    </row>
    <row r="15" spans="2:19" x14ac:dyDescent="0.3">
      <c r="B15" s="3"/>
      <c r="C15" s="2" t="str">
        <f t="shared" ref="C15:C90" si="3">IF($F15="","",IF(LEFT($F15,1)*1=1,"A",IF(LEFT($F15,1)*1=2,"P",IF(LEFT($F15,1)*1=3,"R",IF(LEFT($F15,1)*1=4,"C",IF(LEFT($F15,1)*1=5,"C",""))))))</f>
        <v>A</v>
      </c>
      <c r="D15" s="2" t="str">
        <f t="shared" ref="D15:D111" si="4">IF($F15="","",IF(LEN($F15)=13,"A","S"))</f>
        <v>S</v>
      </c>
      <c r="E15" s="2">
        <f t="shared" ref="E15:E111" si="5">IF($F15="","",IF(LEN($F15)=1,1,IF(LEN($F15)=3,2,IF(LEN($F15)=5,3,IF(LEN($F15)=8,4,5)))))</f>
        <v>1</v>
      </c>
      <c r="F15" s="3">
        <v>1</v>
      </c>
      <c r="G15" s="3" t="s">
        <v>637</v>
      </c>
      <c r="H15" s="4">
        <f>SUMIFS(Tab_01.Jan[SALDO
ATUAL],Tab_01.Jan[CONTA],$F15)</f>
        <v>83838931.319999993</v>
      </c>
      <c r="I15" s="4">
        <f>SUMIFS(Tab_02.Fev[SALDO
ATUAL],Tab_02.Fev[CONTA],$F15)</f>
        <v>83183649.450000003</v>
      </c>
      <c r="J15" s="4">
        <f>SUMIFS(Tab_03.Mar[SALDO
ATUAL],Tab_03.Mar[CONTA],$F15)</f>
        <v>83266768.689999998</v>
      </c>
      <c r="K15" s="4">
        <f>SUMIFS(Tab_04.Abr[SALDO
ATUAL],Tab_04.Abr[CONTA],$F15)</f>
        <v>83616244.030000001</v>
      </c>
      <c r="L15" s="4">
        <f>SUMIFS(Tab_05.Mai[SALDO
ATUAL],Tab_05.Mai[CONTA],$F15)</f>
        <v>83951070.920000002</v>
      </c>
      <c r="M15" s="4">
        <f>SUMIFS(Tab_06.Jun[SALDO
ATUAL],Tab_06.Jun[CONTA],$F15)</f>
        <v>84190298.299999997</v>
      </c>
      <c r="N15" s="4">
        <f>SUMIFS(Tab_07.Jul[SALDO
ATUAL],Tab_07.Jul[CONTA],$F15)</f>
        <v>84733754.090000004</v>
      </c>
      <c r="O15" s="4">
        <f>SUMIFS(Tab_08.Ago[SALDO
ATUAL],Tab_08.Ago[CONTA],$F15)</f>
        <v>85129496.230000004</v>
      </c>
      <c r="P15" s="4">
        <f>SUMIFS(Tab_09.Set[SALDO
ATUAL],Tab_09.Set[CONTA],$F15)</f>
        <v>85129419.170000002</v>
      </c>
      <c r="Q15" s="4">
        <f>SUMIFS(Tab_10.Out[SALDO
ATUAL],Tab_10.Out[CONTA],$F15)</f>
        <v>85355176.530000001</v>
      </c>
      <c r="R15" s="4">
        <f>SUMIFS(Tab_11.Nov[SALDO
ATUAL],Tab_11.Nov[CONTA],$F15)</f>
        <v>85670972.069999993</v>
      </c>
      <c r="S15" s="4">
        <f>SUMIFS(Tab_12.Dez[SALDO
ATUAL],Tab_12.Dez[CONTA],$F15)</f>
        <v>85565083.819999993</v>
      </c>
    </row>
    <row r="16" spans="2:19" x14ac:dyDescent="0.3">
      <c r="B16" s="3"/>
      <c r="C16" s="2" t="str">
        <f t="shared" si="3"/>
        <v>A</v>
      </c>
      <c r="D16" s="2" t="str">
        <f t="shared" si="4"/>
        <v>S</v>
      </c>
      <c r="E16" s="2">
        <f t="shared" si="5"/>
        <v>2</v>
      </c>
      <c r="F16" s="3" t="s">
        <v>197</v>
      </c>
      <c r="G16" s="3" t="s">
        <v>247</v>
      </c>
      <c r="H16" s="4">
        <f>SUMIFS(Tab_01.Jan[SALDO
ATUAL],Tab_01.Jan[CONTA],$F16)</f>
        <v>11209233.01</v>
      </c>
      <c r="I16" s="4">
        <f>SUMIFS(Tab_02.Fev[SALDO
ATUAL],Tab_02.Fev[CONTA],$F16)</f>
        <v>10426264.02</v>
      </c>
      <c r="J16" s="4">
        <f>SUMIFS(Tab_03.Mar[SALDO
ATUAL],Tab_03.Mar[CONTA],$F16)</f>
        <v>10275647.300000001</v>
      </c>
      <c r="K16" s="4">
        <f>SUMIFS(Tab_04.Abr[SALDO
ATUAL],Tab_04.Abr[CONTA],$F16)</f>
        <v>10722880.470000001</v>
      </c>
      <c r="L16" s="4">
        <f>SUMIFS(Tab_05.Mai[SALDO
ATUAL],Tab_05.Mai[CONTA],$F16)</f>
        <v>10801860.060000001</v>
      </c>
      <c r="M16" s="4">
        <f>SUMIFS(Tab_06.Jun[SALDO
ATUAL],Tab_06.Jun[CONTA],$F16)</f>
        <v>10925021.640000001</v>
      </c>
      <c r="N16" s="4">
        <f>SUMIFS(Tab_07.Jul[SALDO
ATUAL],Tab_07.Jul[CONTA],$F16)</f>
        <v>11134981.59</v>
      </c>
      <c r="O16" s="4">
        <f>SUMIFS(Tab_08.Ago[SALDO
ATUAL],Tab_08.Ago[CONTA],$F16)</f>
        <v>11252115.48</v>
      </c>
      <c r="P16" s="4">
        <f>SUMIFS(Tab_09.Set[SALDO
ATUAL],Tab_09.Set[CONTA],$F16)</f>
        <v>11196024.65</v>
      </c>
      <c r="Q16" s="4">
        <f>SUMIFS(Tab_10.Out[SALDO
ATUAL],Tab_10.Out[CONTA],$F16)</f>
        <v>11314732.35</v>
      </c>
      <c r="R16" s="4">
        <f>SUMIFS(Tab_11.Nov[SALDO
ATUAL],Tab_11.Nov[CONTA],$F16)</f>
        <v>11387803.220000001</v>
      </c>
      <c r="S16" s="4">
        <f>SUMIFS(Tab_12.Dez[SALDO
ATUAL],Tab_12.Dez[CONTA],$F16)</f>
        <v>11420024.439999999</v>
      </c>
    </row>
    <row r="17" spans="2:19" x14ac:dyDescent="0.3">
      <c r="B17" s="3"/>
      <c r="C17" s="2" t="str">
        <f t="shared" si="3"/>
        <v>A</v>
      </c>
      <c r="D17" s="2" t="str">
        <f t="shared" si="4"/>
        <v>S</v>
      </c>
      <c r="E17" s="2">
        <f t="shared" si="5"/>
        <v>5</v>
      </c>
      <c r="F17" s="3" t="s">
        <v>199</v>
      </c>
      <c r="G17" s="3" t="s">
        <v>638</v>
      </c>
      <c r="H17" s="4">
        <f>SUMIFS(Tab_01.Jan[SALDO
ATUAL],Tab_01.Jan[CONTA],$F17)</f>
        <v>10865493.23</v>
      </c>
      <c r="I17" s="4">
        <f>SUMIFS(Tab_02.Fev[SALDO
ATUAL],Tab_02.Fev[CONTA],$F17)</f>
        <v>10087617.880000001</v>
      </c>
      <c r="J17" s="4">
        <f>SUMIFS(Tab_03.Mar[SALDO
ATUAL],Tab_03.Mar[CONTA],$F17)</f>
        <v>9937516.9000000004</v>
      </c>
      <c r="K17" s="4">
        <f>SUMIFS(Tab_04.Abr[SALDO
ATUAL],Tab_04.Abr[CONTA],$F17)</f>
        <v>10295691.26</v>
      </c>
      <c r="L17" s="4">
        <f>SUMIFS(Tab_05.Mai[SALDO
ATUAL],Tab_05.Mai[CONTA],$F17)</f>
        <v>10375003.17</v>
      </c>
      <c r="M17" s="4">
        <f>SUMIFS(Tab_06.Jun[SALDO
ATUAL],Tab_06.Jun[CONTA],$F17)</f>
        <v>10479522.130000001</v>
      </c>
      <c r="N17" s="4">
        <f>SUMIFS(Tab_07.Jul[SALDO
ATUAL],Tab_07.Jul[CONTA],$F17)</f>
        <v>10708727.35</v>
      </c>
      <c r="O17" s="4">
        <f>SUMIFS(Tab_08.Ago[SALDO
ATUAL],Tab_08.Ago[CONTA],$F17)</f>
        <v>10799966.9</v>
      </c>
      <c r="P17" s="4">
        <f>SUMIFS(Tab_09.Set[SALDO
ATUAL],Tab_09.Set[CONTA],$F17)</f>
        <v>10832760.17</v>
      </c>
      <c r="Q17" s="4">
        <f>SUMIFS(Tab_10.Out[SALDO
ATUAL],Tab_10.Out[CONTA],$F17)</f>
        <v>10941584.48</v>
      </c>
      <c r="R17" s="4">
        <f>SUMIFS(Tab_11.Nov[SALDO
ATUAL],Tab_11.Nov[CONTA],$F17)</f>
        <v>10939967.380000001</v>
      </c>
      <c r="S17" s="4">
        <f>SUMIFS(Tab_12.Dez[SALDO
ATUAL],Tab_12.Dez[CONTA],$F17)</f>
        <v>11149635.24</v>
      </c>
    </row>
    <row r="18" spans="2:19" x14ac:dyDescent="0.3">
      <c r="B18" s="3"/>
      <c r="C18" s="2" t="str">
        <f t="shared" si="3"/>
        <v>A</v>
      </c>
      <c r="D18" s="2" t="str">
        <f t="shared" si="4"/>
        <v>S</v>
      </c>
      <c r="E18" s="2">
        <f t="shared" si="5"/>
        <v>5</v>
      </c>
      <c r="F18" s="3" t="s">
        <v>201</v>
      </c>
      <c r="G18" s="3" t="s">
        <v>639</v>
      </c>
      <c r="H18" s="4">
        <f>SUMIFS(Tab_01.Jan[SALDO
ATUAL],Tab_01.Jan[CONTA],$F18)</f>
        <v>3918.73</v>
      </c>
      <c r="I18" s="4">
        <f>SUMIFS(Tab_02.Fev[SALDO
ATUAL],Tab_02.Fev[CONTA],$F18)</f>
        <v>3805.89</v>
      </c>
      <c r="J18" s="4">
        <f>SUMIFS(Tab_03.Mar[SALDO
ATUAL],Tab_03.Mar[CONTA],$F18)</f>
        <v>3411.67</v>
      </c>
      <c r="K18" s="4">
        <f>SUMIFS(Tab_04.Abr[SALDO
ATUAL],Tab_04.Abr[CONTA],$F18)</f>
        <v>2993.41</v>
      </c>
      <c r="L18" s="4">
        <f>SUMIFS(Tab_05.Mai[SALDO
ATUAL],Tab_05.Mai[CONTA],$F18)</f>
        <v>2541.83</v>
      </c>
      <c r="M18" s="4">
        <f>SUMIFS(Tab_06.Jun[SALDO
ATUAL],Tab_06.Jun[CONTA],$F18)</f>
        <v>2150.56</v>
      </c>
      <c r="N18" s="4">
        <f>SUMIFS(Tab_07.Jul[SALDO
ATUAL],Tab_07.Jul[CONTA],$F18)</f>
        <v>1243.94</v>
      </c>
      <c r="O18" s="4">
        <f>SUMIFS(Tab_08.Ago[SALDO
ATUAL],Tab_08.Ago[CONTA],$F18)</f>
        <v>1928.97</v>
      </c>
      <c r="P18" s="4">
        <f>SUMIFS(Tab_09.Set[SALDO
ATUAL],Tab_09.Set[CONTA],$F18)</f>
        <v>1328.63</v>
      </c>
      <c r="Q18" s="4">
        <f>SUMIFS(Tab_10.Out[SALDO
ATUAL],Tab_10.Out[CONTA],$F18)</f>
        <v>547.73</v>
      </c>
      <c r="R18" s="4">
        <f>SUMIFS(Tab_11.Nov[SALDO
ATUAL],Tab_11.Nov[CONTA],$F18)</f>
        <v>474.45</v>
      </c>
      <c r="S18" s="4">
        <f>SUMIFS(Tab_12.Dez[SALDO
ATUAL],Tab_12.Dez[CONTA],$F18)</f>
        <v>1428.62</v>
      </c>
    </row>
    <row r="19" spans="2:19" x14ac:dyDescent="0.3">
      <c r="B19" s="3" t="s">
        <v>38</v>
      </c>
      <c r="C19" s="2" t="str">
        <f t="shared" si="3"/>
        <v>A</v>
      </c>
      <c r="D19" s="2" t="str">
        <f t="shared" si="4"/>
        <v>A</v>
      </c>
      <c r="E19" s="2">
        <f t="shared" si="5"/>
        <v>5</v>
      </c>
      <c r="F19" s="3" t="s">
        <v>175</v>
      </c>
      <c r="G19" s="3" t="s">
        <v>273</v>
      </c>
      <c r="H19" s="4">
        <f>SUMIFS(Tab_01.Jan[SALDO
ATUAL],Tab_01.Jan[CONTA],$F19)</f>
        <v>0</v>
      </c>
      <c r="I19" s="4">
        <f>SUMIFS(Tab_02.Fev[SALDO
ATUAL],Tab_02.Fev[CONTA],$F19)</f>
        <v>0</v>
      </c>
      <c r="J19" s="4">
        <f>SUMIFS(Tab_03.Mar[SALDO
ATUAL],Tab_03.Mar[CONTA],$F19)</f>
        <v>0</v>
      </c>
      <c r="K19" s="4">
        <f>SUMIFS(Tab_04.Abr[SALDO
ATUAL],Tab_04.Abr[CONTA],$F19)</f>
        <v>0</v>
      </c>
      <c r="L19" s="4">
        <f>SUMIFS(Tab_05.Mai[SALDO
ATUAL],Tab_05.Mai[CONTA],$F19)</f>
        <v>0</v>
      </c>
      <c r="M19" s="4">
        <f>SUMIFS(Tab_06.Jun[SALDO
ATUAL],Tab_06.Jun[CONTA],$F19)</f>
        <v>0</v>
      </c>
      <c r="N19" s="4">
        <f>SUMIFS(Tab_07.Jul[SALDO
ATUAL],Tab_07.Jul[CONTA],$F19)</f>
        <v>0</v>
      </c>
      <c r="O19" s="4">
        <f>SUMIFS(Tab_08.Ago[SALDO
ATUAL],Tab_08.Ago[CONTA],$F19)</f>
        <v>0</v>
      </c>
      <c r="P19" s="4">
        <f>SUMIFS(Tab_09.Set[SALDO
ATUAL],Tab_09.Set[CONTA],$F19)</f>
        <v>0</v>
      </c>
      <c r="Q19" s="4">
        <f>SUMIFS(Tab_10.Out[SALDO
ATUAL],Tab_10.Out[CONTA],$F19)</f>
        <v>0</v>
      </c>
      <c r="R19" s="4">
        <f>SUMIFS(Tab_11.Nov[SALDO
ATUAL],Tab_11.Nov[CONTA],$F19)</f>
        <v>0</v>
      </c>
      <c r="S19" s="4">
        <f>SUMIFS(Tab_12.Dez[SALDO
ATUAL],Tab_12.Dez[CONTA],$F19)</f>
        <v>0</v>
      </c>
    </row>
    <row r="20" spans="2:19" x14ac:dyDescent="0.3">
      <c r="B20" s="3" t="s">
        <v>38</v>
      </c>
      <c r="C20" s="2" t="str">
        <f t="shared" si="3"/>
        <v>A</v>
      </c>
      <c r="D20" s="2" t="str">
        <f t="shared" si="4"/>
        <v>A</v>
      </c>
      <c r="E20" s="2">
        <f t="shared" si="5"/>
        <v>5</v>
      </c>
      <c r="F20" s="3" t="s">
        <v>176</v>
      </c>
      <c r="G20" s="3" t="s">
        <v>274</v>
      </c>
      <c r="H20" s="4">
        <f>SUMIFS(Tab_01.Jan[SALDO
ATUAL],Tab_01.Jan[CONTA],$F20)</f>
        <v>3918.73</v>
      </c>
      <c r="I20" s="4">
        <f>SUMIFS(Tab_02.Fev[SALDO
ATUAL],Tab_02.Fev[CONTA],$F20)</f>
        <v>3805.89</v>
      </c>
      <c r="J20" s="4">
        <f>SUMIFS(Tab_03.Mar[SALDO
ATUAL],Tab_03.Mar[CONTA],$F20)</f>
        <v>3411.67</v>
      </c>
      <c r="K20" s="4">
        <f>SUMIFS(Tab_04.Abr[SALDO
ATUAL],Tab_04.Abr[CONTA],$F20)</f>
        <v>2993.41</v>
      </c>
      <c r="L20" s="4">
        <f>SUMIFS(Tab_05.Mai[SALDO
ATUAL],Tab_05.Mai[CONTA],$F20)</f>
        <v>2541.83</v>
      </c>
      <c r="M20" s="4">
        <f>SUMIFS(Tab_06.Jun[SALDO
ATUAL],Tab_06.Jun[CONTA],$F20)</f>
        <v>2150.56</v>
      </c>
      <c r="N20" s="4">
        <f>SUMIFS(Tab_07.Jul[SALDO
ATUAL],Tab_07.Jul[CONTA],$F20)</f>
        <v>1243.94</v>
      </c>
      <c r="O20" s="4">
        <f>SUMIFS(Tab_08.Ago[SALDO
ATUAL],Tab_08.Ago[CONTA],$F20)</f>
        <v>1928.97</v>
      </c>
      <c r="P20" s="4">
        <f>SUMIFS(Tab_09.Set[SALDO
ATUAL],Tab_09.Set[CONTA],$F20)</f>
        <v>1328.63</v>
      </c>
      <c r="Q20" s="4">
        <f>SUMIFS(Tab_10.Out[SALDO
ATUAL],Tab_10.Out[CONTA],$F20)</f>
        <v>547.73</v>
      </c>
      <c r="R20" s="4">
        <f>SUMIFS(Tab_11.Nov[SALDO
ATUAL],Tab_11.Nov[CONTA],$F20)</f>
        <v>474.45</v>
      </c>
      <c r="S20" s="4">
        <f>SUMIFS(Tab_12.Dez[SALDO
ATUAL],Tab_12.Dez[CONTA],$F20)</f>
        <v>1428.62</v>
      </c>
    </row>
    <row r="21" spans="2:19" x14ac:dyDescent="0.3">
      <c r="B21" s="3" t="s">
        <v>38</v>
      </c>
      <c r="C21" s="2" t="str">
        <f t="shared" si="3"/>
        <v>A</v>
      </c>
      <c r="D21" s="2" t="str">
        <f t="shared" si="4"/>
        <v>A</v>
      </c>
      <c r="E21" s="2">
        <f t="shared" si="5"/>
        <v>5</v>
      </c>
      <c r="F21" s="3" t="s">
        <v>275</v>
      </c>
      <c r="G21" s="3" t="s">
        <v>276</v>
      </c>
      <c r="H21" s="4">
        <f>SUMIFS(Tab_01.Jan[SALDO
ATUAL],Tab_01.Jan[CONTA],$F21)</f>
        <v>0</v>
      </c>
      <c r="I21" s="4">
        <f>SUMIFS(Tab_02.Fev[SALDO
ATUAL],Tab_02.Fev[CONTA],$F21)</f>
        <v>0</v>
      </c>
      <c r="J21" s="4">
        <f>SUMIFS(Tab_03.Mar[SALDO
ATUAL],Tab_03.Mar[CONTA],$F21)</f>
        <v>0</v>
      </c>
      <c r="K21" s="4">
        <f>SUMIFS(Tab_04.Abr[SALDO
ATUAL],Tab_04.Abr[CONTA],$F21)</f>
        <v>0</v>
      </c>
      <c r="L21" s="4">
        <f>SUMIFS(Tab_05.Mai[SALDO
ATUAL],Tab_05.Mai[CONTA],$F21)</f>
        <v>0</v>
      </c>
      <c r="M21" s="4">
        <f>SUMIFS(Tab_06.Jun[SALDO
ATUAL],Tab_06.Jun[CONTA],$F21)</f>
        <v>0</v>
      </c>
      <c r="N21" s="4">
        <f>SUMIFS(Tab_07.Jul[SALDO
ATUAL],Tab_07.Jul[CONTA],$F21)</f>
        <v>0</v>
      </c>
      <c r="O21" s="4">
        <f>SUMIFS(Tab_08.Ago[SALDO
ATUAL],Tab_08.Ago[CONTA],$F21)</f>
        <v>0</v>
      </c>
      <c r="P21" s="4">
        <f>SUMIFS(Tab_09.Set[SALDO
ATUAL],Tab_09.Set[CONTA],$F21)</f>
        <v>0</v>
      </c>
      <c r="Q21" s="4">
        <f>SUMIFS(Tab_10.Out[SALDO
ATUAL],Tab_10.Out[CONTA],$F21)</f>
        <v>0</v>
      </c>
      <c r="R21" s="4">
        <f>SUMIFS(Tab_11.Nov[SALDO
ATUAL],Tab_11.Nov[CONTA],$F21)</f>
        <v>0</v>
      </c>
      <c r="S21" s="4">
        <f>SUMIFS(Tab_12.Dez[SALDO
ATUAL],Tab_12.Dez[CONTA],$F21)</f>
        <v>0</v>
      </c>
    </row>
    <row r="22" spans="2:19" x14ac:dyDescent="0.3">
      <c r="B22" s="3"/>
      <c r="C22" s="2" t="str">
        <f t="shared" si="3"/>
        <v>A</v>
      </c>
      <c r="D22" s="2" t="str">
        <f t="shared" si="4"/>
        <v>S</v>
      </c>
      <c r="E22" s="2">
        <f t="shared" si="5"/>
        <v>5</v>
      </c>
      <c r="F22" s="3" t="s">
        <v>202</v>
      </c>
      <c r="G22" s="3" t="s">
        <v>640</v>
      </c>
      <c r="H22" s="4">
        <f>SUMIFS(Tab_01.Jan[SALDO
ATUAL],Tab_01.Jan[CONTA],$F22)</f>
        <v>26915.9</v>
      </c>
      <c r="I22" s="4">
        <f>SUMIFS(Tab_02.Fev[SALDO
ATUAL],Tab_02.Fev[CONTA],$F22)</f>
        <v>32191.98</v>
      </c>
      <c r="J22" s="4">
        <f>SUMIFS(Tab_03.Mar[SALDO
ATUAL],Tab_03.Mar[CONTA],$F22)</f>
        <v>29629.4</v>
      </c>
      <c r="K22" s="4">
        <f>SUMIFS(Tab_04.Abr[SALDO
ATUAL],Tab_04.Abr[CONTA],$F22)</f>
        <v>16601.48</v>
      </c>
      <c r="L22" s="4">
        <f>SUMIFS(Tab_05.Mai[SALDO
ATUAL],Tab_05.Mai[CONTA],$F22)</f>
        <v>8425.98</v>
      </c>
      <c r="M22" s="4">
        <f>SUMIFS(Tab_06.Jun[SALDO
ATUAL],Tab_06.Jun[CONTA],$F22)</f>
        <v>25710.79</v>
      </c>
      <c r="N22" s="4">
        <f>SUMIFS(Tab_07.Jul[SALDO
ATUAL],Tab_07.Jul[CONTA],$F22)</f>
        <v>22507.02</v>
      </c>
      <c r="O22" s="4">
        <f>SUMIFS(Tab_08.Ago[SALDO
ATUAL],Tab_08.Ago[CONTA],$F22)</f>
        <v>38448.61</v>
      </c>
      <c r="P22" s="4">
        <f>SUMIFS(Tab_09.Set[SALDO
ATUAL],Tab_09.Set[CONTA],$F22)</f>
        <v>46632.77</v>
      </c>
      <c r="Q22" s="4">
        <f>SUMIFS(Tab_10.Out[SALDO
ATUAL],Tab_10.Out[CONTA],$F22)</f>
        <v>28287.49</v>
      </c>
      <c r="R22" s="4">
        <f>SUMIFS(Tab_11.Nov[SALDO
ATUAL],Tab_11.Nov[CONTA],$F22)</f>
        <v>54236.22</v>
      </c>
      <c r="S22" s="4">
        <f>SUMIFS(Tab_12.Dez[SALDO
ATUAL],Tab_12.Dez[CONTA],$F22)</f>
        <v>178386.18</v>
      </c>
    </row>
    <row r="23" spans="2:19" x14ac:dyDescent="0.3">
      <c r="B23" s="3" t="s">
        <v>38</v>
      </c>
      <c r="C23" s="2" t="str">
        <f t="shared" si="3"/>
        <v>A</v>
      </c>
      <c r="D23" s="2" t="str">
        <f t="shared" si="4"/>
        <v>A</v>
      </c>
      <c r="E23" s="2">
        <f t="shared" si="5"/>
        <v>5</v>
      </c>
      <c r="F23" s="3" t="s">
        <v>277</v>
      </c>
      <c r="G23" s="3" t="s">
        <v>278</v>
      </c>
      <c r="H23" s="4">
        <f>SUMIFS(Tab_01.Jan[SALDO
ATUAL],Tab_01.Jan[CONTA],$F23)</f>
        <v>1</v>
      </c>
      <c r="I23" s="4">
        <f>SUMIFS(Tab_02.Fev[SALDO
ATUAL],Tab_02.Fev[CONTA],$F23)</f>
        <v>1</v>
      </c>
      <c r="J23" s="4">
        <f>SUMIFS(Tab_03.Mar[SALDO
ATUAL],Tab_03.Mar[CONTA],$F23)</f>
        <v>0.99</v>
      </c>
      <c r="K23" s="4">
        <f>SUMIFS(Tab_04.Abr[SALDO
ATUAL],Tab_04.Abr[CONTA],$F23)</f>
        <v>1</v>
      </c>
      <c r="L23" s="4">
        <f>SUMIFS(Tab_05.Mai[SALDO
ATUAL],Tab_05.Mai[CONTA],$F23)</f>
        <v>1</v>
      </c>
      <c r="M23" s="4">
        <f>SUMIFS(Tab_06.Jun[SALDO
ATUAL],Tab_06.Jun[CONTA],$F23)</f>
        <v>1.01</v>
      </c>
      <c r="N23" s="4">
        <f>SUMIFS(Tab_07.Jul[SALDO
ATUAL],Tab_07.Jul[CONTA],$F23)</f>
        <v>1.01</v>
      </c>
      <c r="O23" s="4">
        <f>SUMIFS(Tab_08.Ago[SALDO
ATUAL],Tab_08.Ago[CONTA],$F23)</f>
        <v>1.02</v>
      </c>
      <c r="P23" s="4">
        <f>SUMIFS(Tab_09.Set[SALDO
ATUAL],Tab_09.Set[CONTA],$F23)</f>
        <v>1.02</v>
      </c>
      <c r="Q23" s="4">
        <f>SUMIFS(Tab_10.Out[SALDO
ATUAL],Tab_10.Out[CONTA],$F23)</f>
        <v>1.02</v>
      </c>
      <c r="R23" s="4">
        <f>SUMIFS(Tab_11.Nov[SALDO
ATUAL],Tab_11.Nov[CONTA],$F23)</f>
        <v>1.02</v>
      </c>
      <c r="S23" s="4">
        <f>SUMIFS(Tab_12.Dez[SALDO
ATUAL],Tab_12.Dez[CONTA],$F23)</f>
        <v>163718.88</v>
      </c>
    </row>
    <row r="24" spans="2:19" x14ac:dyDescent="0.3">
      <c r="B24" s="3" t="s">
        <v>38</v>
      </c>
      <c r="C24" s="2" t="str">
        <f t="shared" si="3"/>
        <v>A</v>
      </c>
      <c r="D24" s="2" t="str">
        <f t="shared" si="4"/>
        <v>A</v>
      </c>
      <c r="E24" s="2">
        <f t="shared" si="5"/>
        <v>5</v>
      </c>
      <c r="F24" s="3" t="s">
        <v>177</v>
      </c>
      <c r="G24" s="3" t="s">
        <v>279</v>
      </c>
      <c r="H24" s="4">
        <f>SUMIFS(Tab_01.Jan[SALDO
ATUAL],Tab_01.Jan[CONTA],$F24)</f>
        <v>17189.240000000002</v>
      </c>
      <c r="I24" s="4">
        <f>SUMIFS(Tab_02.Fev[SALDO
ATUAL],Tab_02.Fev[CONTA],$F24)</f>
        <v>22873.22</v>
      </c>
      <c r="J24" s="4">
        <f>SUMIFS(Tab_03.Mar[SALDO
ATUAL],Tab_03.Mar[CONTA],$F24)</f>
        <v>20718.55</v>
      </c>
      <c r="K24" s="4">
        <f>SUMIFS(Tab_04.Abr[SALDO
ATUAL],Tab_04.Abr[CONTA],$F24)</f>
        <v>8590.7000000000007</v>
      </c>
      <c r="L24" s="4">
        <f>SUMIFS(Tab_05.Mai[SALDO
ATUAL],Tab_05.Mai[CONTA],$F24)</f>
        <v>681.2</v>
      </c>
      <c r="M24" s="4">
        <f>SUMIFS(Tab_06.Jun[SALDO
ATUAL],Tab_06.Jun[CONTA],$F24)</f>
        <v>18232</v>
      </c>
      <c r="N24" s="4">
        <f>SUMIFS(Tab_07.Jul[SALDO
ATUAL],Tab_07.Jul[CONTA],$F24)</f>
        <v>18084.73</v>
      </c>
      <c r="O24" s="4">
        <f>SUMIFS(Tab_08.Ago[SALDO
ATUAL],Tab_08.Ago[CONTA],$F24)</f>
        <v>34147.730000000003</v>
      </c>
      <c r="P24" s="4">
        <f>SUMIFS(Tab_09.Set[SALDO
ATUAL],Tab_09.Set[CONTA],$F24)</f>
        <v>37452.89</v>
      </c>
      <c r="Q24" s="4">
        <f>SUMIFS(Tab_10.Out[SALDO
ATUAL],Tab_10.Out[CONTA],$F24)</f>
        <v>17101.68</v>
      </c>
      <c r="R24" s="4">
        <f>SUMIFS(Tab_11.Nov[SALDO
ATUAL],Tab_11.Nov[CONTA],$F24)</f>
        <v>41613.589999999997</v>
      </c>
      <c r="S24" s="4">
        <f>SUMIFS(Tab_12.Dez[SALDO
ATUAL],Tab_12.Dez[CONTA],$F24)</f>
        <v>2746.84</v>
      </c>
    </row>
    <row r="25" spans="2:19" x14ac:dyDescent="0.3">
      <c r="B25" s="3" t="s">
        <v>38</v>
      </c>
      <c r="C25" s="2" t="str">
        <f t="shared" si="3"/>
        <v>A</v>
      </c>
      <c r="D25" s="2" t="str">
        <f t="shared" si="4"/>
        <v>A</v>
      </c>
      <c r="E25" s="2">
        <f t="shared" si="5"/>
        <v>5</v>
      </c>
      <c r="F25" s="3" t="s">
        <v>280</v>
      </c>
      <c r="G25" s="3" t="s">
        <v>281</v>
      </c>
      <c r="H25" s="4">
        <f>SUMIFS(Tab_01.Jan[SALDO
ATUAL],Tab_01.Jan[CONTA],$F25)</f>
        <v>4246.91</v>
      </c>
      <c r="I25" s="4">
        <f>SUMIFS(Tab_02.Fev[SALDO
ATUAL],Tab_02.Fev[CONTA],$F25)</f>
        <v>4246.91</v>
      </c>
      <c r="J25" s="4">
        <f>SUMIFS(Tab_03.Mar[SALDO
ATUAL],Tab_03.Mar[CONTA],$F25)</f>
        <v>4246.91</v>
      </c>
      <c r="K25" s="4">
        <f>SUMIFS(Tab_04.Abr[SALDO
ATUAL],Tab_04.Abr[CONTA],$F25)</f>
        <v>8009.78</v>
      </c>
      <c r="L25" s="4">
        <f>SUMIFS(Tab_05.Mai[SALDO
ATUAL],Tab_05.Mai[CONTA],$F25)</f>
        <v>7743.78</v>
      </c>
      <c r="M25" s="4">
        <f>SUMIFS(Tab_06.Jun[SALDO
ATUAL],Tab_06.Jun[CONTA],$F25)</f>
        <v>7477.78</v>
      </c>
      <c r="N25" s="4">
        <f>SUMIFS(Tab_07.Jul[SALDO
ATUAL],Tab_07.Jul[CONTA],$F25)</f>
        <v>4421.28</v>
      </c>
      <c r="O25" s="4">
        <f>SUMIFS(Tab_08.Ago[SALDO
ATUAL],Tab_08.Ago[CONTA],$F25)</f>
        <v>4299.8599999999997</v>
      </c>
      <c r="P25" s="4">
        <f>SUMIFS(Tab_09.Set[SALDO
ATUAL],Tab_09.Set[CONTA],$F25)</f>
        <v>9178.86</v>
      </c>
      <c r="Q25" s="4">
        <f>SUMIFS(Tab_10.Out[SALDO
ATUAL],Tab_10.Out[CONTA],$F25)</f>
        <v>11184.79</v>
      </c>
      <c r="R25" s="4">
        <f>SUMIFS(Tab_11.Nov[SALDO
ATUAL],Tab_11.Nov[CONTA],$F25)</f>
        <v>12621.61</v>
      </c>
      <c r="S25" s="4">
        <f>SUMIFS(Tab_12.Dez[SALDO
ATUAL],Tab_12.Dez[CONTA],$F25)</f>
        <v>11920.46</v>
      </c>
    </row>
    <row r="26" spans="2:19" x14ac:dyDescent="0.3">
      <c r="B26" s="3" t="s">
        <v>38</v>
      </c>
      <c r="C26" s="2" t="str">
        <f t="shared" si="3"/>
        <v>A</v>
      </c>
      <c r="D26" s="2" t="str">
        <f t="shared" si="4"/>
        <v>A</v>
      </c>
      <c r="E26" s="2">
        <f t="shared" si="5"/>
        <v>5</v>
      </c>
      <c r="F26" s="3" t="s">
        <v>282</v>
      </c>
      <c r="G26" s="3" t="s">
        <v>283</v>
      </c>
      <c r="H26" s="4">
        <f>SUMIFS(Tab_01.Jan[SALDO
ATUAL],Tab_01.Jan[CONTA],$F26)</f>
        <v>5478.75</v>
      </c>
      <c r="I26" s="4">
        <f>SUMIFS(Tab_02.Fev[SALDO
ATUAL],Tab_02.Fev[CONTA],$F26)</f>
        <v>5070.8500000000004</v>
      </c>
      <c r="J26" s="4">
        <f>SUMIFS(Tab_03.Mar[SALDO
ATUAL],Tab_03.Mar[CONTA],$F26)</f>
        <v>4662.95</v>
      </c>
      <c r="K26" s="4">
        <f>SUMIFS(Tab_04.Abr[SALDO
ATUAL],Tab_04.Abr[CONTA],$F26)</f>
        <v>0</v>
      </c>
      <c r="L26" s="4">
        <f>SUMIFS(Tab_05.Mai[SALDO
ATUAL],Tab_05.Mai[CONTA],$F26)</f>
        <v>0</v>
      </c>
      <c r="M26" s="4">
        <f>SUMIFS(Tab_06.Jun[SALDO
ATUAL],Tab_06.Jun[CONTA],$F26)</f>
        <v>0</v>
      </c>
      <c r="N26" s="4">
        <f>SUMIFS(Tab_07.Jul[SALDO
ATUAL],Tab_07.Jul[CONTA],$F26)</f>
        <v>0</v>
      </c>
      <c r="O26" s="4">
        <f>SUMIFS(Tab_08.Ago[SALDO
ATUAL],Tab_08.Ago[CONTA],$F26)</f>
        <v>0</v>
      </c>
      <c r="P26" s="4">
        <f>SUMIFS(Tab_09.Set[SALDO
ATUAL],Tab_09.Set[CONTA],$F26)</f>
        <v>0</v>
      </c>
      <c r="Q26" s="4">
        <f>SUMIFS(Tab_10.Out[SALDO
ATUAL],Tab_10.Out[CONTA],$F26)</f>
        <v>0</v>
      </c>
      <c r="R26" s="4">
        <f>SUMIFS(Tab_11.Nov[SALDO
ATUAL],Tab_11.Nov[CONTA],$F26)</f>
        <v>0</v>
      </c>
      <c r="S26" s="4">
        <f>SUMIFS(Tab_12.Dez[SALDO
ATUAL],Tab_12.Dez[CONTA],$F26)</f>
        <v>0</v>
      </c>
    </row>
    <row r="27" spans="2:19" x14ac:dyDescent="0.3">
      <c r="B27" s="3"/>
      <c r="C27" s="2" t="str">
        <f t="shared" si="3"/>
        <v>A</v>
      </c>
      <c r="D27" s="2" t="str">
        <f t="shared" si="4"/>
        <v>S</v>
      </c>
      <c r="E27" s="2">
        <f t="shared" si="5"/>
        <v>5</v>
      </c>
      <c r="F27" s="3" t="s">
        <v>203</v>
      </c>
      <c r="G27" s="3" t="s">
        <v>641</v>
      </c>
      <c r="H27" s="4">
        <f>SUMIFS(Tab_01.Jan[SALDO
ATUAL],Tab_01.Jan[CONTA],$F27)</f>
        <v>10834658.6</v>
      </c>
      <c r="I27" s="4">
        <f>SUMIFS(Tab_02.Fev[SALDO
ATUAL],Tab_02.Fev[CONTA],$F27)</f>
        <v>10051620.01</v>
      </c>
      <c r="J27" s="4">
        <f>SUMIFS(Tab_03.Mar[SALDO
ATUAL],Tab_03.Mar[CONTA],$F27)</f>
        <v>9904475.8300000001</v>
      </c>
      <c r="K27" s="4">
        <f>SUMIFS(Tab_04.Abr[SALDO
ATUAL],Tab_04.Abr[CONTA],$F27)</f>
        <v>10276096.369999999</v>
      </c>
      <c r="L27" s="4">
        <f>SUMIFS(Tab_05.Mai[SALDO
ATUAL],Tab_05.Mai[CONTA],$F27)</f>
        <v>10364035.359999999</v>
      </c>
      <c r="M27" s="4">
        <f>SUMIFS(Tab_06.Jun[SALDO
ATUAL],Tab_06.Jun[CONTA],$F27)</f>
        <v>10451660.779999999</v>
      </c>
      <c r="N27" s="4">
        <f>SUMIFS(Tab_07.Jul[SALDO
ATUAL],Tab_07.Jul[CONTA],$F27)</f>
        <v>10684976.390000001</v>
      </c>
      <c r="O27" s="4">
        <f>SUMIFS(Tab_08.Ago[SALDO
ATUAL],Tab_08.Ago[CONTA],$F27)</f>
        <v>10759589.32</v>
      </c>
      <c r="P27" s="4">
        <f>SUMIFS(Tab_09.Set[SALDO
ATUAL],Tab_09.Set[CONTA],$F27)</f>
        <v>10784798.77</v>
      </c>
      <c r="Q27" s="4">
        <f>SUMIFS(Tab_10.Out[SALDO
ATUAL],Tab_10.Out[CONTA],$F27)</f>
        <v>10912749.26</v>
      </c>
      <c r="R27" s="4">
        <f>SUMIFS(Tab_11.Nov[SALDO
ATUAL],Tab_11.Nov[CONTA],$F27)</f>
        <v>10885256.710000001</v>
      </c>
      <c r="S27" s="4">
        <f>SUMIFS(Tab_12.Dez[SALDO
ATUAL],Tab_12.Dez[CONTA],$F27)</f>
        <v>10969820.439999999</v>
      </c>
    </row>
    <row r="28" spans="2:19" x14ac:dyDescent="0.3">
      <c r="B28" s="3" t="s">
        <v>39</v>
      </c>
      <c r="C28" s="2" t="str">
        <f t="shared" si="3"/>
        <v>A</v>
      </c>
      <c r="D28" s="2" t="str">
        <f t="shared" si="4"/>
        <v>A</v>
      </c>
      <c r="E28" s="2">
        <f t="shared" si="5"/>
        <v>5</v>
      </c>
      <c r="F28" s="3" t="s">
        <v>178</v>
      </c>
      <c r="G28" s="3" t="s">
        <v>284</v>
      </c>
      <c r="H28" s="4">
        <f>SUMIFS(Tab_01.Jan[SALDO
ATUAL],Tab_01.Jan[CONTA],$F28)</f>
        <v>5399871.7999999998</v>
      </c>
      <c r="I28" s="4">
        <f>SUMIFS(Tab_02.Fev[SALDO
ATUAL],Tab_02.Fev[CONTA],$F28)</f>
        <v>4573765.12</v>
      </c>
      <c r="J28" s="4">
        <f>SUMIFS(Tab_03.Mar[SALDO
ATUAL],Tab_03.Mar[CONTA],$F28)</f>
        <v>4381434.88</v>
      </c>
      <c r="K28" s="4">
        <f>SUMIFS(Tab_04.Abr[SALDO
ATUAL],Tab_04.Abr[CONTA],$F28)</f>
        <v>4704925.87</v>
      </c>
      <c r="L28" s="4">
        <f>SUMIFS(Tab_05.Mai[SALDO
ATUAL],Tab_05.Mai[CONTA],$F28)</f>
        <v>4747498.4400000004</v>
      </c>
      <c r="M28" s="4">
        <f>SUMIFS(Tab_06.Jun[SALDO
ATUAL],Tab_06.Jun[CONTA],$F28)</f>
        <v>4751351.43</v>
      </c>
      <c r="N28" s="4">
        <f>SUMIFS(Tab_07.Jul[SALDO
ATUAL],Tab_07.Jul[CONTA],$F28)</f>
        <v>4933795.4400000004</v>
      </c>
      <c r="O28" s="4">
        <f>SUMIFS(Tab_08.Ago[SALDO
ATUAL],Tab_08.Ago[CONTA],$F28)</f>
        <v>4958969.7300000004</v>
      </c>
      <c r="P28" s="4">
        <f>SUMIFS(Tab_09.Set[SALDO
ATUAL],Tab_09.Set[CONTA],$F28)</f>
        <v>4936496.26</v>
      </c>
      <c r="Q28" s="4">
        <f>SUMIFS(Tab_10.Out[SALDO
ATUAL],Tab_10.Out[CONTA],$F28)</f>
        <v>5010937.84</v>
      </c>
      <c r="R28" s="4">
        <f>SUMIFS(Tab_11.Nov[SALDO
ATUAL],Tab_11.Nov[CONTA],$F28)</f>
        <v>5001987.17</v>
      </c>
      <c r="S28" s="4">
        <f>SUMIFS(Tab_12.Dez[SALDO
ATUAL],Tab_12.Dez[CONTA],$F28)</f>
        <v>5042964.2300000004</v>
      </c>
    </row>
    <row r="29" spans="2:19" x14ac:dyDescent="0.3">
      <c r="B29" s="3" t="s">
        <v>39</v>
      </c>
      <c r="C29" s="2" t="str">
        <f t="shared" si="3"/>
        <v>A</v>
      </c>
      <c r="D29" s="2" t="str">
        <f t="shared" si="4"/>
        <v>A</v>
      </c>
      <c r="E29" s="2">
        <f t="shared" si="5"/>
        <v>5</v>
      </c>
      <c r="F29" s="3" t="s">
        <v>285</v>
      </c>
      <c r="G29" s="3" t="s">
        <v>286</v>
      </c>
      <c r="H29" s="4">
        <f>SUMIFS(Tab_01.Jan[SALDO
ATUAL],Tab_01.Jan[CONTA],$F29)</f>
        <v>0</v>
      </c>
      <c r="I29" s="4">
        <f>SUMIFS(Tab_02.Fev[SALDO
ATUAL],Tab_02.Fev[CONTA],$F29)</f>
        <v>0</v>
      </c>
      <c r="J29" s="4">
        <f>SUMIFS(Tab_03.Mar[SALDO
ATUAL],Tab_03.Mar[CONTA],$F29)</f>
        <v>0</v>
      </c>
      <c r="K29" s="4">
        <f>SUMIFS(Tab_04.Abr[SALDO
ATUAL],Tab_04.Abr[CONTA],$F29)</f>
        <v>0</v>
      </c>
      <c r="L29" s="4">
        <f>SUMIFS(Tab_05.Mai[SALDO
ATUAL],Tab_05.Mai[CONTA],$F29)</f>
        <v>0</v>
      </c>
      <c r="M29" s="4">
        <f>SUMIFS(Tab_06.Jun[SALDO
ATUAL],Tab_06.Jun[CONTA],$F29)</f>
        <v>0</v>
      </c>
      <c r="N29" s="4">
        <f>SUMIFS(Tab_07.Jul[SALDO
ATUAL],Tab_07.Jul[CONTA],$F29)</f>
        <v>0</v>
      </c>
      <c r="O29" s="4">
        <f>SUMIFS(Tab_08.Ago[SALDO
ATUAL],Tab_08.Ago[CONTA],$F29)</f>
        <v>0</v>
      </c>
      <c r="P29" s="4">
        <f>SUMIFS(Tab_09.Set[SALDO
ATUAL],Tab_09.Set[CONTA],$F29)</f>
        <v>0</v>
      </c>
      <c r="Q29" s="4">
        <f>SUMIFS(Tab_10.Out[SALDO
ATUAL],Tab_10.Out[CONTA],$F29)</f>
        <v>0</v>
      </c>
      <c r="R29" s="4">
        <f>SUMIFS(Tab_11.Nov[SALDO
ATUAL],Tab_11.Nov[CONTA],$F29)</f>
        <v>0</v>
      </c>
      <c r="S29" s="4">
        <f>SUMIFS(Tab_12.Dez[SALDO
ATUAL],Tab_12.Dez[CONTA],$F29)</f>
        <v>0</v>
      </c>
    </row>
    <row r="30" spans="2:19" x14ac:dyDescent="0.3">
      <c r="B30" s="3" t="s">
        <v>39</v>
      </c>
      <c r="C30" s="2" t="str">
        <f t="shared" si="3"/>
        <v>A</v>
      </c>
      <c r="D30" s="2" t="str">
        <f>IF($F30="","",IF(LEN($F30)=13,"A","S"))</f>
        <v>A</v>
      </c>
      <c r="E30" s="2">
        <f>IF($F30="","",IF(LEN($F30)=1,1,IF(LEN($F30)=3,2,IF(LEN($F30)=5,3,IF(LEN($F30)=8,4,5)))))</f>
        <v>5</v>
      </c>
      <c r="F30" s="3" t="s">
        <v>287</v>
      </c>
      <c r="G30" s="3" t="s">
        <v>288</v>
      </c>
      <c r="H30" s="4">
        <f>SUMIFS(Tab_01.Jan[SALDO
ATUAL],Tab_01.Jan[CONTA],$F30)</f>
        <v>5434786.7999999998</v>
      </c>
      <c r="I30" s="4">
        <f>SUMIFS(Tab_02.Fev[SALDO
ATUAL],Tab_02.Fev[CONTA],$F30)</f>
        <v>5477854.8899999997</v>
      </c>
      <c r="J30" s="4">
        <f>SUMIFS(Tab_03.Mar[SALDO
ATUAL],Tab_03.Mar[CONTA],$F30)</f>
        <v>5523040.9500000002</v>
      </c>
      <c r="K30" s="4">
        <f>SUMIFS(Tab_04.Abr[SALDO
ATUAL],Tab_04.Abr[CONTA],$F30)</f>
        <v>5571170.5</v>
      </c>
      <c r="L30" s="4">
        <f>SUMIFS(Tab_05.Mai[SALDO
ATUAL],Tab_05.Mai[CONTA],$F30)</f>
        <v>5616536.9199999999</v>
      </c>
      <c r="M30" s="4">
        <f>SUMIFS(Tab_06.Jun[SALDO
ATUAL],Tab_06.Jun[CONTA],$F30)</f>
        <v>5700309.3499999996</v>
      </c>
      <c r="N30" s="4">
        <f>SUMIFS(Tab_07.Jul[SALDO
ATUAL],Tab_07.Jul[CONTA],$F30)</f>
        <v>5751180.9500000002</v>
      </c>
      <c r="O30" s="4">
        <f>SUMIFS(Tab_08.Ago[SALDO
ATUAL],Tab_08.Ago[CONTA],$F30)</f>
        <v>5800619.5899999999</v>
      </c>
      <c r="P30" s="4">
        <f>SUMIFS(Tab_09.Set[SALDO
ATUAL],Tab_09.Set[CONTA],$F30)</f>
        <v>5848302.5099999998</v>
      </c>
      <c r="Q30" s="4">
        <f>SUMIFS(Tab_10.Out[SALDO
ATUAL],Tab_10.Out[CONTA],$F30)</f>
        <v>5901811.4199999999</v>
      </c>
      <c r="R30" s="4">
        <f>SUMIFS(Tab_11.Nov[SALDO
ATUAL],Tab_11.Nov[CONTA],$F30)</f>
        <v>5883269.54</v>
      </c>
      <c r="S30" s="4">
        <f>SUMIFS(Tab_12.Dez[SALDO
ATUAL],Tab_12.Dez[CONTA],$F30)</f>
        <v>5588853.7599999998</v>
      </c>
    </row>
    <row r="31" spans="2:19" x14ac:dyDescent="0.3">
      <c r="B31" s="3" t="s">
        <v>39</v>
      </c>
      <c r="C31" s="2" t="str">
        <f t="shared" si="3"/>
        <v>A</v>
      </c>
      <c r="D31" s="2" t="str">
        <f>IF($F31="","",IF(LEN($F31)=13,"A","S"))</f>
        <v>A</v>
      </c>
      <c r="E31" s="2">
        <f>IF($F31="","",IF(LEN($F31)=1,1,IF(LEN($F31)=3,2,IF(LEN($F31)=5,3,IF(LEN($F31)=8,4,5)))))</f>
        <v>5</v>
      </c>
      <c r="F31" s="3" t="s">
        <v>289</v>
      </c>
      <c r="G31" s="3" t="s">
        <v>290</v>
      </c>
      <c r="H31" s="4">
        <f>SUMIFS(Tab_01.Jan[SALDO
ATUAL],Tab_01.Jan[CONTA],$F31)</f>
        <v>0</v>
      </c>
      <c r="I31" s="4">
        <f>SUMIFS(Tab_02.Fev[SALDO
ATUAL],Tab_02.Fev[CONTA],$F31)</f>
        <v>0</v>
      </c>
      <c r="J31" s="4">
        <f>SUMIFS(Tab_03.Mar[SALDO
ATUAL],Tab_03.Mar[CONTA],$F31)</f>
        <v>0</v>
      </c>
      <c r="K31" s="4">
        <f>SUMIFS(Tab_04.Abr[SALDO
ATUAL],Tab_04.Abr[CONTA],$F31)</f>
        <v>0</v>
      </c>
      <c r="L31" s="4">
        <f>SUMIFS(Tab_05.Mai[SALDO
ATUAL],Tab_05.Mai[CONTA],$F31)</f>
        <v>0</v>
      </c>
      <c r="M31" s="4">
        <f>SUMIFS(Tab_06.Jun[SALDO
ATUAL],Tab_06.Jun[CONTA],$F31)</f>
        <v>0</v>
      </c>
      <c r="N31" s="4">
        <f>SUMIFS(Tab_07.Jul[SALDO
ATUAL],Tab_07.Jul[CONTA],$F31)</f>
        <v>0</v>
      </c>
      <c r="O31" s="4">
        <f>SUMIFS(Tab_08.Ago[SALDO
ATUAL],Tab_08.Ago[CONTA],$F31)</f>
        <v>0</v>
      </c>
      <c r="P31" s="4">
        <f>SUMIFS(Tab_09.Set[SALDO
ATUAL],Tab_09.Set[CONTA],$F31)</f>
        <v>0</v>
      </c>
      <c r="Q31" s="4">
        <f>SUMIFS(Tab_10.Out[SALDO
ATUAL],Tab_10.Out[CONTA],$F31)</f>
        <v>0</v>
      </c>
      <c r="R31" s="4">
        <f>SUMIFS(Tab_11.Nov[SALDO
ATUAL],Tab_11.Nov[CONTA],$F31)</f>
        <v>0</v>
      </c>
      <c r="S31" s="4">
        <f>SUMIFS(Tab_12.Dez[SALDO
ATUAL],Tab_12.Dez[CONTA],$F31)</f>
        <v>0</v>
      </c>
    </row>
    <row r="32" spans="2:19" x14ac:dyDescent="0.3">
      <c r="B32" s="3" t="s">
        <v>39</v>
      </c>
      <c r="C32" s="2" t="str">
        <f>IF($F32="","",IF(LEFT($F32,1)*1=1,"A",IF(LEFT($F32,1)*1=2,"P",IF(LEFT($F32,1)*1=3,"R",IF(LEFT($F32,1)*1=4,"C",IF(LEFT($F32,1)*1=5,"C",""))))))</f>
        <v>A</v>
      </c>
      <c r="D32" s="2" t="str">
        <f>IF($F32="","",IF(LEN($F32)=13,"A","S"))</f>
        <v>A</v>
      </c>
      <c r="E32" s="2">
        <f>IF($F32="","",IF(LEN($F32)=1,1,IF(LEN($F32)=3,2,IF(LEN($F32)=5,3,IF(LEN($F32)=8,4,5)))))</f>
        <v>5</v>
      </c>
      <c r="F32" s="184" t="s">
        <v>808</v>
      </c>
      <c r="G32" s="184" t="s">
        <v>809</v>
      </c>
      <c r="H32" s="4">
        <f>SUMIFS(Tab_01.Jan[SALDO
ATUAL],Tab_01.Jan[CONTA],$F32)</f>
        <v>0</v>
      </c>
      <c r="I32" s="4">
        <f>SUMIFS(Tab_02.Fev[SALDO
ATUAL],Tab_02.Fev[CONTA],$F32)</f>
        <v>0</v>
      </c>
      <c r="J32" s="4">
        <f>SUMIFS(Tab_03.Mar[SALDO
ATUAL],Tab_03.Mar[CONTA],$F32)</f>
        <v>0</v>
      </c>
      <c r="K32" s="4">
        <f>SUMIFS(Tab_04.Abr[SALDO
ATUAL],Tab_04.Abr[CONTA],$F32)</f>
        <v>0</v>
      </c>
      <c r="L32" s="4">
        <f>SUMIFS(Tab_05.Mai[SALDO
ATUAL],Tab_05.Mai[CONTA],$F32)</f>
        <v>0</v>
      </c>
      <c r="M32" s="4">
        <f>SUMIFS(Tab_06.Jun[SALDO
ATUAL],Tab_06.Jun[CONTA],$F32)</f>
        <v>0</v>
      </c>
      <c r="N32" s="4">
        <f>SUMIFS(Tab_07.Jul[SALDO
ATUAL],Tab_07.Jul[CONTA],$F32)</f>
        <v>0</v>
      </c>
      <c r="O32" s="4">
        <f>SUMIFS(Tab_08.Ago[SALDO
ATUAL],Tab_08.Ago[CONTA],$F32)</f>
        <v>0</v>
      </c>
      <c r="P32" s="4">
        <f>SUMIFS(Tab_09.Set[SALDO
ATUAL],Tab_09.Set[CONTA],$F32)</f>
        <v>0</v>
      </c>
      <c r="Q32" s="4">
        <f>SUMIFS(Tab_10.Out[SALDO
ATUAL],Tab_10.Out[CONTA],$F32)</f>
        <v>0</v>
      </c>
      <c r="R32" s="4">
        <f>SUMIFS(Tab_11.Nov[SALDO
ATUAL],Tab_11.Nov[CONTA],$F32)</f>
        <v>0</v>
      </c>
      <c r="S32" s="4">
        <f>SUMIFS(Tab_12.Dez[SALDO
ATUAL],Tab_12.Dez[CONTA],$F32)</f>
        <v>338002.45</v>
      </c>
    </row>
    <row r="33" spans="2:19" x14ac:dyDescent="0.3">
      <c r="B33" s="3"/>
      <c r="C33" s="2" t="str">
        <f t="shared" si="3"/>
        <v>A</v>
      </c>
      <c r="D33" s="2" t="str">
        <f t="shared" si="4"/>
        <v>S</v>
      </c>
      <c r="E33" s="2">
        <f t="shared" si="5"/>
        <v>5</v>
      </c>
      <c r="F33" s="3" t="s">
        <v>204</v>
      </c>
      <c r="G33" s="3" t="s">
        <v>642</v>
      </c>
      <c r="H33" s="4">
        <f>SUMIFS(Tab_01.Jan[SALDO
ATUAL],Tab_01.Jan[CONTA],$F33)</f>
        <v>99274.97</v>
      </c>
      <c r="I33" s="4">
        <f>SUMIFS(Tab_02.Fev[SALDO
ATUAL],Tab_02.Fev[CONTA],$F33)</f>
        <v>99274.97</v>
      </c>
      <c r="J33" s="4">
        <f>SUMIFS(Tab_03.Mar[SALDO
ATUAL],Tab_03.Mar[CONTA],$F33)</f>
        <v>99274.97</v>
      </c>
      <c r="K33" s="4">
        <f>SUMIFS(Tab_04.Abr[SALDO
ATUAL],Tab_04.Abr[CONTA],$F33)</f>
        <v>99274.97</v>
      </c>
      <c r="L33" s="4">
        <f>SUMIFS(Tab_05.Mai[SALDO
ATUAL],Tab_05.Mai[CONTA],$F33)</f>
        <v>99274.97</v>
      </c>
      <c r="M33" s="4">
        <f>SUMIFS(Tab_06.Jun[SALDO
ATUAL],Tab_06.Jun[CONTA],$F33)</f>
        <v>99274.97</v>
      </c>
      <c r="N33" s="4">
        <f>SUMIFS(Tab_07.Jul[SALDO
ATUAL],Tab_07.Jul[CONTA],$F33)</f>
        <v>99274.97</v>
      </c>
      <c r="O33" s="4">
        <f>SUMIFS(Tab_08.Ago[SALDO
ATUAL],Tab_08.Ago[CONTA],$F33)</f>
        <v>99274.97</v>
      </c>
      <c r="P33" s="4">
        <f>SUMIFS(Tab_09.Set[SALDO
ATUAL],Tab_09.Set[CONTA],$F33)</f>
        <v>99274.97</v>
      </c>
      <c r="Q33" s="4">
        <f>SUMIFS(Tab_10.Out[SALDO
ATUAL],Tab_10.Out[CONTA],$F33)</f>
        <v>99324.97</v>
      </c>
      <c r="R33" s="4">
        <f>SUMIFS(Tab_11.Nov[SALDO
ATUAL],Tab_11.Nov[CONTA],$F33)</f>
        <v>104030.92</v>
      </c>
      <c r="S33" s="4">
        <f>SUMIFS(Tab_12.Dez[SALDO
ATUAL],Tab_12.Dez[CONTA],$F33)</f>
        <v>4705.95</v>
      </c>
    </row>
    <row r="34" spans="2:19" x14ac:dyDescent="0.3">
      <c r="B34" s="3"/>
      <c r="C34" s="2" t="str">
        <f t="shared" si="3"/>
        <v>A</v>
      </c>
      <c r="D34" s="2" t="str">
        <f t="shared" si="4"/>
        <v>S</v>
      </c>
      <c r="E34" s="2">
        <f t="shared" si="5"/>
        <v>5</v>
      </c>
      <c r="F34" s="3" t="s">
        <v>205</v>
      </c>
      <c r="G34" s="3" t="s">
        <v>643</v>
      </c>
      <c r="H34" s="4">
        <f>SUMIFS(Tab_01.Jan[SALDO
ATUAL],Tab_01.Jan[CONTA],$F34)</f>
        <v>99274.97</v>
      </c>
      <c r="I34" s="4">
        <f>SUMIFS(Tab_02.Fev[SALDO
ATUAL],Tab_02.Fev[CONTA],$F34)</f>
        <v>99274.97</v>
      </c>
      <c r="J34" s="4">
        <f>SUMIFS(Tab_03.Mar[SALDO
ATUAL],Tab_03.Mar[CONTA],$F34)</f>
        <v>99274.97</v>
      </c>
      <c r="K34" s="4">
        <f>SUMIFS(Tab_04.Abr[SALDO
ATUAL],Tab_04.Abr[CONTA],$F34)</f>
        <v>99274.97</v>
      </c>
      <c r="L34" s="4">
        <f>SUMIFS(Tab_05.Mai[SALDO
ATUAL],Tab_05.Mai[CONTA],$F34)</f>
        <v>99274.97</v>
      </c>
      <c r="M34" s="4">
        <f>SUMIFS(Tab_06.Jun[SALDO
ATUAL],Tab_06.Jun[CONTA],$F34)</f>
        <v>99274.97</v>
      </c>
      <c r="N34" s="4">
        <f>SUMIFS(Tab_07.Jul[SALDO
ATUAL],Tab_07.Jul[CONTA],$F34)</f>
        <v>99274.97</v>
      </c>
      <c r="O34" s="4">
        <f>SUMIFS(Tab_08.Ago[SALDO
ATUAL],Tab_08.Ago[CONTA],$F34)</f>
        <v>99274.97</v>
      </c>
      <c r="P34" s="4">
        <f>SUMIFS(Tab_09.Set[SALDO
ATUAL],Tab_09.Set[CONTA],$F34)</f>
        <v>99274.97</v>
      </c>
      <c r="Q34" s="4">
        <f>SUMIFS(Tab_10.Out[SALDO
ATUAL],Tab_10.Out[CONTA],$F34)</f>
        <v>99324.97</v>
      </c>
      <c r="R34" s="4">
        <f>SUMIFS(Tab_11.Nov[SALDO
ATUAL],Tab_11.Nov[CONTA],$F34)</f>
        <v>99324.97</v>
      </c>
      <c r="S34" s="4">
        <f>SUMIFS(Tab_12.Dez[SALDO
ATUAL],Tab_12.Dez[CONTA],$F34)</f>
        <v>0</v>
      </c>
    </row>
    <row r="35" spans="2:19" x14ac:dyDescent="0.3">
      <c r="B35" s="3" t="s">
        <v>40</v>
      </c>
      <c r="C35" s="2" t="str">
        <f t="shared" si="3"/>
        <v>A</v>
      </c>
      <c r="D35" s="2" t="str">
        <f t="shared" si="4"/>
        <v>A</v>
      </c>
      <c r="E35" s="2">
        <f t="shared" si="5"/>
        <v>5</v>
      </c>
      <c r="F35" s="3" t="s">
        <v>291</v>
      </c>
      <c r="G35" s="3" t="s">
        <v>292</v>
      </c>
      <c r="H35" s="4">
        <f>SUMIFS(Tab_01.Jan[SALDO
ATUAL],Tab_01.Jan[CONTA],$F35)</f>
        <v>99274.97</v>
      </c>
      <c r="I35" s="4">
        <f>SUMIFS(Tab_02.Fev[SALDO
ATUAL],Tab_02.Fev[CONTA],$F35)</f>
        <v>99274.97</v>
      </c>
      <c r="J35" s="4">
        <f>SUMIFS(Tab_03.Mar[SALDO
ATUAL],Tab_03.Mar[CONTA],$F35)</f>
        <v>99274.97</v>
      </c>
      <c r="K35" s="4">
        <f>SUMIFS(Tab_04.Abr[SALDO
ATUAL],Tab_04.Abr[CONTA],$F35)</f>
        <v>99274.97</v>
      </c>
      <c r="L35" s="4">
        <f>SUMIFS(Tab_05.Mai[SALDO
ATUAL],Tab_05.Mai[CONTA],$F35)</f>
        <v>99274.97</v>
      </c>
      <c r="M35" s="4">
        <f>SUMIFS(Tab_06.Jun[SALDO
ATUAL],Tab_06.Jun[CONTA],$F35)</f>
        <v>99274.97</v>
      </c>
      <c r="N35" s="4">
        <f>SUMIFS(Tab_07.Jul[SALDO
ATUAL],Tab_07.Jul[CONTA],$F35)</f>
        <v>99274.97</v>
      </c>
      <c r="O35" s="4">
        <f>SUMIFS(Tab_08.Ago[SALDO
ATUAL],Tab_08.Ago[CONTA],$F35)</f>
        <v>99274.97</v>
      </c>
      <c r="P35" s="4">
        <f>SUMIFS(Tab_09.Set[SALDO
ATUAL],Tab_09.Set[CONTA],$F35)</f>
        <v>99274.97</v>
      </c>
      <c r="Q35" s="4">
        <f>SUMIFS(Tab_10.Out[SALDO
ATUAL],Tab_10.Out[CONTA],$F35)</f>
        <v>99324.97</v>
      </c>
      <c r="R35" s="4">
        <f>SUMIFS(Tab_11.Nov[SALDO
ATUAL],Tab_11.Nov[CONTA],$F35)</f>
        <v>99324.97</v>
      </c>
      <c r="S35" s="4">
        <f>SUMIFS(Tab_12.Dez[SALDO
ATUAL],Tab_12.Dez[CONTA],$F35)</f>
        <v>0</v>
      </c>
    </row>
    <row r="36" spans="2:19" x14ac:dyDescent="0.3">
      <c r="B36" s="3"/>
      <c r="C36" s="2" t="str">
        <f>IF($F36="","",IF(LEFT($F36,1)*1=1,"A",IF(LEFT($F36,1)*1=2,"P",IF(LEFT($F36,1)*1=3,"R",IF(LEFT($F36,1)*1=4,"C",IF(LEFT($F36,1)*1=5,"C",""))))))</f>
        <v>A</v>
      </c>
      <c r="D36" s="2" t="str">
        <f>IF($F36="","",IF(LEN($F36)=13,"A","S"))</f>
        <v>S</v>
      </c>
      <c r="E36" s="2">
        <f>IF($F36="","",IF(LEN($F36)=1,1,IF(LEN($F36)=3,2,IF(LEN($F36)=5,3,IF(LEN($F36)=8,4,5)))))</f>
        <v>5</v>
      </c>
      <c r="F36" s="3" t="s">
        <v>835</v>
      </c>
      <c r="G36" s="3" t="s">
        <v>836</v>
      </c>
      <c r="H36" s="4">
        <f>SUMIFS(Tab_01.Jan[SALDO
ATUAL],Tab_01.Jan[CONTA],$F36)</f>
        <v>0</v>
      </c>
      <c r="I36" s="4">
        <f>SUMIFS(Tab_02.Fev[SALDO
ATUAL],Tab_02.Fev[CONTA],$F36)</f>
        <v>0</v>
      </c>
      <c r="J36" s="4">
        <f>SUMIFS(Tab_03.Mar[SALDO
ATUAL],Tab_03.Mar[CONTA],$F36)</f>
        <v>0</v>
      </c>
      <c r="K36" s="4">
        <f>SUMIFS(Tab_04.Abr[SALDO
ATUAL],Tab_04.Abr[CONTA],$F36)</f>
        <v>0</v>
      </c>
      <c r="L36" s="4">
        <f>SUMIFS(Tab_05.Mai[SALDO
ATUAL],Tab_05.Mai[CONTA],$F36)</f>
        <v>0</v>
      </c>
      <c r="M36" s="4">
        <f>SUMIFS(Tab_06.Jun[SALDO
ATUAL],Tab_06.Jun[CONTA],$F36)</f>
        <v>0</v>
      </c>
      <c r="N36" s="4">
        <f>SUMIFS(Tab_07.Jul[SALDO
ATUAL],Tab_07.Jul[CONTA],$F36)</f>
        <v>0</v>
      </c>
      <c r="O36" s="4">
        <f>SUMIFS(Tab_08.Ago[SALDO
ATUAL],Tab_08.Ago[CONTA],$F36)</f>
        <v>0</v>
      </c>
      <c r="P36" s="4">
        <f>SUMIFS(Tab_09.Set[SALDO
ATUAL],Tab_09.Set[CONTA],$F36)</f>
        <v>0</v>
      </c>
      <c r="Q36" s="4">
        <f>SUMIFS(Tab_10.Out[SALDO
ATUAL],Tab_10.Out[CONTA],$F36)</f>
        <v>0</v>
      </c>
      <c r="R36" s="4">
        <f>SUMIFS(Tab_11.Nov[SALDO
ATUAL],Tab_11.Nov[CONTA],$F36)</f>
        <v>4705.95</v>
      </c>
      <c r="S36" s="4">
        <f>SUMIFS(Tab_12.Dez[SALDO
ATUAL],Tab_12.Dez[CONTA],$F36)</f>
        <v>4705.95</v>
      </c>
    </row>
    <row r="37" spans="2:19" x14ac:dyDescent="0.3">
      <c r="B37" s="3" t="s">
        <v>40</v>
      </c>
      <c r="C37" s="2" t="str">
        <f>IF($F37="","",IF(LEFT($F37,1)*1=1,"A",IF(LEFT($F37,1)*1=2,"P",IF(LEFT($F37,1)*1=3,"R",IF(LEFT($F37,1)*1=4,"C",IF(LEFT($F37,1)*1=5,"C",""))))))</f>
        <v>A</v>
      </c>
      <c r="D37" s="2" t="str">
        <f>IF($F37="","",IF(LEN($F37)=13,"A","S"))</f>
        <v>A</v>
      </c>
      <c r="E37" s="2">
        <f>IF($F37="","",IF(LEN($F37)=1,1,IF(LEN($F37)=3,2,IF(LEN($F37)=5,3,IF(LEN($F37)=8,4,5)))))</f>
        <v>5</v>
      </c>
      <c r="F37" s="3" t="s">
        <v>837</v>
      </c>
      <c r="G37" s="3" t="s">
        <v>836</v>
      </c>
      <c r="H37" s="4">
        <f>SUMIFS(Tab_01.Jan[SALDO
ATUAL],Tab_01.Jan[CONTA],$F37)</f>
        <v>0</v>
      </c>
      <c r="I37" s="4">
        <f>SUMIFS(Tab_02.Fev[SALDO
ATUAL],Tab_02.Fev[CONTA],$F37)</f>
        <v>0</v>
      </c>
      <c r="J37" s="4">
        <f>SUMIFS(Tab_03.Mar[SALDO
ATUAL],Tab_03.Mar[CONTA],$F37)</f>
        <v>0</v>
      </c>
      <c r="K37" s="4">
        <f>SUMIFS(Tab_04.Abr[SALDO
ATUAL],Tab_04.Abr[CONTA],$F37)</f>
        <v>0</v>
      </c>
      <c r="L37" s="4">
        <f>SUMIFS(Tab_05.Mai[SALDO
ATUAL],Tab_05.Mai[CONTA],$F37)</f>
        <v>0</v>
      </c>
      <c r="M37" s="4">
        <f>SUMIFS(Tab_06.Jun[SALDO
ATUAL],Tab_06.Jun[CONTA],$F37)</f>
        <v>0</v>
      </c>
      <c r="N37" s="4">
        <f>SUMIFS(Tab_07.Jul[SALDO
ATUAL],Tab_07.Jul[CONTA],$F37)</f>
        <v>0</v>
      </c>
      <c r="O37" s="4">
        <f>SUMIFS(Tab_08.Ago[SALDO
ATUAL],Tab_08.Ago[CONTA],$F37)</f>
        <v>0</v>
      </c>
      <c r="P37" s="4">
        <f>SUMIFS(Tab_09.Set[SALDO
ATUAL],Tab_09.Set[CONTA],$F37)</f>
        <v>0</v>
      </c>
      <c r="Q37" s="4">
        <f>SUMIFS(Tab_10.Out[SALDO
ATUAL],Tab_10.Out[CONTA],$F37)</f>
        <v>0</v>
      </c>
      <c r="R37" s="4">
        <f>SUMIFS(Tab_11.Nov[SALDO
ATUAL],Tab_11.Nov[CONTA],$F37)</f>
        <v>4705.95</v>
      </c>
      <c r="S37" s="4">
        <f>SUMIFS(Tab_12.Dez[SALDO
ATUAL],Tab_12.Dez[CONTA],$F37)</f>
        <v>4705.95</v>
      </c>
    </row>
    <row r="38" spans="2:19" x14ac:dyDescent="0.3">
      <c r="B38" s="3"/>
      <c r="C38" s="2" t="str">
        <f t="shared" si="3"/>
        <v>A</v>
      </c>
      <c r="D38" s="2" t="str">
        <f t="shared" si="4"/>
        <v>S</v>
      </c>
      <c r="E38" s="2">
        <f t="shared" si="5"/>
        <v>5</v>
      </c>
      <c r="F38" s="3" t="s">
        <v>206</v>
      </c>
      <c r="G38" s="3" t="s">
        <v>644</v>
      </c>
      <c r="H38" s="4">
        <f>SUMIFS(Tab_01.Jan[SALDO
ATUAL],Tab_01.Jan[CONTA],$F38)</f>
        <v>9738.24</v>
      </c>
      <c r="I38" s="4">
        <f>SUMIFS(Tab_02.Fev[SALDO
ATUAL],Tab_02.Fev[CONTA],$F38)</f>
        <v>4932.34</v>
      </c>
      <c r="J38" s="4">
        <f>SUMIFS(Tab_03.Mar[SALDO
ATUAL],Tab_03.Mar[CONTA],$F38)</f>
        <v>4704.34</v>
      </c>
      <c r="K38" s="4">
        <f>SUMIFS(Tab_04.Abr[SALDO
ATUAL],Tab_04.Abr[CONTA],$F38)</f>
        <v>15269.35</v>
      </c>
      <c r="L38" s="4">
        <f>SUMIFS(Tab_05.Mai[SALDO
ATUAL],Tab_05.Mai[CONTA],$F38)</f>
        <v>15224.77</v>
      </c>
      <c r="M38" s="4">
        <f>SUMIFS(Tab_06.Jun[SALDO
ATUAL],Tab_06.Jun[CONTA],$F38)</f>
        <v>34155.129999999997</v>
      </c>
      <c r="N38" s="4">
        <f>SUMIFS(Tab_07.Jul[SALDO
ATUAL],Tab_07.Jul[CONTA],$F38)</f>
        <v>15213.77</v>
      </c>
      <c r="O38" s="4">
        <f>SUMIFS(Tab_08.Ago[SALDO
ATUAL],Tab_08.Ago[CONTA],$F38)</f>
        <v>41321.86</v>
      </c>
      <c r="P38" s="4">
        <f>SUMIFS(Tab_09.Set[SALDO
ATUAL],Tab_09.Set[CONTA],$F38)</f>
        <v>8413.06</v>
      </c>
      <c r="Q38" s="4">
        <f>SUMIFS(Tab_10.Out[SALDO
ATUAL],Tab_10.Out[CONTA],$F38)</f>
        <v>15053.24</v>
      </c>
      <c r="R38" s="4">
        <f>SUMIFS(Tab_11.Nov[SALDO
ATUAL],Tab_11.Nov[CONTA],$F38)</f>
        <v>85757.18</v>
      </c>
      <c r="S38" s="4">
        <f>SUMIFS(Tab_12.Dez[SALDO
ATUAL],Tab_12.Dez[CONTA],$F38)</f>
        <v>7927.27</v>
      </c>
    </row>
    <row r="39" spans="2:19" x14ac:dyDescent="0.3">
      <c r="B39" s="3"/>
      <c r="C39" s="2" t="str">
        <f t="shared" si="3"/>
        <v>A</v>
      </c>
      <c r="D39" s="2" t="str">
        <f t="shared" si="4"/>
        <v>S</v>
      </c>
      <c r="E39" s="2">
        <f t="shared" si="5"/>
        <v>5</v>
      </c>
      <c r="F39" s="3" t="s">
        <v>208</v>
      </c>
      <c r="G39" s="3" t="s">
        <v>139</v>
      </c>
      <c r="H39" s="4">
        <f>SUMIFS(Tab_01.Jan[SALDO
ATUAL],Tab_01.Jan[CONTA],$F39)</f>
        <v>5256.5</v>
      </c>
      <c r="I39" s="4">
        <f>SUMIFS(Tab_02.Fev[SALDO
ATUAL],Tab_02.Fev[CONTA],$F39)</f>
        <v>450.6</v>
      </c>
      <c r="J39" s="4">
        <f>SUMIFS(Tab_03.Mar[SALDO
ATUAL],Tab_03.Mar[CONTA],$F39)</f>
        <v>222.6</v>
      </c>
      <c r="K39" s="4">
        <f>SUMIFS(Tab_04.Abr[SALDO
ATUAL],Tab_04.Abr[CONTA],$F39)</f>
        <v>44.58</v>
      </c>
      <c r="L39" s="4">
        <f>SUMIFS(Tab_05.Mai[SALDO
ATUAL],Tab_05.Mai[CONTA],$F39)</f>
        <v>0</v>
      </c>
      <c r="M39" s="4">
        <f>SUMIFS(Tab_06.Jun[SALDO
ATUAL],Tab_06.Jun[CONTA],$F39)</f>
        <v>18930.36</v>
      </c>
      <c r="N39" s="4">
        <f>SUMIFS(Tab_07.Jul[SALDO
ATUAL],Tab_07.Jul[CONTA],$F39)</f>
        <v>0</v>
      </c>
      <c r="O39" s="4">
        <f>SUMIFS(Tab_08.Ago[SALDO
ATUAL],Tab_08.Ago[CONTA],$F39)</f>
        <v>26127.32</v>
      </c>
      <c r="P39" s="4">
        <f>SUMIFS(Tab_09.Set[SALDO
ATUAL],Tab_09.Set[CONTA],$F39)</f>
        <v>306.7</v>
      </c>
      <c r="Q39" s="4">
        <f>SUMIFS(Tab_10.Out[SALDO
ATUAL],Tab_10.Out[CONTA],$F39)</f>
        <v>6872.45</v>
      </c>
      <c r="R39" s="4">
        <f>SUMIFS(Tab_11.Nov[SALDO
ATUAL],Tab_11.Nov[CONTA],$F39)</f>
        <v>79463.289999999994</v>
      </c>
      <c r="S39" s="4">
        <f>SUMIFS(Tab_12.Dez[SALDO
ATUAL],Tab_12.Dez[CONTA],$F39)</f>
        <v>0</v>
      </c>
    </row>
    <row r="40" spans="2:19" x14ac:dyDescent="0.3">
      <c r="B40" s="3" t="s">
        <v>43</v>
      </c>
      <c r="C40" s="2" t="str">
        <f t="shared" si="3"/>
        <v>A</v>
      </c>
      <c r="D40" s="2" t="str">
        <f t="shared" si="4"/>
        <v>A</v>
      </c>
      <c r="E40" s="2">
        <f t="shared" si="5"/>
        <v>5</v>
      </c>
      <c r="F40" s="3" t="s">
        <v>179</v>
      </c>
      <c r="G40" s="3" t="s">
        <v>293</v>
      </c>
      <c r="H40" s="4">
        <f>SUMIFS(Tab_01.Jan[SALDO
ATUAL],Tab_01.Jan[CONTA],$F40)</f>
        <v>44.58</v>
      </c>
      <c r="I40" s="4">
        <f>SUMIFS(Tab_02.Fev[SALDO
ATUAL],Tab_02.Fev[CONTA],$F40)</f>
        <v>44.58</v>
      </c>
      <c r="J40" s="4">
        <f>SUMIFS(Tab_03.Mar[SALDO
ATUAL],Tab_03.Mar[CONTA],$F40)</f>
        <v>44.58</v>
      </c>
      <c r="K40" s="4">
        <f>SUMIFS(Tab_04.Abr[SALDO
ATUAL],Tab_04.Abr[CONTA],$F40)</f>
        <v>44.58</v>
      </c>
      <c r="L40" s="4">
        <f>SUMIFS(Tab_05.Mai[SALDO
ATUAL],Tab_05.Mai[CONTA],$F40)</f>
        <v>0</v>
      </c>
      <c r="M40" s="4">
        <f>SUMIFS(Tab_06.Jun[SALDO
ATUAL],Tab_06.Jun[CONTA],$F40)</f>
        <v>0</v>
      </c>
      <c r="N40" s="4">
        <f>SUMIFS(Tab_07.Jul[SALDO
ATUAL],Tab_07.Jul[CONTA],$F40)</f>
        <v>0</v>
      </c>
      <c r="O40" s="4">
        <f>SUMIFS(Tab_08.Ago[SALDO
ATUAL],Tab_08.Ago[CONTA],$F40)</f>
        <v>0</v>
      </c>
      <c r="P40" s="4">
        <f>SUMIFS(Tab_09.Set[SALDO
ATUAL],Tab_09.Set[CONTA],$F40)</f>
        <v>0</v>
      </c>
      <c r="Q40" s="4">
        <f>SUMIFS(Tab_10.Out[SALDO
ATUAL],Tab_10.Out[CONTA],$F40)</f>
        <v>0</v>
      </c>
      <c r="R40" s="4">
        <f>SUMIFS(Tab_11.Nov[SALDO
ATUAL],Tab_11.Nov[CONTA],$F40)</f>
        <v>0</v>
      </c>
      <c r="S40" s="4">
        <f>SUMIFS(Tab_12.Dez[SALDO
ATUAL],Tab_12.Dez[CONTA],$F40)</f>
        <v>0</v>
      </c>
    </row>
    <row r="41" spans="2:19" x14ac:dyDescent="0.3">
      <c r="B41" s="3" t="s">
        <v>43</v>
      </c>
      <c r="C41" s="2" t="str">
        <f>IF($F41="","",IF(LEFT($F41,1)*1=1,"A",IF(LEFT($F41,1)*1=2,"P",IF(LEFT($F41,1)*1=3,"R",IF(LEFT($F41,1)*1=4,"C",IF(LEFT($F41,1)*1=5,"C",""))))))</f>
        <v>A</v>
      </c>
      <c r="D41" s="2" t="str">
        <f>IF($F41="","",IF(LEN($F41)=13,"A","S"))</f>
        <v>A</v>
      </c>
      <c r="E41" s="2">
        <f>IF($F41="","",IF(LEN($F41)=1,1,IF(LEN($F41)=3,2,IF(LEN($F41)=5,3,IF(LEN($F41)=8,4,5)))))</f>
        <v>5</v>
      </c>
      <c r="F41" s="3" t="s">
        <v>810</v>
      </c>
      <c r="G41" s="3" t="s">
        <v>811</v>
      </c>
      <c r="H41" s="4">
        <f>SUMIFS(Tab_01.Jan[SALDO
ATUAL],Tab_01.Jan[CONTA],$F41)</f>
        <v>0</v>
      </c>
      <c r="I41" s="4">
        <f>SUMIFS(Tab_02.Fev[SALDO
ATUAL],Tab_02.Fev[CONTA],$F41)</f>
        <v>0</v>
      </c>
      <c r="J41" s="4">
        <f>SUMIFS(Tab_03.Mar[SALDO
ATUAL],Tab_03.Mar[CONTA],$F41)</f>
        <v>0</v>
      </c>
      <c r="K41" s="4">
        <f>SUMIFS(Tab_04.Abr[SALDO
ATUAL],Tab_04.Abr[CONTA],$F41)</f>
        <v>0</v>
      </c>
      <c r="L41" s="4">
        <f>SUMIFS(Tab_05.Mai[SALDO
ATUAL],Tab_05.Mai[CONTA],$F41)</f>
        <v>0</v>
      </c>
      <c r="M41" s="4">
        <f>SUMIFS(Tab_06.Jun[SALDO
ATUAL],Tab_06.Jun[CONTA],$F41)</f>
        <v>0</v>
      </c>
      <c r="N41" s="4">
        <f>SUMIFS(Tab_07.Jul[SALDO
ATUAL],Tab_07.Jul[CONTA],$F41)</f>
        <v>0</v>
      </c>
      <c r="O41" s="4">
        <f>SUMIFS(Tab_08.Ago[SALDO
ATUAL],Tab_08.Ago[CONTA],$F41)</f>
        <v>0</v>
      </c>
      <c r="P41" s="4">
        <f>SUMIFS(Tab_09.Set[SALDO
ATUAL],Tab_09.Set[CONTA],$F41)</f>
        <v>0</v>
      </c>
      <c r="Q41" s="4">
        <f>SUMIFS(Tab_10.Out[SALDO
ATUAL],Tab_10.Out[CONTA],$F41)</f>
        <v>0</v>
      </c>
      <c r="R41" s="4">
        <f>SUMIFS(Tab_11.Nov[SALDO
ATUAL],Tab_11.Nov[CONTA],$F41)</f>
        <v>0</v>
      </c>
      <c r="S41" s="4">
        <f>SUMIFS(Tab_12.Dez[SALDO
ATUAL],Tab_12.Dez[CONTA],$F41)</f>
        <v>0</v>
      </c>
    </row>
    <row r="42" spans="2:19" x14ac:dyDescent="0.3">
      <c r="B42" s="3" t="s">
        <v>43</v>
      </c>
      <c r="C42" s="2" t="str">
        <f>IF($F42="","",IF(LEFT($F42,1)*1=1,"A",IF(LEFT($F42,1)*1=2,"P",IF(LEFT($F42,1)*1=3,"R",IF(LEFT($F42,1)*1=4,"C",IF(LEFT($F42,1)*1=5,"C",""))))))</f>
        <v>A</v>
      </c>
      <c r="D42" s="2" t="str">
        <f>IF($F42="","",IF(LEN($F42)=13,"A","S"))</f>
        <v>A</v>
      </c>
      <c r="E42" s="2">
        <f>IF($F42="","",IF(LEN($F42)=1,1,IF(LEN($F42)=3,2,IF(LEN($F42)=5,3,IF(LEN($F42)=8,4,5)))))</f>
        <v>5</v>
      </c>
      <c r="F42" s="3" t="s">
        <v>812</v>
      </c>
      <c r="G42" s="3" t="s">
        <v>813</v>
      </c>
      <c r="H42" s="4">
        <f>SUMIFS(Tab_01.Jan[SALDO
ATUAL],Tab_01.Jan[CONTA],$F42)</f>
        <v>0</v>
      </c>
      <c r="I42" s="4">
        <f>SUMIFS(Tab_02.Fev[SALDO
ATUAL],Tab_02.Fev[CONTA],$F42)</f>
        <v>0</v>
      </c>
      <c r="J42" s="4">
        <f>SUMIFS(Tab_03.Mar[SALDO
ATUAL],Tab_03.Mar[CONTA],$F42)</f>
        <v>0</v>
      </c>
      <c r="K42" s="4">
        <f>SUMIFS(Tab_04.Abr[SALDO
ATUAL],Tab_04.Abr[CONTA],$F42)</f>
        <v>0</v>
      </c>
      <c r="L42" s="4">
        <f>SUMIFS(Tab_05.Mai[SALDO
ATUAL],Tab_05.Mai[CONTA],$F42)</f>
        <v>0</v>
      </c>
      <c r="M42" s="4">
        <f>SUMIFS(Tab_06.Jun[SALDO
ATUAL],Tab_06.Jun[CONTA],$F42)</f>
        <v>0</v>
      </c>
      <c r="N42" s="4">
        <f>SUMIFS(Tab_07.Jul[SALDO
ATUAL],Tab_07.Jul[CONTA],$F42)</f>
        <v>0</v>
      </c>
      <c r="O42" s="4">
        <f>SUMIFS(Tab_08.Ago[SALDO
ATUAL],Tab_08.Ago[CONTA],$F42)</f>
        <v>0</v>
      </c>
      <c r="P42" s="4">
        <f>SUMIFS(Tab_09.Set[SALDO
ATUAL],Tab_09.Set[CONTA],$F42)</f>
        <v>0</v>
      </c>
      <c r="Q42" s="4">
        <f>SUMIFS(Tab_10.Out[SALDO
ATUAL],Tab_10.Out[CONTA],$F42)</f>
        <v>2779.68</v>
      </c>
      <c r="R42" s="4">
        <f>SUMIFS(Tab_11.Nov[SALDO
ATUAL],Tab_11.Nov[CONTA],$F42)</f>
        <v>78477.31</v>
      </c>
      <c r="S42" s="4">
        <f>SUMIFS(Tab_12.Dez[SALDO
ATUAL],Tab_12.Dez[CONTA],$F42)</f>
        <v>0</v>
      </c>
    </row>
    <row r="43" spans="2:19" x14ac:dyDescent="0.3">
      <c r="B43" s="3" t="s">
        <v>43</v>
      </c>
      <c r="C43" s="2" t="str">
        <f t="shared" si="3"/>
        <v>A</v>
      </c>
      <c r="D43" s="2" t="str">
        <f>IF($F43="","",IF(LEN($F43)=13,"A","S"))</f>
        <v>A</v>
      </c>
      <c r="E43" s="2">
        <f>IF($F43="","",IF(LEN($F43)=1,1,IF(LEN($F43)=3,2,IF(LEN($F43)=5,3,IF(LEN($F43)=8,4,5)))))</f>
        <v>5</v>
      </c>
      <c r="F43" s="3" t="s">
        <v>294</v>
      </c>
      <c r="G43" s="3" t="s">
        <v>295</v>
      </c>
      <c r="H43" s="4">
        <f>SUMIFS(Tab_01.Jan[SALDO
ATUAL],Tab_01.Jan[CONTA],$F43)</f>
        <v>5211.92</v>
      </c>
      <c r="I43" s="4">
        <f>SUMIFS(Tab_02.Fev[SALDO
ATUAL],Tab_02.Fev[CONTA],$F43)</f>
        <v>406.02</v>
      </c>
      <c r="J43" s="4">
        <f>SUMIFS(Tab_03.Mar[SALDO
ATUAL],Tab_03.Mar[CONTA],$F43)</f>
        <v>178.02</v>
      </c>
      <c r="K43" s="4">
        <f>SUMIFS(Tab_04.Abr[SALDO
ATUAL],Tab_04.Abr[CONTA],$F43)</f>
        <v>0</v>
      </c>
      <c r="L43" s="4">
        <f>SUMIFS(Tab_05.Mai[SALDO
ATUAL],Tab_05.Mai[CONTA],$F43)</f>
        <v>0</v>
      </c>
      <c r="M43" s="4">
        <f>SUMIFS(Tab_06.Jun[SALDO
ATUAL],Tab_06.Jun[CONTA],$F43)</f>
        <v>18930.36</v>
      </c>
      <c r="N43" s="4">
        <f>SUMIFS(Tab_07.Jul[SALDO
ATUAL],Tab_07.Jul[CONTA],$F43)</f>
        <v>0</v>
      </c>
      <c r="O43" s="4">
        <f>SUMIFS(Tab_08.Ago[SALDO
ATUAL],Tab_08.Ago[CONTA],$F43)</f>
        <v>26127.32</v>
      </c>
      <c r="P43" s="4">
        <f>SUMIFS(Tab_09.Set[SALDO
ATUAL],Tab_09.Set[CONTA],$F43)</f>
        <v>306.7</v>
      </c>
      <c r="Q43" s="4">
        <f>SUMIFS(Tab_10.Out[SALDO
ATUAL],Tab_10.Out[CONTA],$F43)</f>
        <v>4092.77</v>
      </c>
      <c r="R43" s="4">
        <f>SUMIFS(Tab_11.Nov[SALDO
ATUAL],Tab_11.Nov[CONTA],$F43)</f>
        <v>985.98</v>
      </c>
      <c r="S43" s="4">
        <f>SUMIFS(Tab_12.Dez[SALDO
ATUAL],Tab_12.Dez[CONTA],$F43)</f>
        <v>0</v>
      </c>
    </row>
    <row r="44" spans="2:19" x14ac:dyDescent="0.3">
      <c r="B44" s="3"/>
      <c r="C44" s="2" t="str">
        <f t="shared" si="3"/>
        <v>A</v>
      </c>
      <c r="D44" s="2" t="str">
        <f t="shared" si="4"/>
        <v>S</v>
      </c>
      <c r="E44" s="2">
        <f t="shared" si="5"/>
        <v>5</v>
      </c>
      <c r="F44" s="3" t="s">
        <v>551</v>
      </c>
      <c r="G44" s="3" t="s">
        <v>645</v>
      </c>
      <c r="H44" s="4">
        <f>SUMIFS(Tab_01.Jan[SALDO
ATUAL],Tab_01.Jan[CONTA],$F44)</f>
        <v>4481.74</v>
      </c>
      <c r="I44" s="4">
        <f>SUMIFS(Tab_02.Fev[SALDO
ATUAL],Tab_02.Fev[CONTA],$F44)</f>
        <v>4481.74</v>
      </c>
      <c r="J44" s="4">
        <f>SUMIFS(Tab_03.Mar[SALDO
ATUAL],Tab_03.Mar[CONTA],$F44)</f>
        <v>4481.74</v>
      </c>
      <c r="K44" s="4">
        <f>SUMIFS(Tab_04.Abr[SALDO
ATUAL],Tab_04.Abr[CONTA],$F44)</f>
        <v>15224.77</v>
      </c>
      <c r="L44" s="4">
        <f>SUMIFS(Tab_05.Mai[SALDO
ATUAL],Tab_05.Mai[CONTA],$F44)</f>
        <v>15224.77</v>
      </c>
      <c r="M44" s="4">
        <f>SUMIFS(Tab_06.Jun[SALDO
ATUAL],Tab_06.Jun[CONTA],$F44)</f>
        <v>15224.77</v>
      </c>
      <c r="N44" s="4">
        <f>SUMIFS(Tab_07.Jul[SALDO
ATUAL],Tab_07.Jul[CONTA],$F44)</f>
        <v>15213.77</v>
      </c>
      <c r="O44" s="4">
        <f>SUMIFS(Tab_08.Ago[SALDO
ATUAL],Tab_08.Ago[CONTA],$F44)</f>
        <v>15194.54</v>
      </c>
      <c r="P44" s="4">
        <f>SUMIFS(Tab_09.Set[SALDO
ATUAL],Tab_09.Set[CONTA],$F44)</f>
        <v>8106.36</v>
      </c>
      <c r="Q44" s="4">
        <f>SUMIFS(Tab_10.Out[SALDO
ATUAL],Tab_10.Out[CONTA],$F44)</f>
        <v>8180.79</v>
      </c>
      <c r="R44" s="4">
        <f>SUMIFS(Tab_11.Nov[SALDO
ATUAL],Tab_11.Nov[CONTA],$F44)</f>
        <v>6293.89</v>
      </c>
      <c r="S44" s="4">
        <f>SUMIFS(Tab_12.Dez[SALDO
ATUAL],Tab_12.Dez[CONTA],$F44)</f>
        <v>7927.27</v>
      </c>
    </row>
    <row r="45" spans="2:19" x14ac:dyDescent="0.3">
      <c r="B45" s="3" t="s">
        <v>42</v>
      </c>
      <c r="C45" s="2" t="str">
        <f>IF($F45="","",IF(LEFT($F45,1)*1=1,"A",IF(LEFT($F45,1)*1=2,"P",IF(LEFT($F45,1)*1=3,"R",IF(LEFT($F45,1)*1=4,"C",IF(LEFT($F45,1)*1=5,"C",""))))))</f>
        <v>A</v>
      </c>
      <c r="D45" s="2" t="str">
        <f>IF($F45="","",IF(LEN($F45)=13,"A","S"))</f>
        <v>A</v>
      </c>
      <c r="E45" s="2">
        <f>IF($F45="","",IF(LEN($F45)=1,1,IF(LEN($F45)=3,2,IF(LEN($F45)=5,3,IF(LEN($F45)=8,4,5)))))</f>
        <v>5</v>
      </c>
      <c r="F45" s="3" t="s">
        <v>838</v>
      </c>
      <c r="G45" s="3" t="s">
        <v>839</v>
      </c>
      <c r="H45" s="4">
        <f>SUMIFS(Tab_01.Jan[SALDO
ATUAL],Tab_01.Jan[CONTA],$F45)</f>
        <v>0</v>
      </c>
      <c r="I45" s="4">
        <f>SUMIFS(Tab_02.Fev[SALDO
ATUAL],Tab_02.Fev[CONTA],$F45)</f>
        <v>0</v>
      </c>
      <c r="J45" s="4">
        <f>SUMIFS(Tab_03.Mar[SALDO
ATUAL],Tab_03.Mar[CONTA],$F45)</f>
        <v>0</v>
      </c>
      <c r="K45" s="4">
        <f>SUMIFS(Tab_04.Abr[SALDO
ATUAL],Tab_04.Abr[CONTA],$F45)</f>
        <v>0</v>
      </c>
      <c r="L45" s="4">
        <f>SUMIFS(Tab_05.Mai[SALDO
ATUAL],Tab_05.Mai[CONTA],$F45)</f>
        <v>0</v>
      </c>
      <c r="M45" s="4">
        <f>SUMIFS(Tab_06.Jun[SALDO
ATUAL],Tab_06.Jun[CONTA],$F45)</f>
        <v>0</v>
      </c>
      <c r="N45" s="4">
        <f>SUMIFS(Tab_07.Jul[SALDO
ATUAL],Tab_07.Jul[CONTA],$F45)</f>
        <v>0</v>
      </c>
      <c r="O45" s="4">
        <f>SUMIFS(Tab_08.Ago[SALDO
ATUAL],Tab_08.Ago[CONTA],$F45)</f>
        <v>0</v>
      </c>
      <c r="P45" s="4">
        <f>SUMIFS(Tab_09.Set[SALDO
ATUAL],Tab_09.Set[CONTA],$F45)</f>
        <v>0</v>
      </c>
      <c r="Q45" s="4">
        <f>SUMIFS(Tab_10.Out[SALDO
ATUAL],Tab_10.Out[CONTA],$F45)</f>
        <v>86.53</v>
      </c>
      <c r="R45" s="4">
        <f>SUMIFS(Tab_11.Nov[SALDO
ATUAL],Tab_11.Nov[CONTA],$F45)</f>
        <v>98.63</v>
      </c>
      <c r="S45" s="4">
        <f>SUMIFS(Tab_12.Dez[SALDO
ATUAL],Tab_12.Dez[CONTA],$F45)</f>
        <v>1997.63</v>
      </c>
    </row>
    <row r="46" spans="2:19" x14ac:dyDescent="0.3">
      <c r="B46" s="3" t="s">
        <v>42</v>
      </c>
      <c r="C46" s="2" t="str">
        <f t="shared" si="3"/>
        <v>A</v>
      </c>
      <c r="D46" s="2" t="str">
        <f t="shared" si="4"/>
        <v>A</v>
      </c>
      <c r="E46" s="2">
        <f t="shared" si="5"/>
        <v>5</v>
      </c>
      <c r="F46" s="3" t="s">
        <v>296</v>
      </c>
      <c r="G46" s="3" t="s">
        <v>297</v>
      </c>
      <c r="H46" s="4">
        <f>SUMIFS(Tab_01.Jan[SALDO
ATUAL],Tab_01.Jan[CONTA],$F46)</f>
        <v>0</v>
      </c>
      <c r="I46" s="4">
        <f>SUMIFS(Tab_02.Fev[SALDO
ATUAL],Tab_02.Fev[CONTA],$F46)</f>
        <v>0</v>
      </c>
      <c r="J46" s="4">
        <f>SUMIFS(Tab_03.Mar[SALDO
ATUAL],Tab_03.Mar[CONTA],$F46)</f>
        <v>0</v>
      </c>
      <c r="K46" s="4">
        <f>SUMIFS(Tab_04.Abr[SALDO
ATUAL],Tab_04.Abr[CONTA],$F46)</f>
        <v>0</v>
      </c>
      <c r="L46" s="4">
        <f>SUMIFS(Tab_05.Mai[SALDO
ATUAL],Tab_05.Mai[CONTA],$F46)</f>
        <v>0</v>
      </c>
      <c r="M46" s="4">
        <f>SUMIFS(Tab_06.Jun[SALDO
ATUAL],Tab_06.Jun[CONTA],$F46)</f>
        <v>0</v>
      </c>
      <c r="N46" s="4">
        <f>SUMIFS(Tab_07.Jul[SALDO
ATUAL],Tab_07.Jul[CONTA],$F46)</f>
        <v>0</v>
      </c>
      <c r="O46" s="4">
        <f>SUMIFS(Tab_08.Ago[SALDO
ATUAL],Tab_08.Ago[CONTA],$F46)</f>
        <v>0</v>
      </c>
      <c r="P46" s="4">
        <f>SUMIFS(Tab_09.Set[SALDO
ATUAL],Tab_09.Set[CONTA],$F46)</f>
        <v>0</v>
      </c>
      <c r="Q46" s="4">
        <f>SUMIFS(Tab_10.Out[SALDO
ATUAL],Tab_10.Out[CONTA],$F46)</f>
        <v>0</v>
      </c>
      <c r="R46" s="4">
        <f>SUMIFS(Tab_11.Nov[SALDO
ATUAL],Tab_11.Nov[CONTA],$F46)</f>
        <v>0</v>
      </c>
      <c r="S46" s="4">
        <f>SUMIFS(Tab_12.Dez[SALDO
ATUAL],Tab_12.Dez[CONTA],$F46)</f>
        <v>0</v>
      </c>
    </row>
    <row r="47" spans="2:19" x14ac:dyDescent="0.3">
      <c r="B47" s="3" t="s">
        <v>42</v>
      </c>
      <c r="C47" s="2" t="str">
        <f t="shared" ref="C47:C52" si="6">IF($F47="","",IF(LEFT($F47,1)*1=1,"A",IF(LEFT($F47,1)*1=2,"P",IF(LEFT($F47,1)*1=3,"R",IF(LEFT($F47,1)*1=4,"C",IF(LEFT($F47,1)*1=5,"C",""))))))</f>
        <v>A</v>
      </c>
      <c r="D47" s="2" t="str">
        <f t="shared" ref="D47:D52" si="7">IF($F47="","",IF(LEN($F47)=13,"A","S"))</f>
        <v>A</v>
      </c>
      <c r="E47" s="2">
        <f t="shared" ref="E47:E52" si="8">IF($F47="","",IF(LEN($F47)=1,1,IF(LEN($F47)=3,2,IF(LEN($F47)=5,3,IF(LEN($F47)=8,4,5)))))</f>
        <v>5</v>
      </c>
      <c r="F47" s="3" t="s">
        <v>831</v>
      </c>
      <c r="G47" s="3" t="s">
        <v>832</v>
      </c>
      <c r="H47" s="4">
        <f>SUMIFS(Tab_01.Jan[SALDO
ATUAL],Tab_01.Jan[CONTA],$F47)</f>
        <v>4481.74</v>
      </c>
      <c r="I47" s="4">
        <f>SUMIFS(Tab_02.Fev[SALDO
ATUAL],Tab_02.Fev[CONTA],$F47)</f>
        <v>4481.74</v>
      </c>
      <c r="J47" s="4">
        <f>SUMIFS(Tab_03.Mar[SALDO
ATUAL],Tab_03.Mar[CONTA],$F47)</f>
        <v>4481.74</v>
      </c>
      <c r="K47" s="4">
        <f>SUMIFS(Tab_04.Abr[SALDO
ATUAL],Tab_04.Abr[CONTA],$F47)</f>
        <v>15224.77</v>
      </c>
      <c r="L47" s="4">
        <f>SUMIFS(Tab_05.Mai[SALDO
ATUAL],Tab_05.Mai[CONTA],$F47)</f>
        <v>15224.77</v>
      </c>
      <c r="M47" s="4">
        <f>SUMIFS(Tab_06.Jun[SALDO
ATUAL],Tab_06.Jun[CONTA],$F47)</f>
        <v>15224.77</v>
      </c>
      <c r="N47" s="4">
        <f>SUMIFS(Tab_07.Jul[SALDO
ATUAL],Tab_07.Jul[CONTA],$F47)</f>
        <v>15213.77</v>
      </c>
      <c r="O47" s="4">
        <f>SUMIFS(Tab_08.Ago[SALDO
ATUAL],Tab_08.Ago[CONTA],$F47)</f>
        <v>15194.54</v>
      </c>
      <c r="P47" s="4">
        <f>SUMIFS(Tab_09.Set[SALDO
ATUAL],Tab_09.Set[CONTA],$F47)</f>
        <v>8106.36</v>
      </c>
      <c r="Q47" s="4">
        <f>SUMIFS(Tab_10.Out[SALDO
ATUAL],Tab_10.Out[CONTA],$F47)</f>
        <v>8094.26</v>
      </c>
      <c r="R47" s="4">
        <f>SUMIFS(Tab_11.Nov[SALDO
ATUAL],Tab_11.Nov[CONTA],$F47)</f>
        <v>6195.26</v>
      </c>
      <c r="S47" s="4">
        <f>SUMIFS(Tab_12.Dez[SALDO
ATUAL],Tab_12.Dez[CONTA],$F47)</f>
        <v>5929.64</v>
      </c>
    </row>
    <row r="48" spans="2:19" x14ac:dyDescent="0.3">
      <c r="B48" s="3"/>
      <c r="C48" s="2" t="str">
        <f t="shared" si="6"/>
        <v>A</v>
      </c>
      <c r="D48" s="2" t="str">
        <f t="shared" si="7"/>
        <v>S</v>
      </c>
      <c r="E48" s="2">
        <f t="shared" si="8"/>
        <v>5</v>
      </c>
      <c r="F48" s="3" t="s">
        <v>840</v>
      </c>
      <c r="G48" s="3" t="s">
        <v>841</v>
      </c>
      <c r="H48" s="4">
        <f>SUMIFS(Tab_01.Jan[SALDO
ATUAL],Tab_01.Jan[CONTA],$F48)</f>
        <v>232437.24</v>
      </c>
      <c r="I48" s="4">
        <f>SUMIFS(Tab_02.Fev[SALDO
ATUAL],Tab_02.Fev[CONTA],$F48)</f>
        <v>232437.24</v>
      </c>
      <c r="J48" s="4">
        <f>SUMIFS(Tab_03.Mar[SALDO
ATUAL],Tab_03.Mar[CONTA],$F48)</f>
        <v>232437.24</v>
      </c>
      <c r="K48" s="4">
        <f>SUMIFS(Tab_04.Abr[SALDO
ATUAL],Tab_04.Abr[CONTA],$F48)</f>
        <v>311218.78000000003</v>
      </c>
      <c r="L48" s="4">
        <f>SUMIFS(Tab_05.Mai[SALDO
ATUAL],Tab_05.Mai[CONTA],$F48)</f>
        <v>311218.78000000003</v>
      </c>
      <c r="M48" s="4">
        <f>SUMIFS(Tab_06.Jun[SALDO
ATUAL],Tab_06.Jun[CONTA],$F48)</f>
        <v>311218.78000000003</v>
      </c>
      <c r="N48" s="4">
        <f>SUMIFS(Tab_07.Jul[SALDO
ATUAL],Tab_07.Jul[CONTA],$F48)</f>
        <v>311202.61</v>
      </c>
      <c r="O48" s="4">
        <f>SUMIFS(Tab_08.Ago[SALDO
ATUAL],Tab_08.Ago[CONTA],$F48)</f>
        <v>311276.59999999998</v>
      </c>
      <c r="P48" s="4">
        <f>SUMIFS(Tab_09.Set[SALDO
ATUAL],Tab_09.Set[CONTA],$F48)</f>
        <v>255576.45</v>
      </c>
      <c r="Q48" s="4">
        <f>SUMIFS(Tab_10.Out[SALDO
ATUAL],Tab_10.Out[CONTA],$F48)</f>
        <v>255560.28</v>
      </c>
      <c r="R48" s="4">
        <f>SUMIFS(Tab_11.Nov[SALDO
ATUAL],Tab_11.Nov[CONTA],$F48)</f>
        <v>255130.12</v>
      </c>
      <c r="S48" s="4">
        <f>SUMIFS(Tab_12.Dez[SALDO
ATUAL],Tab_12.Dez[CONTA],$F48)</f>
        <v>255130.12</v>
      </c>
    </row>
    <row r="49" spans="2:19" x14ac:dyDescent="0.3">
      <c r="B49" s="3"/>
      <c r="C49" s="2" t="str">
        <f t="shared" si="6"/>
        <v>A</v>
      </c>
      <c r="D49" s="2" t="str">
        <f t="shared" si="7"/>
        <v>S</v>
      </c>
      <c r="E49" s="2">
        <f t="shared" si="8"/>
        <v>5</v>
      </c>
      <c r="F49" s="3" t="s">
        <v>842</v>
      </c>
      <c r="G49" s="3" t="s">
        <v>843</v>
      </c>
      <c r="H49" s="4">
        <f>SUMIFS(Tab_01.Jan[SALDO
ATUAL],Tab_01.Jan[CONTA],$F49)</f>
        <v>232437.24</v>
      </c>
      <c r="I49" s="4">
        <f>SUMIFS(Tab_02.Fev[SALDO
ATUAL],Tab_02.Fev[CONTA],$F49)</f>
        <v>232437.24</v>
      </c>
      <c r="J49" s="4">
        <f>SUMIFS(Tab_03.Mar[SALDO
ATUAL],Tab_03.Mar[CONTA],$F49)</f>
        <v>232437.24</v>
      </c>
      <c r="K49" s="4">
        <f>SUMIFS(Tab_04.Abr[SALDO
ATUAL],Tab_04.Abr[CONTA],$F49)</f>
        <v>311218.78000000003</v>
      </c>
      <c r="L49" s="4">
        <f>SUMIFS(Tab_05.Mai[SALDO
ATUAL],Tab_05.Mai[CONTA],$F49)</f>
        <v>311218.78000000003</v>
      </c>
      <c r="M49" s="4">
        <f>SUMIFS(Tab_06.Jun[SALDO
ATUAL],Tab_06.Jun[CONTA],$F49)</f>
        <v>311218.78000000003</v>
      </c>
      <c r="N49" s="4">
        <f>SUMIFS(Tab_07.Jul[SALDO
ATUAL],Tab_07.Jul[CONTA],$F49)</f>
        <v>311202.61</v>
      </c>
      <c r="O49" s="4">
        <f>SUMIFS(Tab_08.Ago[SALDO
ATUAL],Tab_08.Ago[CONTA],$F49)</f>
        <v>311276.59999999998</v>
      </c>
      <c r="P49" s="4">
        <f>SUMIFS(Tab_09.Set[SALDO
ATUAL],Tab_09.Set[CONTA],$F49)</f>
        <v>255576.45</v>
      </c>
      <c r="Q49" s="4">
        <f>SUMIFS(Tab_10.Out[SALDO
ATUAL],Tab_10.Out[CONTA],$F49)</f>
        <v>255560.28</v>
      </c>
      <c r="R49" s="4">
        <f>SUMIFS(Tab_11.Nov[SALDO
ATUAL],Tab_11.Nov[CONTA],$F49)</f>
        <v>255130.12</v>
      </c>
      <c r="S49" s="4">
        <f>SUMIFS(Tab_12.Dez[SALDO
ATUAL],Tab_12.Dez[CONTA],$F49)</f>
        <v>255130.12</v>
      </c>
    </row>
    <row r="50" spans="2:19" x14ac:dyDescent="0.3">
      <c r="B50" s="184" t="s">
        <v>41</v>
      </c>
      <c r="C50" s="2" t="str">
        <f t="shared" si="6"/>
        <v>A</v>
      </c>
      <c r="D50" s="2" t="str">
        <f t="shared" si="7"/>
        <v>A</v>
      </c>
      <c r="E50" s="2">
        <f t="shared" si="8"/>
        <v>5</v>
      </c>
      <c r="F50" s="3" t="s">
        <v>844</v>
      </c>
      <c r="G50" s="3" t="s">
        <v>843</v>
      </c>
      <c r="H50" s="4">
        <f>SUMIFS(Tab_01.Jan[SALDO
ATUAL],Tab_01.Jan[CONTA],$F50)</f>
        <v>232437.24</v>
      </c>
      <c r="I50" s="4">
        <f>SUMIFS(Tab_02.Fev[SALDO
ATUAL],Tab_02.Fev[CONTA],$F50)</f>
        <v>232437.24</v>
      </c>
      <c r="J50" s="4">
        <f>SUMIFS(Tab_03.Mar[SALDO
ATUAL],Tab_03.Mar[CONTA],$F50)</f>
        <v>232437.24</v>
      </c>
      <c r="K50" s="4">
        <f>SUMIFS(Tab_04.Abr[SALDO
ATUAL],Tab_04.Abr[CONTA],$F50)</f>
        <v>311218.78000000003</v>
      </c>
      <c r="L50" s="4">
        <f>SUMIFS(Tab_05.Mai[SALDO
ATUAL],Tab_05.Mai[CONTA],$F50)</f>
        <v>311218.78000000003</v>
      </c>
      <c r="M50" s="4">
        <f>SUMIFS(Tab_06.Jun[SALDO
ATUAL],Tab_06.Jun[CONTA],$F50)</f>
        <v>311218.78000000003</v>
      </c>
      <c r="N50" s="4">
        <f>SUMIFS(Tab_07.Jul[SALDO
ATUAL],Tab_07.Jul[CONTA],$F50)</f>
        <v>311202.61</v>
      </c>
      <c r="O50" s="4">
        <f>SUMIFS(Tab_08.Ago[SALDO
ATUAL],Tab_08.Ago[CONTA],$F50)</f>
        <v>311276.59999999998</v>
      </c>
      <c r="P50" s="4">
        <f>SUMIFS(Tab_09.Set[SALDO
ATUAL],Tab_09.Set[CONTA],$F50)</f>
        <v>255576.45</v>
      </c>
      <c r="Q50" s="4">
        <f>SUMIFS(Tab_10.Out[SALDO
ATUAL],Tab_10.Out[CONTA],$F50)</f>
        <v>255560.28</v>
      </c>
      <c r="R50" s="4">
        <f>SUMIFS(Tab_11.Nov[SALDO
ATUAL],Tab_11.Nov[CONTA],$F50)</f>
        <v>255130.12</v>
      </c>
      <c r="S50" s="4">
        <f>SUMIFS(Tab_12.Dez[SALDO
ATUAL],Tab_12.Dez[CONTA],$F50)</f>
        <v>255130.12</v>
      </c>
    </row>
    <row r="51" spans="2:19" x14ac:dyDescent="0.3">
      <c r="B51" s="184"/>
      <c r="C51" s="2" t="str">
        <f t="shared" si="6"/>
        <v>A</v>
      </c>
      <c r="D51" s="2" t="str">
        <f t="shared" si="7"/>
        <v>S</v>
      </c>
      <c r="E51" s="2">
        <f t="shared" si="8"/>
        <v>5</v>
      </c>
      <c r="F51" s="3" t="s">
        <v>864</v>
      </c>
      <c r="G51" s="3" t="s">
        <v>865</v>
      </c>
      <c r="H51" s="4">
        <f>SUMIFS(Tab_01.Jan[SALDO
ATUAL],Tab_01.Jan[CONTA],$F51)</f>
        <v>0</v>
      </c>
      <c r="I51" s="4">
        <f>SUMIFS(Tab_02.Fev[SALDO
ATUAL],Tab_02.Fev[CONTA],$F51)</f>
        <v>0</v>
      </c>
      <c r="J51" s="4">
        <f>SUMIFS(Tab_03.Mar[SALDO
ATUAL],Tab_03.Mar[CONTA],$F51)</f>
        <v>0</v>
      </c>
      <c r="K51" s="4">
        <f>SUMIFS(Tab_04.Abr[SALDO
ATUAL],Tab_04.Abr[CONTA],$F51)</f>
        <v>0</v>
      </c>
      <c r="L51" s="4">
        <f>SUMIFS(Tab_05.Mai[SALDO
ATUAL],Tab_05.Mai[CONTA],$F51)</f>
        <v>0</v>
      </c>
      <c r="M51" s="4">
        <f>SUMIFS(Tab_06.Jun[SALDO
ATUAL],Tab_06.Jun[CONTA],$F51)</f>
        <v>0</v>
      </c>
      <c r="N51" s="4">
        <f>SUMIFS(Tab_07.Jul[SALDO
ATUAL],Tab_07.Jul[CONTA],$F51)</f>
        <v>0</v>
      </c>
      <c r="O51" s="4">
        <f>SUMIFS(Tab_08.Ago[SALDO
ATUAL],Tab_08.Ago[CONTA],$F51)</f>
        <v>0</v>
      </c>
      <c r="P51" s="4">
        <f>SUMIFS(Tab_09.Set[SALDO
ATUAL],Tab_09.Set[CONTA],$F51)</f>
        <v>0</v>
      </c>
      <c r="Q51" s="4">
        <f>SUMIFS(Tab_10.Out[SALDO
ATUAL],Tab_10.Out[CONTA],$F51)</f>
        <v>0</v>
      </c>
      <c r="R51" s="4">
        <f>SUMIFS(Tab_11.Nov[SALDO
ATUAL],Tab_11.Nov[CONTA],$F51)</f>
        <v>0</v>
      </c>
      <c r="S51" s="4">
        <f>SUMIFS(Tab_12.Dez[SALDO
ATUAL],Tab_12.Dez[CONTA],$F51)</f>
        <v>0</v>
      </c>
    </row>
    <row r="52" spans="2:19" x14ac:dyDescent="0.3">
      <c r="B52" s="184" t="s">
        <v>41</v>
      </c>
      <c r="C52" s="2" t="str">
        <f t="shared" si="6"/>
        <v>A</v>
      </c>
      <c r="D52" s="2" t="str">
        <f t="shared" si="7"/>
        <v>A</v>
      </c>
      <c r="E52" s="2">
        <f t="shared" si="8"/>
        <v>5</v>
      </c>
      <c r="F52" s="3" t="s">
        <v>867</v>
      </c>
      <c r="G52" s="3" t="s">
        <v>868</v>
      </c>
      <c r="H52" s="4">
        <f>SUMIFS(Tab_01.Jan[SALDO
ATUAL],Tab_01.Jan[CONTA],$F52)</f>
        <v>0</v>
      </c>
      <c r="I52" s="4">
        <f>SUMIFS(Tab_02.Fev[SALDO
ATUAL],Tab_02.Fev[CONTA],$F52)</f>
        <v>0</v>
      </c>
      <c r="J52" s="4">
        <f>SUMIFS(Tab_03.Mar[SALDO
ATUAL],Tab_03.Mar[CONTA],$F52)</f>
        <v>0</v>
      </c>
      <c r="K52" s="4">
        <f>SUMIFS(Tab_04.Abr[SALDO
ATUAL],Tab_04.Abr[CONTA],$F52)</f>
        <v>0</v>
      </c>
      <c r="L52" s="4">
        <f>SUMIFS(Tab_05.Mai[SALDO
ATUAL],Tab_05.Mai[CONTA],$F52)</f>
        <v>0</v>
      </c>
      <c r="M52" s="4">
        <f>SUMIFS(Tab_06.Jun[SALDO
ATUAL],Tab_06.Jun[CONTA],$F52)</f>
        <v>0</v>
      </c>
      <c r="N52" s="4">
        <f>SUMIFS(Tab_07.Jul[SALDO
ATUAL],Tab_07.Jul[CONTA],$F52)</f>
        <v>0</v>
      </c>
      <c r="O52" s="4">
        <f>SUMIFS(Tab_08.Ago[SALDO
ATUAL],Tab_08.Ago[CONTA],$F52)</f>
        <v>0</v>
      </c>
      <c r="P52" s="4">
        <f>SUMIFS(Tab_09.Set[SALDO
ATUAL],Tab_09.Set[CONTA],$F52)</f>
        <v>0</v>
      </c>
      <c r="Q52" s="4">
        <f>SUMIFS(Tab_10.Out[SALDO
ATUAL],Tab_10.Out[CONTA],$F52)</f>
        <v>0</v>
      </c>
      <c r="R52" s="4">
        <f>SUMIFS(Tab_11.Nov[SALDO
ATUAL],Tab_11.Nov[CONTA],$F52)</f>
        <v>0</v>
      </c>
      <c r="S52" s="4">
        <f>SUMIFS(Tab_12.Dez[SALDO
ATUAL],Tab_12.Dez[CONTA],$F52)</f>
        <v>0</v>
      </c>
    </row>
    <row r="53" spans="2:19" x14ac:dyDescent="0.3">
      <c r="B53" s="3"/>
      <c r="C53" s="2" t="str">
        <f t="shared" si="3"/>
        <v>A</v>
      </c>
      <c r="D53" s="2" t="str">
        <f t="shared" si="4"/>
        <v>S</v>
      </c>
      <c r="E53" s="2">
        <f t="shared" si="5"/>
        <v>5</v>
      </c>
      <c r="F53" s="3" t="s">
        <v>209</v>
      </c>
      <c r="G53" s="3" t="s">
        <v>646</v>
      </c>
      <c r="H53" s="4">
        <f>SUMIFS(Tab_01.Jan[SALDO
ATUAL],Tab_01.Jan[CONTA],$F53)</f>
        <v>2289.33</v>
      </c>
      <c r="I53" s="4">
        <f>SUMIFS(Tab_02.Fev[SALDO
ATUAL],Tab_02.Fev[CONTA],$F53)</f>
        <v>2001.59</v>
      </c>
      <c r="J53" s="4">
        <f>SUMIFS(Tab_03.Mar[SALDO
ATUAL],Tab_03.Mar[CONTA],$F53)</f>
        <v>1713.85</v>
      </c>
      <c r="K53" s="4">
        <f>SUMIFS(Tab_04.Abr[SALDO
ATUAL],Tab_04.Abr[CONTA],$F53)</f>
        <v>1426.11</v>
      </c>
      <c r="L53" s="4">
        <f>SUMIFS(Tab_05.Mai[SALDO
ATUAL],Tab_05.Mai[CONTA],$F53)</f>
        <v>1138.3699999999999</v>
      </c>
      <c r="M53" s="4">
        <f>SUMIFS(Tab_06.Jun[SALDO
ATUAL],Tab_06.Jun[CONTA],$F53)</f>
        <v>850.63</v>
      </c>
      <c r="N53" s="4">
        <f>SUMIFS(Tab_07.Jul[SALDO
ATUAL],Tab_07.Jul[CONTA],$F53)</f>
        <v>562.89</v>
      </c>
      <c r="O53" s="4">
        <f>SUMIFS(Tab_08.Ago[SALDO
ATUAL],Tab_08.Ago[CONTA],$F53)</f>
        <v>275.14999999999998</v>
      </c>
      <c r="P53" s="4">
        <f>SUMIFS(Tab_09.Set[SALDO
ATUAL],Tab_09.Set[CONTA],$F53)</f>
        <v>0</v>
      </c>
      <c r="Q53" s="4">
        <f>SUMIFS(Tab_10.Out[SALDO
ATUAL],Tab_10.Out[CONTA],$F53)</f>
        <v>3209.38</v>
      </c>
      <c r="R53" s="4">
        <f>SUMIFS(Tab_11.Nov[SALDO
ATUAL],Tab_11.Nov[CONTA],$F53)</f>
        <v>2917.62</v>
      </c>
      <c r="S53" s="4">
        <f>SUMIFS(Tab_12.Dez[SALDO
ATUAL],Tab_12.Dez[CONTA],$F53)</f>
        <v>2625.86</v>
      </c>
    </row>
    <row r="54" spans="2:19" x14ac:dyDescent="0.3">
      <c r="B54" s="3"/>
      <c r="C54" s="2" t="str">
        <f t="shared" si="3"/>
        <v>A</v>
      </c>
      <c r="D54" s="2" t="str">
        <f t="shared" si="4"/>
        <v>S</v>
      </c>
      <c r="E54" s="2">
        <f t="shared" si="5"/>
        <v>5</v>
      </c>
      <c r="F54" s="3" t="s">
        <v>210</v>
      </c>
      <c r="G54" s="3" t="s">
        <v>646</v>
      </c>
      <c r="H54" s="4">
        <f>SUMIFS(Tab_01.Jan[SALDO
ATUAL],Tab_01.Jan[CONTA],$F54)</f>
        <v>2289.33</v>
      </c>
      <c r="I54" s="4">
        <f>SUMIFS(Tab_02.Fev[SALDO
ATUAL],Tab_02.Fev[CONTA],$F54)</f>
        <v>2001.59</v>
      </c>
      <c r="J54" s="4">
        <f>SUMIFS(Tab_03.Mar[SALDO
ATUAL],Tab_03.Mar[CONTA],$F54)</f>
        <v>1713.85</v>
      </c>
      <c r="K54" s="4">
        <f>SUMIFS(Tab_04.Abr[SALDO
ATUAL],Tab_04.Abr[CONTA],$F54)</f>
        <v>1426.11</v>
      </c>
      <c r="L54" s="4">
        <f>SUMIFS(Tab_05.Mai[SALDO
ATUAL],Tab_05.Mai[CONTA],$F54)</f>
        <v>1138.3699999999999</v>
      </c>
      <c r="M54" s="4">
        <f>SUMIFS(Tab_06.Jun[SALDO
ATUAL],Tab_06.Jun[CONTA],$F54)</f>
        <v>850.63</v>
      </c>
      <c r="N54" s="4">
        <f>SUMIFS(Tab_07.Jul[SALDO
ATUAL],Tab_07.Jul[CONTA],$F54)</f>
        <v>562.89</v>
      </c>
      <c r="O54" s="4">
        <f>SUMIFS(Tab_08.Ago[SALDO
ATUAL],Tab_08.Ago[CONTA],$F54)</f>
        <v>275.14999999999998</v>
      </c>
      <c r="P54" s="4">
        <f>SUMIFS(Tab_09.Set[SALDO
ATUAL],Tab_09.Set[CONTA],$F54)</f>
        <v>0</v>
      </c>
      <c r="Q54" s="4">
        <f>SUMIFS(Tab_10.Out[SALDO
ATUAL],Tab_10.Out[CONTA],$F54)</f>
        <v>3209.38</v>
      </c>
      <c r="R54" s="4">
        <f>SUMIFS(Tab_11.Nov[SALDO
ATUAL],Tab_11.Nov[CONTA],$F54)</f>
        <v>2917.62</v>
      </c>
      <c r="S54" s="4">
        <f>SUMIFS(Tab_12.Dez[SALDO
ATUAL],Tab_12.Dez[CONTA],$F54)</f>
        <v>2625.86</v>
      </c>
    </row>
    <row r="55" spans="2:19" x14ac:dyDescent="0.3">
      <c r="B55" s="3" t="s">
        <v>141</v>
      </c>
      <c r="C55" s="2" t="str">
        <f t="shared" si="3"/>
        <v>A</v>
      </c>
      <c r="D55" s="2" t="str">
        <f t="shared" si="4"/>
        <v>A</v>
      </c>
      <c r="E55" s="2">
        <f t="shared" si="5"/>
        <v>5</v>
      </c>
      <c r="F55" s="3" t="s">
        <v>298</v>
      </c>
      <c r="G55" s="3" t="s">
        <v>299</v>
      </c>
      <c r="H55" s="4">
        <f>SUMIFS(Tab_01.Jan[SALDO
ATUAL],Tab_01.Jan[CONTA],$F55)</f>
        <v>2289.33</v>
      </c>
      <c r="I55" s="4">
        <f>SUMIFS(Tab_02.Fev[SALDO
ATUAL],Tab_02.Fev[CONTA],$F55)</f>
        <v>2001.59</v>
      </c>
      <c r="J55" s="4">
        <f>SUMIFS(Tab_03.Mar[SALDO
ATUAL],Tab_03.Mar[CONTA],$F55)</f>
        <v>1713.85</v>
      </c>
      <c r="K55" s="4">
        <f>SUMIFS(Tab_04.Abr[SALDO
ATUAL],Tab_04.Abr[CONTA],$F55)</f>
        <v>1426.11</v>
      </c>
      <c r="L55" s="4">
        <f>SUMIFS(Tab_05.Mai[SALDO
ATUAL],Tab_05.Mai[CONTA],$F55)</f>
        <v>1138.3699999999999</v>
      </c>
      <c r="M55" s="4">
        <f>SUMIFS(Tab_06.Jun[SALDO
ATUAL],Tab_06.Jun[CONTA],$F55)</f>
        <v>850.63</v>
      </c>
      <c r="N55" s="4">
        <f>SUMIFS(Tab_07.Jul[SALDO
ATUAL],Tab_07.Jul[CONTA],$F55)</f>
        <v>562.89</v>
      </c>
      <c r="O55" s="4">
        <f>SUMIFS(Tab_08.Ago[SALDO
ATUAL],Tab_08.Ago[CONTA],$F55)</f>
        <v>275.14999999999998</v>
      </c>
      <c r="P55" s="4">
        <f>SUMIFS(Tab_09.Set[SALDO
ATUAL],Tab_09.Set[CONTA],$F55)</f>
        <v>0</v>
      </c>
      <c r="Q55" s="4">
        <f>SUMIFS(Tab_10.Out[SALDO
ATUAL],Tab_10.Out[CONTA],$F55)</f>
        <v>3209.38</v>
      </c>
      <c r="R55" s="4">
        <f>SUMIFS(Tab_11.Nov[SALDO
ATUAL],Tab_11.Nov[CONTA],$F55)</f>
        <v>2917.62</v>
      </c>
      <c r="S55" s="4">
        <f>SUMIFS(Tab_12.Dez[SALDO
ATUAL],Tab_12.Dez[CONTA],$F55)</f>
        <v>2625.86</v>
      </c>
    </row>
    <row r="56" spans="2:19" x14ac:dyDescent="0.3">
      <c r="B56" s="3"/>
      <c r="C56" s="2" t="str">
        <f t="shared" si="3"/>
        <v>A</v>
      </c>
      <c r="D56" s="2" t="str">
        <f>IF($F56="","",IF(LEN($F56)=13,"A","S"))</f>
        <v>S</v>
      </c>
      <c r="E56" s="2">
        <f>IF($F56="","",IF(LEN($F56)=1,1,IF(LEN($F56)=3,2,IF(LEN($F56)=5,3,IF(LEN($F56)=8,4,5)))))</f>
        <v>2</v>
      </c>
      <c r="F56" s="3" t="s">
        <v>211</v>
      </c>
      <c r="G56" s="3" t="s">
        <v>76</v>
      </c>
      <c r="H56" s="4">
        <f>SUMIFS(Tab_01.Jan[SALDO
ATUAL],Tab_01.Jan[CONTA],$F56)</f>
        <v>72629698.310000002</v>
      </c>
      <c r="I56" s="4">
        <f>SUMIFS(Tab_02.Fev[SALDO
ATUAL],Tab_02.Fev[CONTA],$F56)</f>
        <v>72757385.430000007</v>
      </c>
      <c r="J56" s="4">
        <f>SUMIFS(Tab_03.Mar[SALDO
ATUAL],Tab_03.Mar[CONTA],$F56)</f>
        <v>72991121.390000001</v>
      </c>
      <c r="K56" s="4">
        <f>SUMIFS(Tab_04.Abr[SALDO
ATUAL],Tab_04.Abr[CONTA],$F56)</f>
        <v>72893363.560000002</v>
      </c>
      <c r="L56" s="4">
        <f>SUMIFS(Tab_05.Mai[SALDO
ATUAL],Tab_05.Mai[CONTA],$F56)</f>
        <v>73149210.859999999</v>
      </c>
      <c r="M56" s="4">
        <f>SUMIFS(Tab_06.Jun[SALDO
ATUAL],Tab_06.Jun[CONTA],$F56)</f>
        <v>73265276.659999996</v>
      </c>
      <c r="N56" s="4">
        <f>SUMIFS(Tab_07.Jul[SALDO
ATUAL],Tab_07.Jul[CONTA],$F56)</f>
        <v>73598772.5</v>
      </c>
      <c r="O56" s="4">
        <f>SUMIFS(Tab_08.Ago[SALDO
ATUAL],Tab_08.Ago[CONTA],$F56)</f>
        <v>73877380.75</v>
      </c>
      <c r="P56" s="4">
        <f>SUMIFS(Tab_09.Set[SALDO
ATUAL],Tab_09.Set[CONTA],$F56)</f>
        <v>73933394.519999996</v>
      </c>
      <c r="Q56" s="4">
        <f>SUMIFS(Tab_10.Out[SALDO
ATUAL],Tab_10.Out[CONTA],$F56)</f>
        <v>74040444.180000007</v>
      </c>
      <c r="R56" s="4">
        <f>SUMIFS(Tab_11.Nov[SALDO
ATUAL],Tab_11.Nov[CONTA],$F56)</f>
        <v>74283168.849999994</v>
      </c>
      <c r="S56" s="4">
        <f>SUMIFS(Tab_12.Dez[SALDO
ATUAL],Tab_12.Dez[CONTA],$F56)</f>
        <v>74145059.379999995</v>
      </c>
    </row>
    <row r="57" spans="2:19" x14ac:dyDescent="0.3">
      <c r="B57" s="3"/>
      <c r="C57" s="2" t="str">
        <f t="shared" si="3"/>
        <v>A</v>
      </c>
      <c r="D57" s="2" t="str">
        <f t="shared" si="4"/>
        <v>S</v>
      </c>
      <c r="E57" s="2">
        <f t="shared" si="5"/>
        <v>5</v>
      </c>
      <c r="F57" s="3" t="s">
        <v>552</v>
      </c>
      <c r="G57" s="3" t="s">
        <v>647</v>
      </c>
      <c r="H57" s="4">
        <f>SUMIFS(Tab_01.Jan[SALDO
ATUAL],Tab_01.Jan[CONTA],$F57)</f>
        <v>252090.79</v>
      </c>
      <c r="I57" s="4">
        <f>SUMIFS(Tab_02.Fev[SALDO
ATUAL],Tab_02.Fev[CONTA],$F57)</f>
        <v>253043.39</v>
      </c>
      <c r="J57" s="4">
        <f>SUMIFS(Tab_03.Mar[SALDO
ATUAL],Tab_03.Mar[CONTA],$F57)</f>
        <v>253487.9</v>
      </c>
      <c r="K57" s="4">
        <f>SUMIFS(Tab_04.Abr[SALDO
ATUAL],Tab_04.Abr[CONTA],$F57)</f>
        <v>254045.35</v>
      </c>
      <c r="L57" s="4">
        <f>SUMIFS(Tab_05.Mai[SALDO
ATUAL],Tab_05.Mai[CONTA],$F57)</f>
        <v>254457.27</v>
      </c>
      <c r="M57" s="4">
        <f>SUMIFS(Tab_06.Jun[SALDO
ATUAL],Tab_06.Jun[CONTA],$F57)</f>
        <v>254963.42</v>
      </c>
      <c r="N57" s="4">
        <f>SUMIFS(Tab_07.Jul[SALDO
ATUAL],Tab_07.Jul[CONTA],$F57)</f>
        <v>255285.62</v>
      </c>
      <c r="O57" s="4">
        <f>SUMIFS(Tab_08.Ago[SALDO
ATUAL],Tab_08.Ago[CONTA],$F57)</f>
        <v>255568.62</v>
      </c>
      <c r="P57" s="4">
        <f>SUMIFS(Tab_09.Set[SALDO
ATUAL],Tab_09.Set[CONTA],$F57)</f>
        <v>255855.14</v>
      </c>
      <c r="Q57" s="4">
        <f>SUMIFS(Tab_10.Out[SALDO
ATUAL],Tab_10.Out[CONTA],$F57)</f>
        <v>256169.55</v>
      </c>
      <c r="R57" s="4">
        <f>SUMIFS(Tab_11.Nov[SALDO
ATUAL],Tab_11.Nov[CONTA],$F57)</f>
        <v>256983.97</v>
      </c>
      <c r="S57" s="4">
        <f>SUMIFS(Tab_12.Dez[SALDO
ATUAL],Tab_12.Dez[CONTA],$F57)</f>
        <v>256983.97</v>
      </c>
    </row>
    <row r="58" spans="2:19" x14ac:dyDescent="0.3">
      <c r="B58" s="3"/>
      <c r="C58" s="2" t="str">
        <f t="shared" si="3"/>
        <v>A</v>
      </c>
      <c r="D58" s="2" t="str">
        <f>IF($F58="","",IF(LEN($F58)=13,"A","S"))</f>
        <v>S</v>
      </c>
      <c r="E58" s="2">
        <f>IF($F58="","",IF(LEN($F58)=1,1,IF(LEN($F58)=3,2,IF(LEN($F58)=5,3,IF(LEN($F58)=8,4,5)))))</f>
        <v>5</v>
      </c>
      <c r="F58" s="3" t="s">
        <v>553</v>
      </c>
      <c r="G58" s="3" t="s">
        <v>301</v>
      </c>
      <c r="H58" s="4">
        <f>SUMIFS(Tab_01.Jan[SALDO
ATUAL],Tab_01.Jan[CONTA],$F58)</f>
        <v>252090.79</v>
      </c>
      <c r="I58" s="4">
        <f>SUMIFS(Tab_02.Fev[SALDO
ATUAL],Tab_02.Fev[CONTA],$F58)</f>
        <v>253043.39</v>
      </c>
      <c r="J58" s="4">
        <f>SUMIFS(Tab_03.Mar[SALDO
ATUAL],Tab_03.Mar[CONTA],$F58)</f>
        <v>253487.9</v>
      </c>
      <c r="K58" s="4">
        <f>SUMIFS(Tab_04.Abr[SALDO
ATUAL],Tab_04.Abr[CONTA],$F58)</f>
        <v>254045.35</v>
      </c>
      <c r="L58" s="4">
        <f>SUMIFS(Tab_05.Mai[SALDO
ATUAL],Tab_05.Mai[CONTA],$F58)</f>
        <v>254457.27</v>
      </c>
      <c r="M58" s="4">
        <f>SUMIFS(Tab_06.Jun[SALDO
ATUAL],Tab_06.Jun[CONTA],$F58)</f>
        <v>254963.42</v>
      </c>
      <c r="N58" s="4">
        <f>SUMIFS(Tab_07.Jul[SALDO
ATUAL],Tab_07.Jul[CONTA],$F58)</f>
        <v>255285.62</v>
      </c>
      <c r="O58" s="4">
        <f>SUMIFS(Tab_08.Ago[SALDO
ATUAL],Tab_08.Ago[CONTA],$F58)</f>
        <v>255568.62</v>
      </c>
      <c r="P58" s="4">
        <f>SUMIFS(Tab_09.Set[SALDO
ATUAL],Tab_09.Set[CONTA],$F58)</f>
        <v>255855.14</v>
      </c>
      <c r="Q58" s="4">
        <f>SUMIFS(Tab_10.Out[SALDO
ATUAL],Tab_10.Out[CONTA],$F58)</f>
        <v>256169.55</v>
      </c>
      <c r="R58" s="4">
        <f>SUMIFS(Tab_11.Nov[SALDO
ATUAL],Tab_11.Nov[CONTA],$F58)</f>
        <v>256983.97</v>
      </c>
      <c r="S58" s="4">
        <f>SUMIFS(Tab_12.Dez[SALDO
ATUAL],Tab_12.Dez[CONTA],$F58)</f>
        <v>256983.97</v>
      </c>
    </row>
    <row r="59" spans="2:19" x14ac:dyDescent="0.3">
      <c r="B59" s="3" t="s">
        <v>93</v>
      </c>
      <c r="C59" s="2" t="str">
        <f t="shared" si="3"/>
        <v>A</v>
      </c>
      <c r="D59" s="2" t="str">
        <f t="shared" si="4"/>
        <v>A</v>
      </c>
      <c r="E59" s="2">
        <f t="shared" si="5"/>
        <v>5</v>
      </c>
      <c r="F59" s="3" t="s">
        <v>300</v>
      </c>
      <c r="G59" s="3" t="s">
        <v>301</v>
      </c>
      <c r="H59" s="4">
        <f>SUMIFS(Tab_01.Jan[SALDO
ATUAL],Tab_01.Jan[CONTA],$F59)</f>
        <v>252090.79</v>
      </c>
      <c r="I59" s="4">
        <f>SUMIFS(Tab_02.Fev[SALDO
ATUAL],Tab_02.Fev[CONTA],$F59)</f>
        <v>253043.39</v>
      </c>
      <c r="J59" s="4">
        <f>SUMIFS(Tab_03.Mar[SALDO
ATUAL],Tab_03.Mar[CONTA],$F59)</f>
        <v>253487.9</v>
      </c>
      <c r="K59" s="4">
        <f>SUMIFS(Tab_04.Abr[SALDO
ATUAL],Tab_04.Abr[CONTA],$F59)</f>
        <v>254045.35</v>
      </c>
      <c r="L59" s="4">
        <f>SUMIFS(Tab_05.Mai[SALDO
ATUAL],Tab_05.Mai[CONTA],$F59)</f>
        <v>254457.27</v>
      </c>
      <c r="M59" s="4">
        <f>SUMIFS(Tab_06.Jun[SALDO
ATUAL],Tab_06.Jun[CONTA],$F59)</f>
        <v>254963.42</v>
      </c>
      <c r="N59" s="4">
        <f>SUMIFS(Tab_07.Jul[SALDO
ATUAL],Tab_07.Jul[CONTA],$F59)</f>
        <v>255285.62</v>
      </c>
      <c r="O59" s="4">
        <f>SUMIFS(Tab_08.Ago[SALDO
ATUAL],Tab_08.Ago[CONTA],$F59)</f>
        <v>255568.62</v>
      </c>
      <c r="P59" s="4">
        <f>SUMIFS(Tab_09.Set[SALDO
ATUAL],Tab_09.Set[CONTA],$F59)</f>
        <v>255855.14</v>
      </c>
      <c r="Q59" s="4">
        <f>SUMIFS(Tab_10.Out[SALDO
ATUAL],Tab_10.Out[CONTA],$F59)</f>
        <v>256169.55</v>
      </c>
      <c r="R59" s="4">
        <f>SUMIFS(Tab_11.Nov[SALDO
ATUAL],Tab_11.Nov[CONTA],$F59)</f>
        <v>256983.97</v>
      </c>
      <c r="S59" s="4">
        <f>SUMIFS(Tab_12.Dez[SALDO
ATUAL],Tab_12.Dez[CONTA],$F59)</f>
        <v>256983.97</v>
      </c>
    </row>
    <row r="60" spans="2:19" x14ac:dyDescent="0.3">
      <c r="B60" s="3"/>
      <c r="C60" s="2" t="str">
        <f t="shared" si="3"/>
        <v>A</v>
      </c>
      <c r="D60" s="2" t="str">
        <f t="shared" si="4"/>
        <v>S</v>
      </c>
      <c r="E60" s="2">
        <f t="shared" si="5"/>
        <v>5</v>
      </c>
      <c r="F60" s="3" t="s">
        <v>554</v>
      </c>
      <c r="G60" s="3" t="s">
        <v>648</v>
      </c>
      <c r="H60" s="4">
        <f>SUMIFS(Tab_01.Jan[SALDO
ATUAL],Tab_01.Jan[CONTA],$F60)</f>
        <v>70047290.069999993</v>
      </c>
      <c r="I60" s="4">
        <f>SUMIFS(Tab_02.Fev[SALDO
ATUAL],Tab_02.Fev[CONTA],$F60)</f>
        <v>70179274.329999998</v>
      </c>
      <c r="J60" s="4">
        <f>SUMIFS(Tab_03.Mar[SALDO
ATUAL],Tab_03.Mar[CONTA],$F60)</f>
        <v>70397643.939999998</v>
      </c>
      <c r="K60" s="4">
        <f>SUMIFS(Tab_04.Abr[SALDO
ATUAL],Tab_04.Abr[CONTA],$F60)</f>
        <v>70282824.340000004</v>
      </c>
      <c r="L60" s="4">
        <f>SUMIFS(Tab_05.Mai[SALDO
ATUAL],Tab_05.Mai[CONTA],$F60)</f>
        <v>70522520.680000007</v>
      </c>
      <c r="M60" s="4">
        <f>SUMIFS(Tab_06.Jun[SALDO
ATUAL],Tab_06.Jun[CONTA],$F60)</f>
        <v>70641000.680000007</v>
      </c>
      <c r="N60" s="4">
        <f>SUMIFS(Tab_07.Jul[SALDO
ATUAL],Tab_07.Jul[CONTA],$F60)</f>
        <v>70977841.069999993</v>
      </c>
      <c r="O60" s="4">
        <f>SUMIFS(Tab_08.Ago[SALDO
ATUAL],Tab_08.Ago[CONTA],$F60)</f>
        <v>71257602.069999993</v>
      </c>
      <c r="P60" s="4">
        <f>SUMIFS(Tab_09.Set[SALDO
ATUAL],Tab_09.Set[CONTA],$F60)</f>
        <v>71316996.069999993</v>
      </c>
      <c r="Q60" s="4">
        <f>SUMIFS(Tab_10.Out[SALDO
ATUAL],Tab_10.Out[CONTA],$F60)</f>
        <v>71427398.069999993</v>
      </c>
      <c r="R60" s="4">
        <f>SUMIFS(Tab_11.Nov[SALDO
ATUAL],Tab_11.Nov[CONTA],$F60)</f>
        <v>71671635.069999993</v>
      </c>
      <c r="S60" s="4">
        <f>SUMIFS(Tab_12.Dez[SALDO
ATUAL],Tab_12.Dez[CONTA],$F60)</f>
        <v>71532186.069999993</v>
      </c>
    </row>
    <row r="61" spans="2:19" x14ac:dyDescent="0.3">
      <c r="B61" s="3"/>
      <c r="C61" s="2" t="str">
        <f t="shared" si="3"/>
        <v>A</v>
      </c>
      <c r="D61" s="2" t="str">
        <f t="shared" si="4"/>
        <v>S</v>
      </c>
      <c r="E61" s="2">
        <f t="shared" si="5"/>
        <v>5</v>
      </c>
      <c r="F61" s="3" t="s">
        <v>555</v>
      </c>
      <c r="G61" s="3" t="s">
        <v>649</v>
      </c>
      <c r="H61" s="4">
        <f>SUMIFS(Tab_01.Jan[SALDO
ATUAL],Tab_01.Jan[CONTA],$F61)</f>
        <v>45344232.229999997</v>
      </c>
      <c r="I61" s="4">
        <f>SUMIFS(Tab_02.Fev[SALDO
ATUAL],Tab_02.Fev[CONTA],$F61)</f>
        <v>45344232.229999997</v>
      </c>
      <c r="J61" s="4">
        <f>SUMIFS(Tab_03.Mar[SALDO
ATUAL],Tab_03.Mar[CONTA],$F61)</f>
        <v>45344232.229999997</v>
      </c>
      <c r="K61" s="4">
        <f>SUMIFS(Tab_04.Abr[SALDO
ATUAL],Tab_04.Abr[CONTA],$F61)</f>
        <v>45344232.229999997</v>
      </c>
      <c r="L61" s="4">
        <f>SUMIFS(Tab_05.Mai[SALDO
ATUAL],Tab_05.Mai[CONTA],$F61)</f>
        <v>45344232.229999997</v>
      </c>
      <c r="M61" s="4">
        <f>SUMIFS(Tab_06.Jun[SALDO
ATUAL],Tab_06.Jun[CONTA],$F61)</f>
        <v>45344232.229999997</v>
      </c>
      <c r="N61" s="4">
        <f>SUMIFS(Tab_07.Jul[SALDO
ATUAL],Tab_07.Jul[CONTA],$F61)</f>
        <v>45344232.229999997</v>
      </c>
      <c r="O61" s="4">
        <f>SUMIFS(Tab_08.Ago[SALDO
ATUAL],Tab_08.Ago[CONTA],$F61)</f>
        <v>45344232.229999997</v>
      </c>
      <c r="P61" s="4">
        <f>SUMIFS(Tab_09.Set[SALDO
ATUAL],Tab_09.Set[CONTA],$F61)</f>
        <v>45344232.229999997</v>
      </c>
      <c r="Q61" s="4">
        <f>SUMIFS(Tab_10.Out[SALDO
ATUAL],Tab_10.Out[CONTA],$F61)</f>
        <v>45344232.229999997</v>
      </c>
      <c r="R61" s="4">
        <f>SUMIFS(Tab_11.Nov[SALDO
ATUAL],Tab_11.Nov[CONTA],$F61)</f>
        <v>45344232.229999997</v>
      </c>
      <c r="S61" s="4">
        <f>SUMIFS(Tab_12.Dez[SALDO
ATUAL],Tab_12.Dez[CONTA],$F61)</f>
        <v>45344232.229999997</v>
      </c>
    </row>
    <row r="62" spans="2:19" x14ac:dyDescent="0.3">
      <c r="B62" s="3" t="s">
        <v>117</v>
      </c>
      <c r="C62" s="2" t="str">
        <f t="shared" si="3"/>
        <v>A</v>
      </c>
      <c r="D62" s="2" t="str">
        <f t="shared" si="4"/>
        <v>A</v>
      </c>
      <c r="E62" s="2">
        <f t="shared" si="5"/>
        <v>5</v>
      </c>
      <c r="F62" s="3" t="s">
        <v>302</v>
      </c>
      <c r="G62" s="3" t="s">
        <v>303</v>
      </c>
      <c r="H62" s="4">
        <f>SUMIFS(Tab_01.Jan[SALDO
ATUAL],Tab_01.Jan[CONTA],$F62)</f>
        <v>42477392.43</v>
      </c>
      <c r="I62" s="4">
        <f>SUMIFS(Tab_02.Fev[SALDO
ATUAL],Tab_02.Fev[CONTA],$F62)</f>
        <v>42477392.43</v>
      </c>
      <c r="J62" s="4">
        <f>SUMIFS(Tab_03.Mar[SALDO
ATUAL],Tab_03.Mar[CONTA],$F62)</f>
        <v>42477392.43</v>
      </c>
      <c r="K62" s="4">
        <f>SUMIFS(Tab_04.Abr[SALDO
ATUAL],Tab_04.Abr[CONTA],$F62)</f>
        <v>42477392.43</v>
      </c>
      <c r="L62" s="4">
        <f>SUMIFS(Tab_05.Mai[SALDO
ATUAL],Tab_05.Mai[CONTA],$F62)</f>
        <v>42477392.43</v>
      </c>
      <c r="M62" s="4">
        <f>SUMIFS(Tab_06.Jun[SALDO
ATUAL],Tab_06.Jun[CONTA],$F62)</f>
        <v>42477392.43</v>
      </c>
      <c r="N62" s="4">
        <f>SUMIFS(Tab_07.Jul[SALDO
ATUAL],Tab_07.Jul[CONTA],$F62)</f>
        <v>42477392.43</v>
      </c>
      <c r="O62" s="4">
        <f>SUMIFS(Tab_08.Ago[SALDO
ATUAL],Tab_08.Ago[CONTA],$F62)</f>
        <v>42477392.43</v>
      </c>
      <c r="P62" s="4">
        <f>SUMIFS(Tab_09.Set[SALDO
ATUAL],Tab_09.Set[CONTA],$F62)</f>
        <v>42477392.43</v>
      </c>
      <c r="Q62" s="4">
        <f>SUMIFS(Tab_10.Out[SALDO
ATUAL],Tab_10.Out[CONTA],$F62)</f>
        <v>42477392.43</v>
      </c>
      <c r="R62" s="4">
        <f>SUMIFS(Tab_11.Nov[SALDO
ATUAL],Tab_11.Nov[CONTA],$F62)</f>
        <v>42477392.43</v>
      </c>
      <c r="S62" s="4">
        <f>SUMIFS(Tab_12.Dez[SALDO
ATUAL],Tab_12.Dez[CONTA],$F62)</f>
        <v>42477392.43</v>
      </c>
    </row>
    <row r="63" spans="2:19" x14ac:dyDescent="0.3">
      <c r="B63" s="3" t="s">
        <v>117</v>
      </c>
      <c r="C63" s="2" t="str">
        <f t="shared" si="3"/>
        <v>A</v>
      </c>
      <c r="D63" s="2" t="str">
        <f t="shared" si="4"/>
        <v>A</v>
      </c>
      <c r="E63" s="2">
        <f t="shared" si="5"/>
        <v>5</v>
      </c>
      <c r="F63" s="3" t="s">
        <v>304</v>
      </c>
      <c r="G63" s="3" t="s">
        <v>305</v>
      </c>
      <c r="H63" s="4">
        <f>SUMIFS(Tab_01.Jan[SALDO
ATUAL],Tab_01.Jan[CONTA],$F63)</f>
        <v>2866839.8</v>
      </c>
      <c r="I63" s="4">
        <f>SUMIFS(Tab_02.Fev[SALDO
ATUAL],Tab_02.Fev[CONTA],$F63)</f>
        <v>2866839.8</v>
      </c>
      <c r="J63" s="4">
        <f>SUMIFS(Tab_03.Mar[SALDO
ATUAL],Tab_03.Mar[CONTA],$F63)</f>
        <v>2866839.8</v>
      </c>
      <c r="K63" s="4">
        <f>SUMIFS(Tab_04.Abr[SALDO
ATUAL],Tab_04.Abr[CONTA],$F63)</f>
        <v>2866839.8</v>
      </c>
      <c r="L63" s="4">
        <f>SUMIFS(Tab_05.Mai[SALDO
ATUAL],Tab_05.Mai[CONTA],$F63)</f>
        <v>2866839.8</v>
      </c>
      <c r="M63" s="4">
        <f>SUMIFS(Tab_06.Jun[SALDO
ATUAL],Tab_06.Jun[CONTA],$F63)</f>
        <v>2866839.8</v>
      </c>
      <c r="N63" s="4">
        <f>SUMIFS(Tab_07.Jul[SALDO
ATUAL],Tab_07.Jul[CONTA],$F63)</f>
        <v>2866839.8</v>
      </c>
      <c r="O63" s="4">
        <f>SUMIFS(Tab_08.Ago[SALDO
ATUAL],Tab_08.Ago[CONTA],$F63)</f>
        <v>2866839.8</v>
      </c>
      <c r="P63" s="4">
        <f>SUMIFS(Tab_09.Set[SALDO
ATUAL],Tab_09.Set[CONTA],$F63)</f>
        <v>2866839.8</v>
      </c>
      <c r="Q63" s="4">
        <f>SUMIFS(Tab_10.Out[SALDO
ATUAL],Tab_10.Out[CONTA],$F63)</f>
        <v>2866839.8</v>
      </c>
      <c r="R63" s="4">
        <f>SUMIFS(Tab_11.Nov[SALDO
ATUAL],Tab_11.Nov[CONTA],$F63)</f>
        <v>2866839.8</v>
      </c>
      <c r="S63" s="4">
        <f>SUMIFS(Tab_12.Dez[SALDO
ATUAL],Tab_12.Dez[CONTA],$F63)</f>
        <v>2866839.8</v>
      </c>
    </row>
    <row r="64" spans="2:19" x14ac:dyDescent="0.3">
      <c r="B64" s="3"/>
      <c r="C64" s="2" t="str">
        <f t="shared" si="3"/>
        <v>A</v>
      </c>
      <c r="D64" s="2" t="str">
        <f>IF($F64="","",IF(LEN($F64)=13,"A","S"))</f>
        <v>S</v>
      </c>
      <c r="E64" s="2">
        <f>IF($F64="","",IF(LEN($F64)=1,1,IF(LEN($F64)=3,2,IF(LEN($F64)=5,3,IF(LEN($F64)=8,4,5)))))</f>
        <v>5</v>
      </c>
      <c r="F64" s="3" t="s">
        <v>556</v>
      </c>
      <c r="G64" s="3" t="s">
        <v>650</v>
      </c>
      <c r="H64" s="4">
        <f>SUMIFS(Tab_01.Jan[SALDO
ATUAL],Tab_01.Jan[CONTA],$F64)</f>
        <v>4760.84</v>
      </c>
      <c r="I64" s="4">
        <f>SUMIFS(Tab_02.Fev[SALDO
ATUAL],Tab_02.Fev[CONTA],$F64)</f>
        <v>4760.84</v>
      </c>
      <c r="J64" s="4">
        <f>SUMIFS(Tab_03.Mar[SALDO
ATUAL],Tab_03.Mar[CONTA],$F64)</f>
        <v>4760.84</v>
      </c>
      <c r="K64" s="4">
        <f>SUMIFS(Tab_04.Abr[SALDO
ATUAL],Tab_04.Abr[CONTA],$F64)</f>
        <v>4760.84</v>
      </c>
      <c r="L64" s="4">
        <f>SUMIFS(Tab_05.Mai[SALDO
ATUAL],Tab_05.Mai[CONTA],$F64)</f>
        <v>4760.84</v>
      </c>
      <c r="M64" s="4">
        <f>SUMIFS(Tab_06.Jun[SALDO
ATUAL],Tab_06.Jun[CONTA],$F64)</f>
        <v>4760.84</v>
      </c>
      <c r="N64" s="4">
        <f>SUMIFS(Tab_07.Jul[SALDO
ATUAL],Tab_07.Jul[CONTA],$F64)</f>
        <v>4760.84</v>
      </c>
      <c r="O64" s="4">
        <f>SUMIFS(Tab_08.Ago[SALDO
ATUAL],Tab_08.Ago[CONTA],$F64)</f>
        <v>4760.84</v>
      </c>
      <c r="P64" s="4">
        <f>SUMIFS(Tab_09.Set[SALDO
ATUAL],Tab_09.Set[CONTA],$F64)</f>
        <v>4760.84</v>
      </c>
      <c r="Q64" s="4">
        <f>SUMIFS(Tab_10.Out[SALDO
ATUAL],Tab_10.Out[CONTA],$F64)</f>
        <v>4760.84</v>
      </c>
      <c r="R64" s="4">
        <f>SUMIFS(Tab_11.Nov[SALDO
ATUAL],Tab_11.Nov[CONTA],$F64)</f>
        <v>4760.84</v>
      </c>
      <c r="S64" s="4">
        <f>SUMIFS(Tab_12.Dez[SALDO
ATUAL],Tab_12.Dez[CONTA],$F64)</f>
        <v>4760.84</v>
      </c>
    </row>
    <row r="65" spans="2:19" x14ac:dyDescent="0.3">
      <c r="B65" s="3" t="s">
        <v>117</v>
      </c>
      <c r="C65" s="2" t="str">
        <f t="shared" si="3"/>
        <v>A</v>
      </c>
      <c r="D65" s="2" t="str">
        <f t="shared" si="4"/>
        <v>A</v>
      </c>
      <c r="E65" s="2">
        <f t="shared" si="5"/>
        <v>5</v>
      </c>
      <c r="F65" s="3" t="s">
        <v>306</v>
      </c>
      <c r="G65" s="3" t="s">
        <v>307</v>
      </c>
      <c r="H65" s="4">
        <f>SUMIFS(Tab_01.Jan[SALDO
ATUAL],Tab_01.Jan[CONTA],$F65)</f>
        <v>4760.84</v>
      </c>
      <c r="I65" s="4">
        <f>SUMIFS(Tab_02.Fev[SALDO
ATUAL],Tab_02.Fev[CONTA],$F65)</f>
        <v>4760.84</v>
      </c>
      <c r="J65" s="4">
        <f>SUMIFS(Tab_03.Mar[SALDO
ATUAL],Tab_03.Mar[CONTA],$F65)</f>
        <v>4760.84</v>
      </c>
      <c r="K65" s="4">
        <f>SUMIFS(Tab_04.Abr[SALDO
ATUAL],Tab_04.Abr[CONTA],$F65)</f>
        <v>4760.84</v>
      </c>
      <c r="L65" s="4">
        <f>SUMIFS(Tab_05.Mai[SALDO
ATUAL],Tab_05.Mai[CONTA],$F65)</f>
        <v>4760.84</v>
      </c>
      <c r="M65" s="4">
        <f>SUMIFS(Tab_06.Jun[SALDO
ATUAL],Tab_06.Jun[CONTA],$F65)</f>
        <v>4760.84</v>
      </c>
      <c r="N65" s="4">
        <f>SUMIFS(Tab_07.Jul[SALDO
ATUAL],Tab_07.Jul[CONTA],$F65)</f>
        <v>4760.84</v>
      </c>
      <c r="O65" s="4">
        <f>SUMIFS(Tab_08.Ago[SALDO
ATUAL],Tab_08.Ago[CONTA],$F65)</f>
        <v>4760.84</v>
      </c>
      <c r="P65" s="4">
        <f>SUMIFS(Tab_09.Set[SALDO
ATUAL],Tab_09.Set[CONTA],$F65)</f>
        <v>4760.84</v>
      </c>
      <c r="Q65" s="4">
        <f>SUMIFS(Tab_10.Out[SALDO
ATUAL],Tab_10.Out[CONTA],$F65)</f>
        <v>4760.84</v>
      </c>
      <c r="R65" s="4">
        <f>SUMIFS(Tab_11.Nov[SALDO
ATUAL],Tab_11.Nov[CONTA],$F65)</f>
        <v>4760.84</v>
      </c>
      <c r="S65" s="4">
        <f>SUMIFS(Tab_12.Dez[SALDO
ATUAL],Tab_12.Dez[CONTA],$F65)</f>
        <v>4760.84</v>
      </c>
    </row>
    <row r="66" spans="2:19" x14ac:dyDescent="0.3">
      <c r="B66" s="3"/>
      <c r="C66" s="2" t="str">
        <f t="shared" si="3"/>
        <v>A</v>
      </c>
      <c r="D66" s="2" t="str">
        <f t="shared" si="4"/>
        <v>S</v>
      </c>
      <c r="E66" s="2">
        <f t="shared" si="5"/>
        <v>5</v>
      </c>
      <c r="F66" s="3" t="s">
        <v>557</v>
      </c>
      <c r="G66" s="3" t="s">
        <v>309</v>
      </c>
      <c r="H66" s="4">
        <f>SUMIFS(Tab_01.Jan[SALDO
ATUAL],Tab_01.Jan[CONTA],$F66)</f>
        <v>24698297</v>
      </c>
      <c r="I66" s="4">
        <f>SUMIFS(Tab_02.Fev[SALDO
ATUAL],Tab_02.Fev[CONTA],$F66)</f>
        <v>24830281.260000002</v>
      </c>
      <c r="J66" s="4">
        <f>SUMIFS(Tab_03.Mar[SALDO
ATUAL],Tab_03.Mar[CONTA],$F66)</f>
        <v>25048650.870000001</v>
      </c>
      <c r="K66" s="4">
        <f>SUMIFS(Tab_04.Abr[SALDO
ATUAL],Tab_04.Abr[CONTA],$F66)</f>
        <v>24933831.27</v>
      </c>
      <c r="L66" s="4">
        <f>SUMIFS(Tab_05.Mai[SALDO
ATUAL],Tab_05.Mai[CONTA],$F66)</f>
        <v>25173527.609999999</v>
      </c>
      <c r="M66" s="4">
        <f>SUMIFS(Tab_06.Jun[SALDO
ATUAL],Tab_06.Jun[CONTA],$F66)</f>
        <v>25292007.609999999</v>
      </c>
      <c r="N66" s="4">
        <f>SUMIFS(Tab_07.Jul[SALDO
ATUAL],Tab_07.Jul[CONTA],$F66)</f>
        <v>25628848</v>
      </c>
      <c r="O66" s="4">
        <f>SUMIFS(Tab_08.Ago[SALDO
ATUAL],Tab_08.Ago[CONTA],$F66)</f>
        <v>25908609</v>
      </c>
      <c r="P66" s="4">
        <f>SUMIFS(Tab_09.Set[SALDO
ATUAL],Tab_09.Set[CONTA],$F66)</f>
        <v>25968003</v>
      </c>
      <c r="Q66" s="4">
        <f>SUMIFS(Tab_10.Out[SALDO
ATUAL],Tab_10.Out[CONTA],$F66)</f>
        <v>26078405</v>
      </c>
      <c r="R66" s="4">
        <f>SUMIFS(Tab_11.Nov[SALDO
ATUAL],Tab_11.Nov[CONTA],$F66)</f>
        <v>26322642</v>
      </c>
      <c r="S66" s="4">
        <f>SUMIFS(Tab_12.Dez[SALDO
ATUAL],Tab_12.Dez[CONTA],$F66)</f>
        <v>26183193</v>
      </c>
    </row>
    <row r="67" spans="2:19" x14ac:dyDescent="0.3">
      <c r="B67" s="3" t="s">
        <v>92</v>
      </c>
      <c r="C67" s="2" t="str">
        <f t="shared" si="3"/>
        <v>A</v>
      </c>
      <c r="D67" s="2" t="str">
        <f t="shared" si="4"/>
        <v>A</v>
      </c>
      <c r="E67" s="2">
        <f t="shared" si="5"/>
        <v>5</v>
      </c>
      <c r="F67" s="3" t="s">
        <v>308</v>
      </c>
      <c r="G67" s="3" t="s">
        <v>309</v>
      </c>
      <c r="H67" s="4">
        <f>SUMIFS(Tab_01.Jan[SALDO
ATUAL],Tab_01.Jan[CONTA],$F67)</f>
        <v>24698297</v>
      </c>
      <c r="I67" s="4">
        <f>SUMIFS(Tab_02.Fev[SALDO
ATUAL],Tab_02.Fev[CONTA],$F67)</f>
        <v>24830281.260000002</v>
      </c>
      <c r="J67" s="4">
        <f>SUMIFS(Tab_03.Mar[SALDO
ATUAL],Tab_03.Mar[CONTA],$F67)</f>
        <v>25048650.870000001</v>
      </c>
      <c r="K67" s="4">
        <f>SUMIFS(Tab_04.Abr[SALDO
ATUAL],Tab_04.Abr[CONTA],$F67)</f>
        <v>24933831.27</v>
      </c>
      <c r="L67" s="4">
        <f>SUMIFS(Tab_05.Mai[SALDO
ATUAL],Tab_05.Mai[CONTA],$F67)</f>
        <v>25173527.609999999</v>
      </c>
      <c r="M67" s="4">
        <f>SUMIFS(Tab_06.Jun[SALDO
ATUAL],Tab_06.Jun[CONTA],$F67)</f>
        <v>25292007.609999999</v>
      </c>
      <c r="N67" s="4">
        <f>SUMIFS(Tab_07.Jul[SALDO
ATUAL],Tab_07.Jul[CONTA],$F67)</f>
        <v>25628848</v>
      </c>
      <c r="O67" s="4">
        <f>SUMIFS(Tab_08.Ago[SALDO
ATUAL],Tab_08.Ago[CONTA],$F67)</f>
        <v>25908609</v>
      </c>
      <c r="P67" s="4">
        <f>SUMIFS(Tab_09.Set[SALDO
ATUAL],Tab_09.Set[CONTA],$F67)</f>
        <v>25968003</v>
      </c>
      <c r="Q67" s="4">
        <f>SUMIFS(Tab_10.Out[SALDO
ATUAL],Tab_10.Out[CONTA],$F67)</f>
        <v>26078405</v>
      </c>
      <c r="R67" s="4">
        <f>SUMIFS(Tab_11.Nov[SALDO
ATUAL],Tab_11.Nov[CONTA],$F67)</f>
        <v>26322642</v>
      </c>
      <c r="S67" s="4">
        <f>SUMIFS(Tab_12.Dez[SALDO
ATUAL],Tab_12.Dez[CONTA],$F67)</f>
        <v>26183193</v>
      </c>
    </row>
    <row r="68" spans="2:19" x14ac:dyDescent="0.3">
      <c r="B68" s="3"/>
      <c r="C68" s="2" t="str">
        <f t="shared" si="3"/>
        <v>A</v>
      </c>
      <c r="D68" s="2" t="str">
        <f t="shared" si="4"/>
        <v>S</v>
      </c>
      <c r="E68" s="2">
        <f t="shared" si="5"/>
        <v>5</v>
      </c>
      <c r="F68" s="3" t="s">
        <v>213</v>
      </c>
      <c r="G68" s="3" t="s">
        <v>35</v>
      </c>
      <c r="H68" s="4">
        <f>SUMIFS(Tab_01.Jan[SALDO
ATUAL],Tab_01.Jan[CONTA],$F68)</f>
        <v>2330317.4500000002</v>
      </c>
      <c r="I68" s="4">
        <f>SUMIFS(Tab_02.Fev[SALDO
ATUAL],Tab_02.Fev[CONTA],$F68)</f>
        <v>2325067.71</v>
      </c>
      <c r="J68" s="4">
        <f>SUMIFS(Tab_03.Mar[SALDO
ATUAL],Tab_03.Mar[CONTA],$F68)</f>
        <v>2339989.5499999998</v>
      </c>
      <c r="K68" s="4">
        <f>SUMIFS(Tab_04.Abr[SALDO
ATUAL],Tab_04.Abr[CONTA],$F68)</f>
        <v>2356493.87</v>
      </c>
      <c r="L68" s="4">
        <f>SUMIFS(Tab_05.Mai[SALDO
ATUAL],Tab_05.Mai[CONTA],$F68)</f>
        <v>2372232.91</v>
      </c>
      <c r="M68" s="4">
        <f>SUMIFS(Tab_06.Jun[SALDO
ATUAL],Tab_06.Jun[CONTA],$F68)</f>
        <v>2369312.56</v>
      </c>
      <c r="N68" s="4">
        <f>SUMIFS(Tab_07.Jul[SALDO
ATUAL],Tab_07.Jul[CONTA],$F68)</f>
        <v>2365645.81</v>
      </c>
      <c r="O68" s="4">
        <f>SUMIFS(Tab_08.Ago[SALDO
ATUAL],Tab_08.Ago[CONTA],$F68)</f>
        <v>2364210.06</v>
      </c>
      <c r="P68" s="4">
        <f>SUMIFS(Tab_09.Set[SALDO
ATUAL],Tab_09.Set[CONTA],$F68)</f>
        <v>2360543.31</v>
      </c>
      <c r="Q68" s="4">
        <f>SUMIFS(Tab_10.Out[SALDO
ATUAL],Tab_10.Out[CONTA],$F68)</f>
        <v>2356876.56</v>
      </c>
      <c r="R68" s="4">
        <f>SUMIFS(Tab_11.Nov[SALDO
ATUAL],Tab_11.Nov[CONTA],$F68)</f>
        <v>2354549.81</v>
      </c>
      <c r="S68" s="4">
        <f>SUMIFS(Tab_12.Dez[SALDO
ATUAL],Tab_12.Dez[CONTA],$F68)</f>
        <v>2355889.34</v>
      </c>
    </row>
    <row r="69" spans="2:19" x14ac:dyDescent="0.3">
      <c r="B69" s="3"/>
      <c r="C69" s="2" t="str">
        <f t="shared" si="3"/>
        <v>A</v>
      </c>
      <c r="D69" s="2" t="str">
        <f t="shared" si="4"/>
        <v>S</v>
      </c>
      <c r="E69" s="2">
        <f t="shared" si="5"/>
        <v>5</v>
      </c>
      <c r="F69" s="3" t="s">
        <v>214</v>
      </c>
      <c r="G69" s="3" t="s">
        <v>651</v>
      </c>
      <c r="H69" s="4">
        <f>SUMIFS(Tab_01.Jan[SALDO
ATUAL],Tab_01.Jan[CONTA],$F69)</f>
        <v>3487455.56</v>
      </c>
      <c r="I69" s="4">
        <f>SUMIFS(Tab_02.Fev[SALDO
ATUAL],Tab_02.Fev[CONTA],$F69)</f>
        <v>3487455.56</v>
      </c>
      <c r="J69" s="4">
        <f>SUMIFS(Tab_03.Mar[SALDO
ATUAL],Tab_03.Mar[CONTA],$F69)</f>
        <v>3506044.45</v>
      </c>
      <c r="K69" s="4">
        <f>SUMIFS(Tab_04.Abr[SALDO
ATUAL],Tab_04.Abr[CONTA],$F69)</f>
        <v>3526215.82</v>
      </c>
      <c r="L69" s="4">
        <f>SUMIFS(Tab_05.Mai[SALDO
ATUAL],Tab_05.Mai[CONTA],$F69)</f>
        <v>3545621.91</v>
      </c>
      <c r="M69" s="4">
        <f>SUMIFS(Tab_06.Jun[SALDO
ATUAL],Tab_06.Jun[CONTA],$F69)</f>
        <v>3546368.31</v>
      </c>
      <c r="N69" s="4">
        <f>SUMIFS(Tab_07.Jul[SALDO
ATUAL],Tab_07.Jul[CONTA],$F69)</f>
        <v>3546368.31</v>
      </c>
      <c r="O69" s="4">
        <f>SUMIFS(Tab_08.Ago[SALDO
ATUAL],Tab_08.Ago[CONTA],$F69)</f>
        <v>3548599.31</v>
      </c>
      <c r="P69" s="4">
        <f>SUMIFS(Tab_09.Set[SALDO
ATUAL],Tab_09.Set[CONTA],$F69)</f>
        <v>3548599.31</v>
      </c>
      <c r="Q69" s="4">
        <f>SUMIFS(Tab_10.Out[SALDO
ATUAL],Tab_10.Out[CONTA],$F69)</f>
        <v>3548599.31</v>
      </c>
      <c r="R69" s="4">
        <f>SUMIFS(Tab_11.Nov[SALDO
ATUAL],Tab_11.Nov[CONTA],$F69)</f>
        <v>3549939.31</v>
      </c>
      <c r="S69" s="4">
        <f>SUMIFS(Tab_12.Dez[SALDO
ATUAL],Tab_12.Dez[CONTA],$F69)</f>
        <v>3554945.59</v>
      </c>
    </row>
    <row r="70" spans="2:19" x14ac:dyDescent="0.3">
      <c r="B70" s="3" t="s">
        <v>118</v>
      </c>
      <c r="C70" s="2" t="str">
        <f t="shared" si="3"/>
        <v>A</v>
      </c>
      <c r="D70" s="2" t="str">
        <f>IF($F70="","",IF(LEN($F70)=13,"A","S"))</f>
        <v>A</v>
      </c>
      <c r="E70" s="2">
        <f>IF($F70="","",IF(LEN($F70)=1,1,IF(LEN($F70)=3,2,IF(LEN($F70)=5,3,IF(LEN($F70)=8,4,5)))))</f>
        <v>5</v>
      </c>
      <c r="F70" s="3" t="s">
        <v>310</v>
      </c>
      <c r="G70" s="3" t="s">
        <v>311</v>
      </c>
      <c r="H70" s="4">
        <f>SUMIFS(Tab_01.Jan[SALDO
ATUAL],Tab_01.Jan[CONTA],$F70)</f>
        <v>1379260.84</v>
      </c>
      <c r="I70" s="4">
        <f>SUMIFS(Tab_02.Fev[SALDO
ATUAL],Tab_02.Fev[CONTA],$F70)</f>
        <v>1379260.84</v>
      </c>
      <c r="J70" s="4">
        <f>SUMIFS(Tab_03.Mar[SALDO
ATUAL],Tab_03.Mar[CONTA],$F70)</f>
        <v>1379260.84</v>
      </c>
      <c r="K70" s="4">
        <f>SUMIFS(Tab_04.Abr[SALDO
ATUAL],Tab_04.Abr[CONTA],$F70)</f>
        <v>1379260.84</v>
      </c>
      <c r="L70" s="4">
        <f>SUMIFS(Tab_05.Mai[SALDO
ATUAL],Tab_05.Mai[CONTA],$F70)</f>
        <v>1379260.84</v>
      </c>
      <c r="M70" s="4">
        <f>SUMIFS(Tab_06.Jun[SALDO
ATUAL],Tab_06.Jun[CONTA],$F70)</f>
        <v>1379260.84</v>
      </c>
      <c r="N70" s="4">
        <f>SUMIFS(Tab_07.Jul[SALDO
ATUAL],Tab_07.Jul[CONTA],$F70)</f>
        <v>1379260.84</v>
      </c>
      <c r="O70" s="4">
        <f>SUMIFS(Tab_08.Ago[SALDO
ATUAL],Tab_08.Ago[CONTA],$F70)</f>
        <v>1379260.84</v>
      </c>
      <c r="P70" s="4">
        <f>SUMIFS(Tab_09.Set[SALDO
ATUAL],Tab_09.Set[CONTA],$F70)</f>
        <v>1379260.84</v>
      </c>
      <c r="Q70" s="4">
        <f>SUMIFS(Tab_10.Out[SALDO
ATUAL],Tab_10.Out[CONTA],$F70)</f>
        <v>1379260.84</v>
      </c>
      <c r="R70" s="4">
        <f>SUMIFS(Tab_11.Nov[SALDO
ATUAL],Tab_11.Nov[CONTA],$F70)</f>
        <v>1379260.84</v>
      </c>
      <c r="S70" s="4">
        <f>SUMIFS(Tab_12.Dez[SALDO
ATUAL],Tab_12.Dez[CONTA],$F70)</f>
        <v>1379260.84</v>
      </c>
    </row>
    <row r="71" spans="2:19" x14ac:dyDescent="0.3">
      <c r="B71" s="3" t="s">
        <v>118</v>
      </c>
      <c r="C71" s="2" t="str">
        <f t="shared" si="3"/>
        <v>A</v>
      </c>
      <c r="D71" s="2" t="str">
        <f t="shared" si="4"/>
        <v>A</v>
      </c>
      <c r="E71" s="2">
        <f t="shared" si="5"/>
        <v>5</v>
      </c>
      <c r="F71" s="3" t="s">
        <v>312</v>
      </c>
      <c r="G71" s="3" t="s">
        <v>313</v>
      </c>
      <c r="H71" s="4">
        <f>SUMIFS(Tab_01.Jan[SALDO
ATUAL],Tab_01.Jan[CONTA],$F71)</f>
        <v>1233996.98</v>
      </c>
      <c r="I71" s="4">
        <f>SUMIFS(Tab_02.Fev[SALDO
ATUAL],Tab_02.Fev[CONTA],$F71)</f>
        <v>1233996.98</v>
      </c>
      <c r="J71" s="4">
        <f>SUMIFS(Tab_03.Mar[SALDO
ATUAL],Tab_03.Mar[CONTA],$F71)</f>
        <v>1252585.8700000001</v>
      </c>
      <c r="K71" s="4">
        <f>SUMIFS(Tab_04.Abr[SALDO
ATUAL],Tab_04.Abr[CONTA],$F71)</f>
        <v>1271804.96</v>
      </c>
      <c r="L71" s="4">
        <f>SUMIFS(Tab_05.Mai[SALDO
ATUAL],Tab_05.Mai[CONTA],$F71)</f>
        <v>1290393.8500000001</v>
      </c>
      <c r="M71" s="4">
        <f>SUMIFS(Tab_06.Jun[SALDO
ATUAL],Tab_06.Jun[CONTA],$F71)</f>
        <v>1291140.25</v>
      </c>
      <c r="N71" s="4">
        <f>SUMIFS(Tab_07.Jul[SALDO
ATUAL],Tab_07.Jul[CONTA],$F71)</f>
        <v>1291140.25</v>
      </c>
      <c r="O71" s="4">
        <f>SUMIFS(Tab_08.Ago[SALDO
ATUAL],Tab_08.Ago[CONTA],$F71)</f>
        <v>1293371.25</v>
      </c>
      <c r="P71" s="4">
        <f>SUMIFS(Tab_09.Set[SALDO
ATUAL],Tab_09.Set[CONTA],$F71)</f>
        <v>1293371.25</v>
      </c>
      <c r="Q71" s="4">
        <f>SUMIFS(Tab_10.Out[SALDO
ATUAL],Tab_10.Out[CONTA],$F71)</f>
        <v>1293371.25</v>
      </c>
      <c r="R71" s="4">
        <f>SUMIFS(Tab_11.Nov[SALDO
ATUAL],Tab_11.Nov[CONTA],$F71)</f>
        <v>1293371.25</v>
      </c>
      <c r="S71" s="4">
        <f>SUMIFS(Tab_12.Dez[SALDO
ATUAL],Tab_12.Dez[CONTA],$F71)</f>
        <v>1296704.5900000001</v>
      </c>
    </row>
    <row r="72" spans="2:19" x14ac:dyDescent="0.3">
      <c r="B72" s="3" t="s">
        <v>118</v>
      </c>
      <c r="C72" s="2" t="str">
        <f t="shared" si="3"/>
        <v>A</v>
      </c>
      <c r="D72" s="2" t="str">
        <f>IF($F72="","",IF(LEN($F72)=13,"A","S"))</f>
        <v>A</v>
      </c>
      <c r="E72" s="2">
        <f>IF($F72="","",IF(LEN($F72)=1,1,IF(LEN($F72)=3,2,IF(LEN($F72)=5,3,IF(LEN($F72)=8,4,5)))))</f>
        <v>5</v>
      </c>
      <c r="F72" s="3" t="s">
        <v>181</v>
      </c>
      <c r="G72" s="3" t="s">
        <v>314</v>
      </c>
      <c r="H72" s="4">
        <f>SUMIFS(Tab_01.Jan[SALDO
ATUAL],Tab_01.Jan[CONTA],$F72)</f>
        <v>23000</v>
      </c>
      <c r="I72" s="4">
        <f>SUMIFS(Tab_02.Fev[SALDO
ATUAL],Tab_02.Fev[CONTA],$F72)</f>
        <v>23000</v>
      </c>
      <c r="J72" s="4">
        <f>SUMIFS(Tab_03.Mar[SALDO
ATUAL],Tab_03.Mar[CONTA],$F72)</f>
        <v>23000</v>
      </c>
      <c r="K72" s="4">
        <f>SUMIFS(Tab_04.Abr[SALDO
ATUAL],Tab_04.Abr[CONTA],$F72)</f>
        <v>23000</v>
      </c>
      <c r="L72" s="4">
        <f>SUMIFS(Tab_05.Mai[SALDO
ATUAL],Tab_05.Mai[CONTA],$F72)</f>
        <v>23000</v>
      </c>
      <c r="M72" s="4">
        <f>SUMIFS(Tab_06.Jun[SALDO
ATUAL],Tab_06.Jun[CONTA],$F72)</f>
        <v>23000</v>
      </c>
      <c r="N72" s="4">
        <f>SUMIFS(Tab_07.Jul[SALDO
ATUAL],Tab_07.Jul[CONTA],$F72)</f>
        <v>23000</v>
      </c>
      <c r="O72" s="4">
        <f>SUMIFS(Tab_08.Ago[SALDO
ATUAL],Tab_08.Ago[CONTA],$F72)</f>
        <v>23000</v>
      </c>
      <c r="P72" s="4">
        <f>SUMIFS(Tab_09.Set[SALDO
ATUAL],Tab_09.Set[CONTA],$F72)</f>
        <v>23000</v>
      </c>
      <c r="Q72" s="4">
        <f>SUMIFS(Tab_10.Out[SALDO
ATUAL],Tab_10.Out[CONTA],$F72)</f>
        <v>23000</v>
      </c>
      <c r="R72" s="4">
        <f>SUMIFS(Tab_11.Nov[SALDO
ATUAL],Tab_11.Nov[CONTA],$F72)</f>
        <v>23000</v>
      </c>
      <c r="S72" s="4">
        <f>SUMIFS(Tab_12.Dez[SALDO
ATUAL],Tab_12.Dez[CONTA],$F72)</f>
        <v>23000</v>
      </c>
    </row>
    <row r="73" spans="2:19" x14ac:dyDescent="0.3">
      <c r="B73" s="3" t="s">
        <v>118</v>
      </c>
      <c r="C73" s="2" t="str">
        <f t="shared" si="3"/>
        <v>A</v>
      </c>
      <c r="D73" s="2" t="str">
        <f>IF($F73="","",IF(LEN($F73)=13,"A","S"))</f>
        <v>A</v>
      </c>
      <c r="E73" s="2">
        <f>IF($F73="","",IF(LEN($F73)=1,1,IF(LEN($F73)=3,2,IF(LEN($F73)=5,3,IF(LEN($F73)=8,4,5)))))</f>
        <v>5</v>
      </c>
      <c r="F73" s="3" t="s">
        <v>182</v>
      </c>
      <c r="G73" s="3" t="s">
        <v>315</v>
      </c>
      <c r="H73" s="4">
        <f>SUMIFS(Tab_01.Jan[SALDO
ATUAL],Tab_01.Jan[CONTA],$F73)</f>
        <v>12594</v>
      </c>
      <c r="I73" s="4">
        <f>SUMIFS(Tab_02.Fev[SALDO
ATUAL],Tab_02.Fev[CONTA],$F73)</f>
        <v>12594</v>
      </c>
      <c r="J73" s="4">
        <f>SUMIFS(Tab_03.Mar[SALDO
ATUAL],Tab_03.Mar[CONTA],$F73)</f>
        <v>12594</v>
      </c>
      <c r="K73" s="4">
        <f>SUMIFS(Tab_04.Abr[SALDO
ATUAL],Tab_04.Abr[CONTA],$F73)</f>
        <v>12594</v>
      </c>
      <c r="L73" s="4">
        <f>SUMIFS(Tab_05.Mai[SALDO
ATUAL],Tab_05.Mai[CONTA],$F73)</f>
        <v>12594</v>
      </c>
      <c r="M73" s="4">
        <f>SUMIFS(Tab_06.Jun[SALDO
ATUAL],Tab_06.Jun[CONTA],$F73)</f>
        <v>12594</v>
      </c>
      <c r="N73" s="4">
        <f>SUMIFS(Tab_07.Jul[SALDO
ATUAL],Tab_07.Jul[CONTA],$F73)</f>
        <v>12594</v>
      </c>
      <c r="O73" s="4">
        <f>SUMIFS(Tab_08.Ago[SALDO
ATUAL],Tab_08.Ago[CONTA],$F73)</f>
        <v>12594</v>
      </c>
      <c r="P73" s="4">
        <f>SUMIFS(Tab_09.Set[SALDO
ATUAL],Tab_09.Set[CONTA],$F73)</f>
        <v>12594</v>
      </c>
      <c r="Q73" s="4">
        <f>SUMIFS(Tab_10.Out[SALDO
ATUAL],Tab_10.Out[CONTA],$F73)</f>
        <v>12594</v>
      </c>
      <c r="R73" s="4">
        <f>SUMIFS(Tab_11.Nov[SALDO
ATUAL],Tab_11.Nov[CONTA],$F73)</f>
        <v>12594</v>
      </c>
      <c r="S73" s="4">
        <f>SUMIFS(Tab_12.Dez[SALDO
ATUAL],Tab_12.Dez[CONTA],$F73)</f>
        <v>12594</v>
      </c>
    </row>
    <row r="74" spans="2:19" x14ac:dyDescent="0.3">
      <c r="B74" s="3" t="s">
        <v>118</v>
      </c>
      <c r="C74" s="2" t="str">
        <f t="shared" si="3"/>
        <v>A</v>
      </c>
      <c r="D74" s="2" t="str">
        <f>IF($F74="","",IF(LEN($F74)=13,"A","S"))</f>
        <v>A</v>
      </c>
      <c r="E74" s="2">
        <f>IF($F74="","",IF(LEN($F74)=1,1,IF(LEN($F74)=3,2,IF(LEN($F74)=5,3,IF(LEN($F74)=8,4,5)))))</f>
        <v>5</v>
      </c>
      <c r="F74" s="3" t="s">
        <v>183</v>
      </c>
      <c r="G74" s="3" t="s">
        <v>316</v>
      </c>
      <c r="H74" s="4">
        <f>SUMIFS(Tab_01.Jan[SALDO
ATUAL],Tab_01.Jan[CONTA],$F74)</f>
        <v>223690.57</v>
      </c>
      <c r="I74" s="4">
        <f>SUMIFS(Tab_02.Fev[SALDO
ATUAL],Tab_02.Fev[CONTA],$F74)</f>
        <v>223690.57</v>
      </c>
      <c r="J74" s="4">
        <f>SUMIFS(Tab_03.Mar[SALDO
ATUAL],Tab_03.Mar[CONTA],$F74)</f>
        <v>223690.57</v>
      </c>
      <c r="K74" s="4">
        <f>SUMIFS(Tab_04.Abr[SALDO
ATUAL],Tab_04.Abr[CONTA],$F74)</f>
        <v>224642.85</v>
      </c>
      <c r="L74" s="4">
        <f>SUMIFS(Tab_05.Mai[SALDO
ATUAL],Tab_05.Mai[CONTA],$F74)</f>
        <v>224642.85</v>
      </c>
      <c r="M74" s="4">
        <f>SUMIFS(Tab_06.Jun[SALDO
ATUAL],Tab_06.Jun[CONTA],$F74)</f>
        <v>224642.85</v>
      </c>
      <c r="N74" s="4">
        <f>SUMIFS(Tab_07.Jul[SALDO
ATUAL],Tab_07.Jul[CONTA],$F74)</f>
        <v>224642.85</v>
      </c>
      <c r="O74" s="4">
        <f>SUMIFS(Tab_08.Ago[SALDO
ATUAL],Tab_08.Ago[CONTA],$F74)</f>
        <v>224642.85</v>
      </c>
      <c r="P74" s="4">
        <f>SUMIFS(Tab_09.Set[SALDO
ATUAL],Tab_09.Set[CONTA],$F74)</f>
        <v>224642.85</v>
      </c>
      <c r="Q74" s="4">
        <f>SUMIFS(Tab_10.Out[SALDO
ATUAL],Tab_10.Out[CONTA],$F74)</f>
        <v>224642.85</v>
      </c>
      <c r="R74" s="4">
        <f>SUMIFS(Tab_11.Nov[SALDO
ATUAL],Tab_11.Nov[CONTA],$F74)</f>
        <v>224642.85</v>
      </c>
      <c r="S74" s="4">
        <f>SUMIFS(Tab_12.Dez[SALDO
ATUAL],Tab_12.Dez[CONTA],$F74)</f>
        <v>226315.79</v>
      </c>
    </row>
    <row r="75" spans="2:19" x14ac:dyDescent="0.3">
      <c r="B75" s="3" t="s">
        <v>118</v>
      </c>
      <c r="C75" s="2" t="str">
        <f t="shared" si="3"/>
        <v>A</v>
      </c>
      <c r="D75" s="2" t="str">
        <f t="shared" si="4"/>
        <v>A</v>
      </c>
      <c r="E75" s="2">
        <f t="shared" si="5"/>
        <v>5</v>
      </c>
      <c r="F75" s="3" t="s">
        <v>317</v>
      </c>
      <c r="G75" s="3" t="s">
        <v>318</v>
      </c>
      <c r="H75" s="4">
        <f>SUMIFS(Tab_01.Jan[SALDO
ATUAL],Tab_01.Jan[CONTA],$F75)</f>
        <v>7349.9</v>
      </c>
      <c r="I75" s="4">
        <f>SUMIFS(Tab_02.Fev[SALDO
ATUAL],Tab_02.Fev[CONTA],$F75)</f>
        <v>7349.9</v>
      </c>
      <c r="J75" s="4">
        <f>SUMIFS(Tab_03.Mar[SALDO
ATUAL],Tab_03.Mar[CONTA],$F75)</f>
        <v>7349.9</v>
      </c>
      <c r="K75" s="4">
        <f>SUMIFS(Tab_04.Abr[SALDO
ATUAL],Tab_04.Abr[CONTA],$F75)</f>
        <v>7349.9</v>
      </c>
      <c r="L75" s="4">
        <f>SUMIFS(Tab_05.Mai[SALDO
ATUAL],Tab_05.Mai[CONTA],$F75)</f>
        <v>7349.9</v>
      </c>
      <c r="M75" s="4">
        <f>SUMIFS(Tab_06.Jun[SALDO
ATUAL],Tab_06.Jun[CONTA],$F75)</f>
        <v>7349.9</v>
      </c>
      <c r="N75" s="4">
        <f>SUMIFS(Tab_07.Jul[SALDO
ATUAL],Tab_07.Jul[CONTA],$F75)</f>
        <v>7349.9</v>
      </c>
      <c r="O75" s="4">
        <f>SUMIFS(Tab_08.Ago[SALDO
ATUAL],Tab_08.Ago[CONTA],$F75)</f>
        <v>7349.9</v>
      </c>
      <c r="P75" s="4">
        <f>SUMIFS(Tab_09.Set[SALDO
ATUAL],Tab_09.Set[CONTA],$F75)</f>
        <v>7349.9</v>
      </c>
      <c r="Q75" s="4">
        <f>SUMIFS(Tab_10.Out[SALDO
ATUAL],Tab_10.Out[CONTA],$F75)</f>
        <v>7349.9</v>
      </c>
      <c r="R75" s="4">
        <f>SUMIFS(Tab_11.Nov[SALDO
ATUAL],Tab_11.Nov[CONTA],$F75)</f>
        <v>8689.9</v>
      </c>
      <c r="S75" s="4">
        <f>SUMIFS(Tab_12.Dez[SALDO
ATUAL],Tab_12.Dez[CONTA],$F75)</f>
        <v>8689.9</v>
      </c>
    </row>
    <row r="76" spans="2:19" x14ac:dyDescent="0.3">
      <c r="B76" s="3" t="s">
        <v>118</v>
      </c>
      <c r="C76" s="2" t="str">
        <f t="shared" si="3"/>
        <v>A</v>
      </c>
      <c r="D76" s="2" t="str">
        <f t="shared" si="4"/>
        <v>A</v>
      </c>
      <c r="E76" s="2">
        <f t="shared" si="5"/>
        <v>5</v>
      </c>
      <c r="F76" s="3" t="s">
        <v>184</v>
      </c>
      <c r="G76" s="3" t="s">
        <v>319</v>
      </c>
      <c r="H76" s="4">
        <f>SUMIFS(Tab_01.Jan[SALDO
ATUAL],Tab_01.Jan[CONTA],$F76)</f>
        <v>128697.03</v>
      </c>
      <c r="I76" s="4">
        <f>SUMIFS(Tab_02.Fev[SALDO
ATUAL],Tab_02.Fev[CONTA],$F76)</f>
        <v>128697.03</v>
      </c>
      <c r="J76" s="4">
        <f>SUMIFS(Tab_03.Mar[SALDO
ATUAL],Tab_03.Mar[CONTA],$F76)</f>
        <v>128697.03</v>
      </c>
      <c r="K76" s="4">
        <f>SUMIFS(Tab_04.Abr[SALDO
ATUAL],Tab_04.Abr[CONTA],$F76)</f>
        <v>128697.03</v>
      </c>
      <c r="L76" s="4">
        <f>SUMIFS(Tab_05.Mai[SALDO
ATUAL],Tab_05.Mai[CONTA],$F76)</f>
        <v>128697.03</v>
      </c>
      <c r="M76" s="4">
        <f>SUMIFS(Tab_06.Jun[SALDO
ATUAL],Tab_06.Jun[CONTA],$F76)</f>
        <v>128697.03</v>
      </c>
      <c r="N76" s="4">
        <f>SUMIFS(Tab_07.Jul[SALDO
ATUAL],Tab_07.Jul[CONTA],$F76)</f>
        <v>128697.03</v>
      </c>
      <c r="O76" s="4">
        <f>SUMIFS(Tab_08.Ago[SALDO
ATUAL],Tab_08.Ago[CONTA],$F76)</f>
        <v>128697.03</v>
      </c>
      <c r="P76" s="4">
        <f>SUMIFS(Tab_09.Set[SALDO
ATUAL],Tab_09.Set[CONTA],$F76)</f>
        <v>128697.03</v>
      </c>
      <c r="Q76" s="4">
        <f>SUMIFS(Tab_10.Out[SALDO
ATUAL],Tab_10.Out[CONTA],$F76)</f>
        <v>128697.03</v>
      </c>
      <c r="R76" s="4">
        <f>SUMIFS(Tab_11.Nov[SALDO
ATUAL],Tab_11.Nov[CONTA],$F76)</f>
        <v>128697.03</v>
      </c>
      <c r="S76" s="4">
        <f>SUMIFS(Tab_12.Dez[SALDO
ATUAL],Tab_12.Dez[CONTA],$F76)</f>
        <v>128697.03</v>
      </c>
    </row>
    <row r="77" spans="2:19" x14ac:dyDescent="0.3">
      <c r="B77" s="3" t="s">
        <v>118</v>
      </c>
      <c r="C77" s="2" t="str">
        <f t="shared" si="3"/>
        <v>A</v>
      </c>
      <c r="D77" s="2" t="str">
        <f>IF($F77="","",IF(LEN($F77)=13,"A","S"))</f>
        <v>A</v>
      </c>
      <c r="E77" s="2">
        <f>IF($F77="","",IF(LEN($F77)=1,1,IF(LEN($F77)=3,2,IF(LEN($F77)=5,3,IF(LEN($F77)=8,4,5)))))</f>
        <v>5</v>
      </c>
      <c r="F77" s="3" t="s">
        <v>185</v>
      </c>
      <c r="G77" s="3" t="s">
        <v>320</v>
      </c>
      <c r="H77" s="4">
        <f>SUMIFS(Tab_01.Jan[SALDO
ATUAL],Tab_01.Jan[CONTA],$F77)</f>
        <v>15029.74</v>
      </c>
      <c r="I77" s="4">
        <f>SUMIFS(Tab_02.Fev[SALDO
ATUAL],Tab_02.Fev[CONTA],$F77)</f>
        <v>15029.74</v>
      </c>
      <c r="J77" s="4">
        <f>SUMIFS(Tab_03.Mar[SALDO
ATUAL],Tab_03.Mar[CONTA],$F77)</f>
        <v>15029.74</v>
      </c>
      <c r="K77" s="4">
        <f>SUMIFS(Tab_04.Abr[SALDO
ATUAL],Tab_04.Abr[CONTA],$F77)</f>
        <v>15029.74</v>
      </c>
      <c r="L77" s="4">
        <f>SUMIFS(Tab_05.Mai[SALDO
ATUAL],Tab_05.Mai[CONTA],$F77)</f>
        <v>15029.74</v>
      </c>
      <c r="M77" s="4">
        <f>SUMIFS(Tab_06.Jun[SALDO
ATUAL],Tab_06.Jun[CONTA],$F77)</f>
        <v>15029.74</v>
      </c>
      <c r="N77" s="4">
        <f>SUMIFS(Tab_07.Jul[SALDO
ATUAL],Tab_07.Jul[CONTA],$F77)</f>
        <v>15029.74</v>
      </c>
      <c r="O77" s="4">
        <f>SUMIFS(Tab_08.Ago[SALDO
ATUAL],Tab_08.Ago[CONTA],$F77)</f>
        <v>15029.74</v>
      </c>
      <c r="P77" s="4">
        <f>SUMIFS(Tab_09.Set[SALDO
ATUAL],Tab_09.Set[CONTA],$F77)</f>
        <v>15029.74</v>
      </c>
      <c r="Q77" s="4">
        <f>SUMIFS(Tab_10.Out[SALDO
ATUAL],Tab_10.Out[CONTA],$F77)</f>
        <v>15029.74</v>
      </c>
      <c r="R77" s="4">
        <f>SUMIFS(Tab_11.Nov[SALDO
ATUAL],Tab_11.Nov[CONTA],$F77)</f>
        <v>15029.74</v>
      </c>
      <c r="S77" s="4">
        <f>SUMIFS(Tab_12.Dez[SALDO
ATUAL],Tab_12.Dez[CONTA],$F77)</f>
        <v>15029.74</v>
      </c>
    </row>
    <row r="78" spans="2:19" x14ac:dyDescent="0.3">
      <c r="B78" s="3" t="s">
        <v>118</v>
      </c>
      <c r="C78" s="2" t="str">
        <f t="shared" si="3"/>
        <v>A</v>
      </c>
      <c r="D78" s="2" t="str">
        <f>IF($F78="","",IF(LEN($F78)=13,"A","S"))</f>
        <v>A</v>
      </c>
      <c r="E78" s="2">
        <f>IF($F78="","",IF(LEN($F78)=1,1,IF(LEN($F78)=3,2,IF(LEN($F78)=5,3,IF(LEN($F78)=8,4,5)))))</f>
        <v>5</v>
      </c>
      <c r="F78" s="3" t="s">
        <v>321</v>
      </c>
      <c r="G78" s="3" t="s">
        <v>322</v>
      </c>
      <c r="H78" s="4">
        <f>SUMIFS(Tab_01.Jan[SALDO
ATUAL],Tab_01.Jan[CONTA],$F78)</f>
        <v>463836.5</v>
      </c>
      <c r="I78" s="4">
        <f>SUMIFS(Tab_02.Fev[SALDO
ATUAL],Tab_02.Fev[CONTA],$F78)</f>
        <v>463836.5</v>
      </c>
      <c r="J78" s="4">
        <f>SUMIFS(Tab_03.Mar[SALDO
ATUAL],Tab_03.Mar[CONTA],$F78)</f>
        <v>463836.5</v>
      </c>
      <c r="K78" s="4">
        <f>SUMIFS(Tab_04.Abr[SALDO
ATUAL],Tab_04.Abr[CONTA],$F78)</f>
        <v>463836.5</v>
      </c>
      <c r="L78" s="4">
        <f>SUMIFS(Tab_05.Mai[SALDO
ATUAL],Tab_05.Mai[CONTA],$F78)</f>
        <v>464653.7</v>
      </c>
      <c r="M78" s="4">
        <f>SUMIFS(Tab_06.Jun[SALDO
ATUAL],Tab_06.Jun[CONTA],$F78)</f>
        <v>464653.7</v>
      </c>
      <c r="N78" s="4">
        <f>SUMIFS(Tab_07.Jul[SALDO
ATUAL],Tab_07.Jul[CONTA],$F78)</f>
        <v>464653.7</v>
      </c>
      <c r="O78" s="4">
        <f>SUMIFS(Tab_08.Ago[SALDO
ATUAL],Tab_08.Ago[CONTA],$F78)</f>
        <v>464653.7</v>
      </c>
      <c r="P78" s="4">
        <f>SUMIFS(Tab_09.Set[SALDO
ATUAL],Tab_09.Set[CONTA],$F78)</f>
        <v>464653.7</v>
      </c>
      <c r="Q78" s="4">
        <f>SUMIFS(Tab_10.Out[SALDO
ATUAL],Tab_10.Out[CONTA],$F78)</f>
        <v>464653.7</v>
      </c>
      <c r="R78" s="4">
        <f>SUMIFS(Tab_11.Nov[SALDO
ATUAL],Tab_11.Nov[CONTA],$F78)</f>
        <v>464653.7</v>
      </c>
      <c r="S78" s="4">
        <f>SUMIFS(Tab_12.Dez[SALDO
ATUAL],Tab_12.Dez[CONTA],$F78)</f>
        <v>464653.7</v>
      </c>
    </row>
    <row r="79" spans="2:19" x14ac:dyDescent="0.3">
      <c r="B79" s="3"/>
      <c r="C79" s="2" t="str">
        <f t="shared" si="3"/>
        <v>A</v>
      </c>
      <c r="D79" s="2" t="str">
        <f t="shared" si="4"/>
        <v>S</v>
      </c>
      <c r="E79" s="2">
        <f t="shared" si="5"/>
        <v>5</v>
      </c>
      <c r="F79" s="3" t="s">
        <v>215</v>
      </c>
      <c r="G79" s="3" t="s">
        <v>652</v>
      </c>
      <c r="H79" s="4">
        <f>SUMIFS(Tab_01.Jan[SALDO
ATUAL],Tab_01.Jan[CONTA],$F79)</f>
        <v>-1157138.1100000001</v>
      </c>
      <c r="I79" s="4">
        <f>SUMIFS(Tab_02.Fev[SALDO
ATUAL],Tab_02.Fev[CONTA],$F79)</f>
        <v>-1162387.8500000001</v>
      </c>
      <c r="J79" s="4">
        <f>SUMIFS(Tab_03.Mar[SALDO
ATUAL],Tab_03.Mar[CONTA],$F79)</f>
        <v>-1166054.8999999999</v>
      </c>
      <c r="K79" s="4">
        <f>SUMIFS(Tab_04.Abr[SALDO
ATUAL],Tab_04.Abr[CONTA],$F79)</f>
        <v>-1169721.95</v>
      </c>
      <c r="L79" s="4">
        <f>SUMIFS(Tab_05.Mai[SALDO
ATUAL],Tab_05.Mai[CONTA],$F79)</f>
        <v>-1173389</v>
      </c>
      <c r="M79" s="4">
        <f>SUMIFS(Tab_06.Jun[SALDO
ATUAL],Tab_06.Jun[CONTA],$F79)</f>
        <v>-1177055.75</v>
      </c>
      <c r="N79" s="4">
        <f>SUMIFS(Tab_07.Jul[SALDO
ATUAL],Tab_07.Jul[CONTA],$F79)</f>
        <v>-1180722.5</v>
      </c>
      <c r="O79" s="4">
        <f>SUMIFS(Tab_08.Ago[SALDO
ATUAL],Tab_08.Ago[CONTA],$F79)</f>
        <v>-1184389.25</v>
      </c>
      <c r="P79" s="4">
        <f>SUMIFS(Tab_09.Set[SALDO
ATUAL],Tab_09.Set[CONTA],$F79)</f>
        <v>-1188056</v>
      </c>
      <c r="Q79" s="4">
        <f>SUMIFS(Tab_10.Out[SALDO
ATUAL],Tab_10.Out[CONTA],$F79)</f>
        <v>-1191722.75</v>
      </c>
      <c r="R79" s="4">
        <f>SUMIFS(Tab_11.Nov[SALDO
ATUAL],Tab_11.Nov[CONTA],$F79)</f>
        <v>-1195389.5</v>
      </c>
      <c r="S79" s="4">
        <f>SUMIFS(Tab_12.Dez[SALDO
ATUAL],Tab_12.Dez[CONTA],$F79)</f>
        <v>-1199056.25</v>
      </c>
    </row>
    <row r="80" spans="2:19" x14ac:dyDescent="0.3">
      <c r="B80" s="3" t="s">
        <v>118</v>
      </c>
      <c r="C80" s="2" t="str">
        <f t="shared" si="3"/>
        <v>A</v>
      </c>
      <c r="D80" s="2" t="str">
        <f t="shared" si="4"/>
        <v>A</v>
      </c>
      <c r="E80" s="2">
        <f t="shared" si="5"/>
        <v>5</v>
      </c>
      <c r="F80" s="3" t="s">
        <v>186</v>
      </c>
      <c r="G80" s="3" t="s">
        <v>313</v>
      </c>
      <c r="H80" s="4">
        <f>SUMIFS(Tab_01.Jan[SALDO
ATUAL],Tab_01.Jan[CONTA],$F80)</f>
        <v>-649876.97</v>
      </c>
      <c r="I80" s="4">
        <f>SUMIFS(Tab_02.Fev[SALDO
ATUAL],Tab_02.Fev[CONTA],$F80)</f>
        <v>-652874.9</v>
      </c>
      <c r="J80" s="4">
        <f>SUMIFS(Tab_03.Mar[SALDO
ATUAL],Tab_03.Mar[CONTA],$F80)</f>
        <v>-655872.82999999996</v>
      </c>
      <c r="K80" s="4">
        <f>SUMIFS(Tab_04.Abr[SALDO
ATUAL],Tab_04.Abr[CONTA],$F80)</f>
        <v>-658870.76</v>
      </c>
      <c r="L80" s="4">
        <f>SUMIFS(Tab_05.Mai[SALDO
ATUAL],Tab_05.Mai[CONTA],$F80)</f>
        <v>-661868.68999999994</v>
      </c>
      <c r="M80" s="4">
        <f>SUMIFS(Tab_06.Jun[SALDO
ATUAL],Tab_06.Jun[CONTA],$F80)</f>
        <v>-664866.62</v>
      </c>
      <c r="N80" s="4">
        <f>SUMIFS(Tab_07.Jul[SALDO
ATUAL],Tab_07.Jul[CONTA],$F80)</f>
        <v>-667864.55000000005</v>
      </c>
      <c r="O80" s="4">
        <f>SUMIFS(Tab_08.Ago[SALDO
ATUAL],Tab_08.Ago[CONTA],$F80)</f>
        <v>-667864.55000000005</v>
      </c>
      <c r="P80" s="4">
        <f>SUMIFS(Tab_09.Set[SALDO
ATUAL],Tab_09.Set[CONTA],$F80)</f>
        <v>-670862.48</v>
      </c>
      <c r="Q80" s="4">
        <f>SUMIFS(Tab_10.Out[SALDO
ATUAL],Tab_10.Out[CONTA],$F80)</f>
        <v>-673860.41</v>
      </c>
      <c r="R80" s="4">
        <f>SUMIFS(Tab_11.Nov[SALDO
ATUAL],Tab_11.Nov[CONTA],$F80)</f>
        <v>-676858.34</v>
      </c>
      <c r="S80" s="4">
        <f>SUMIFS(Tab_12.Dez[SALDO
ATUAL],Tab_12.Dez[CONTA],$F80)</f>
        <v>-679856.27</v>
      </c>
    </row>
    <row r="81" spans="2:19" x14ac:dyDescent="0.3">
      <c r="B81" s="3" t="s">
        <v>118</v>
      </c>
      <c r="C81" s="2" t="str">
        <f t="shared" si="3"/>
        <v>A</v>
      </c>
      <c r="D81" s="2" t="str">
        <f t="shared" si="4"/>
        <v>A</v>
      </c>
      <c r="E81" s="2">
        <f t="shared" si="5"/>
        <v>5</v>
      </c>
      <c r="F81" s="3" t="s">
        <v>187</v>
      </c>
      <c r="G81" s="3" t="s">
        <v>314</v>
      </c>
      <c r="H81" s="4">
        <f>SUMIFS(Tab_01.Jan[SALDO
ATUAL],Tab_01.Jan[CONTA],$F81)</f>
        <v>-17058.599999999999</v>
      </c>
      <c r="I81" s="4">
        <f>SUMIFS(Tab_02.Fev[SALDO
ATUAL],Tab_02.Fev[CONTA],$F81)</f>
        <v>-17250.27</v>
      </c>
      <c r="J81" s="4">
        <f>SUMIFS(Tab_03.Mar[SALDO
ATUAL],Tab_03.Mar[CONTA],$F81)</f>
        <v>-17441.939999999999</v>
      </c>
      <c r="K81" s="4">
        <f>SUMIFS(Tab_04.Abr[SALDO
ATUAL],Tab_04.Abr[CONTA],$F81)</f>
        <v>-17633.61</v>
      </c>
      <c r="L81" s="4">
        <f>SUMIFS(Tab_05.Mai[SALDO
ATUAL],Tab_05.Mai[CONTA],$F81)</f>
        <v>-17825.28</v>
      </c>
      <c r="M81" s="4">
        <f>SUMIFS(Tab_06.Jun[SALDO
ATUAL],Tab_06.Jun[CONTA],$F81)</f>
        <v>-18016.95</v>
      </c>
      <c r="N81" s="4">
        <f>SUMIFS(Tab_07.Jul[SALDO
ATUAL],Tab_07.Jul[CONTA],$F81)</f>
        <v>-18208.62</v>
      </c>
      <c r="O81" s="4">
        <f>SUMIFS(Tab_08.Ago[SALDO
ATUAL],Tab_08.Ago[CONTA],$F81)</f>
        <v>-21398.22</v>
      </c>
      <c r="P81" s="4">
        <f>SUMIFS(Tab_09.Set[SALDO
ATUAL],Tab_09.Set[CONTA],$F81)</f>
        <v>-21589.89</v>
      </c>
      <c r="Q81" s="4">
        <f>SUMIFS(Tab_10.Out[SALDO
ATUAL],Tab_10.Out[CONTA],$F81)</f>
        <v>-21781.56</v>
      </c>
      <c r="R81" s="4">
        <f>SUMIFS(Tab_11.Nov[SALDO
ATUAL],Tab_11.Nov[CONTA],$F81)</f>
        <v>-21973.23</v>
      </c>
      <c r="S81" s="4">
        <f>SUMIFS(Tab_12.Dez[SALDO
ATUAL],Tab_12.Dez[CONTA],$F81)</f>
        <v>-22164.9</v>
      </c>
    </row>
    <row r="82" spans="2:19" x14ac:dyDescent="0.3">
      <c r="B82" s="3" t="s">
        <v>118</v>
      </c>
      <c r="C82" s="2" t="str">
        <f t="shared" si="3"/>
        <v>A</v>
      </c>
      <c r="D82" s="2" t="str">
        <f t="shared" si="4"/>
        <v>A</v>
      </c>
      <c r="E82" s="2">
        <f t="shared" si="5"/>
        <v>5</v>
      </c>
      <c r="F82" s="3" t="s">
        <v>188</v>
      </c>
      <c r="G82" s="3" t="s">
        <v>315</v>
      </c>
      <c r="H82" s="4">
        <f>SUMIFS(Tab_01.Jan[SALDO
ATUAL],Tab_01.Jan[CONTA],$F82)</f>
        <v>-6159.06</v>
      </c>
      <c r="I82" s="4">
        <f>SUMIFS(Tab_02.Fev[SALDO
ATUAL],Tab_02.Fev[CONTA],$F82)</f>
        <v>-6264.01</v>
      </c>
      <c r="J82" s="4">
        <f>SUMIFS(Tab_03.Mar[SALDO
ATUAL],Tab_03.Mar[CONTA],$F82)</f>
        <v>-6368.96</v>
      </c>
      <c r="K82" s="4">
        <f>SUMIFS(Tab_04.Abr[SALDO
ATUAL],Tab_04.Abr[CONTA],$F82)</f>
        <v>-6473.91</v>
      </c>
      <c r="L82" s="4">
        <f>SUMIFS(Tab_05.Mai[SALDO
ATUAL],Tab_05.Mai[CONTA],$F82)</f>
        <v>-6578.86</v>
      </c>
      <c r="M82" s="4">
        <f>SUMIFS(Tab_06.Jun[SALDO
ATUAL],Tab_06.Jun[CONTA],$F82)</f>
        <v>-6683.81</v>
      </c>
      <c r="N82" s="4">
        <f>SUMIFS(Tab_07.Jul[SALDO
ATUAL],Tab_07.Jul[CONTA],$F82)</f>
        <v>-6788.76</v>
      </c>
      <c r="O82" s="4">
        <f>SUMIFS(Tab_08.Ago[SALDO
ATUAL],Tab_08.Ago[CONTA],$F82)</f>
        <v>-6893.71</v>
      </c>
      <c r="P82" s="4">
        <f>SUMIFS(Tab_09.Set[SALDO
ATUAL],Tab_09.Set[CONTA],$F82)</f>
        <v>-6998.66</v>
      </c>
      <c r="Q82" s="4">
        <f>SUMIFS(Tab_10.Out[SALDO
ATUAL],Tab_10.Out[CONTA],$F82)</f>
        <v>-7103.61</v>
      </c>
      <c r="R82" s="4">
        <f>SUMIFS(Tab_11.Nov[SALDO
ATUAL],Tab_11.Nov[CONTA],$F82)</f>
        <v>-7208.56</v>
      </c>
      <c r="S82" s="4">
        <f>SUMIFS(Tab_12.Dez[SALDO
ATUAL],Tab_12.Dez[CONTA],$F82)</f>
        <v>-7313.51</v>
      </c>
    </row>
    <row r="83" spans="2:19" x14ac:dyDescent="0.3">
      <c r="B83" s="3" t="s">
        <v>118</v>
      </c>
      <c r="C83" s="2" t="str">
        <f t="shared" si="3"/>
        <v>A</v>
      </c>
      <c r="D83" s="2" t="str">
        <f t="shared" si="4"/>
        <v>A</v>
      </c>
      <c r="E83" s="2">
        <f t="shared" si="5"/>
        <v>5</v>
      </c>
      <c r="F83" s="3" t="s">
        <v>189</v>
      </c>
      <c r="G83" s="3" t="s">
        <v>316</v>
      </c>
      <c r="H83" s="4">
        <f>SUMIFS(Tab_01.Jan[SALDO
ATUAL],Tab_01.Jan[CONTA],$F83)</f>
        <v>-223060.16</v>
      </c>
      <c r="I83" s="4">
        <f>SUMIFS(Tab_02.Fev[SALDO
ATUAL],Tab_02.Fev[CONTA],$F83)</f>
        <v>-224642.85</v>
      </c>
      <c r="J83" s="4">
        <f>SUMIFS(Tab_03.Mar[SALDO
ATUAL],Tab_03.Mar[CONTA],$F83)</f>
        <v>-224642.85</v>
      </c>
      <c r="K83" s="4">
        <f>SUMIFS(Tab_04.Abr[SALDO
ATUAL],Tab_04.Abr[CONTA],$F83)</f>
        <v>-224642.85</v>
      </c>
      <c r="L83" s="4">
        <f>SUMIFS(Tab_05.Mai[SALDO
ATUAL],Tab_05.Mai[CONTA],$F83)</f>
        <v>-224642.85</v>
      </c>
      <c r="M83" s="4">
        <f>SUMIFS(Tab_06.Jun[SALDO
ATUAL],Tab_06.Jun[CONTA],$F83)</f>
        <v>-224642.85</v>
      </c>
      <c r="N83" s="4">
        <f>SUMIFS(Tab_07.Jul[SALDO
ATUAL],Tab_07.Jul[CONTA],$F83)</f>
        <v>-224642.85</v>
      </c>
      <c r="O83" s="4">
        <f>SUMIFS(Tab_08.Ago[SALDO
ATUAL],Tab_08.Ago[CONTA],$F83)</f>
        <v>-224642.85</v>
      </c>
      <c r="P83" s="4">
        <f>SUMIFS(Tab_09.Set[SALDO
ATUAL],Tab_09.Set[CONTA],$F83)</f>
        <v>-224642.85</v>
      </c>
      <c r="Q83" s="4">
        <f>SUMIFS(Tab_10.Out[SALDO
ATUAL],Tab_10.Out[CONTA],$F83)</f>
        <v>-224642.85</v>
      </c>
      <c r="R83" s="4">
        <f>SUMIFS(Tab_11.Nov[SALDO
ATUAL],Tab_11.Nov[CONTA],$F83)</f>
        <v>-224642.85</v>
      </c>
      <c r="S83" s="4">
        <f>SUMIFS(Tab_12.Dez[SALDO
ATUAL],Tab_12.Dez[CONTA],$F83)</f>
        <v>-224642.85</v>
      </c>
    </row>
    <row r="84" spans="2:19" x14ac:dyDescent="0.3">
      <c r="B84" s="3" t="s">
        <v>118</v>
      </c>
      <c r="C84" s="2" t="str">
        <f t="shared" si="3"/>
        <v>A</v>
      </c>
      <c r="D84" s="2" t="str">
        <f t="shared" si="4"/>
        <v>A</v>
      </c>
      <c r="E84" s="2">
        <f t="shared" si="5"/>
        <v>5</v>
      </c>
      <c r="F84" s="3" t="s">
        <v>190</v>
      </c>
      <c r="G84" s="3" t="s">
        <v>318</v>
      </c>
      <c r="H84" s="4">
        <f>SUMIFS(Tab_01.Jan[SALDO
ATUAL],Tab_01.Jan[CONTA],$F84)</f>
        <v>-3574.84</v>
      </c>
      <c r="I84" s="4">
        <f>SUMIFS(Tab_02.Fev[SALDO
ATUAL],Tab_02.Fev[CONTA],$F84)</f>
        <v>-3697.34</v>
      </c>
      <c r="J84" s="4">
        <f>SUMIFS(Tab_03.Mar[SALDO
ATUAL],Tab_03.Mar[CONTA],$F84)</f>
        <v>-3819.84</v>
      </c>
      <c r="K84" s="4">
        <f>SUMIFS(Tab_04.Abr[SALDO
ATUAL],Tab_04.Abr[CONTA],$F84)</f>
        <v>-3942.34</v>
      </c>
      <c r="L84" s="4">
        <f>SUMIFS(Tab_05.Mai[SALDO
ATUAL],Tab_05.Mai[CONTA],$F84)</f>
        <v>-4064.84</v>
      </c>
      <c r="M84" s="4">
        <f>SUMIFS(Tab_06.Jun[SALDO
ATUAL],Tab_06.Jun[CONTA],$F84)</f>
        <v>-4187.04</v>
      </c>
      <c r="N84" s="4">
        <f>SUMIFS(Tab_07.Jul[SALDO
ATUAL],Tab_07.Jul[CONTA],$F84)</f>
        <v>-4309.24</v>
      </c>
      <c r="O84" s="4">
        <f>SUMIFS(Tab_08.Ago[SALDO
ATUAL],Tab_08.Ago[CONTA],$F84)</f>
        <v>-4431.4399999999996</v>
      </c>
      <c r="P84" s="4">
        <f>SUMIFS(Tab_09.Set[SALDO
ATUAL],Tab_09.Set[CONTA],$F84)</f>
        <v>-4553.6400000000003</v>
      </c>
      <c r="Q84" s="4">
        <f>SUMIFS(Tab_10.Out[SALDO
ATUAL],Tab_10.Out[CONTA],$F84)</f>
        <v>-4675.84</v>
      </c>
      <c r="R84" s="4">
        <f>SUMIFS(Tab_11.Nov[SALDO
ATUAL],Tab_11.Nov[CONTA],$F84)</f>
        <v>-4675.84</v>
      </c>
      <c r="S84" s="4">
        <f>SUMIFS(Tab_12.Dez[SALDO
ATUAL],Tab_12.Dez[CONTA],$F84)</f>
        <v>-4675.84</v>
      </c>
    </row>
    <row r="85" spans="2:19" x14ac:dyDescent="0.3">
      <c r="B85" s="3" t="s">
        <v>118</v>
      </c>
      <c r="C85" s="2" t="str">
        <f t="shared" si="3"/>
        <v>A</v>
      </c>
      <c r="D85" s="2" t="str">
        <f t="shared" si="4"/>
        <v>A</v>
      </c>
      <c r="E85" s="2">
        <f t="shared" si="5"/>
        <v>5</v>
      </c>
      <c r="F85" s="3" t="s">
        <v>323</v>
      </c>
      <c r="G85" s="3" t="s">
        <v>319</v>
      </c>
      <c r="H85" s="4">
        <f>SUMIFS(Tab_01.Jan[SALDO
ATUAL],Tab_01.Jan[CONTA],$F85)</f>
        <v>-128697.03</v>
      </c>
      <c r="I85" s="4">
        <f>SUMIFS(Tab_02.Fev[SALDO
ATUAL],Tab_02.Fev[CONTA],$F85)</f>
        <v>-128697.03</v>
      </c>
      <c r="J85" s="4">
        <f>SUMIFS(Tab_03.Mar[SALDO
ATUAL],Tab_03.Mar[CONTA],$F85)</f>
        <v>-128697.03</v>
      </c>
      <c r="K85" s="4">
        <f>SUMIFS(Tab_04.Abr[SALDO
ATUAL],Tab_04.Abr[CONTA],$F85)</f>
        <v>-128697.03</v>
      </c>
      <c r="L85" s="4">
        <f>SUMIFS(Tab_05.Mai[SALDO
ATUAL],Tab_05.Mai[CONTA],$F85)</f>
        <v>-128697.03</v>
      </c>
      <c r="M85" s="4">
        <f>SUMIFS(Tab_06.Jun[SALDO
ATUAL],Tab_06.Jun[CONTA],$F85)</f>
        <v>-128697.03</v>
      </c>
      <c r="N85" s="4">
        <f>SUMIFS(Tab_07.Jul[SALDO
ATUAL],Tab_07.Jul[CONTA],$F85)</f>
        <v>-128697.03</v>
      </c>
      <c r="O85" s="4">
        <f>SUMIFS(Tab_08.Ago[SALDO
ATUAL],Tab_08.Ago[CONTA],$F85)</f>
        <v>-128697.03</v>
      </c>
      <c r="P85" s="4">
        <f>SUMIFS(Tab_09.Set[SALDO
ATUAL],Tab_09.Set[CONTA],$F85)</f>
        <v>-128697.03</v>
      </c>
      <c r="Q85" s="4">
        <f>SUMIFS(Tab_10.Out[SALDO
ATUAL],Tab_10.Out[CONTA],$F85)</f>
        <v>-128697.03</v>
      </c>
      <c r="R85" s="4">
        <f>SUMIFS(Tab_11.Nov[SALDO
ATUAL],Tab_11.Nov[CONTA],$F85)</f>
        <v>-128819.23</v>
      </c>
      <c r="S85" s="4">
        <f>SUMIFS(Tab_12.Dez[SALDO
ATUAL],Tab_12.Dez[CONTA],$F85)</f>
        <v>-128941.43</v>
      </c>
    </row>
    <row r="86" spans="2:19" x14ac:dyDescent="0.3">
      <c r="B86" s="3" t="s">
        <v>118</v>
      </c>
      <c r="C86" s="2" t="str">
        <f t="shared" si="3"/>
        <v>A</v>
      </c>
      <c r="D86" s="2" t="str">
        <f t="shared" si="4"/>
        <v>A</v>
      </c>
      <c r="E86" s="2">
        <f t="shared" si="5"/>
        <v>5</v>
      </c>
      <c r="F86" s="3" t="s">
        <v>324</v>
      </c>
      <c r="G86" s="3" t="s">
        <v>320</v>
      </c>
      <c r="H86" s="4">
        <f>SUMIFS(Tab_01.Jan[SALDO
ATUAL],Tab_01.Jan[CONTA],$F86)</f>
        <v>-15029.74</v>
      </c>
      <c r="I86" s="4">
        <f>SUMIFS(Tab_02.Fev[SALDO
ATUAL],Tab_02.Fev[CONTA],$F86)</f>
        <v>-15029.74</v>
      </c>
      <c r="J86" s="4">
        <f>SUMIFS(Tab_03.Mar[SALDO
ATUAL],Tab_03.Mar[CONTA],$F86)</f>
        <v>-15029.74</v>
      </c>
      <c r="K86" s="4">
        <f>SUMIFS(Tab_04.Abr[SALDO
ATUAL],Tab_04.Abr[CONTA],$F86)</f>
        <v>-15029.74</v>
      </c>
      <c r="L86" s="4">
        <f>SUMIFS(Tab_05.Mai[SALDO
ATUAL],Tab_05.Mai[CONTA],$F86)</f>
        <v>-15029.74</v>
      </c>
      <c r="M86" s="4">
        <f>SUMIFS(Tab_06.Jun[SALDO
ATUAL],Tab_06.Jun[CONTA],$F86)</f>
        <v>-15029.74</v>
      </c>
      <c r="N86" s="4">
        <f>SUMIFS(Tab_07.Jul[SALDO
ATUAL],Tab_07.Jul[CONTA],$F86)</f>
        <v>-15029.74</v>
      </c>
      <c r="O86" s="4">
        <f>SUMIFS(Tab_08.Ago[SALDO
ATUAL],Tab_08.Ago[CONTA],$F86)</f>
        <v>-15029.74</v>
      </c>
      <c r="P86" s="4">
        <f>SUMIFS(Tab_09.Set[SALDO
ATUAL],Tab_09.Set[CONTA],$F86)</f>
        <v>-15029.74</v>
      </c>
      <c r="Q86" s="4">
        <f>SUMIFS(Tab_10.Out[SALDO
ATUAL],Tab_10.Out[CONTA],$F86)</f>
        <v>-15029.74</v>
      </c>
      <c r="R86" s="4">
        <f>SUMIFS(Tab_11.Nov[SALDO
ATUAL],Tab_11.Nov[CONTA],$F86)</f>
        <v>-15029.74</v>
      </c>
      <c r="S86" s="4">
        <f>SUMIFS(Tab_12.Dez[SALDO
ATUAL],Tab_12.Dez[CONTA],$F86)</f>
        <v>-15029.74</v>
      </c>
    </row>
    <row r="87" spans="2:19" x14ac:dyDescent="0.3">
      <c r="B87" s="3" t="s">
        <v>118</v>
      </c>
      <c r="C87" s="2" t="str">
        <f t="shared" si="3"/>
        <v>A</v>
      </c>
      <c r="D87" s="2" t="str">
        <f t="shared" si="4"/>
        <v>A</v>
      </c>
      <c r="E87" s="2">
        <f t="shared" si="5"/>
        <v>5</v>
      </c>
      <c r="F87" s="3" t="s">
        <v>325</v>
      </c>
      <c r="G87" s="3" t="s">
        <v>322</v>
      </c>
      <c r="H87" s="4">
        <f>SUMIFS(Tab_01.Jan[SALDO
ATUAL],Tab_01.Jan[CONTA],$F87)</f>
        <v>-113681.71</v>
      </c>
      <c r="I87" s="4">
        <f>SUMIFS(Tab_02.Fev[SALDO
ATUAL],Tab_02.Fev[CONTA],$F87)</f>
        <v>-113931.71</v>
      </c>
      <c r="J87" s="4">
        <f>SUMIFS(Tab_03.Mar[SALDO
ATUAL],Tab_03.Mar[CONTA],$F87)</f>
        <v>-114181.71</v>
      </c>
      <c r="K87" s="4">
        <f>SUMIFS(Tab_04.Abr[SALDO
ATUAL],Tab_04.Abr[CONTA],$F87)</f>
        <v>-114431.71</v>
      </c>
      <c r="L87" s="4">
        <f>SUMIFS(Tab_05.Mai[SALDO
ATUAL],Tab_05.Mai[CONTA],$F87)</f>
        <v>-114681.71</v>
      </c>
      <c r="M87" s="4">
        <f>SUMIFS(Tab_06.Jun[SALDO
ATUAL],Tab_06.Jun[CONTA],$F87)</f>
        <v>-114931.71</v>
      </c>
      <c r="N87" s="4">
        <f>SUMIFS(Tab_07.Jul[SALDO
ATUAL],Tab_07.Jul[CONTA],$F87)</f>
        <v>-115181.71</v>
      </c>
      <c r="O87" s="4">
        <f>SUMIFS(Tab_08.Ago[SALDO
ATUAL],Tab_08.Ago[CONTA],$F87)</f>
        <v>-115431.71</v>
      </c>
      <c r="P87" s="4">
        <f>SUMIFS(Tab_09.Set[SALDO
ATUAL],Tab_09.Set[CONTA],$F87)</f>
        <v>-115681.71</v>
      </c>
      <c r="Q87" s="4">
        <f>SUMIFS(Tab_10.Out[SALDO
ATUAL],Tab_10.Out[CONTA],$F87)</f>
        <v>-115931.71</v>
      </c>
      <c r="R87" s="4">
        <f>SUMIFS(Tab_11.Nov[SALDO
ATUAL],Tab_11.Nov[CONTA],$F87)</f>
        <v>-116181.71</v>
      </c>
      <c r="S87" s="4">
        <f>SUMIFS(Tab_12.Dez[SALDO
ATUAL],Tab_12.Dez[CONTA],$F87)</f>
        <v>-116431.71</v>
      </c>
    </row>
    <row r="88" spans="2:19" x14ac:dyDescent="0.3">
      <c r="B88" s="3"/>
      <c r="C88" s="2" t="str">
        <f t="shared" si="3"/>
        <v>P</v>
      </c>
      <c r="D88" s="2" t="str">
        <f t="shared" si="4"/>
        <v>S</v>
      </c>
      <c r="E88" s="2">
        <f t="shared" si="5"/>
        <v>1</v>
      </c>
      <c r="F88" s="3">
        <v>2</v>
      </c>
      <c r="G88" s="3" t="s">
        <v>653</v>
      </c>
      <c r="H88" s="4">
        <f>SUMIFS(Tab_01.Jan[SALDO
ATUAL],Tab_01.Jan[CONTA],$F88)</f>
        <v>-83950196.079999998</v>
      </c>
      <c r="I88" s="4">
        <f>SUMIFS(Tab_02.Fev[SALDO
ATUAL],Tab_02.Fev[CONTA],$F88)</f>
        <v>-83791314.099999994</v>
      </c>
      <c r="J88" s="4">
        <f>SUMIFS(Tab_03.Mar[SALDO
ATUAL],Tab_03.Mar[CONTA],$F88)</f>
        <v>-83339117.469999999</v>
      </c>
      <c r="K88" s="4">
        <f>SUMIFS(Tab_04.Abr[SALDO
ATUAL],Tab_04.Abr[CONTA],$F88)</f>
        <v>-83686314.609999999</v>
      </c>
      <c r="L88" s="4">
        <f>SUMIFS(Tab_05.Mai[SALDO
ATUAL],Tab_05.Mai[CONTA],$F88)</f>
        <v>-83558635.609999999</v>
      </c>
      <c r="M88" s="4">
        <f>SUMIFS(Tab_06.Jun[SALDO
ATUAL],Tab_06.Jun[CONTA],$F88)</f>
        <v>-83446298.989999995</v>
      </c>
      <c r="N88" s="4">
        <f>SUMIFS(Tab_07.Jul[SALDO
ATUAL],Tab_07.Jul[CONTA],$F88)</f>
        <v>-83580674.829999998</v>
      </c>
      <c r="O88" s="4">
        <f>SUMIFS(Tab_08.Ago[SALDO
ATUAL],Tab_08.Ago[CONTA],$F88)</f>
        <v>-83640031.019999996</v>
      </c>
      <c r="P88" s="4">
        <f>SUMIFS(Tab_09.Set[SALDO
ATUAL],Tab_09.Set[CONTA],$F88)</f>
        <v>-83577325.900000006</v>
      </c>
      <c r="Q88" s="4">
        <f>SUMIFS(Tab_10.Out[SALDO
ATUAL],Tab_10.Out[CONTA],$F88)</f>
        <v>-83576152.079999998</v>
      </c>
      <c r="R88" s="4">
        <f>SUMIFS(Tab_11.Nov[SALDO
ATUAL],Tab_11.Nov[CONTA],$F88)</f>
        <v>-83390588.689999998</v>
      </c>
      <c r="S88" s="4">
        <f>SUMIFS(Tab_12.Dez[SALDO
ATUAL],Tab_12.Dez[CONTA],$F88)</f>
        <v>-83775742.239999995</v>
      </c>
    </row>
    <row r="89" spans="2:19" x14ac:dyDescent="0.3">
      <c r="B89" s="3"/>
      <c r="C89" s="2" t="str">
        <f t="shared" si="3"/>
        <v>P</v>
      </c>
      <c r="D89" s="2" t="str">
        <f t="shared" si="4"/>
        <v>S</v>
      </c>
      <c r="E89" s="2">
        <f t="shared" si="5"/>
        <v>2</v>
      </c>
      <c r="F89" s="3" t="s">
        <v>216</v>
      </c>
      <c r="G89" s="3" t="s">
        <v>31</v>
      </c>
      <c r="H89" s="4">
        <f>SUMIFS(Tab_01.Jan[SALDO
ATUAL],Tab_01.Jan[CONTA],$F89)</f>
        <v>-1815294.31</v>
      </c>
      <c r="I89" s="4">
        <f>SUMIFS(Tab_02.Fev[SALDO
ATUAL],Tab_02.Fev[CONTA],$F89)</f>
        <v>-1656412.33</v>
      </c>
      <c r="J89" s="4">
        <f>SUMIFS(Tab_03.Mar[SALDO
ATUAL],Tab_03.Mar[CONTA],$F89)</f>
        <v>-1204215.7</v>
      </c>
      <c r="K89" s="4">
        <f>SUMIFS(Tab_04.Abr[SALDO
ATUAL],Tab_04.Abr[CONTA],$F89)</f>
        <v>-1551412.84</v>
      </c>
      <c r="L89" s="4">
        <f>SUMIFS(Tab_05.Mai[SALDO
ATUAL],Tab_05.Mai[CONTA],$F89)</f>
        <v>-1423733.84</v>
      </c>
      <c r="M89" s="4">
        <f>SUMIFS(Tab_06.Jun[SALDO
ATUAL],Tab_06.Jun[CONTA],$F89)</f>
        <v>-1311397.22</v>
      </c>
      <c r="N89" s="4">
        <f>SUMIFS(Tab_07.Jul[SALDO
ATUAL],Tab_07.Jul[CONTA],$F89)</f>
        <v>-1445773.06</v>
      </c>
      <c r="O89" s="4">
        <f>SUMIFS(Tab_08.Ago[SALDO
ATUAL],Tab_08.Ago[CONTA],$F89)</f>
        <v>-1505129.25</v>
      </c>
      <c r="P89" s="4">
        <f>SUMIFS(Tab_09.Set[SALDO
ATUAL],Tab_09.Set[CONTA],$F89)</f>
        <v>-1442424.13</v>
      </c>
      <c r="Q89" s="4">
        <f>SUMIFS(Tab_10.Out[SALDO
ATUAL],Tab_10.Out[CONTA],$F89)</f>
        <v>-1441250.31</v>
      </c>
      <c r="R89" s="4">
        <f>SUMIFS(Tab_11.Nov[SALDO
ATUAL],Tab_11.Nov[CONTA],$F89)</f>
        <v>-1255686.92</v>
      </c>
      <c r="S89" s="4">
        <f>SUMIFS(Tab_12.Dez[SALDO
ATUAL],Tab_12.Dez[CONTA],$F89)</f>
        <v>-649943.27</v>
      </c>
    </row>
    <row r="90" spans="2:19" x14ac:dyDescent="0.3">
      <c r="B90" s="3"/>
      <c r="C90" s="2" t="str">
        <f t="shared" si="3"/>
        <v>P</v>
      </c>
      <c r="D90" s="2" t="str">
        <f t="shared" si="4"/>
        <v>S</v>
      </c>
      <c r="E90" s="2">
        <f t="shared" si="5"/>
        <v>5</v>
      </c>
      <c r="F90" s="3" t="s">
        <v>558</v>
      </c>
      <c r="G90" s="3" t="s">
        <v>654</v>
      </c>
      <c r="H90" s="4">
        <f>SUMIFS(Tab_01.Jan[SALDO
ATUAL],Tab_01.Jan[CONTA],$F90)</f>
        <v>-368637.38</v>
      </c>
      <c r="I90" s="4">
        <f>SUMIFS(Tab_02.Fev[SALDO
ATUAL],Tab_02.Fev[CONTA],$F90)</f>
        <v>-282591.61</v>
      </c>
      <c r="J90" s="4">
        <f>SUMIFS(Tab_03.Mar[SALDO
ATUAL],Tab_03.Mar[CONTA],$F90)</f>
        <v>-293923.14</v>
      </c>
      <c r="K90" s="4">
        <f>SUMIFS(Tab_04.Abr[SALDO
ATUAL],Tab_04.Abr[CONTA],$F90)</f>
        <v>-313316.90000000002</v>
      </c>
      <c r="L90" s="4">
        <f>SUMIFS(Tab_05.Mai[SALDO
ATUAL],Tab_05.Mai[CONTA],$F90)</f>
        <v>-339194.97</v>
      </c>
      <c r="M90" s="4">
        <f>SUMIFS(Tab_06.Jun[SALDO
ATUAL],Tab_06.Jun[CONTA],$F90)</f>
        <v>-362961.2</v>
      </c>
      <c r="N90" s="4">
        <f>SUMIFS(Tab_07.Jul[SALDO
ATUAL],Tab_07.Jul[CONTA],$F90)</f>
        <v>-349578.4</v>
      </c>
      <c r="O90" s="4">
        <f>SUMIFS(Tab_08.Ago[SALDO
ATUAL],Tab_08.Ago[CONTA],$F90)</f>
        <v>-363978.86</v>
      </c>
      <c r="P90" s="4">
        <f>SUMIFS(Tab_09.Set[SALDO
ATUAL],Tab_09.Set[CONTA],$F90)</f>
        <v>-351606.58</v>
      </c>
      <c r="Q90" s="4">
        <f>SUMIFS(Tab_10.Out[SALDO
ATUAL],Tab_10.Out[CONTA],$F90)</f>
        <v>-353257.04</v>
      </c>
      <c r="R90" s="4">
        <f>SUMIFS(Tab_11.Nov[SALDO
ATUAL],Tab_11.Nov[CONTA],$F90)</f>
        <v>-372008.81</v>
      </c>
      <c r="S90" s="4">
        <f>SUMIFS(Tab_12.Dez[SALDO
ATUAL],Tab_12.Dez[CONTA],$F90)</f>
        <v>-268783.73</v>
      </c>
    </row>
    <row r="91" spans="2:19" x14ac:dyDescent="0.3">
      <c r="B91" s="3"/>
      <c r="C91" s="2" t="str">
        <f t="shared" ref="C91:C167" si="9">IF($F91="","",IF(LEFT($F91,1)*1=1,"A",IF(LEFT($F91,1)*1=2,"P",IF(LEFT($F91,1)*1=3,"R",IF(LEFT($F91,1)*1=4,"C",IF(LEFT($F91,1)*1=5,"C",""))))))</f>
        <v>P</v>
      </c>
      <c r="D91" s="2" t="str">
        <f t="shared" si="4"/>
        <v>S</v>
      </c>
      <c r="E91" s="2">
        <f t="shared" si="5"/>
        <v>5</v>
      </c>
      <c r="F91" s="3" t="s">
        <v>559</v>
      </c>
      <c r="G91" s="3" t="s">
        <v>655</v>
      </c>
      <c r="H91" s="4">
        <f>SUMIFS(Tab_01.Jan[SALDO
ATUAL],Tab_01.Jan[CONTA],$F91)</f>
        <v>0</v>
      </c>
      <c r="I91" s="4">
        <f>SUMIFS(Tab_02.Fev[SALDO
ATUAL],Tab_02.Fev[CONTA],$F91)</f>
        <v>0</v>
      </c>
      <c r="J91" s="4">
        <f>SUMIFS(Tab_03.Mar[SALDO
ATUAL],Tab_03.Mar[CONTA],$F91)</f>
        <v>0</v>
      </c>
      <c r="K91" s="4">
        <f>SUMIFS(Tab_04.Abr[SALDO
ATUAL],Tab_04.Abr[CONTA],$F91)</f>
        <v>0</v>
      </c>
      <c r="L91" s="4">
        <f>SUMIFS(Tab_05.Mai[SALDO
ATUAL],Tab_05.Mai[CONTA],$F91)</f>
        <v>0</v>
      </c>
      <c r="M91" s="4">
        <f>SUMIFS(Tab_06.Jun[SALDO
ATUAL],Tab_06.Jun[CONTA],$F91)</f>
        <v>0</v>
      </c>
      <c r="N91" s="4">
        <f>SUMIFS(Tab_07.Jul[SALDO
ATUAL],Tab_07.Jul[CONTA],$F91)</f>
        <v>0</v>
      </c>
      <c r="O91" s="4">
        <f>SUMIFS(Tab_08.Ago[SALDO
ATUAL],Tab_08.Ago[CONTA],$F91)</f>
        <v>0</v>
      </c>
      <c r="P91" s="4">
        <f>SUMIFS(Tab_09.Set[SALDO
ATUAL],Tab_09.Set[CONTA],$F91)</f>
        <v>0</v>
      </c>
      <c r="Q91" s="4">
        <f>SUMIFS(Tab_10.Out[SALDO
ATUAL],Tab_10.Out[CONTA],$F91)</f>
        <v>0</v>
      </c>
      <c r="R91" s="4">
        <f>SUMIFS(Tab_11.Nov[SALDO
ATUAL],Tab_11.Nov[CONTA],$F91)</f>
        <v>0</v>
      </c>
      <c r="S91" s="4">
        <f>SUMIFS(Tab_12.Dez[SALDO
ATUAL],Tab_12.Dez[CONTA],$F91)</f>
        <v>0</v>
      </c>
    </row>
    <row r="92" spans="2:19" x14ac:dyDescent="0.3">
      <c r="B92" s="3" t="s">
        <v>52</v>
      </c>
      <c r="C92" s="2" t="str">
        <f t="shared" si="9"/>
        <v>P</v>
      </c>
      <c r="D92" s="2" t="str">
        <f t="shared" si="4"/>
        <v>A</v>
      </c>
      <c r="E92" s="2">
        <f t="shared" si="5"/>
        <v>5</v>
      </c>
      <c r="F92" s="3" t="s">
        <v>326</v>
      </c>
      <c r="G92" s="3" t="s">
        <v>327</v>
      </c>
      <c r="H92" s="4">
        <f>SUMIFS(Tab_01.Jan[SALDO
ATUAL],Tab_01.Jan[CONTA],$F92)</f>
        <v>0</v>
      </c>
      <c r="I92" s="4">
        <f>SUMIFS(Tab_02.Fev[SALDO
ATUAL],Tab_02.Fev[CONTA],$F92)</f>
        <v>0</v>
      </c>
      <c r="J92" s="4">
        <f>SUMIFS(Tab_03.Mar[SALDO
ATUAL],Tab_03.Mar[CONTA],$F92)</f>
        <v>0</v>
      </c>
      <c r="K92" s="4">
        <f>SUMIFS(Tab_04.Abr[SALDO
ATUAL],Tab_04.Abr[CONTA],$F92)</f>
        <v>0</v>
      </c>
      <c r="L92" s="4">
        <f>SUMIFS(Tab_05.Mai[SALDO
ATUAL],Tab_05.Mai[CONTA],$F92)</f>
        <v>0</v>
      </c>
      <c r="M92" s="4">
        <f>SUMIFS(Tab_06.Jun[SALDO
ATUAL],Tab_06.Jun[CONTA],$F92)</f>
        <v>0</v>
      </c>
      <c r="N92" s="4">
        <f>SUMIFS(Tab_07.Jul[SALDO
ATUAL],Tab_07.Jul[CONTA],$F92)</f>
        <v>0</v>
      </c>
      <c r="O92" s="4">
        <f>SUMIFS(Tab_08.Ago[SALDO
ATUAL],Tab_08.Ago[CONTA],$F92)</f>
        <v>0</v>
      </c>
      <c r="P92" s="4">
        <f>SUMIFS(Tab_09.Set[SALDO
ATUAL],Tab_09.Set[CONTA],$F92)</f>
        <v>0</v>
      </c>
      <c r="Q92" s="4">
        <f>SUMIFS(Tab_10.Out[SALDO
ATUAL],Tab_10.Out[CONTA],$F92)</f>
        <v>0</v>
      </c>
      <c r="R92" s="4">
        <f>SUMIFS(Tab_11.Nov[SALDO
ATUAL],Tab_11.Nov[CONTA],$F92)</f>
        <v>0</v>
      </c>
      <c r="S92" s="4">
        <f>SUMIFS(Tab_12.Dez[SALDO
ATUAL],Tab_12.Dez[CONTA],$F92)</f>
        <v>0</v>
      </c>
    </row>
    <row r="93" spans="2:19" x14ac:dyDescent="0.3">
      <c r="B93" s="3" t="s">
        <v>52</v>
      </c>
      <c r="C93" s="2" t="str">
        <f t="shared" si="9"/>
        <v>P</v>
      </c>
      <c r="D93" s="2" t="str">
        <f t="shared" si="4"/>
        <v>A</v>
      </c>
      <c r="E93" s="2">
        <f t="shared" si="5"/>
        <v>5</v>
      </c>
      <c r="F93" s="3" t="s">
        <v>328</v>
      </c>
      <c r="G93" s="3" t="s">
        <v>329</v>
      </c>
      <c r="H93" s="4">
        <f>SUMIFS(Tab_01.Jan[SALDO
ATUAL],Tab_01.Jan[CONTA],$F93)</f>
        <v>0</v>
      </c>
      <c r="I93" s="4">
        <f>SUMIFS(Tab_02.Fev[SALDO
ATUAL],Tab_02.Fev[CONTA],$F93)</f>
        <v>0</v>
      </c>
      <c r="J93" s="4">
        <f>SUMIFS(Tab_03.Mar[SALDO
ATUAL],Tab_03.Mar[CONTA],$F93)</f>
        <v>0</v>
      </c>
      <c r="K93" s="4">
        <f>SUMIFS(Tab_04.Abr[SALDO
ATUAL],Tab_04.Abr[CONTA],$F93)</f>
        <v>0</v>
      </c>
      <c r="L93" s="4">
        <f>SUMIFS(Tab_05.Mai[SALDO
ATUAL],Tab_05.Mai[CONTA],$F93)</f>
        <v>0</v>
      </c>
      <c r="M93" s="4">
        <f>SUMIFS(Tab_06.Jun[SALDO
ATUAL],Tab_06.Jun[CONTA],$F93)</f>
        <v>0</v>
      </c>
      <c r="N93" s="4">
        <f>SUMIFS(Tab_07.Jul[SALDO
ATUAL],Tab_07.Jul[CONTA],$F93)</f>
        <v>0</v>
      </c>
      <c r="O93" s="4">
        <f>SUMIFS(Tab_08.Ago[SALDO
ATUAL],Tab_08.Ago[CONTA],$F93)</f>
        <v>0</v>
      </c>
      <c r="P93" s="4">
        <f>SUMIFS(Tab_09.Set[SALDO
ATUAL],Tab_09.Set[CONTA],$F93)</f>
        <v>0</v>
      </c>
      <c r="Q93" s="4">
        <f>SUMIFS(Tab_10.Out[SALDO
ATUAL],Tab_10.Out[CONTA],$F93)</f>
        <v>0</v>
      </c>
      <c r="R93" s="4">
        <f>SUMIFS(Tab_11.Nov[SALDO
ATUAL],Tab_11.Nov[CONTA],$F93)</f>
        <v>0</v>
      </c>
      <c r="S93" s="4">
        <f>SUMIFS(Tab_12.Dez[SALDO
ATUAL],Tab_12.Dez[CONTA],$F93)</f>
        <v>0</v>
      </c>
    </row>
    <row r="94" spans="2:19" x14ac:dyDescent="0.3">
      <c r="B94" s="3" t="s">
        <v>52</v>
      </c>
      <c r="C94" s="2" t="str">
        <f t="shared" si="9"/>
        <v>P</v>
      </c>
      <c r="D94" s="2" t="str">
        <f t="shared" si="4"/>
        <v>A</v>
      </c>
      <c r="E94" s="2">
        <f t="shared" si="5"/>
        <v>5</v>
      </c>
      <c r="F94" s="3" t="s">
        <v>330</v>
      </c>
      <c r="G94" s="3" t="s">
        <v>331</v>
      </c>
      <c r="H94" s="4">
        <f>SUMIFS(Tab_01.Jan[SALDO
ATUAL],Tab_01.Jan[CONTA],$F94)</f>
        <v>0</v>
      </c>
      <c r="I94" s="4">
        <f>SUMIFS(Tab_02.Fev[SALDO
ATUAL],Tab_02.Fev[CONTA],$F94)</f>
        <v>0</v>
      </c>
      <c r="J94" s="4">
        <f>SUMIFS(Tab_03.Mar[SALDO
ATUAL],Tab_03.Mar[CONTA],$F94)</f>
        <v>0</v>
      </c>
      <c r="K94" s="4">
        <f>SUMIFS(Tab_04.Abr[SALDO
ATUAL],Tab_04.Abr[CONTA],$F94)</f>
        <v>0</v>
      </c>
      <c r="L94" s="4">
        <f>SUMIFS(Tab_05.Mai[SALDO
ATUAL],Tab_05.Mai[CONTA],$F94)</f>
        <v>0</v>
      </c>
      <c r="M94" s="4">
        <f>SUMIFS(Tab_06.Jun[SALDO
ATUAL],Tab_06.Jun[CONTA],$F94)</f>
        <v>0</v>
      </c>
      <c r="N94" s="4">
        <f>SUMIFS(Tab_07.Jul[SALDO
ATUAL],Tab_07.Jul[CONTA],$F94)</f>
        <v>0</v>
      </c>
      <c r="O94" s="4">
        <f>SUMIFS(Tab_08.Ago[SALDO
ATUAL],Tab_08.Ago[CONTA],$F94)</f>
        <v>0</v>
      </c>
      <c r="P94" s="4">
        <f>SUMIFS(Tab_09.Set[SALDO
ATUAL],Tab_09.Set[CONTA],$F94)</f>
        <v>0</v>
      </c>
      <c r="Q94" s="4">
        <f>SUMIFS(Tab_10.Out[SALDO
ATUAL],Tab_10.Out[CONTA],$F94)</f>
        <v>0</v>
      </c>
      <c r="R94" s="4">
        <f>SUMIFS(Tab_11.Nov[SALDO
ATUAL],Tab_11.Nov[CONTA],$F94)</f>
        <v>0</v>
      </c>
      <c r="S94" s="4">
        <f>SUMIFS(Tab_12.Dez[SALDO
ATUAL],Tab_12.Dez[CONTA],$F94)</f>
        <v>0</v>
      </c>
    </row>
    <row r="95" spans="2:19" x14ac:dyDescent="0.3">
      <c r="B95" s="3"/>
      <c r="C95" s="2" t="str">
        <f t="shared" si="9"/>
        <v>P</v>
      </c>
      <c r="D95" s="2" t="str">
        <f t="shared" si="4"/>
        <v>S</v>
      </c>
      <c r="E95" s="2">
        <f t="shared" si="5"/>
        <v>5</v>
      </c>
      <c r="F95" s="3" t="s">
        <v>560</v>
      </c>
      <c r="G95" s="3" t="s">
        <v>656</v>
      </c>
      <c r="H95" s="4">
        <f>SUMIFS(Tab_01.Jan[SALDO
ATUAL],Tab_01.Jan[CONTA],$F95)</f>
        <v>-15301.97</v>
      </c>
      <c r="I95" s="4">
        <f>SUMIFS(Tab_02.Fev[SALDO
ATUAL],Tab_02.Fev[CONTA],$F95)</f>
        <v>-22497.62</v>
      </c>
      <c r="J95" s="4">
        <f>SUMIFS(Tab_03.Mar[SALDO
ATUAL],Tab_03.Mar[CONTA],$F95)</f>
        <v>-33746.449999999997</v>
      </c>
      <c r="K95" s="4">
        <f>SUMIFS(Tab_04.Abr[SALDO
ATUAL],Tab_04.Abr[CONTA],$F95)</f>
        <v>-44995.19</v>
      </c>
      <c r="L95" s="4">
        <f>SUMIFS(Tab_05.Mai[SALDO
ATUAL],Tab_05.Mai[CONTA],$F95)</f>
        <v>-56606.17</v>
      </c>
      <c r="M95" s="4">
        <f>SUMIFS(Tab_06.Jun[SALDO
ATUAL],Tab_06.Jun[CONTA],$F95)</f>
        <v>-68217.09</v>
      </c>
      <c r="N95" s="4">
        <f>SUMIFS(Tab_07.Jul[SALDO
ATUAL],Tab_07.Jul[CONTA],$F95)</f>
        <v>-79827.03</v>
      </c>
      <c r="O95" s="4">
        <f>SUMIFS(Tab_08.Ago[SALDO
ATUAL],Tab_08.Ago[CONTA],$F95)</f>
        <v>-90283.63</v>
      </c>
      <c r="P95" s="4">
        <f>SUMIFS(Tab_09.Set[SALDO
ATUAL],Tab_09.Set[CONTA],$F95)</f>
        <v>-103619.32</v>
      </c>
      <c r="Q95" s="4">
        <f>SUMIFS(Tab_10.Out[SALDO
ATUAL],Tab_10.Out[CONTA],$F95)</f>
        <v>-115366.05</v>
      </c>
      <c r="R95" s="4">
        <f>SUMIFS(Tab_11.Nov[SALDO
ATUAL],Tab_11.Nov[CONTA],$F95)</f>
        <v>-127113.01</v>
      </c>
      <c r="S95" s="4">
        <f>SUMIFS(Tab_12.Dez[SALDO
ATUAL],Tab_12.Dez[CONTA],$F95)</f>
        <v>0</v>
      </c>
    </row>
    <row r="96" spans="2:19" x14ac:dyDescent="0.3">
      <c r="B96" s="3" t="s">
        <v>52</v>
      </c>
      <c r="C96" s="2" t="str">
        <f t="shared" si="9"/>
        <v>P</v>
      </c>
      <c r="D96" s="2" t="str">
        <f t="shared" si="4"/>
        <v>A</v>
      </c>
      <c r="E96" s="2">
        <f t="shared" si="5"/>
        <v>5</v>
      </c>
      <c r="F96" s="3" t="s">
        <v>332</v>
      </c>
      <c r="G96" s="3" t="s">
        <v>333</v>
      </c>
      <c r="H96" s="4">
        <f>SUMIFS(Tab_01.Jan[SALDO
ATUAL],Tab_01.Jan[CONTA],$F96)</f>
        <v>-11268.08</v>
      </c>
      <c r="I96" s="4">
        <f>SUMIFS(Tab_02.Fev[SALDO
ATUAL],Tab_02.Fev[CONTA],$F96)</f>
        <v>-16566.759999999998</v>
      </c>
      <c r="J96" s="4">
        <f>SUMIFS(Tab_03.Mar[SALDO
ATUAL],Tab_03.Mar[CONTA],$F96)</f>
        <v>-24850.13</v>
      </c>
      <c r="K96" s="4">
        <f>SUMIFS(Tab_04.Abr[SALDO
ATUAL],Tab_04.Abr[CONTA],$F96)</f>
        <v>-33133.46</v>
      </c>
      <c r="L96" s="4">
        <f>SUMIFS(Tab_05.Mai[SALDO
ATUAL],Tab_05.Mai[CONTA],$F96)</f>
        <v>-41683.519999999997</v>
      </c>
      <c r="M96" s="4">
        <f>SUMIFS(Tab_06.Jun[SALDO
ATUAL],Tab_06.Jun[CONTA],$F96)</f>
        <v>-50233.57</v>
      </c>
      <c r="N96" s="4">
        <f>SUMIFS(Tab_07.Jul[SALDO
ATUAL],Tab_07.Jul[CONTA],$F96)</f>
        <v>-58783.59</v>
      </c>
      <c r="O96" s="4">
        <f>SUMIFS(Tab_08.Ago[SALDO
ATUAL],Tab_08.Ago[CONTA],$F96)</f>
        <v>-66073.52</v>
      </c>
      <c r="P96" s="4">
        <f>SUMIFS(Tab_09.Set[SALDO
ATUAL],Tab_09.Set[CONTA],$F96)</f>
        <v>-76170.19</v>
      </c>
      <c r="Q96" s="4">
        <f>SUMIFS(Tab_10.Out[SALDO
ATUAL],Tab_10.Out[CONTA],$F96)</f>
        <v>-84821.79</v>
      </c>
      <c r="R96" s="4">
        <f>SUMIFS(Tab_11.Nov[SALDO
ATUAL],Tab_11.Nov[CONTA],$F96)</f>
        <v>-93473.41</v>
      </c>
      <c r="S96" s="4">
        <f>SUMIFS(Tab_12.Dez[SALDO
ATUAL],Tab_12.Dez[CONTA],$F96)</f>
        <v>0</v>
      </c>
    </row>
    <row r="97" spans="2:19" x14ac:dyDescent="0.3">
      <c r="B97" s="3" t="s">
        <v>52</v>
      </c>
      <c r="C97" s="2" t="str">
        <f>IF($F97="","",IF(LEFT($F97,1)*1=1,"A",IF(LEFT($F97,1)*1=2,"P",IF(LEFT($F97,1)*1=3,"R",IF(LEFT($F97,1)*1=4,"C",IF(LEFT($F97,1)*1=5,"C",""))))))</f>
        <v>P</v>
      </c>
      <c r="D97" s="2" t="str">
        <f>IF($F97="","",IF(LEN($F97)=13,"A","S"))</f>
        <v>A</v>
      </c>
      <c r="E97" s="2">
        <f>IF($F97="","",IF(LEN($F97)=1,1,IF(LEN($F97)=3,2,IF(LEN($F97)=5,3,IF(LEN($F97)=8,4,5)))))</f>
        <v>5</v>
      </c>
      <c r="F97" s="3" t="s">
        <v>778</v>
      </c>
      <c r="G97" s="3" t="s">
        <v>779</v>
      </c>
      <c r="H97" s="4">
        <f>SUMIFS(Tab_01.Jan[SALDO
ATUAL],Tab_01.Jan[CONTA],$F97)</f>
        <v>-901.38</v>
      </c>
      <c r="I97" s="4">
        <f>SUMIFS(Tab_02.Fev[SALDO
ATUAL],Tab_02.Fev[CONTA],$F97)</f>
        <v>-1325.29</v>
      </c>
      <c r="J97" s="4">
        <f>SUMIFS(Tab_03.Mar[SALDO
ATUAL],Tab_03.Mar[CONTA],$F97)</f>
        <v>-1987.97</v>
      </c>
      <c r="K97" s="4">
        <f>SUMIFS(Tab_04.Abr[SALDO
ATUAL],Tab_04.Abr[CONTA],$F97)</f>
        <v>-2650.62</v>
      </c>
      <c r="L97" s="4">
        <f>SUMIFS(Tab_05.Mai[SALDO
ATUAL],Tab_05.Mai[CONTA],$F97)</f>
        <v>-3334.64</v>
      </c>
      <c r="M97" s="4">
        <f>SUMIFS(Tab_06.Jun[SALDO
ATUAL],Tab_06.Jun[CONTA],$F97)</f>
        <v>-4018.63</v>
      </c>
      <c r="N97" s="4">
        <f>SUMIFS(Tab_07.Jul[SALDO
ATUAL],Tab_07.Jul[CONTA],$F97)</f>
        <v>-4702.63</v>
      </c>
      <c r="O97" s="4">
        <f>SUMIFS(Tab_08.Ago[SALDO
ATUAL],Tab_08.Ago[CONTA],$F97)</f>
        <v>-5285.81</v>
      </c>
      <c r="P97" s="4">
        <f>SUMIFS(Tab_09.Set[SALDO
ATUAL],Tab_09.Set[CONTA],$F97)</f>
        <v>-6093.55</v>
      </c>
      <c r="Q97" s="4">
        <f>SUMIFS(Tab_10.Out[SALDO
ATUAL],Tab_10.Out[CONTA],$F97)</f>
        <v>-6785.69</v>
      </c>
      <c r="R97" s="4">
        <f>SUMIFS(Tab_11.Nov[SALDO
ATUAL],Tab_11.Nov[CONTA],$F97)</f>
        <v>-7477.8</v>
      </c>
      <c r="S97" s="4">
        <f>SUMIFS(Tab_12.Dez[SALDO
ATUAL],Tab_12.Dez[CONTA],$F97)</f>
        <v>0</v>
      </c>
    </row>
    <row r="98" spans="2:19" x14ac:dyDescent="0.3">
      <c r="B98" s="3" t="s">
        <v>52</v>
      </c>
      <c r="C98" s="2" t="str">
        <f>IF($F98="","",IF(LEFT($F98,1)*1=1,"A",IF(LEFT($F98,1)*1=2,"P",IF(LEFT($F98,1)*1=3,"R",IF(LEFT($F98,1)*1=4,"C",IF(LEFT($F98,1)*1=5,"C",""))))))</f>
        <v>P</v>
      </c>
      <c r="D98" s="2" t="str">
        <f>IF($F98="","",IF(LEN($F98)=13,"A","S"))</f>
        <v>A</v>
      </c>
      <c r="E98" s="2">
        <f>IF($F98="","",IF(LEN($F98)=1,1,IF(LEN($F98)=3,2,IF(LEN($F98)=5,3,IF(LEN($F98)=8,4,5)))))</f>
        <v>5</v>
      </c>
      <c r="F98" s="3" t="s">
        <v>780</v>
      </c>
      <c r="G98" s="3" t="s">
        <v>781</v>
      </c>
      <c r="H98" s="4">
        <f>SUMIFS(Tab_01.Jan[SALDO
ATUAL],Tab_01.Jan[CONTA],$F98)</f>
        <v>-112.67</v>
      </c>
      <c r="I98" s="4">
        <f>SUMIFS(Tab_02.Fev[SALDO
ATUAL],Tab_02.Fev[CONTA],$F98)</f>
        <v>-165.68</v>
      </c>
      <c r="J98" s="4">
        <f>SUMIFS(Tab_03.Mar[SALDO
ATUAL],Tab_03.Mar[CONTA],$F98)</f>
        <v>-248.5</v>
      </c>
      <c r="K98" s="4">
        <f>SUMIFS(Tab_04.Abr[SALDO
ATUAL],Tab_04.Abr[CONTA],$F98)</f>
        <v>-331.34</v>
      </c>
      <c r="L98" s="4">
        <f>SUMIFS(Tab_05.Mai[SALDO
ATUAL],Tab_05.Mai[CONTA],$F98)</f>
        <v>-416.83</v>
      </c>
      <c r="M98" s="4">
        <f>SUMIFS(Tab_06.Jun[SALDO
ATUAL],Tab_06.Jun[CONTA],$F98)</f>
        <v>-502.32</v>
      </c>
      <c r="N98" s="4">
        <f>SUMIFS(Tab_07.Jul[SALDO
ATUAL],Tab_07.Jul[CONTA],$F98)</f>
        <v>-587.80999999999995</v>
      </c>
      <c r="O98" s="4">
        <f>SUMIFS(Tab_08.Ago[SALDO
ATUAL],Tab_08.Ago[CONTA],$F98)</f>
        <v>-680.79</v>
      </c>
      <c r="P98" s="4">
        <f>SUMIFS(Tab_09.Set[SALDO
ATUAL],Tab_09.Set[CONTA],$F98)</f>
        <v>-768.18</v>
      </c>
      <c r="Q98" s="4">
        <f>SUMIFS(Tab_10.Out[SALDO
ATUAL],Tab_10.Out[CONTA],$F98)</f>
        <v>-854.63</v>
      </c>
      <c r="R98" s="4">
        <f>SUMIFS(Tab_11.Nov[SALDO
ATUAL],Tab_11.Nov[CONTA],$F98)</f>
        <v>-941.08</v>
      </c>
      <c r="S98" s="4">
        <f>SUMIFS(Tab_12.Dez[SALDO
ATUAL],Tab_12.Dez[CONTA],$F98)</f>
        <v>0</v>
      </c>
    </row>
    <row r="99" spans="2:19" x14ac:dyDescent="0.3">
      <c r="B99" s="3" t="s">
        <v>52</v>
      </c>
      <c r="C99" s="2" t="str">
        <f>IF($F99="","",IF(LEFT($F99,1)*1=1,"A",IF(LEFT($F99,1)*1=2,"P",IF(LEFT($F99,1)*1=3,"R",IF(LEFT($F99,1)*1=4,"C",IF(LEFT($F99,1)*1=5,"C",""))))))</f>
        <v>P</v>
      </c>
      <c r="D99" s="2" t="str">
        <f>IF($F99="","",IF(LEN($F99)=13,"A","S"))</f>
        <v>A</v>
      </c>
      <c r="E99" s="2">
        <f>IF($F99="","",IF(LEN($F99)=1,1,IF(LEN($F99)=3,2,IF(LEN($F99)=5,3,IF(LEN($F99)=8,4,5)))))</f>
        <v>5</v>
      </c>
      <c r="F99" s="3" t="s">
        <v>782</v>
      </c>
      <c r="G99" s="3" t="s">
        <v>783</v>
      </c>
      <c r="H99" s="4">
        <f>SUMIFS(Tab_01.Jan[SALDO
ATUAL],Tab_01.Jan[CONTA],$F99)</f>
        <v>-3019.84</v>
      </c>
      <c r="I99" s="4">
        <f>SUMIFS(Tab_02.Fev[SALDO
ATUAL],Tab_02.Fev[CONTA],$F99)</f>
        <v>-4439.8900000000003</v>
      </c>
      <c r="J99" s="4">
        <f>SUMIFS(Tab_03.Mar[SALDO
ATUAL],Tab_03.Mar[CONTA],$F99)</f>
        <v>-6659.85</v>
      </c>
      <c r="K99" s="4">
        <f>SUMIFS(Tab_04.Abr[SALDO
ATUAL],Tab_04.Abr[CONTA],$F99)</f>
        <v>-8879.77</v>
      </c>
      <c r="L99" s="4">
        <f>SUMIFS(Tab_05.Mai[SALDO
ATUAL],Tab_05.Mai[CONTA],$F99)</f>
        <v>-11171.18</v>
      </c>
      <c r="M99" s="4">
        <f>SUMIFS(Tab_06.Jun[SALDO
ATUAL],Tab_06.Jun[CONTA],$F99)</f>
        <v>-13462.57</v>
      </c>
      <c r="N99" s="4">
        <f>SUMIFS(Tab_07.Jul[SALDO
ATUAL],Tab_07.Jul[CONTA],$F99)</f>
        <v>-15753</v>
      </c>
      <c r="O99" s="4">
        <f>SUMIFS(Tab_08.Ago[SALDO
ATUAL],Tab_08.Ago[CONTA],$F99)</f>
        <v>-18243.509999999998</v>
      </c>
      <c r="P99" s="4">
        <f>SUMIFS(Tab_09.Set[SALDO
ATUAL],Tab_09.Set[CONTA],$F99)</f>
        <v>-20587.400000000001</v>
      </c>
      <c r="Q99" s="4">
        <f>SUMIFS(Tab_10.Out[SALDO
ATUAL],Tab_10.Out[CONTA],$F99)</f>
        <v>-22903.94</v>
      </c>
      <c r="R99" s="4">
        <f>SUMIFS(Tab_11.Nov[SALDO
ATUAL],Tab_11.Nov[CONTA],$F99)</f>
        <v>-25220.720000000001</v>
      </c>
      <c r="S99" s="4">
        <f>SUMIFS(Tab_12.Dez[SALDO
ATUAL],Tab_12.Dez[CONTA],$F99)</f>
        <v>0</v>
      </c>
    </row>
    <row r="100" spans="2:19" x14ac:dyDescent="0.3">
      <c r="B100" s="3"/>
      <c r="C100" s="2" t="str">
        <f t="shared" si="9"/>
        <v>P</v>
      </c>
      <c r="D100" s="2" t="str">
        <f t="shared" si="4"/>
        <v>S</v>
      </c>
      <c r="E100" s="2">
        <f t="shared" si="5"/>
        <v>5</v>
      </c>
      <c r="F100" s="3" t="s">
        <v>561</v>
      </c>
      <c r="G100" s="3" t="s">
        <v>657</v>
      </c>
      <c r="H100" s="4">
        <f>SUMIFS(Tab_01.Jan[SALDO
ATUAL],Tab_01.Jan[CONTA],$F100)</f>
        <v>-281798.96000000002</v>
      </c>
      <c r="I100" s="4">
        <f>SUMIFS(Tab_02.Fev[SALDO
ATUAL],Tab_02.Fev[CONTA],$F100)</f>
        <v>-195619.86</v>
      </c>
      <c r="J100" s="4">
        <f>SUMIFS(Tab_03.Mar[SALDO
ATUAL],Tab_03.Mar[CONTA],$F100)</f>
        <v>-207025.53</v>
      </c>
      <c r="K100" s="4">
        <f>SUMIFS(Tab_04.Abr[SALDO
ATUAL],Tab_04.Abr[CONTA],$F100)</f>
        <v>-221867.95</v>
      </c>
      <c r="L100" s="4">
        <f>SUMIFS(Tab_05.Mai[SALDO
ATUAL],Tab_05.Mai[CONTA],$F100)</f>
        <v>-236606.97</v>
      </c>
      <c r="M100" s="4">
        <f>SUMIFS(Tab_06.Jun[SALDO
ATUAL],Tab_06.Jun[CONTA],$F100)</f>
        <v>-252088.29</v>
      </c>
      <c r="N100" s="4">
        <f>SUMIFS(Tab_07.Jul[SALDO
ATUAL],Tab_07.Jul[CONTA],$F100)</f>
        <v>-226256.29</v>
      </c>
      <c r="O100" s="4">
        <f>SUMIFS(Tab_08.Ago[SALDO
ATUAL],Tab_08.Ago[CONTA],$F100)</f>
        <v>-225937.45</v>
      </c>
      <c r="P100" s="4">
        <f>SUMIFS(Tab_09.Set[SALDO
ATUAL],Tab_09.Set[CONTA],$F100)</f>
        <v>-202152.4</v>
      </c>
      <c r="Q100" s="4">
        <f>SUMIFS(Tab_10.Out[SALDO
ATUAL],Tab_10.Out[CONTA],$F100)</f>
        <v>-191368.78</v>
      </c>
      <c r="R100" s="4">
        <f>SUMIFS(Tab_11.Nov[SALDO
ATUAL],Tab_11.Nov[CONTA],$F100)</f>
        <v>-199706.11</v>
      </c>
      <c r="S100" s="4">
        <f>SUMIFS(Tab_12.Dez[SALDO
ATUAL],Tab_12.Dez[CONTA],$F100)</f>
        <v>-216136.46</v>
      </c>
    </row>
    <row r="101" spans="2:19" x14ac:dyDescent="0.3">
      <c r="B101" s="3" t="s">
        <v>52</v>
      </c>
      <c r="C101" s="2" t="str">
        <f t="shared" si="9"/>
        <v>P</v>
      </c>
      <c r="D101" s="2" t="str">
        <f t="shared" si="4"/>
        <v>A</v>
      </c>
      <c r="E101" s="2">
        <f t="shared" si="5"/>
        <v>5</v>
      </c>
      <c r="F101" s="3" t="s">
        <v>334</v>
      </c>
      <c r="G101" s="3" t="s">
        <v>335</v>
      </c>
      <c r="H101" s="4">
        <f>SUMIFS(Tab_01.Jan[SALDO
ATUAL],Tab_01.Jan[CONTA],$F101)</f>
        <v>-207351.84</v>
      </c>
      <c r="I101" s="4">
        <f>SUMIFS(Tab_02.Fev[SALDO
ATUAL],Tab_02.Fev[CONTA],$F101)</f>
        <v>-143964.95000000001</v>
      </c>
      <c r="J101" s="4">
        <f>SUMIFS(Tab_03.Mar[SALDO
ATUAL],Tab_03.Mar[CONTA],$F101)</f>
        <v>-152419.89000000001</v>
      </c>
      <c r="K101" s="4">
        <f>SUMIFS(Tab_04.Abr[SALDO
ATUAL],Tab_04.Abr[CONTA],$F101)</f>
        <v>-163377.99</v>
      </c>
      <c r="L101" s="4">
        <f>SUMIFS(Tab_05.Mai[SALDO
ATUAL],Tab_05.Mai[CONTA],$F101)</f>
        <v>-174044.7</v>
      </c>
      <c r="M101" s="4">
        <f>SUMIFS(Tab_06.Jun[SALDO
ATUAL],Tab_06.Jun[CONTA],$F101)</f>
        <v>-185444.76</v>
      </c>
      <c r="N101" s="4">
        <f>SUMIFS(Tab_07.Jul[SALDO
ATUAL],Tab_07.Jul[CONTA],$F101)</f>
        <v>-166422.66</v>
      </c>
      <c r="O101" s="4">
        <f>SUMIFS(Tab_08.Ago[SALDO
ATUAL],Tab_08.Ago[CONTA],$F101)</f>
        <v>-166254.06</v>
      </c>
      <c r="P101" s="4">
        <f>SUMIFS(Tab_09.Set[SALDO
ATUAL],Tab_09.Set[CONTA],$F101)</f>
        <v>-148671.13</v>
      </c>
      <c r="Q101" s="4">
        <f>SUMIFS(Tab_10.Out[SALDO
ATUAL],Tab_10.Out[CONTA],$F101)</f>
        <v>-140847.38</v>
      </c>
      <c r="R101" s="4">
        <f>SUMIFS(Tab_11.Nov[SALDO
ATUAL],Tab_11.Nov[CONTA],$F101)</f>
        <v>-147005.94</v>
      </c>
      <c r="S101" s="4">
        <f>SUMIFS(Tab_12.Dez[SALDO
ATUAL],Tab_12.Dez[CONTA],$F101)</f>
        <v>-158957.4</v>
      </c>
    </row>
    <row r="102" spans="2:19" x14ac:dyDescent="0.3">
      <c r="B102" s="3" t="s">
        <v>52</v>
      </c>
      <c r="C102" s="2" t="str">
        <f>IF($F102="","",IF(LEFT($F102,1)*1=1,"A",IF(LEFT($F102,1)*1=2,"P",IF(LEFT($F102,1)*1=3,"R",IF(LEFT($F102,1)*1=4,"C",IF(LEFT($F102,1)*1=5,"C",""))))))</f>
        <v>P</v>
      </c>
      <c r="D102" s="2" t="str">
        <f t="shared" ref="D102:D107" si="10">IF($F102="","",IF(LEN($F102)=13,"A","S"))</f>
        <v>A</v>
      </c>
      <c r="E102" s="2">
        <f t="shared" ref="E102:E107" si="11">IF($F102="","",IF(LEN($F102)=1,1,IF(LEN($F102)=3,2,IF(LEN($F102)=5,3,IF(LEN($F102)=8,4,5)))))</f>
        <v>5</v>
      </c>
      <c r="F102" s="3" t="s">
        <v>784</v>
      </c>
      <c r="G102" s="3" t="s">
        <v>785</v>
      </c>
      <c r="H102" s="4">
        <f>SUMIFS(Tab_01.Jan[SALDO
ATUAL],Tab_01.Jan[CONTA],$F102)</f>
        <v>-16551.36</v>
      </c>
      <c r="I102" s="4">
        <f>SUMIFS(Tab_02.Fev[SALDO
ATUAL],Tab_02.Fev[CONTA],$F102)</f>
        <v>-11473.03</v>
      </c>
      <c r="J102" s="4">
        <f>SUMIFS(Tab_03.Mar[SALDO
ATUAL],Tab_03.Mar[CONTA],$F102)</f>
        <v>-12142.12</v>
      </c>
      <c r="K102" s="4">
        <f>SUMIFS(Tab_04.Abr[SALDO
ATUAL],Tab_04.Abr[CONTA],$F102)</f>
        <v>-13011.43</v>
      </c>
      <c r="L102" s="4">
        <f>SUMIFS(Tab_05.Mai[SALDO
ATUAL],Tab_05.Mai[CONTA],$F102)</f>
        <v>-13923.42</v>
      </c>
      <c r="M102" s="4">
        <f>SUMIFS(Tab_06.Jun[SALDO
ATUAL],Tab_06.Jun[CONTA],$F102)</f>
        <v>-14835.41</v>
      </c>
      <c r="N102" s="4">
        <f>SUMIFS(Tab_07.Jul[SALDO
ATUAL],Tab_07.Jul[CONTA],$F102)</f>
        <v>-13313.66</v>
      </c>
      <c r="O102" s="4">
        <f>SUMIFS(Tab_08.Ago[SALDO
ATUAL],Tab_08.Ago[CONTA],$F102)</f>
        <v>-13292.85</v>
      </c>
      <c r="P102" s="4">
        <f>SUMIFS(Tab_09.Set[SALDO
ATUAL],Tab_09.Set[CONTA],$F102)</f>
        <v>-11878.87</v>
      </c>
      <c r="Q102" s="4">
        <f>SUMIFS(Tab_10.Out[SALDO
ATUAL],Tab_10.Out[CONTA],$F102)</f>
        <v>-11245.64</v>
      </c>
      <c r="R102" s="4">
        <f>SUMIFS(Tab_11.Nov[SALDO
ATUAL],Tab_11.Nov[CONTA],$F102)</f>
        <v>-11730.99</v>
      </c>
      <c r="S102" s="4">
        <f>SUMIFS(Tab_12.Dez[SALDO
ATUAL],Tab_12.Dez[CONTA],$F102)</f>
        <v>-12734.09</v>
      </c>
    </row>
    <row r="103" spans="2:19" x14ac:dyDescent="0.3">
      <c r="B103" s="3" t="s">
        <v>52</v>
      </c>
      <c r="C103" s="2" t="str">
        <f>IF($F103="","",IF(LEFT($F103,1)*1=1,"A",IF(LEFT($F103,1)*1=2,"P",IF(LEFT($F103,1)*1=3,"R",IF(LEFT($F103,1)*1=4,"C",IF(LEFT($F103,1)*1=5,"C",""))))))</f>
        <v>P</v>
      </c>
      <c r="D103" s="2" t="str">
        <f t="shared" si="10"/>
        <v>A</v>
      </c>
      <c r="E103" s="2">
        <f t="shared" si="11"/>
        <v>5</v>
      </c>
      <c r="F103" s="3" t="s">
        <v>786</v>
      </c>
      <c r="G103" s="3" t="s">
        <v>787</v>
      </c>
      <c r="H103" s="4">
        <f>SUMIFS(Tab_01.Jan[SALDO
ATUAL],Tab_01.Jan[CONTA],$F103)</f>
        <v>-2448.34</v>
      </c>
      <c r="I103" s="4">
        <f>SUMIFS(Tab_02.Fev[SALDO
ATUAL],Tab_02.Fev[CONTA],$F103)</f>
        <v>-1746.64</v>
      </c>
      <c r="J103" s="4">
        <f>SUMIFS(Tab_03.Mar[SALDO
ATUAL],Tab_03.Mar[CONTA],$F103)</f>
        <v>-1786.86</v>
      </c>
      <c r="K103" s="4">
        <f>SUMIFS(Tab_04.Abr[SALDO
ATUAL],Tab_04.Abr[CONTA],$F103)</f>
        <v>-1889.75</v>
      </c>
      <c r="L103" s="4">
        <f>SUMIFS(Tab_05.Mai[SALDO
ATUAL],Tab_05.Mai[CONTA],$F103)</f>
        <v>-1994.85</v>
      </c>
      <c r="M103" s="4">
        <f>SUMIFS(Tab_06.Jun[SALDO
ATUAL],Tab_06.Jun[CONTA],$F103)</f>
        <v>-2108.85</v>
      </c>
      <c r="N103" s="4">
        <f>SUMIFS(Tab_07.Jul[SALDO
ATUAL],Tab_07.Jul[CONTA],$F103)</f>
        <v>-1918.65</v>
      </c>
      <c r="O103" s="4">
        <f>SUMIFS(Tab_08.Ago[SALDO
ATUAL],Tab_08.Ago[CONTA],$F103)</f>
        <v>-1859</v>
      </c>
      <c r="P103" s="4">
        <f>SUMIFS(Tab_09.Set[SALDO
ATUAL],Tab_09.Set[CONTA],$F103)</f>
        <v>-1807.67</v>
      </c>
      <c r="Q103" s="4">
        <f>SUMIFS(Tab_10.Out[SALDO
ATUAL],Tab_10.Out[CONTA],$F103)</f>
        <v>-1602.33</v>
      </c>
      <c r="R103" s="4">
        <f>SUMIFS(Tab_11.Nov[SALDO
ATUAL],Tab_11.Nov[CONTA],$F103)</f>
        <v>-1669.81</v>
      </c>
      <c r="S103" s="4">
        <f>SUMIFS(Tab_12.Dez[SALDO
ATUAL],Tab_12.Dez[CONTA],$F103)</f>
        <v>-1785.18</v>
      </c>
    </row>
    <row r="104" spans="2:19" x14ac:dyDescent="0.3">
      <c r="B104" s="3" t="s">
        <v>52</v>
      </c>
      <c r="C104" s="2" t="str">
        <f>IF($F104="","",IF(LEFT($F104,1)*1=1,"A",IF(LEFT($F104,1)*1=2,"P",IF(LEFT($F104,1)*1=3,"R",IF(LEFT($F104,1)*1=4,"C",IF(LEFT($F104,1)*1=5,"C",""))))))</f>
        <v>P</v>
      </c>
      <c r="D104" s="2" t="str">
        <f t="shared" si="10"/>
        <v>A</v>
      </c>
      <c r="E104" s="2">
        <f t="shared" si="11"/>
        <v>5</v>
      </c>
      <c r="F104" s="3" t="s">
        <v>788</v>
      </c>
      <c r="G104" s="3" t="s">
        <v>789</v>
      </c>
      <c r="H104" s="4">
        <f>SUMIFS(Tab_01.Jan[SALDO
ATUAL],Tab_01.Jan[CONTA],$F104)</f>
        <v>-55447.42</v>
      </c>
      <c r="I104" s="4">
        <f>SUMIFS(Tab_02.Fev[SALDO
ATUAL],Tab_02.Fev[CONTA],$F104)</f>
        <v>-38435.24</v>
      </c>
      <c r="J104" s="4">
        <f>SUMIFS(Tab_03.Mar[SALDO
ATUAL],Tab_03.Mar[CONTA],$F104)</f>
        <v>-40676.660000000003</v>
      </c>
      <c r="K104" s="4">
        <f>SUMIFS(Tab_04.Abr[SALDO
ATUAL],Tab_04.Abr[CONTA],$F104)</f>
        <v>-43588.78</v>
      </c>
      <c r="L104" s="4">
        <f>SUMIFS(Tab_05.Mai[SALDO
ATUAL],Tab_05.Mai[CONTA],$F104)</f>
        <v>-46644</v>
      </c>
      <c r="M104" s="4">
        <f>SUMIFS(Tab_06.Jun[SALDO
ATUAL],Tab_06.Jun[CONTA],$F104)</f>
        <v>-49699.27</v>
      </c>
      <c r="N104" s="4">
        <f>SUMIFS(Tab_07.Jul[SALDO
ATUAL],Tab_07.Jul[CONTA],$F104)</f>
        <v>-44601.32</v>
      </c>
      <c r="O104" s="4">
        <f>SUMIFS(Tab_08.Ago[SALDO
ATUAL],Tab_08.Ago[CONTA],$F104)</f>
        <v>-44531.54</v>
      </c>
      <c r="P104" s="4">
        <f>SUMIFS(Tab_09.Set[SALDO
ATUAL],Tab_09.Set[CONTA],$F104)</f>
        <v>-39794.730000000003</v>
      </c>
      <c r="Q104" s="4">
        <f>SUMIFS(Tab_10.Out[SALDO
ATUAL],Tab_10.Out[CONTA],$F104)</f>
        <v>-37673.43</v>
      </c>
      <c r="R104" s="4">
        <f>SUMIFS(Tab_11.Nov[SALDO
ATUAL],Tab_11.Nov[CONTA],$F104)</f>
        <v>-39299.370000000003</v>
      </c>
      <c r="S104" s="4">
        <f>SUMIFS(Tab_12.Dez[SALDO
ATUAL],Tab_12.Dez[CONTA],$F104)</f>
        <v>-42659.79</v>
      </c>
    </row>
    <row r="105" spans="2:19" x14ac:dyDescent="0.3">
      <c r="B105" s="3"/>
      <c r="C105" s="2" t="str">
        <f t="shared" si="9"/>
        <v>P</v>
      </c>
      <c r="D105" s="2" t="str">
        <f t="shared" si="10"/>
        <v>S</v>
      </c>
      <c r="E105" s="2">
        <f t="shared" si="11"/>
        <v>5</v>
      </c>
      <c r="F105" s="3" t="s">
        <v>562</v>
      </c>
      <c r="G105" s="3" t="s">
        <v>658</v>
      </c>
      <c r="H105" s="4">
        <f>SUMIFS(Tab_01.Jan[SALDO
ATUAL],Tab_01.Jan[CONTA],$F105)</f>
        <v>-48287.58</v>
      </c>
      <c r="I105" s="4">
        <f>SUMIFS(Tab_02.Fev[SALDO
ATUAL],Tab_02.Fev[CONTA],$F105)</f>
        <v>-46092.78</v>
      </c>
      <c r="J105" s="4">
        <f>SUMIFS(Tab_03.Mar[SALDO
ATUAL],Tab_03.Mar[CONTA],$F105)</f>
        <v>-36645.54</v>
      </c>
      <c r="K105" s="4">
        <f>SUMIFS(Tab_04.Abr[SALDO
ATUAL],Tab_04.Abr[CONTA],$F105)</f>
        <v>-31551.8</v>
      </c>
      <c r="L105" s="4">
        <f>SUMIFS(Tab_05.Mai[SALDO
ATUAL],Tab_05.Mai[CONTA],$F105)</f>
        <v>-32380.61</v>
      </c>
      <c r="M105" s="4">
        <f>SUMIFS(Tab_06.Jun[SALDO
ATUAL],Tab_06.Jun[CONTA],$F105)</f>
        <v>-32583.05</v>
      </c>
      <c r="N105" s="4">
        <f>SUMIFS(Tab_07.Jul[SALDO
ATUAL],Tab_07.Jul[CONTA],$F105)</f>
        <v>-33202.51</v>
      </c>
      <c r="O105" s="4">
        <f>SUMIFS(Tab_08.Ago[SALDO
ATUAL],Tab_08.Ago[CONTA],$F105)</f>
        <v>-37587.78</v>
      </c>
      <c r="P105" s="4">
        <f>SUMIFS(Tab_09.Set[SALDO
ATUAL],Tab_09.Set[CONTA],$F105)</f>
        <v>-35995.78</v>
      </c>
      <c r="Q105" s="4">
        <f>SUMIFS(Tab_10.Out[SALDO
ATUAL],Tab_10.Out[CONTA],$F105)</f>
        <v>-36634.31</v>
      </c>
      <c r="R105" s="4">
        <f>SUMIFS(Tab_11.Nov[SALDO
ATUAL],Tab_11.Nov[CONTA],$F105)</f>
        <v>-35631.67</v>
      </c>
      <c r="S105" s="4">
        <f>SUMIFS(Tab_12.Dez[SALDO
ATUAL],Tab_12.Dez[CONTA],$F105)</f>
        <v>-35223.25</v>
      </c>
    </row>
    <row r="106" spans="2:19" x14ac:dyDescent="0.3">
      <c r="B106" s="3" t="s">
        <v>52</v>
      </c>
      <c r="C106" s="2" t="str">
        <f t="shared" si="9"/>
        <v>P</v>
      </c>
      <c r="D106" s="2" t="str">
        <f t="shared" si="10"/>
        <v>A</v>
      </c>
      <c r="E106" s="2">
        <f t="shared" si="11"/>
        <v>5</v>
      </c>
      <c r="F106" s="3" t="s">
        <v>336</v>
      </c>
      <c r="G106" s="3" t="s">
        <v>337</v>
      </c>
      <c r="H106" s="4">
        <f>SUMIFS(Tab_01.Jan[SALDO
ATUAL],Tab_01.Jan[CONTA],$F106)</f>
        <v>-47261.64</v>
      </c>
      <c r="I106" s="4">
        <f>SUMIFS(Tab_02.Fev[SALDO
ATUAL],Tab_02.Fev[CONTA],$F106)</f>
        <v>-45066.84</v>
      </c>
      <c r="J106" s="4">
        <f>SUMIFS(Tab_03.Mar[SALDO
ATUAL],Tab_03.Mar[CONTA],$F106)</f>
        <v>-36132.559999999998</v>
      </c>
      <c r="K106" s="4">
        <f>SUMIFS(Tab_04.Abr[SALDO
ATUAL],Tab_04.Abr[CONTA],$F106)</f>
        <v>-30763.82</v>
      </c>
      <c r="L106" s="4">
        <f>SUMIFS(Tab_05.Mai[SALDO
ATUAL],Tab_05.Mai[CONTA],$F106)</f>
        <v>-31867.63</v>
      </c>
      <c r="M106" s="4">
        <f>SUMIFS(Tab_06.Jun[SALDO
ATUAL],Tab_06.Jun[CONTA],$F106)</f>
        <v>-32070.07</v>
      </c>
      <c r="N106" s="4">
        <f>SUMIFS(Tab_07.Jul[SALDO
ATUAL],Tab_07.Jul[CONTA],$F106)</f>
        <v>-32618.43</v>
      </c>
      <c r="O106" s="4">
        <f>SUMIFS(Tab_08.Ago[SALDO
ATUAL],Tab_08.Ago[CONTA],$F106)</f>
        <v>-37003.699999999997</v>
      </c>
      <c r="P106" s="4">
        <f>SUMIFS(Tab_09.Set[SALDO
ATUAL],Tab_09.Set[CONTA],$F106)</f>
        <v>-35995.78</v>
      </c>
      <c r="Q106" s="4">
        <f>SUMIFS(Tab_10.Out[SALDO
ATUAL],Tab_10.Out[CONTA],$F106)</f>
        <v>-36050.230000000003</v>
      </c>
      <c r="R106" s="4">
        <f>SUMIFS(Tab_11.Nov[SALDO
ATUAL],Tab_11.Nov[CONTA],$F106)</f>
        <v>-35088.22</v>
      </c>
      <c r="S106" s="4">
        <f>SUMIFS(Tab_12.Dez[SALDO
ATUAL],Tab_12.Dez[CONTA],$F106)</f>
        <v>-34679.800000000003</v>
      </c>
    </row>
    <row r="107" spans="2:19" x14ac:dyDescent="0.3">
      <c r="B107" s="3" t="s">
        <v>52</v>
      </c>
      <c r="C107" s="2" t="str">
        <f t="shared" si="9"/>
        <v>P</v>
      </c>
      <c r="D107" s="2" t="str">
        <f t="shared" si="10"/>
        <v>A</v>
      </c>
      <c r="E107" s="2">
        <f t="shared" si="11"/>
        <v>5</v>
      </c>
      <c r="F107" s="3" t="s">
        <v>338</v>
      </c>
      <c r="G107" s="3" t="s">
        <v>339</v>
      </c>
      <c r="H107" s="4">
        <f>SUMIFS(Tab_01.Jan[SALDO
ATUAL],Tab_01.Jan[CONTA],$F107)</f>
        <v>-1025.94</v>
      </c>
      <c r="I107" s="4">
        <f>SUMIFS(Tab_02.Fev[SALDO
ATUAL],Tab_02.Fev[CONTA],$F107)</f>
        <v>-1025.94</v>
      </c>
      <c r="J107" s="4">
        <f>SUMIFS(Tab_03.Mar[SALDO
ATUAL],Tab_03.Mar[CONTA],$F107)</f>
        <v>-512.98</v>
      </c>
      <c r="K107" s="4">
        <f>SUMIFS(Tab_04.Abr[SALDO
ATUAL],Tab_04.Abr[CONTA],$F107)</f>
        <v>-787.98</v>
      </c>
      <c r="L107" s="4">
        <f>SUMIFS(Tab_05.Mai[SALDO
ATUAL],Tab_05.Mai[CONTA],$F107)</f>
        <v>-512.98</v>
      </c>
      <c r="M107" s="4">
        <f>SUMIFS(Tab_06.Jun[SALDO
ATUAL],Tab_06.Jun[CONTA],$F107)</f>
        <v>-512.98</v>
      </c>
      <c r="N107" s="4">
        <f>SUMIFS(Tab_07.Jul[SALDO
ATUAL],Tab_07.Jul[CONTA],$F107)</f>
        <v>-584.08000000000004</v>
      </c>
      <c r="O107" s="4">
        <f>SUMIFS(Tab_08.Ago[SALDO
ATUAL],Tab_08.Ago[CONTA],$F107)</f>
        <v>-584.08000000000004</v>
      </c>
      <c r="P107" s="4">
        <f>SUMIFS(Tab_09.Set[SALDO
ATUAL],Tab_09.Set[CONTA],$F107)</f>
        <v>0</v>
      </c>
      <c r="Q107" s="4">
        <f>SUMIFS(Tab_10.Out[SALDO
ATUAL],Tab_10.Out[CONTA],$F107)</f>
        <v>-584.08000000000004</v>
      </c>
      <c r="R107" s="4">
        <f>SUMIFS(Tab_11.Nov[SALDO
ATUAL],Tab_11.Nov[CONTA],$F107)</f>
        <v>-543.45000000000005</v>
      </c>
      <c r="S107" s="4">
        <f>SUMIFS(Tab_12.Dez[SALDO
ATUAL],Tab_12.Dez[CONTA],$F107)</f>
        <v>-543.45000000000005</v>
      </c>
    </row>
    <row r="108" spans="2:19" x14ac:dyDescent="0.3">
      <c r="B108" s="3"/>
      <c r="C108" s="2" t="str">
        <f t="shared" si="9"/>
        <v>P</v>
      </c>
      <c r="D108" s="2" t="str">
        <f t="shared" si="4"/>
        <v>S</v>
      </c>
      <c r="E108" s="2">
        <f t="shared" si="5"/>
        <v>5</v>
      </c>
      <c r="F108" s="3" t="s">
        <v>563</v>
      </c>
      <c r="G108" s="3" t="s">
        <v>659</v>
      </c>
      <c r="H108" s="4">
        <f>SUMIFS(Tab_01.Jan[SALDO
ATUAL],Tab_01.Jan[CONTA],$F108)</f>
        <v>-23248.87</v>
      </c>
      <c r="I108" s="4">
        <f>SUMIFS(Tab_02.Fev[SALDO
ATUAL],Tab_02.Fev[CONTA],$F108)</f>
        <v>-18381.349999999999</v>
      </c>
      <c r="J108" s="4">
        <f>SUMIFS(Tab_03.Mar[SALDO
ATUAL],Tab_03.Mar[CONTA],$F108)</f>
        <v>-16505.62</v>
      </c>
      <c r="K108" s="4">
        <f>SUMIFS(Tab_04.Abr[SALDO
ATUAL],Tab_04.Abr[CONTA],$F108)</f>
        <v>-14901.96</v>
      </c>
      <c r="L108" s="4">
        <f>SUMIFS(Tab_05.Mai[SALDO
ATUAL],Tab_05.Mai[CONTA],$F108)</f>
        <v>-13601.22</v>
      </c>
      <c r="M108" s="4">
        <f>SUMIFS(Tab_06.Jun[SALDO
ATUAL],Tab_06.Jun[CONTA],$F108)</f>
        <v>-10072.77</v>
      </c>
      <c r="N108" s="4">
        <f>SUMIFS(Tab_07.Jul[SALDO
ATUAL],Tab_07.Jul[CONTA],$F108)</f>
        <v>-10292.57</v>
      </c>
      <c r="O108" s="4">
        <f>SUMIFS(Tab_08.Ago[SALDO
ATUAL],Tab_08.Ago[CONTA],$F108)</f>
        <v>-10170</v>
      </c>
      <c r="P108" s="4">
        <f>SUMIFS(Tab_09.Set[SALDO
ATUAL],Tab_09.Set[CONTA],$F108)</f>
        <v>-9839.08</v>
      </c>
      <c r="Q108" s="4">
        <f>SUMIFS(Tab_10.Out[SALDO
ATUAL],Tab_10.Out[CONTA],$F108)</f>
        <v>-9887.9</v>
      </c>
      <c r="R108" s="4">
        <f>SUMIFS(Tab_11.Nov[SALDO
ATUAL],Tab_11.Nov[CONTA],$F108)</f>
        <v>-9558.02</v>
      </c>
      <c r="S108" s="4">
        <f>SUMIFS(Tab_12.Dez[SALDO
ATUAL],Tab_12.Dez[CONTA],$F108)</f>
        <v>-17424.02</v>
      </c>
    </row>
    <row r="109" spans="2:19" x14ac:dyDescent="0.3">
      <c r="B109" s="3" t="s">
        <v>52</v>
      </c>
      <c r="C109" s="2" t="str">
        <f t="shared" si="9"/>
        <v>P</v>
      </c>
      <c r="D109" s="2" t="str">
        <f t="shared" si="4"/>
        <v>A</v>
      </c>
      <c r="E109" s="2">
        <f t="shared" si="5"/>
        <v>5</v>
      </c>
      <c r="F109" s="3" t="s">
        <v>340</v>
      </c>
      <c r="G109" s="3" t="s">
        <v>341</v>
      </c>
      <c r="H109" s="4">
        <f>SUMIFS(Tab_01.Jan[SALDO
ATUAL],Tab_01.Jan[CONTA],$F109)</f>
        <v>-21799.74</v>
      </c>
      <c r="I109" s="4">
        <f>SUMIFS(Tab_02.Fev[SALDO
ATUAL],Tab_02.Fev[CONTA],$F109)</f>
        <v>-17091.669999999998</v>
      </c>
      <c r="J109" s="4">
        <f>SUMIFS(Tab_03.Mar[SALDO
ATUAL],Tab_03.Mar[CONTA],$F109)</f>
        <v>-15520.52</v>
      </c>
      <c r="K109" s="4">
        <f>SUMIFS(Tab_04.Abr[SALDO
ATUAL],Tab_04.Abr[CONTA],$F109)</f>
        <v>-13962.75</v>
      </c>
      <c r="L109" s="4">
        <f>SUMIFS(Tab_05.Mai[SALDO
ATUAL],Tab_05.Mai[CONTA],$F109)</f>
        <v>-12585.64</v>
      </c>
      <c r="M109" s="4">
        <f>SUMIFS(Tab_06.Jun[SALDO
ATUAL],Tab_06.Jun[CONTA],$F109)</f>
        <v>-9043.31</v>
      </c>
      <c r="N109" s="4">
        <f>SUMIFS(Tab_07.Jul[SALDO
ATUAL],Tab_07.Jul[CONTA],$F109)</f>
        <v>-9187.0499999999993</v>
      </c>
      <c r="O109" s="4">
        <f>SUMIFS(Tab_08.Ago[SALDO
ATUAL],Tab_08.Ago[CONTA],$F109)</f>
        <v>-8992.7800000000007</v>
      </c>
      <c r="P109" s="4">
        <f>SUMIFS(Tab_09.Set[SALDO
ATUAL],Tab_09.Set[CONTA],$F109)</f>
        <v>-8680.81</v>
      </c>
      <c r="Q109" s="4">
        <f>SUMIFS(Tab_10.Out[SALDO
ATUAL],Tab_10.Out[CONTA],$F109)</f>
        <v>-8724.19</v>
      </c>
      <c r="R109" s="4">
        <f>SUMIFS(Tab_11.Nov[SALDO
ATUAL],Tab_11.Nov[CONTA],$F109)</f>
        <v>-8430.9500000000007</v>
      </c>
      <c r="S109" s="4">
        <f>SUMIFS(Tab_12.Dez[SALDO
ATUAL],Tab_12.Dez[CONTA],$F109)</f>
        <v>-16384.63</v>
      </c>
    </row>
    <row r="110" spans="2:19" x14ac:dyDescent="0.3">
      <c r="B110" s="3" t="s">
        <v>52</v>
      </c>
      <c r="C110" s="2" t="str">
        <f t="shared" si="9"/>
        <v>P</v>
      </c>
      <c r="D110" s="2" t="str">
        <f t="shared" si="4"/>
        <v>A</v>
      </c>
      <c r="E110" s="2">
        <f t="shared" si="5"/>
        <v>5</v>
      </c>
      <c r="F110" s="3" t="s">
        <v>342</v>
      </c>
      <c r="G110" s="3" t="s">
        <v>343</v>
      </c>
      <c r="H110" s="4">
        <f>SUMIFS(Tab_01.Jan[SALDO
ATUAL],Tab_01.Jan[CONTA],$F110)</f>
        <v>-1449.13</v>
      </c>
      <c r="I110" s="4">
        <f>SUMIFS(Tab_02.Fev[SALDO
ATUAL],Tab_02.Fev[CONTA],$F110)</f>
        <v>-1289.68</v>
      </c>
      <c r="J110" s="4">
        <f>SUMIFS(Tab_03.Mar[SALDO
ATUAL],Tab_03.Mar[CONTA],$F110)</f>
        <v>-985.1</v>
      </c>
      <c r="K110" s="4">
        <f>SUMIFS(Tab_04.Abr[SALDO
ATUAL],Tab_04.Abr[CONTA],$F110)</f>
        <v>-939.21</v>
      </c>
      <c r="L110" s="4">
        <f>SUMIFS(Tab_05.Mai[SALDO
ATUAL],Tab_05.Mai[CONTA],$F110)</f>
        <v>-1015.58</v>
      </c>
      <c r="M110" s="4">
        <f>SUMIFS(Tab_06.Jun[SALDO
ATUAL],Tab_06.Jun[CONTA],$F110)</f>
        <v>-1029.46</v>
      </c>
      <c r="N110" s="4">
        <f>SUMIFS(Tab_07.Jul[SALDO
ATUAL],Tab_07.Jul[CONTA],$F110)</f>
        <v>-1105.52</v>
      </c>
      <c r="O110" s="4">
        <f>SUMIFS(Tab_08.Ago[SALDO
ATUAL],Tab_08.Ago[CONTA],$F110)</f>
        <v>-1177.22</v>
      </c>
      <c r="P110" s="4">
        <f>SUMIFS(Tab_09.Set[SALDO
ATUAL],Tab_09.Set[CONTA],$F110)</f>
        <v>-1158.27</v>
      </c>
      <c r="Q110" s="4">
        <f>SUMIFS(Tab_10.Out[SALDO
ATUAL],Tab_10.Out[CONTA],$F110)</f>
        <v>-1163.71</v>
      </c>
      <c r="R110" s="4">
        <f>SUMIFS(Tab_11.Nov[SALDO
ATUAL],Tab_11.Nov[CONTA],$F110)</f>
        <v>-1127.07</v>
      </c>
      <c r="S110" s="4">
        <f>SUMIFS(Tab_12.Dez[SALDO
ATUAL],Tab_12.Dez[CONTA],$F110)</f>
        <v>-1039.3900000000001</v>
      </c>
    </row>
    <row r="111" spans="2:19" x14ac:dyDescent="0.3">
      <c r="B111" s="3"/>
      <c r="C111" s="2" t="str">
        <f t="shared" si="9"/>
        <v>P</v>
      </c>
      <c r="D111" s="2" t="str">
        <f t="shared" si="4"/>
        <v>S</v>
      </c>
      <c r="E111" s="2">
        <f t="shared" si="5"/>
        <v>5</v>
      </c>
      <c r="F111" s="3" t="s">
        <v>218</v>
      </c>
      <c r="G111" s="3" t="s">
        <v>660</v>
      </c>
      <c r="H111" s="4">
        <f>SUMIFS(Tab_01.Jan[SALDO
ATUAL],Tab_01.Jan[CONTA],$F111)</f>
        <v>-1396034.98</v>
      </c>
      <c r="I111" s="4">
        <f>SUMIFS(Tab_02.Fev[SALDO
ATUAL],Tab_02.Fev[CONTA],$F111)</f>
        <v>-1324687.06</v>
      </c>
      <c r="J111" s="4">
        <f>SUMIFS(Tab_03.Mar[SALDO
ATUAL],Tab_03.Mar[CONTA],$F111)</f>
        <v>-866291.35</v>
      </c>
      <c r="K111" s="4">
        <f>SUMIFS(Tab_04.Abr[SALDO
ATUAL],Tab_04.Abr[CONTA],$F111)</f>
        <v>-1193079.8400000001</v>
      </c>
      <c r="L111" s="4">
        <f>SUMIFS(Tab_05.Mai[SALDO
ATUAL],Tab_05.Mai[CONTA],$F111)</f>
        <v>-1040827.89</v>
      </c>
      <c r="M111" s="4">
        <f>SUMIFS(Tab_06.Jun[SALDO
ATUAL],Tab_06.Jun[CONTA],$F111)</f>
        <v>-899982.51</v>
      </c>
      <c r="N111" s="4">
        <f>SUMIFS(Tab_07.Jul[SALDO
ATUAL],Tab_07.Jul[CONTA],$F111)</f>
        <v>-1054727.3500000001</v>
      </c>
      <c r="O111" s="4">
        <f>SUMIFS(Tab_08.Ago[SALDO
ATUAL],Tab_08.Ago[CONTA],$F111)</f>
        <v>-1095717.71</v>
      </c>
      <c r="P111" s="4">
        <f>SUMIFS(Tab_09.Set[SALDO
ATUAL],Tab_09.Set[CONTA],$F111)</f>
        <v>-1049200.8</v>
      </c>
      <c r="Q111" s="4">
        <f>SUMIFS(Tab_10.Out[SALDO
ATUAL],Tab_10.Out[CONTA],$F111)</f>
        <v>-1037217.56</v>
      </c>
      <c r="R111" s="4">
        <f>SUMIFS(Tab_11.Nov[SALDO
ATUAL],Tab_11.Nov[CONTA],$F111)</f>
        <v>-833406.21</v>
      </c>
      <c r="S111" s="4">
        <f>SUMIFS(Tab_12.Dez[SALDO
ATUAL],Tab_12.Dez[CONTA],$F111)</f>
        <v>-350148.93</v>
      </c>
    </row>
    <row r="112" spans="2:19" x14ac:dyDescent="0.3">
      <c r="B112" s="3"/>
      <c r="C112" s="2" t="str">
        <f t="shared" si="9"/>
        <v>P</v>
      </c>
      <c r="D112" s="2" t="str">
        <f t="shared" ref="D112:D187" si="12">IF($F112="","",IF(LEN($F112)=13,"A","S"))</f>
        <v>S</v>
      </c>
      <c r="E112" s="2">
        <f t="shared" ref="E112:E187" si="13">IF($F112="","",IF(LEN($F112)=1,1,IF(LEN($F112)=3,2,IF(LEN($F112)=5,3,IF(LEN($F112)=8,4,5)))))</f>
        <v>5</v>
      </c>
      <c r="F112" s="3" t="s">
        <v>219</v>
      </c>
      <c r="G112" s="3" t="s">
        <v>56</v>
      </c>
      <c r="H112" s="4">
        <f>SUMIFS(Tab_01.Jan[SALDO
ATUAL],Tab_01.Jan[CONTA],$F112)</f>
        <v>-646686.39</v>
      </c>
      <c r="I112" s="4">
        <f>SUMIFS(Tab_02.Fev[SALDO
ATUAL],Tab_02.Fev[CONTA],$F112)</f>
        <v>-575338.47</v>
      </c>
      <c r="J112" s="4">
        <f>SUMIFS(Tab_03.Mar[SALDO
ATUAL],Tab_03.Mar[CONTA],$F112)</f>
        <v>-116942.76</v>
      </c>
      <c r="K112" s="4">
        <f>SUMIFS(Tab_04.Abr[SALDO
ATUAL],Tab_04.Abr[CONTA],$F112)</f>
        <v>-443731.25</v>
      </c>
      <c r="L112" s="4">
        <f>SUMIFS(Tab_05.Mai[SALDO
ATUAL],Tab_05.Mai[CONTA],$F112)</f>
        <v>-84531.28</v>
      </c>
      <c r="M112" s="4">
        <f>SUMIFS(Tab_06.Jun[SALDO
ATUAL],Tab_06.Jun[CONTA],$F112)</f>
        <v>-90941.77</v>
      </c>
      <c r="N112" s="4">
        <f>SUMIFS(Tab_07.Jul[SALDO
ATUAL],Tab_07.Jul[CONTA],$F112)</f>
        <v>-60413.4</v>
      </c>
      <c r="O112" s="4">
        <f>SUMIFS(Tab_08.Ago[SALDO
ATUAL],Tab_08.Ago[CONTA],$F112)</f>
        <v>-59317.56</v>
      </c>
      <c r="P112" s="4">
        <f>SUMIFS(Tab_09.Set[SALDO
ATUAL],Tab_09.Set[CONTA],$F112)</f>
        <v>-55466.22</v>
      </c>
      <c r="Q112" s="4">
        <f>SUMIFS(Tab_10.Out[SALDO
ATUAL],Tab_10.Out[CONTA],$F112)</f>
        <v>-287868.96999999997</v>
      </c>
      <c r="R112" s="4">
        <f>SUMIFS(Tab_11.Nov[SALDO
ATUAL],Tab_11.Nov[CONTA],$F112)</f>
        <v>-84057.62</v>
      </c>
      <c r="S112" s="4">
        <f>SUMIFS(Tab_12.Dez[SALDO
ATUAL],Tab_12.Dez[CONTA],$F112)</f>
        <v>-41942.61</v>
      </c>
    </row>
    <row r="113" spans="2:19" x14ac:dyDescent="0.3">
      <c r="B113" s="3" t="s">
        <v>50</v>
      </c>
      <c r="C113" s="2" t="str">
        <f t="shared" si="9"/>
        <v>P</v>
      </c>
      <c r="D113" s="2" t="str">
        <f t="shared" si="12"/>
        <v>A</v>
      </c>
      <c r="E113" s="2">
        <f t="shared" si="13"/>
        <v>5</v>
      </c>
      <c r="F113" s="3" t="s">
        <v>344</v>
      </c>
      <c r="G113" s="3" t="s">
        <v>56</v>
      </c>
      <c r="H113" s="4">
        <f>SUMIFS(Tab_01.Jan[SALDO
ATUAL],Tab_01.Jan[CONTA],$F113)</f>
        <v>-646686.39</v>
      </c>
      <c r="I113" s="4">
        <f>SUMIFS(Tab_02.Fev[SALDO
ATUAL],Tab_02.Fev[CONTA],$F113)</f>
        <v>-575338.47</v>
      </c>
      <c r="J113" s="4">
        <f>SUMIFS(Tab_03.Mar[SALDO
ATUAL],Tab_03.Mar[CONTA],$F113)</f>
        <v>-116942.76</v>
      </c>
      <c r="K113" s="4">
        <f>SUMIFS(Tab_04.Abr[SALDO
ATUAL],Tab_04.Abr[CONTA],$F113)</f>
        <v>-443731.25</v>
      </c>
      <c r="L113" s="4">
        <f>SUMIFS(Tab_05.Mai[SALDO
ATUAL],Tab_05.Mai[CONTA],$F113)</f>
        <v>-84531.28</v>
      </c>
      <c r="M113" s="4">
        <f>SUMIFS(Tab_06.Jun[SALDO
ATUAL],Tab_06.Jun[CONTA],$F113)</f>
        <v>-90941.77</v>
      </c>
      <c r="N113" s="4">
        <f>SUMIFS(Tab_07.Jul[SALDO
ATUAL],Tab_07.Jul[CONTA],$F113)</f>
        <v>-60413.4</v>
      </c>
      <c r="O113" s="4">
        <f>SUMIFS(Tab_08.Ago[SALDO
ATUAL],Tab_08.Ago[CONTA],$F113)</f>
        <v>-59317.56</v>
      </c>
      <c r="P113" s="4">
        <f>SUMIFS(Tab_09.Set[SALDO
ATUAL],Tab_09.Set[CONTA],$F113)</f>
        <v>-55466.22</v>
      </c>
      <c r="Q113" s="4">
        <f>SUMIFS(Tab_10.Out[SALDO
ATUAL],Tab_10.Out[CONTA],$F113)</f>
        <v>-287868.96999999997</v>
      </c>
      <c r="R113" s="4">
        <f>SUMIFS(Tab_11.Nov[SALDO
ATUAL],Tab_11.Nov[CONTA],$F113)</f>
        <v>-84057.62</v>
      </c>
      <c r="S113" s="4">
        <f>SUMIFS(Tab_12.Dez[SALDO
ATUAL],Tab_12.Dez[CONTA],$F113)</f>
        <v>-41942.61</v>
      </c>
    </row>
    <row r="114" spans="2:19" x14ac:dyDescent="0.3">
      <c r="B114" s="3"/>
      <c r="C114" s="2" t="str">
        <f t="shared" si="9"/>
        <v>P</v>
      </c>
      <c r="D114" s="2" t="str">
        <f t="shared" si="12"/>
        <v>S</v>
      </c>
      <c r="E114" s="2">
        <f t="shared" si="13"/>
        <v>5</v>
      </c>
      <c r="F114" s="3" t="s">
        <v>220</v>
      </c>
      <c r="G114" s="3" t="s">
        <v>346</v>
      </c>
      <c r="H114" s="4">
        <f>SUMIFS(Tab_01.Jan[SALDO
ATUAL],Tab_01.Jan[CONTA],$F114)</f>
        <v>-749348.59</v>
      </c>
      <c r="I114" s="4">
        <f>SUMIFS(Tab_02.Fev[SALDO
ATUAL],Tab_02.Fev[CONTA],$F114)</f>
        <v>-749348.59</v>
      </c>
      <c r="J114" s="4">
        <f>SUMIFS(Tab_03.Mar[SALDO
ATUAL],Tab_03.Mar[CONTA],$F114)</f>
        <v>-749348.59</v>
      </c>
      <c r="K114" s="4">
        <f>SUMIFS(Tab_04.Abr[SALDO
ATUAL],Tab_04.Abr[CONTA],$F114)</f>
        <v>-749348.59</v>
      </c>
      <c r="L114" s="4">
        <f>SUMIFS(Tab_05.Mai[SALDO
ATUAL],Tab_05.Mai[CONTA],$F114)</f>
        <v>-956296.61</v>
      </c>
      <c r="M114" s="4">
        <f>SUMIFS(Tab_06.Jun[SALDO
ATUAL],Tab_06.Jun[CONTA],$F114)</f>
        <v>-809040.74</v>
      </c>
      <c r="N114" s="4">
        <f>SUMIFS(Tab_07.Jul[SALDO
ATUAL],Tab_07.Jul[CONTA],$F114)</f>
        <v>-994313.95</v>
      </c>
      <c r="O114" s="4">
        <f>SUMIFS(Tab_08.Ago[SALDO
ATUAL],Tab_08.Ago[CONTA],$F114)</f>
        <v>-1036400.15</v>
      </c>
      <c r="P114" s="4">
        <f>SUMIFS(Tab_09.Set[SALDO
ATUAL],Tab_09.Set[CONTA],$F114)</f>
        <v>-993734.58</v>
      </c>
      <c r="Q114" s="4">
        <f>SUMIFS(Tab_10.Out[SALDO
ATUAL],Tab_10.Out[CONTA],$F114)</f>
        <v>-749348.59</v>
      </c>
      <c r="R114" s="4">
        <f>SUMIFS(Tab_11.Nov[SALDO
ATUAL],Tab_11.Nov[CONTA],$F114)</f>
        <v>-749348.59</v>
      </c>
      <c r="S114" s="4">
        <f>SUMIFS(Tab_12.Dez[SALDO
ATUAL],Tab_12.Dez[CONTA],$F114)</f>
        <v>-308206.32</v>
      </c>
    </row>
    <row r="115" spans="2:19" x14ac:dyDescent="0.3">
      <c r="B115" s="3" t="s">
        <v>50</v>
      </c>
      <c r="C115" s="2" t="str">
        <f t="shared" si="9"/>
        <v>P</v>
      </c>
      <c r="D115" s="2" t="str">
        <f t="shared" si="12"/>
        <v>A</v>
      </c>
      <c r="E115" s="2">
        <f t="shared" si="13"/>
        <v>5</v>
      </c>
      <c r="F115" s="3" t="s">
        <v>345</v>
      </c>
      <c r="G115" s="3" t="s">
        <v>346</v>
      </c>
      <c r="H115" s="4">
        <f>SUMIFS(Tab_01.Jan[SALDO
ATUAL],Tab_01.Jan[CONTA],$F115)</f>
        <v>-749348.59</v>
      </c>
      <c r="I115" s="4">
        <f>SUMIFS(Tab_02.Fev[SALDO
ATUAL],Tab_02.Fev[CONTA],$F115)</f>
        <v>-749348.59</v>
      </c>
      <c r="J115" s="4">
        <f>SUMIFS(Tab_03.Mar[SALDO
ATUAL],Tab_03.Mar[CONTA],$F115)</f>
        <v>-749348.59</v>
      </c>
      <c r="K115" s="4">
        <f>SUMIFS(Tab_04.Abr[SALDO
ATUAL],Tab_04.Abr[CONTA],$F115)</f>
        <v>-749348.59</v>
      </c>
      <c r="L115" s="4">
        <f>SUMIFS(Tab_05.Mai[SALDO
ATUAL],Tab_05.Mai[CONTA],$F115)</f>
        <v>-956296.61</v>
      </c>
      <c r="M115" s="4">
        <f>SUMIFS(Tab_06.Jun[SALDO
ATUAL],Tab_06.Jun[CONTA],$F115)</f>
        <v>-809040.74</v>
      </c>
      <c r="N115" s="4">
        <f>SUMIFS(Tab_07.Jul[SALDO
ATUAL],Tab_07.Jul[CONTA],$F115)</f>
        <v>-994313.95</v>
      </c>
      <c r="O115" s="4">
        <f>SUMIFS(Tab_08.Ago[SALDO
ATUAL],Tab_08.Ago[CONTA],$F115)</f>
        <v>-1036400.15</v>
      </c>
      <c r="P115" s="4">
        <f>SUMIFS(Tab_09.Set[SALDO
ATUAL],Tab_09.Set[CONTA],$F115)</f>
        <v>-993734.58</v>
      </c>
      <c r="Q115" s="4">
        <f>SUMIFS(Tab_10.Out[SALDO
ATUAL],Tab_10.Out[CONTA],$F115)</f>
        <v>-749348.59</v>
      </c>
      <c r="R115" s="4">
        <f>SUMIFS(Tab_11.Nov[SALDO
ATUAL],Tab_11.Nov[CONTA],$F115)</f>
        <v>-749348.59</v>
      </c>
      <c r="S115" s="4">
        <f>SUMIFS(Tab_12.Dez[SALDO
ATUAL],Tab_12.Dez[CONTA],$F115)</f>
        <v>-308206.32</v>
      </c>
    </row>
    <row r="116" spans="2:19" x14ac:dyDescent="0.3">
      <c r="B116" s="3"/>
      <c r="C116" s="2" t="str">
        <f t="shared" si="9"/>
        <v>P</v>
      </c>
      <c r="D116" s="2" t="str">
        <f t="shared" si="12"/>
        <v>S</v>
      </c>
      <c r="E116" s="2">
        <f t="shared" si="13"/>
        <v>5</v>
      </c>
      <c r="F116" s="3" t="s">
        <v>221</v>
      </c>
      <c r="G116" s="3" t="s">
        <v>661</v>
      </c>
      <c r="H116" s="4">
        <f>SUMIFS(Tab_01.Jan[SALDO
ATUAL],Tab_01.Jan[CONTA],$F116)</f>
        <v>-24303.84</v>
      </c>
      <c r="I116" s="4">
        <f>SUMIFS(Tab_02.Fev[SALDO
ATUAL],Tab_02.Fev[CONTA],$F116)</f>
        <v>-22777.77</v>
      </c>
      <c r="J116" s="4">
        <f>SUMIFS(Tab_03.Mar[SALDO
ATUAL],Tab_03.Mar[CONTA],$F116)</f>
        <v>-17663.900000000001</v>
      </c>
      <c r="K116" s="4">
        <f>SUMIFS(Tab_04.Abr[SALDO
ATUAL],Tab_04.Abr[CONTA],$F116)</f>
        <v>-18439.41</v>
      </c>
      <c r="L116" s="4">
        <f>SUMIFS(Tab_05.Mai[SALDO
ATUAL],Tab_05.Mai[CONTA],$F116)</f>
        <v>-17388.27</v>
      </c>
      <c r="M116" s="4">
        <f>SUMIFS(Tab_06.Jun[SALDO
ATUAL],Tab_06.Jun[CONTA],$F116)</f>
        <v>-22079.599999999999</v>
      </c>
      <c r="N116" s="4">
        <f>SUMIFS(Tab_07.Jul[SALDO
ATUAL],Tab_07.Jul[CONTA],$F116)</f>
        <v>-15262.55</v>
      </c>
      <c r="O116" s="4">
        <f>SUMIFS(Tab_08.Ago[SALDO
ATUAL],Tab_08.Ago[CONTA],$F116)</f>
        <v>-19182.21</v>
      </c>
      <c r="P116" s="4">
        <f>SUMIFS(Tab_09.Set[SALDO
ATUAL],Tab_09.Set[CONTA],$F116)</f>
        <v>-15319.84</v>
      </c>
      <c r="Q116" s="4">
        <f>SUMIFS(Tab_10.Out[SALDO
ATUAL],Tab_10.Out[CONTA],$F116)</f>
        <v>-23868.31</v>
      </c>
      <c r="R116" s="4">
        <f>SUMIFS(Tab_11.Nov[SALDO
ATUAL],Tab_11.Nov[CONTA],$F116)</f>
        <v>-23349.07</v>
      </c>
      <c r="S116" s="4">
        <f>SUMIFS(Tab_12.Dez[SALDO
ATUAL],Tab_12.Dez[CONTA],$F116)</f>
        <v>-23962.47</v>
      </c>
    </row>
    <row r="117" spans="2:19" x14ac:dyDescent="0.3">
      <c r="B117" s="3"/>
      <c r="C117" s="2" t="str">
        <f t="shared" si="9"/>
        <v>P</v>
      </c>
      <c r="D117" s="2" t="str">
        <f>IF($F117="","",IF(LEN($F117)=13,"A","S"))</f>
        <v>S</v>
      </c>
      <c r="E117" s="2">
        <f>IF($F117="","",IF(LEN($F117)=1,1,IF(LEN($F117)=3,2,IF(LEN($F117)=5,3,IF(LEN($F117)=8,4,5)))))</f>
        <v>5</v>
      </c>
      <c r="F117" s="3" t="s">
        <v>222</v>
      </c>
      <c r="G117" s="3" t="s">
        <v>662</v>
      </c>
      <c r="H117" s="4">
        <f>SUMIFS(Tab_01.Jan[SALDO
ATUAL],Tab_01.Jan[CONTA],$F117)</f>
        <v>-23819.66</v>
      </c>
      <c r="I117" s="4">
        <f>SUMIFS(Tab_02.Fev[SALDO
ATUAL],Tab_02.Fev[CONTA],$F117)</f>
        <v>-22293.59</v>
      </c>
      <c r="J117" s="4">
        <f>SUMIFS(Tab_03.Mar[SALDO
ATUAL],Tab_03.Mar[CONTA],$F117)</f>
        <v>-17179.72</v>
      </c>
      <c r="K117" s="4">
        <f>SUMIFS(Tab_04.Abr[SALDO
ATUAL],Tab_04.Abr[CONTA],$F117)</f>
        <v>-18439.41</v>
      </c>
      <c r="L117" s="4">
        <f>SUMIFS(Tab_05.Mai[SALDO
ATUAL],Tab_05.Mai[CONTA],$F117)</f>
        <v>-17388.27</v>
      </c>
      <c r="M117" s="4">
        <f>SUMIFS(Tab_06.Jun[SALDO
ATUAL],Tab_06.Jun[CONTA],$F117)</f>
        <v>-22079.599999999999</v>
      </c>
      <c r="N117" s="4">
        <f>SUMIFS(Tab_07.Jul[SALDO
ATUAL],Tab_07.Jul[CONTA],$F117)</f>
        <v>-15262.55</v>
      </c>
      <c r="O117" s="4">
        <f>SUMIFS(Tab_08.Ago[SALDO
ATUAL],Tab_08.Ago[CONTA],$F117)</f>
        <v>-19182.21</v>
      </c>
      <c r="P117" s="4">
        <f>SUMIFS(Tab_09.Set[SALDO
ATUAL],Tab_09.Set[CONTA],$F117)</f>
        <v>-15319.84</v>
      </c>
      <c r="Q117" s="4">
        <f>SUMIFS(Tab_10.Out[SALDO
ATUAL],Tab_10.Out[CONTA],$F117)</f>
        <v>-23868.31</v>
      </c>
      <c r="R117" s="4">
        <f>SUMIFS(Tab_11.Nov[SALDO
ATUAL],Tab_11.Nov[CONTA],$F117)</f>
        <v>-23349.07</v>
      </c>
      <c r="S117" s="4">
        <f>SUMIFS(Tab_12.Dez[SALDO
ATUAL],Tab_12.Dez[CONTA],$F117)</f>
        <v>-23962.47</v>
      </c>
    </row>
    <row r="118" spans="2:19" x14ac:dyDescent="0.3">
      <c r="B118" s="3" t="s">
        <v>53</v>
      </c>
      <c r="C118" s="2" t="str">
        <f t="shared" si="9"/>
        <v>P</v>
      </c>
      <c r="D118" s="2" t="str">
        <f t="shared" si="12"/>
        <v>A</v>
      </c>
      <c r="E118" s="2">
        <f t="shared" si="13"/>
        <v>5</v>
      </c>
      <c r="F118" s="3" t="s">
        <v>191</v>
      </c>
      <c r="G118" s="3" t="s">
        <v>347</v>
      </c>
      <c r="H118" s="4">
        <f>SUMIFS(Tab_01.Jan[SALDO
ATUAL],Tab_01.Jan[CONTA],$F118)</f>
        <v>-409</v>
      </c>
      <c r="I118" s="4">
        <f>SUMIFS(Tab_02.Fev[SALDO
ATUAL],Tab_02.Fev[CONTA],$F118)</f>
        <v>-418.31</v>
      </c>
      <c r="J118" s="4">
        <f>SUMIFS(Tab_03.Mar[SALDO
ATUAL],Tab_03.Mar[CONTA],$F118)</f>
        <v>-404.18</v>
      </c>
      <c r="K118" s="4">
        <f>SUMIFS(Tab_04.Abr[SALDO
ATUAL],Tab_04.Abr[CONTA],$F118)</f>
        <v>-555.79999999999995</v>
      </c>
      <c r="L118" s="4">
        <f>SUMIFS(Tab_05.Mai[SALDO
ATUAL],Tab_05.Mai[CONTA],$F118)</f>
        <v>-417.28</v>
      </c>
      <c r="M118" s="4">
        <f>SUMIFS(Tab_06.Jun[SALDO
ATUAL],Tab_06.Jun[CONTA],$F118)</f>
        <v>-1612.21</v>
      </c>
      <c r="N118" s="4">
        <f>SUMIFS(Tab_07.Jul[SALDO
ATUAL],Tab_07.Jul[CONTA],$F118)</f>
        <v>-884.23</v>
      </c>
      <c r="O118" s="4">
        <f>SUMIFS(Tab_08.Ago[SALDO
ATUAL],Tab_08.Ago[CONTA],$F118)</f>
        <v>-925.74</v>
      </c>
      <c r="P118" s="4">
        <f>SUMIFS(Tab_09.Set[SALDO
ATUAL],Tab_09.Set[CONTA],$F118)</f>
        <v>-834.01</v>
      </c>
      <c r="Q118" s="4">
        <f>SUMIFS(Tab_10.Out[SALDO
ATUAL],Tab_10.Out[CONTA],$F118)</f>
        <v>-1890.47</v>
      </c>
      <c r="R118" s="4">
        <f>SUMIFS(Tab_11.Nov[SALDO
ATUAL],Tab_11.Nov[CONTA],$F118)</f>
        <v>-2182.15</v>
      </c>
      <c r="S118" s="4">
        <f>SUMIFS(Tab_12.Dez[SALDO
ATUAL],Tab_12.Dez[CONTA],$F118)</f>
        <v>-1846.28</v>
      </c>
    </row>
    <row r="119" spans="2:19" x14ac:dyDescent="0.3">
      <c r="B119" s="3" t="s">
        <v>52</v>
      </c>
      <c r="C119" s="2" t="str">
        <f t="shared" si="9"/>
        <v>P</v>
      </c>
      <c r="D119" s="2" t="str">
        <f t="shared" si="12"/>
        <v>A</v>
      </c>
      <c r="E119" s="2">
        <f t="shared" si="13"/>
        <v>5</v>
      </c>
      <c r="F119" s="3" t="s">
        <v>192</v>
      </c>
      <c r="G119" s="3" t="s">
        <v>348</v>
      </c>
      <c r="H119" s="4">
        <f>SUMIFS(Tab_01.Jan[SALDO
ATUAL],Tab_01.Jan[CONTA],$F119)</f>
        <v>-21686.36</v>
      </c>
      <c r="I119" s="4">
        <f>SUMIFS(Tab_02.Fev[SALDO
ATUAL],Tab_02.Fev[CONTA],$F119)</f>
        <v>-20806.93</v>
      </c>
      <c r="J119" s="4">
        <f>SUMIFS(Tab_03.Mar[SALDO
ATUAL],Tab_03.Mar[CONTA],$F119)</f>
        <v>-15479.24</v>
      </c>
      <c r="K119" s="4">
        <f>SUMIFS(Tab_04.Abr[SALDO
ATUAL],Tab_04.Abr[CONTA],$F119)</f>
        <v>-15492.44</v>
      </c>
      <c r="L119" s="4">
        <f>SUMIFS(Tab_05.Mai[SALDO
ATUAL],Tab_05.Mai[CONTA],$F119)</f>
        <v>-15450.8</v>
      </c>
      <c r="M119" s="4">
        <f>SUMIFS(Tab_06.Jun[SALDO
ATUAL],Tab_06.Jun[CONTA],$F119)</f>
        <v>-15479</v>
      </c>
      <c r="N119" s="4">
        <f>SUMIFS(Tab_07.Jul[SALDO
ATUAL],Tab_07.Jul[CONTA],$F119)</f>
        <v>-10986.12</v>
      </c>
      <c r="O119" s="4">
        <f>SUMIFS(Tab_08.Ago[SALDO
ATUAL],Tab_08.Ago[CONTA],$F119)</f>
        <v>-15739.83</v>
      </c>
      <c r="P119" s="4">
        <f>SUMIFS(Tab_09.Set[SALDO
ATUAL],Tab_09.Set[CONTA],$F119)</f>
        <v>-12489.94</v>
      </c>
      <c r="Q119" s="4">
        <f>SUMIFS(Tab_10.Out[SALDO
ATUAL],Tab_10.Out[CONTA],$F119)</f>
        <v>-16402</v>
      </c>
      <c r="R119" s="4">
        <f>SUMIFS(Tab_11.Nov[SALDO
ATUAL],Tab_11.Nov[CONTA],$F119)</f>
        <v>-14692.56</v>
      </c>
      <c r="S119" s="4">
        <f>SUMIFS(Tab_12.Dez[SALDO
ATUAL],Tab_12.Dez[CONTA],$F119)</f>
        <v>-15708.71</v>
      </c>
    </row>
    <row r="120" spans="2:19" x14ac:dyDescent="0.3">
      <c r="B120" s="3" t="s">
        <v>53</v>
      </c>
      <c r="C120" s="2" t="str">
        <f t="shared" si="9"/>
        <v>P</v>
      </c>
      <c r="D120" s="2" t="str">
        <f t="shared" si="12"/>
        <v>A</v>
      </c>
      <c r="E120" s="2">
        <f t="shared" si="13"/>
        <v>5</v>
      </c>
      <c r="F120" s="3" t="s">
        <v>264</v>
      </c>
      <c r="G120" s="3" t="s">
        <v>349</v>
      </c>
      <c r="H120" s="4">
        <f>SUMIFS(Tab_01.Jan[SALDO
ATUAL],Tab_01.Jan[CONTA],$F120)</f>
        <v>-120.94</v>
      </c>
      <c r="I120" s="4">
        <f>SUMIFS(Tab_02.Fev[SALDO
ATUAL],Tab_02.Fev[CONTA],$F120)</f>
        <v>-120.94</v>
      </c>
      <c r="J120" s="4">
        <f>SUMIFS(Tab_03.Mar[SALDO
ATUAL],Tab_03.Mar[CONTA],$F120)</f>
        <v>-134.13999999999999</v>
      </c>
      <c r="K120" s="4">
        <f>SUMIFS(Tab_04.Abr[SALDO
ATUAL],Tab_04.Abr[CONTA],$F120)</f>
        <v>-120.94</v>
      </c>
      <c r="L120" s="4">
        <f>SUMIFS(Tab_05.Mai[SALDO
ATUAL],Tab_05.Mai[CONTA],$F120)</f>
        <v>-559.29999999999995</v>
      </c>
      <c r="M120" s="4">
        <f>SUMIFS(Tab_06.Jun[SALDO
ATUAL],Tab_06.Jun[CONTA],$F120)</f>
        <v>-335.15</v>
      </c>
      <c r="N120" s="4">
        <f>SUMIFS(Tab_07.Jul[SALDO
ATUAL],Tab_07.Jul[CONTA],$F120)</f>
        <v>0</v>
      </c>
      <c r="O120" s="4">
        <f>SUMIFS(Tab_08.Ago[SALDO
ATUAL],Tab_08.Ago[CONTA],$F120)</f>
        <v>0</v>
      </c>
      <c r="P120" s="4">
        <f>SUMIFS(Tab_09.Set[SALDO
ATUAL],Tab_09.Set[CONTA],$F120)</f>
        <v>0</v>
      </c>
      <c r="Q120" s="4">
        <f>SUMIFS(Tab_10.Out[SALDO
ATUAL],Tab_10.Out[CONTA],$F120)</f>
        <v>0</v>
      </c>
      <c r="R120" s="4">
        <f>SUMIFS(Tab_11.Nov[SALDO
ATUAL],Tab_11.Nov[CONTA],$F120)</f>
        <v>0</v>
      </c>
      <c r="S120" s="4">
        <f>SUMIFS(Tab_12.Dez[SALDO
ATUAL],Tab_12.Dez[CONTA],$F120)</f>
        <v>0</v>
      </c>
    </row>
    <row r="121" spans="2:19" x14ac:dyDescent="0.3">
      <c r="B121" s="3" t="s">
        <v>53</v>
      </c>
      <c r="C121" s="2" t="str">
        <f t="shared" si="9"/>
        <v>P</v>
      </c>
      <c r="D121" s="2" t="str">
        <f t="shared" si="12"/>
        <v>A</v>
      </c>
      <c r="E121" s="2">
        <f t="shared" si="13"/>
        <v>5</v>
      </c>
      <c r="F121" s="3" t="s">
        <v>350</v>
      </c>
      <c r="G121" s="3" t="s">
        <v>351</v>
      </c>
      <c r="H121" s="4">
        <f>SUMIFS(Tab_01.Jan[SALDO
ATUAL],Tab_01.Jan[CONTA],$F121)</f>
        <v>-1580.91</v>
      </c>
      <c r="I121" s="4">
        <f>SUMIFS(Tab_02.Fev[SALDO
ATUAL],Tab_02.Fev[CONTA],$F121)</f>
        <v>-924.96</v>
      </c>
      <c r="J121" s="4">
        <f>SUMIFS(Tab_03.Mar[SALDO
ATUAL],Tab_03.Mar[CONTA],$F121)</f>
        <v>-1139.71</v>
      </c>
      <c r="K121" s="4">
        <f>SUMIFS(Tab_04.Abr[SALDO
ATUAL],Tab_04.Abr[CONTA],$F121)</f>
        <v>-2247.7800000000002</v>
      </c>
      <c r="L121" s="4">
        <f>SUMIFS(Tab_05.Mai[SALDO
ATUAL],Tab_05.Mai[CONTA],$F121)</f>
        <v>-938.44</v>
      </c>
      <c r="M121" s="4">
        <f>SUMIFS(Tab_06.Jun[SALDO
ATUAL],Tab_06.Jun[CONTA],$F121)</f>
        <v>-4630.79</v>
      </c>
      <c r="N121" s="4">
        <f>SUMIFS(Tab_07.Jul[SALDO
ATUAL],Tab_07.Jul[CONTA],$F121)</f>
        <v>-3369.75</v>
      </c>
      <c r="O121" s="4">
        <f>SUMIFS(Tab_08.Ago[SALDO
ATUAL],Tab_08.Ago[CONTA],$F121)</f>
        <v>-2494.19</v>
      </c>
      <c r="P121" s="4">
        <f>SUMIFS(Tab_09.Set[SALDO
ATUAL],Tab_09.Set[CONTA],$F121)</f>
        <v>-1984.61</v>
      </c>
      <c r="Q121" s="4">
        <f>SUMIFS(Tab_10.Out[SALDO
ATUAL],Tab_10.Out[CONTA],$F121)</f>
        <v>-5564.56</v>
      </c>
      <c r="R121" s="4">
        <f>SUMIFS(Tab_11.Nov[SALDO
ATUAL],Tab_11.Nov[CONTA],$F121)</f>
        <v>-6463.08</v>
      </c>
      <c r="S121" s="4">
        <f>SUMIFS(Tab_12.Dez[SALDO
ATUAL],Tab_12.Dez[CONTA],$F121)</f>
        <v>-6395.77</v>
      </c>
    </row>
    <row r="122" spans="2:19" x14ac:dyDescent="0.3">
      <c r="B122" s="3" t="s">
        <v>53</v>
      </c>
      <c r="C122" s="2" t="str">
        <f t="shared" si="9"/>
        <v>P</v>
      </c>
      <c r="D122" s="2" t="str">
        <f t="shared" si="12"/>
        <v>A</v>
      </c>
      <c r="E122" s="2">
        <f t="shared" si="13"/>
        <v>5</v>
      </c>
      <c r="F122" s="3" t="s">
        <v>352</v>
      </c>
      <c r="G122" s="3" t="s">
        <v>353</v>
      </c>
      <c r="H122" s="4">
        <f>SUMIFS(Tab_01.Jan[SALDO
ATUAL],Tab_01.Jan[CONTA],$F122)</f>
        <v>-22.45</v>
      </c>
      <c r="I122" s="4">
        <f>SUMIFS(Tab_02.Fev[SALDO
ATUAL],Tab_02.Fev[CONTA],$F122)</f>
        <v>-22.45</v>
      </c>
      <c r="J122" s="4">
        <f>SUMIFS(Tab_03.Mar[SALDO
ATUAL],Tab_03.Mar[CONTA],$F122)</f>
        <v>-22.45</v>
      </c>
      <c r="K122" s="4">
        <f>SUMIFS(Tab_04.Abr[SALDO
ATUAL],Tab_04.Abr[CONTA],$F122)</f>
        <v>-22.45</v>
      </c>
      <c r="L122" s="4">
        <f>SUMIFS(Tab_05.Mai[SALDO
ATUAL],Tab_05.Mai[CONTA],$F122)</f>
        <v>-22.45</v>
      </c>
      <c r="M122" s="4">
        <f>SUMIFS(Tab_06.Jun[SALDO
ATUAL],Tab_06.Jun[CONTA],$F122)</f>
        <v>-22.45</v>
      </c>
      <c r="N122" s="4">
        <f>SUMIFS(Tab_07.Jul[SALDO
ATUAL],Tab_07.Jul[CONTA],$F122)</f>
        <v>-22.45</v>
      </c>
      <c r="O122" s="4">
        <f>SUMIFS(Tab_08.Ago[SALDO
ATUAL],Tab_08.Ago[CONTA],$F122)</f>
        <v>-22.45</v>
      </c>
      <c r="P122" s="4">
        <f>SUMIFS(Tab_09.Set[SALDO
ATUAL],Tab_09.Set[CONTA],$F122)</f>
        <v>-11.28</v>
      </c>
      <c r="Q122" s="4">
        <f>SUMIFS(Tab_10.Out[SALDO
ATUAL],Tab_10.Out[CONTA],$F122)</f>
        <v>-11.28</v>
      </c>
      <c r="R122" s="4">
        <f>SUMIFS(Tab_11.Nov[SALDO
ATUAL],Tab_11.Nov[CONTA],$F122)</f>
        <v>-11.28</v>
      </c>
      <c r="S122" s="4">
        <f>SUMIFS(Tab_12.Dez[SALDO
ATUAL],Tab_12.Dez[CONTA],$F122)</f>
        <v>-11.71</v>
      </c>
    </row>
    <row r="123" spans="2:19" x14ac:dyDescent="0.3">
      <c r="B123" s="3"/>
      <c r="C123" s="2" t="str">
        <f t="shared" si="9"/>
        <v>P</v>
      </c>
      <c r="D123" s="2" t="str">
        <f t="shared" si="12"/>
        <v>S</v>
      </c>
      <c r="E123" s="2">
        <f t="shared" si="13"/>
        <v>5</v>
      </c>
      <c r="F123" s="3" t="s">
        <v>223</v>
      </c>
      <c r="G123" s="3" t="s">
        <v>663</v>
      </c>
      <c r="H123" s="4">
        <f>SUMIFS(Tab_01.Jan[SALDO
ATUAL],Tab_01.Jan[CONTA],$F123)</f>
        <v>-484.18</v>
      </c>
      <c r="I123" s="4">
        <f>SUMIFS(Tab_02.Fev[SALDO
ATUAL],Tab_02.Fev[CONTA],$F123)</f>
        <v>-484.18</v>
      </c>
      <c r="J123" s="4">
        <f>SUMIFS(Tab_03.Mar[SALDO
ATUAL],Tab_03.Mar[CONTA],$F123)</f>
        <v>-484.18</v>
      </c>
      <c r="K123" s="4">
        <f>SUMIFS(Tab_04.Abr[SALDO
ATUAL],Tab_04.Abr[CONTA],$F123)</f>
        <v>0</v>
      </c>
      <c r="L123" s="4">
        <f>SUMIFS(Tab_05.Mai[SALDO
ATUAL],Tab_05.Mai[CONTA],$F123)</f>
        <v>0</v>
      </c>
      <c r="M123" s="4">
        <f>SUMIFS(Tab_06.Jun[SALDO
ATUAL],Tab_06.Jun[CONTA],$F123)</f>
        <v>0</v>
      </c>
      <c r="N123" s="4">
        <f>SUMIFS(Tab_07.Jul[SALDO
ATUAL],Tab_07.Jul[CONTA],$F123)</f>
        <v>0</v>
      </c>
      <c r="O123" s="4">
        <f>SUMIFS(Tab_08.Ago[SALDO
ATUAL],Tab_08.Ago[CONTA],$F123)</f>
        <v>0</v>
      </c>
      <c r="P123" s="4">
        <f>SUMIFS(Tab_09.Set[SALDO
ATUAL],Tab_09.Set[CONTA],$F123)</f>
        <v>0</v>
      </c>
      <c r="Q123" s="4">
        <f>SUMIFS(Tab_10.Out[SALDO
ATUAL],Tab_10.Out[CONTA],$F123)</f>
        <v>0</v>
      </c>
      <c r="R123" s="4">
        <f>SUMIFS(Tab_11.Nov[SALDO
ATUAL],Tab_11.Nov[CONTA],$F123)</f>
        <v>0</v>
      </c>
      <c r="S123" s="4">
        <f>SUMIFS(Tab_12.Dez[SALDO
ATUAL],Tab_12.Dez[CONTA],$F123)</f>
        <v>0</v>
      </c>
    </row>
    <row r="124" spans="2:19" x14ac:dyDescent="0.3">
      <c r="B124" s="3" t="s">
        <v>53</v>
      </c>
      <c r="C124" s="2" t="str">
        <f t="shared" si="9"/>
        <v>P</v>
      </c>
      <c r="D124" s="2" t="str">
        <f t="shared" si="12"/>
        <v>A</v>
      </c>
      <c r="E124" s="2">
        <f t="shared" si="13"/>
        <v>5</v>
      </c>
      <c r="F124" s="3" t="s">
        <v>354</v>
      </c>
      <c r="G124" s="3" t="s">
        <v>355</v>
      </c>
      <c r="H124" s="4">
        <f>SUMIFS(Tab_01.Jan[SALDO
ATUAL],Tab_01.Jan[CONTA],$F124)</f>
        <v>-484.18</v>
      </c>
      <c r="I124" s="4">
        <f>SUMIFS(Tab_02.Fev[SALDO
ATUAL],Tab_02.Fev[CONTA],$F124)</f>
        <v>-484.18</v>
      </c>
      <c r="J124" s="4">
        <f>SUMIFS(Tab_03.Mar[SALDO
ATUAL],Tab_03.Mar[CONTA],$F124)</f>
        <v>-484.18</v>
      </c>
      <c r="K124" s="4">
        <f>SUMIFS(Tab_04.Abr[SALDO
ATUAL],Tab_04.Abr[CONTA],$F124)</f>
        <v>0</v>
      </c>
      <c r="L124" s="4">
        <f>SUMIFS(Tab_05.Mai[SALDO
ATUAL],Tab_05.Mai[CONTA],$F124)</f>
        <v>0</v>
      </c>
      <c r="M124" s="4">
        <f>SUMIFS(Tab_06.Jun[SALDO
ATUAL],Tab_06.Jun[CONTA],$F124)</f>
        <v>0</v>
      </c>
      <c r="N124" s="4">
        <f>SUMIFS(Tab_07.Jul[SALDO
ATUAL],Tab_07.Jul[CONTA],$F124)</f>
        <v>0</v>
      </c>
      <c r="O124" s="4">
        <f>SUMIFS(Tab_08.Ago[SALDO
ATUAL],Tab_08.Ago[CONTA],$F124)</f>
        <v>0</v>
      </c>
      <c r="P124" s="4">
        <f>SUMIFS(Tab_09.Set[SALDO
ATUAL],Tab_09.Set[CONTA],$F124)</f>
        <v>0</v>
      </c>
      <c r="Q124" s="4">
        <f>SUMIFS(Tab_10.Out[SALDO
ATUAL],Tab_10.Out[CONTA],$F124)</f>
        <v>0</v>
      </c>
      <c r="R124" s="4">
        <f>SUMIFS(Tab_11.Nov[SALDO
ATUAL],Tab_11.Nov[CONTA],$F124)</f>
        <v>0</v>
      </c>
      <c r="S124" s="4">
        <f>SUMIFS(Tab_12.Dez[SALDO
ATUAL],Tab_12.Dez[CONTA],$F124)</f>
        <v>0</v>
      </c>
    </row>
    <row r="125" spans="2:19" x14ac:dyDescent="0.3">
      <c r="B125" s="3"/>
      <c r="C125" s="2" t="str">
        <f t="shared" si="9"/>
        <v>P</v>
      </c>
      <c r="D125" s="2" t="str">
        <f t="shared" si="12"/>
        <v>S</v>
      </c>
      <c r="E125" s="2">
        <f t="shared" si="13"/>
        <v>5</v>
      </c>
      <c r="F125" s="3" t="s">
        <v>224</v>
      </c>
      <c r="G125" s="3" t="s">
        <v>664</v>
      </c>
      <c r="H125" s="4">
        <f>SUMIFS(Tab_01.Jan[SALDO
ATUAL],Tab_01.Jan[CONTA],$F125)</f>
        <v>-22468.91</v>
      </c>
      <c r="I125" s="4">
        <f>SUMIFS(Tab_02.Fev[SALDO
ATUAL],Tab_02.Fev[CONTA],$F125)</f>
        <v>-22506.69</v>
      </c>
      <c r="J125" s="4">
        <f>SUMIFS(Tab_03.Mar[SALDO
ATUAL],Tab_03.Mar[CONTA],$F125)</f>
        <v>-22488.11</v>
      </c>
      <c r="K125" s="4">
        <f>SUMIFS(Tab_04.Abr[SALDO
ATUAL],Tab_04.Abr[CONTA],$F125)</f>
        <v>-22727.49</v>
      </c>
      <c r="L125" s="4">
        <f>SUMIFS(Tab_05.Mai[SALDO
ATUAL],Tab_05.Mai[CONTA],$F125)</f>
        <v>-22473.51</v>
      </c>
      <c r="M125" s="4">
        <f>SUMIFS(Tab_06.Jun[SALDO
ATUAL],Tab_06.Jun[CONTA],$F125)</f>
        <v>-22524.71</v>
      </c>
      <c r="N125" s="4">
        <f>SUMIFS(Tab_07.Jul[SALDO
ATUAL],Tab_07.Jul[CONTA],$F125)</f>
        <v>-22355.56</v>
      </c>
      <c r="O125" s="4">
        <f>SUMIFS(Tab_08.Ago[SALDO
ATUAL],Tab_08.Ago[CONTA],$F125)</f>
        <v>-22401.27</v>
      </c>
      <c r="P125" s="4">
        <f>SUMIFS(Tab_09.Set[SALDO
ATUAL],Tab_09.Set[CONTA],$F125)</f>
        <v>-22447.71</v>
      </c>
      <c r="Q125" s="4">
        <f>SUMIFS(Tab_10.Out[SALDO
ATUAL],Tab_10.Out[CONTA],$F125)</f>
        <v>-23058.2</v>
      </c>
      <c r="R125" s="4">
        <f>SUMIFS(Tab_11.Nov[SALDO
ATUAL],Tab_11.Nov[CONTA],$F125)</f>
        <v>-23073.63</v>
      </c>
      <c r="S125" s="4">
        <f>SUMIFS(Tab_12.Dez[SALDO
ATUAL],Tab_12.Dez[CONTA],$F125)</f>
        <v>-3198.94</v>
      </c>
    </row>
    <row r="126" spans="2:19" x14ac:dyDescent="0.3">
      <c r="B126" s="3"/>
      <c r="C126" s="2" t="str">
        <f t="shared" si="9"/>
        <v>P</v>
      </c>
      <c r="D126" s="2" t="str">
        <f t="shared" si="12"/>
        <v>S</v>
      </c>
      <c r="E126" s="2">
        <f t="shared" si="13"/>
        <v>5</v>
      </c>
      <c r="F126" s="3" t="s">
        <v>225</v>
      </c>
      <c r="G126" s="3" t="s">
        <v>665</v>
      </c>
      <c r="H126" s="4">
        <f>SUMIFS(Tab_01.Jan[SALDO
ATUAL],Tab_01.Jan[CONTA],$F126)</f>
        <v>-22468.91</v>
      </c>
      <c r="I126" s="4">
        <f>SUMIFS(Tab_02.Fev[SALDO
ATUAL],Tab_02.Fev[CONTA],$F126)</f>
        <v>-22506.69</v>
      </c>
      <c r="J126" s="4">
        <f>SUMIFS(Tab_03.Mar[SALDO
ATUAL],Tab_03.Mar[CONTA],$F126)</f>
        <v>-22488.11</v>
      </c>
      <c r="K126" s="4">
        <f>SUMIFS(Tab_04.Abr[SALDO
ATUAL],Tab_04.Abr[CONTA],$F126)</f>
        <v>-22727.49</v>
      </c>
      <c r="L126" s="4">
        <f>SUMIFS(Tab_05.Mai[SALDO
ATUAL],Tab_05.Mai[CONTA],$F126)</f>
        <v>-22473.51</v>
      </c>
      <c r="M126" s="4">
        <f>SUMIFS(Tab_06.Jun[SALDO
ATUAL],Tab_06.Jun[CONTA],$F126)</f>
        <v>-22524.71</v>
      </c>
      <c r="N126" s="4">
        <f>SUMIFS(Tab_07.Jul[SALDO
ATUAL],Tab_07.Jul[CONTA],$F126)</f>
        <v>-22355.56</v>
      </c>
      <c r="O126" s="4">
        <f>SUMIFS(Tab_08.Ago[SALDO
ATUAL],Tab_08.Ago[CONTA],$F126)</f>
        <v>-22401.27</v>
      </c>
      <c r="P126" s="4">
        <f>SUMIFS(Tab_09.Set[SALDO
ATUAL],Tab_09.Set[CONTA],$F126)</f>
        <v>-22447.71</v>
      </c>
      <c r="Q126" s="4">
        <f>SUMIFS(Tab_10.Out[SALDO
ATUAL],Tab_10.Out[CONTA],$F126)</f>
        <v>-23058.2</v>
      </c>
      <c r="R126" s="4">
        <f>SUMIFS(Tab_11.Nov[SALDO
ATUAL],Tab_11.Nov[CONTA],$F126)</f>
        <v>-23073.63</v>
      </c>
      <c r="S126" s="4">
        <f>SUMIFS(Tab_12.Dez[SALDO
ATUAL],Tab_12.Dez[CONTA],$F126)</f>
        <v>-3198.94</v>
      </c>
    </row>
    <row r="127" spans="2:19" x14ac:dyDescent="0.3">
      <c r="B127" s="3" t="s">
        <v>55</v>
      </c>
      <c r="C127" s="2" t="str">
        <f t="shared" si="9"/>
        <v>P</v>
      </c>
      <c r="D127" s="2" t="str">
        <f t="shared" si="12"/>
        <v>A</v>
      </c>
      <c r="E127" s="2">
        <f t="shared" si="13"/>
        <v>5</v>
      </c>
      <c r="F127" s="3" t="s">
        <v>356</v>
      </c>
      <c r="G127" s="3" t="s">
        <v>357</v>
      </c>
      <c r="H127" s="4">
        <f>SUMIFS(Tab_01.Jan[SALDO
ATUAL],Tab_01.Jan[CONTA],$F127)</f>
        <v>-22468.91</v>
      </c>
      <c r="I127" s="4">
        <f>SUMIFS(Tab_02.Fev[SALDO
ATUAL],Tab_02.Fev[CONTA],$F127)</f>
        <v>-22506.69</v>
      </c>
      <c r="J127" s="4">
        <f>SUMIFS(Tab_03.Mar[SALDO
ATUAL],Tab_03.Mar[CONTA],$F127)</f>
        <v>-22488.11</v>
      </c>
      <c r="K127" s="4">
        <f>SUMIFS(Tab_04.Abr[SALDO
ATUAL],Tab_04.Abr[CONTA],$F127)</f>
        <v>-22727.49</v>
      </c>
      <c r="L127" s="4">
        <f>SUMIFS(Tab_05.Mai[SALDO
ATUAL],Tab_05.Mai[CONTA],$F127)</f>
        <v>-22473.51</v>
      </c>
      <c r="M127" s="4">
        <f>SUMIFS(Tab_06.Jun[SALDO
ATUAL],Tab_06.Jun[CONTA],$F127)</f>
        <v>-22524.71</v>
      </c>
      <c r="N127" s="4">
        <f>SUMIFS(Tab_07.Jul[SALDO
ATUAL],Tab_07.Jul[CONTA],$F127)</f>
        <v>-22355.56</v>
      </c>
      <c r="O127" s="4">
        <f>SUMIFS(Tab_08.Ago[SALDO
ATUAL],Tab_08.Ago[CONTA],$F127)</f>
        <v>-22401.27</v>
      </c>
      <c r="P127" s="4">
        <f>SUMIFS(Tab_09.Set[SALDO
ATUAL],Tab_09.Set[CONTA],$F127)</f>
        <v>-22447.71</v>
      </c>
      <c r="Q127" s="4">
        <f>SUMIFS(Tab_10.Out[SALDO
ATUAL],Tab_10.Out[CONTA],$F127)</f>
        <v>-23058.2</v>
      </c>
      <c r="R127" s="4">
        <f>SUMIFS(Tab_11.Nov[SALDO
ATUAL],Tab_11.Nov[CONTA],$F127)</f>
        <v>-23073.63</v>
      </c>
      <c r="S127" s="4">
        <f>SUMIFS(Tab_12.Dez[SALDO
ATUAL],Tab_12.Dez[CONTA],$F127)</f>
        <v>-3198.94</v>
      </c>
    </row>
    <row r="128" spans="2:19" x14ac:dyDescent="0.3">
      <c r="B128" s="3"/>
      <c r="C128" s="2" t="str">
        <f t="shared" si="9"/>
        <v>P</v>
      </c>
      <c r="D128" s="2" t="str">
        <f t="shared" si="12"/>
        <v>S</v>
      </c>
      <c r="E128" s="2">
        <f t="shared" si="13"/>
        <v>5</v>
      </c>
      <c r="F128" s="3" t="s">
        <v>564</v>
      </c>
      <c r="G128" s="3" t="s">
        <v>666</v>
      </c>
      <c r="H128" s="4">
        <f>SUMIFS(Tab_01.Jan[SALDO
ATUAL],Tab_01.Jan[CONTA],$F128)</f>
        <v>-3849.2</v>
      </c>
      <c r="I128" s="4">
        <f>SUMIFS(Tab_02.Fev[SALDO
ATUAL],Tab_02.Fev[CONTA],$F128)</f>
        <v>-3849.2</v>
      </c>
      <c r="J128" s="4">
        <f>SUMIFS(Tab_03.Mar[SALDO
ATUAL],Tab_03.Mar[CONTA],$F128)</f>
        <v>-3849.2</v>
      </c>
      <c r="K128" s="4">
        <f>SUMIFS(Tab_04.Abr[SALDO
ATUAL],Tab_04.Abr[CONTA],$F128)</f>
        <v>-3849.2</v>
      </c>
      <c r="L128" s="4">
        <f>SUMIFS(Tab_05.Mai[SALDO
ATUAL],Tab_05.Mai[CONTA],$F128)</f>
        <v>-3849.2</v>
      </c>
      <c r="M128" s="4">
        <f>SUMIFS(Tab_06.Jun[SALDO
ATUAL],Tab_06.Jun[CONTA],$F128)</f>
        <v>-3849.2</v>
      </c>
      <c r="N128" s="4">
        <f>SUMIFS(Tab_07.Jul[SALDO
ATUAL],Tab_07.Jul[CONTA],$F128)</f>
        <v>-3849.2</v>
      </c>
      <c r="O128" s="4">
        <f>SUMIFS(Tab_08.Ago[SALDO
ATUAL],Tab_08.Ago[CONTA],$F128)</f>
        <v>-3849.2</v>
      </c>
      <c r="P128" s="4">
        <f>SUMIFS(Tab_09.Set[SALDO
ATUAL],Tab_09.Set[CONTA],$F128)</f>
        <v>-3849.2</v>
      </c>
      <c r="Q128" s="4">
        <f>SUMIFS(Tab_10.Out[SALDO
ATUAL],Tab_10.Out[CONTA],$F128)</f>
        <v>-3849.2</v>
      </c>
      <c r="R128" s="4">
        <f>SUMIFS(Tab_11.Nov[SALDO
ATUAL],Tab_11.Nov[CONTA],$F128)</f>
        <v>-3849.2</v>
      </c>
      <c r="S128" s="4">
        <f>SUMIFS(Tab_12.Dez[SALDO
ATUAL],Tab_12.Dez[CONTA],$F128)</f>
        <v>-3849.2</v>
      </c>
    </row>
    <row r="129" spans="2:19" x14ac:dyDescent="0.3">
      <c r="B129" s="3"/>
      <c r="C129" s="2" t="str">
        <f t="shared" si="9"/>
        <v>P</v>
      </c>
      <c r="D129" s="2" t="str">
        <f t="shared" si="12"/>
        <v>S</v>
      </c>
      <c r="E129" s="2">
        <f t="shared" si="13"/>
        <v>5</v>
      </c>
      <c r="F129" s="3" t="s">
        <v>565</v>
      </c>
      <c r="G129" s="3" t="s">
        <v>667</v>
      </c>
      <c r="H129" s="4">
        <f>SUMIFS(Tab_01.Jan[SALDO
ATUAL],Tab_01.Jan[CONTA],$F129)</f>
        <v>-3849.2</v>
      </c>
      <c r="I129" s="4">
        <f>SUMIFS(Tab_02.Fev[SALDO
ATUAL],Tab_02.Fev[CONTA],$F129)</f>
        <v>-3849.2</v>
      </c>
      <c r="J129" s="4">
        <f>SUMIFS(Tab_03.Mar[SALDO
ATUAL],Tab_03.Mar[CONTA],$F129)</f>
        <v>-3849.2</v>
      </c>
      <c r="K129" s="4">
        <f>SUMIFS(Tab_04.Abr[SALDO
ATUAL],Tab_04.Abr[CONTA],$F129)</f>
        <v>-3849.2</v>
      </c>
      <c r="L129" s="4">
        <f>SUMIFS(Tab_05.Mai[SALDO
ATUAL],Tab_05.Mai[CONTA],$F129)</f>
        <v>-3849.2</v>
      </c>
      <c r="M129" s="4">
        <f>SUMIFS(Tab_06.Jun[SALDO
ATUAL],Tab_06.Jun[CONTA],$F129)</f>
        <v>-3849.2</v>
      </c>
      <c r="N129" s="4">
        <f>SUMIFS(Tab_07.Jul[SALDO
ATUAL],Tab_07.Jul[CONTA],$F129)</f>
        <v>-3849.2</v>
      </c>
      <c r="O129" s="4">
        <f>SUMIFS(Tab_08.Ago[SALDO
ATUAL],Tab_08.Ago[CONTA],$F129)</f>
        <v>-3849.2</v>
      </c>
      <c r="P129" s="4">
        <f>SUMIFS(Tab_09.Set[SALDO
ATUAL],Tab_09.Set[CONTA],$F129)</f>
        <v>-3849.2</v>
      </c>
      <c r="Q129" s="4">
        <f>SUMIFS(Tab_10.Out[SALDO
ATUAL],Tab_10.Out[CONTA],$F129)</f>
        <v>-3849.2</v>
      </c>
      <c r="R129" s="4">
        <f>SUMIFS(Tab_11.Nov[SALDO
ATUAL],Tab_11.Nov[CONTA],$F129)</f>
        <v>-3849.2</v>
      </c>
      <c r="S129" s="4">
        <f>SUMIFS(Tab_12.Dez[SALDO
ATUAL],Tab_12.Dez[CONTA],$F129)</f>
        <v>-3849.2</v>
      </c>
    </row>
    <row r="130" spans="2:19" x14ac:dyDescent="0.3">
      <c r="B130" s="3" t="s">
        <v>54</v>
      </c>
      <c r="C130" s="2" t="str">
        <f t="shared" si="9"/>
        <v>P</v>
      </c>
      <c r="D130" s="2" t="str">
        <f t="shared" si="12"/>
        <v>A</v>
      </c>
      <c r="E130" s="2">
        <f t="shared" si="13"/>
        <v>5</v>
      </c>
      <c r="F130" s="3" t="s">
        <v>358</v>
      </c>
      <c r="G130" s="3" t="s">
        <v>359</v>
      </c>
      <c r="H130" s="4">
        <f>SUMIFS(Tab_01.Jan[SALDO
ATUAL],Tab_01.Jan[CONTA],$F130)</f>
        <v>-3849.2</v>
      </c>
      <c r="I130" s="4">
        <f>SUMIFS(Tab_02.Fev[SALDO
ATUAL],Tab_02.Fev[CONTA],$F130)</f>
        <v>-3849.2</v>
      </c>
      <c r="J130" s="4">
        <f>SUMIFS(Tab_03.Mar[SALDO
ATUAL],Tab_03.Mar[CONTA],$F130)</f>
        <v>-3849.2</v>
      </c>
      <c r="K130" s="4">
        <f>SUMIFS(Tab_04.Abr[SALDO
ATUAL],Tab_04.Abr[CONTA],$F130)</f>
        <v>-3849.2</v>
      </c>
      <c r="L130" s="4">
        <f>SUMIFS(Tab_05.Mai[SALDO
ATUAL],Tab_05.Mai[CONTA],$F130)</f>
        <v>-3849.2</v>
      </c>
      <c r="M130" s="4">
        <f>SUMIFS(Tab_06.Jun[SALDO
ATUAL],Tab_06.Jun[CONTA],$F130)</f>
        <v>-3849.2</v>
      </c>
      <c r="N130" s="4">
        <f>SUMIFS(Tab_07.Jul[SALDO
ATUAL],Tab_07.Jul[CONTA],$F130)</f>
        <v>-3849.2</v>
      </c>
      <c r="O130" s="4">
        <f>SUMIFS(Tab_08.Ago[SALDO
ATUAL],Tab_08.Ago[CONTA],$F130)</f>
        <v>-3849.2</v>
      </c>
      <c r="P130" s="4">
        <f>SUMIFS(Tab_09.Set[SALDO
ATUAL],Tab_09.Set[CONTA],$F130)</f>
        <v>-3849.2</v>
      </c>
      <c r="Q130" s="4">
        <f>SUMIFS(Tab_10.Out[SALDO
ATUAL],Tab_10.Out[CONTA],$F130)</f>
        <v>-3849.2</v>
      </c>
      <c r="R130" s="4">
        <f>SUMIFS(Tab_11.Nov[SALDO
ATUAL],Tab_11.Nov[CONTA],$F130)</f>
        <v>-3849.2</v>
      </c>
      <c r="S130" s="4">
        <f>SUMIFS(Tab_12.Dez[SALDO
ATUAL],Tab_12.Dez[CONTA],$F130)</f>
        <v>-3849.2</v>
      </c>
    </row>
    <row r="131" spans="2:19" x14ac:dyDescent="0.3">
      <c r="B131" s="3"/>
      <c r="C131" s="2" t="str">
        <f t="shared" si="9"/>
        <v>P</v>
      </c>
      <c r="D131" s="2" t="str">
        <f t="shared" si="12"/>
        <v>S</v>
      </c>
      <c r="E131" s="2">
        <f t="shared" si="13"/>
        <v>2</v>
      </c>
      <c r="F131" s="3" t="s">
        <v>226</v>
      </c>
      <c r="G131" s="3" t="s">
        <v>76</v>
      </c>
      <c r="H131" s="4">
        <f>SUMIFS(Tab_01.Jan[SALDO
ATUAL],Tab_01.Jan[CONTA],$F131)</f>
        <v>-46934.04</v>
      </c>
      <c r="I131" s="4">
        <f>SUMIFS(Tab_02.Fev[SALDO
ATUAL],Tab_02.Fev[CONTA],$F131)</f>
        <v>-46934.04</v>
      </c>
      <c r="J131" s="4">
        <f>SUMIFS(Tab_03.Mar[SALDO
ATUAL],Tab_03.Mar[CONTA],$F131)</f>
        <v>-46934.04</v>
      </c>
      <c r="K131" s="4">
        <f>SUMIFS(Tab_04.Abr[SALDO
ATUAL],Tab_04.Abr[CONTA],$F131)</f>
        <v>-46934.04</v>
      </c>
      <c r="L131" s="4">
        <f>SUMIFS(Tab_05.Mai[SALDO
ATUAL],Tab_05.Mai[CONTA],$F131)</f>
        <v>-46934.04</v>
      </c>
      <c r="M131" s="4">
        <f>SUMIFS(Tab_06.Jun[SALDO
ATUAL],Tab_06.Jun[CONTA],$F131)</f>
        <v>-46934.04</v>
      </c>
      <c r="N131" s="4">
        <f>SUMIFS(Tab_07.Jul[SALDO
ATUAL],Tab_07.Jul[CONTA],$F131)</f>
        <v>-46934.04</v>
      </c>
      <c r="O131" s="4">
        <f>SUMIFS(Tab_08.Ago[SALDO
ATUAL],Tab_08.Ago[CONTA],$F131)</f>
        <v>-46934.04</v>
      </c>
      <c r="P131" s="4">
        <f>SUMIFS(Tab_09.Set[SALDO
ATUAL],Tab_09.Set[CONTA],$F131)</f>
        <v>-46934.04</v>
      </c>
      <c r="Q131" s="4">
        <f>SUMIFS(Tab_10.Out[SALDO
ATUAL],Tab_10.Out[CONTA],$F131)</f>
        <v>-46934.04</v>
      </c>
      <c r="R131" s="4">
        <f>SUMIFS(Tab_11.Nov[SALDO
ATUAL],Tab_11.Nov[CONTA],$F131)</f>
        <v>-46934.04</v>
      </c>
      <c r="S131" s="4">
        <f>SUMIFS(Tab_12.Dez[SALDO
ATUAL],Tab_12.Dez[CONTA],$F131)</f>
        <v>0</v>
      </c>
    </row>
    <row r="132" spans="2:19" x14ac:dyDescent="0.3">
      <c r="B132" s="3"/>
      <c r="C132" s="2" t="str">
        <f t="shared" si="9"/>
        <v>P</v>
      </c>
      <c r="D132" s="2" t="str">
        <f t="shared" si="12"/>
        <v>S</v>
      </c>
      <c r="E132" s="2">
        <f t="shared" si="13"/>
        <v>5</v>
      </c>
      <c r="F132" s="3" t="s">
        <v>566</v>
      </c>
      <c r="G132" s="3" t="s">
        <v>668</v>
      </c>
      <c r="H132" s="4">
        <f>SUMIFS(Tab_01.Jan[SALDO
ATUAL],Tab_01.Jan[CONTA],$F132)</f>
        <v>-46934.04</v>
      </c>
      <c r="I132" s="4">
        <f>SUMIFS(Tab_02.Fev[SALDO
ATUAL],Tab_02.Fev[CONTA],$F132)</f>
        <v>-46934.04</v>
      </c>
      <c r="J132" s="4">
        <f>SUMIFS(Tab_03.Mar[SALDO
ATUAL],Tab_03.Mar[CONTA],$F132)</f>
        <v>-46934.04</v>
      </c>
      <c r="K132" s="4">
        <f>SUMIFS(Tab_04.Abr[SALDO
ATUAL],Tab_04.Abr[CONTA],$F132)</f>
        <v>-46934.04</v>
      </c>
      <c r="L132" s="4">
        <f>SUMIFS(Tab_05.Mai[SALDO
ATUAL],Tab_05.Mai[CONTA],$F132)</f>
        <v>-46934.04</v>
      </c>
      <c r="M132" s="4">
        <f>SUMIFS(Tab_06.Jun[SALDO
ATUAL],Tab_06.Jun[CONTA],$F132)</f>
        <v>-46934.04</v>
      </c>
      <c r="N132" s="4">
        <f>SUMIFS(Tab_07.Jul[SALDO
ATUAL],Tab_07.Jul[CONTA],$F132)</f>
        <v>-46934.04</v>
      </c>
      <c r="O132" s="4">
        <f>SUMIFS(Tab_08.Ago[SALDO
ATUAL],Tab_08.Ago[CONTA],$F132)</f>
        <v>-46934.04</v>
      </c>
      <c r="P132" s="4">
        <f>SUMIFS(Tab_09.Set[SALDO
ATUAL],Tab_09.Set[CONTA],$F132)</f>
        <v>-46934.04</v>
      </c>
      <c r="Q132" s="4">
        <f>SUMIFS(Tab_10.Out[SALDO
ATUAL],Tab_10.Out[CONTA],$F132)</f>
        <v>-46934.04</v>
      </c>
      <c r="R132" s="4">
        <f>SUMIFS(Tab_11.Nov[SALDO
ATUAL],Tab_11.Nov[CONTA],$F132)</f>
        <v>-46934.04</v>
      </c>
      <c r="S132" s="4">
        <f>SUMIFS(Tab_12.Dez[SALDO
ATUAL],Tab_12.Dez[CONTA],$F132)</f>
        <v>0</v>
      </c>
    </row>
    <row r="133" spans="2:19" x14ac:dyDescent="0.3">
      <c r="B133" s="3"/>
      <c r="C133" s="2" t="str">
        <f t="shared" si="9"/>
        <v>P</v>
      </c>
      <c r="D133" s="2" t="str">
        <f t="shared" si="12"/>
        <v>S</v>
      </c>
      <c r="E133" s="2">
        <f t="shared" si="13"/>
        <v>5</v>
      </c>
      <c r="F133" s="3" t="s">
        <v>567</v>
      </c>
      <c r="G133" s="3" t="s">
        <v>669</v>
      </c>
      <c r="H133" s="4">
        <f>SUMIFS(Tab_01.Jan[SALDO
ATUAL],Tab_01.Jan[CONTA],$F133)</f>
        <v>-46934.04</v>
      </c>
      <c r="I133" s="4">
        <f>SUMIFS(Tab_02.Fev[SALDO
ATUAL],Tab_02.Fev[CONTA],$F133)</f>
        <v>-46934.04</v>
      </c>
      <c r="J133" s="4">
        <f>SUMIFS(Tab_03.Mar[SALDO
ATUAL],Tab_03.Mar[CONTA],$F133)</f>
        <v>-46934.04</v>
      </c>
      <c r="K133" s="4">
        <f>SUMIFS(Tab_04.Abr[SALDO
ATUAL],Tab_04.Abr[CONTA],$F133)</f>
        <v>-46934.04</v>
      </c>
      <c r="L133" s="4">
        <f>SUMIFS(Tab_05.Mai[SALDO
ATUAL],Tab_05.Mai[CONTA],$F133)</f>
        <v>-46934.04</v>
      </c>
      <c r="M133" s="4">
        <f>SUMIFS(Tab_06.Jun[SALDO
ATUAL],Tab_06.Jun[CONTA],$F133)</f>
        <v>-46934.04</v>
      </c>
      <c r="N133" s="4">
        <f>SUMIFS(Tab_07.Jul[SALDO
ATUAL],Tab_07.Jul[CONTA],$F133)</f>
        <v>-46934.04</v>
      </c>
      <c r="O133" s="4">
        <f>SUMIFS(Tab_08.Ago[SALDO
ATUAL],Tab_08.Ago[CONTA],$F133)</f>
        <v>-46934.04</v>
      </c>
      <c r="P133" s="4">
        <f>SUMIFS(Tab_09.Set[SALDO
ATUAL],Tab_09.Set[CONTA],$F133)</f>
        <v>-46934.04</v>
      </c>
      <c r="Q133" s="4">
        <f>SUMIFS(Tab_10.Out[SALDO
ATUAL],Tab_10.Out[CONTA],$F133)</f>
        <v>-46934.04</v>
      </c>
      <c r="R133" s="4">
        <f>SUMIFS(Tab_11.Nov[SALDO
ATUAL],Tab_11.Nov[CONTA],$F133)</f>
        <v>-46934.04</v>
      </c>
      <c r="S133" s="4">
        <f>SUMIFS(Tab_12.Dez[SALDO
ATUAL],Tab_12.Dez[CONTA],$F133)</f>
        <v>0</v>
      </c>
    </row>
    <row r="134" spans="2:19" x14ac:dyDescent="0.3">
      <c r="B134" s="3" t="s">
        <v>122</v>
      </c>
      <c r="C134" s="2" t="str">
        <f t="shared" si="9"/>
        <v>P</v>
      </c>
      <c r="D134" s="2" t="str">
        <f t="shared" si="12"/>
        <v>A</v>
      </c>
      <c r="E134" s="2">
        <f t="shared" si="13"/>
        <v>5</v>
      </c>
      <c r="F134" s="3" t="s">
        <v>360</v>
      </c>
      <c r="G134" s="3" t="s">
        <v>361</v>
      </c>
      <c r="H134" s="4">
        <f>SUMIFS(Tab_01.Jan[SALDO
ATUAL],Tab_01.Jan[CONTA],$F134)</f>
        <v>-31934.04</v>
      </c>
      <c r="I134" s="4">
        <f>SUMIFS(Tab_02.Fev[SALDO
ATUAL],Tab_02.Fev[CONTA],$F134)</f>
        <v>-31934.04</v>
      </c>
      <c r="J134" s="4">
        <f>SUMIFS(Tab_03.Mar[SALDO
ATUAL],Tab_03.Mar[CONTA],$F134)</f>
        <v>-31934.04</v>
      </c>
      <c r="K134" s="4">
        <f>SUMIFS(Tab_04.Abr[SALDO
ATUAL],Tab_04.Abr[CONTA],$F134)</f>
        <v>-31934.04</v>
      </c>
      <c r="L134" s="4">
        <f>SUMIFS(Tab_05.Mai[SALDO
ATUAL],Tab_05.Mai[CONTA],$F134)</f>
        <v>-31934.04</v>
      </c>
      <c r="M134" s="4">
        <f>SUMIFS(Tab_06.Jun[SALDO
ATUAL],Tab_06.Jun[CONTA],$F134)</f>
        <v>-31934.04</v>
      </c>
      <c r="N134" s="4">
        <f>SUMIFS(Tab_07.Jul[SALDO
ATUAL],Tab_07.Jul[CONTA],$F134)</f>
        <v>-31934.04</v>
      </c>
      <c r="O134" s="4">
        <f>SUMIFS(Tab_08.Ago[SALDO
ATUAL],Tab_08.Ago[CONTA],$F134)</f>
        <v>-31934.04</v>
      </c>
      <c r="P134" s="4">
        <f>SUMIFS(Tab_09.Set[SALDO
ATUAL],Tab_09.Set[CONTA],$F134)</f>
        <v>-31934.04</v>
      </c>
      <c r="Q134" s="4">
        <f>SUMIFS(Tab_10.Out[SALDO
ATUAL],Tab_10.Out[CONTA],$F134)</f>
        <v>-31934.04</v>
      </c>
      <c r="R134" s="4">
        <f>SUMIFS(Tab_11.Nov[SALDO
ATUAL],Tab_11.Nov[CONTA],$F134)</f>
        <v>-31934.04</v>
      </c>
      <c r="S134" s="4">
        <f>SUMIFS(Tab_12.Dez[SALDO
ATUAL],Tab_12.Dez[CONTA],$F134)</f>
        <v>0</v>
      </c>
    </row>
    <row r="135" spans="2:19" x14ac:dyDescent="0.3">
      <c r="B135" s="3" t="s">
        <v>122</v>
      </c>
      <c r="C135" s="2" t="str">
        <f t="shared" si="9"/>
        <v>P</v>
      </c>
      <c r="D135" s="2" t="str">
        <f>IF($F135="","",IF(LEN($F135)=13,"A","S"))</f>
        <v>A</v>
      </c>
      <c r="E135" s="2">
        <f>IF($F135="","",IF(LEN($F135)=1,1,IF(LEN($F135)=3,2,IF(LEN($F135)=5,3,IF(LEN($F135)=8,4,5)))))</f>
        <v>5</v>
      </c>
      <c r="F135" s="3" t="s">
        <v>362</v>
      </c>
      <c r="G135" s="3" t="s">
        <v>363</v>
      </c>
      <c r="H135" s="4">
        <f>SUMIFS(Tab_01.Jan[SALDO
ATUAL],Tab_01.Jan[CONTA],$F135)</f>
        <v>-15000</v>
      </c>
      <c r="I135" s="4">
        <f>SUMIFS(Tab_02.Fev[SALDO
ATUAL],Tab_02.Fev[CONTA],$F135)</f>
        <v>-15000</v>
      </c>
      <c r="J135" s="4">
        <f>SUMIFS(Tab_03.Mar[SALDO
ATUAL],Tab_03.Mar[CONTA],$F135)</f>
        <v>-15000</v>
      </c>
      <c r="K135" s="4">
        <f>SUMIFS(Tab_04.Abr[SALDO
ATUAL],Tab_04.Abr[CONTA],$F135)</f>
        <v>-15000</v>
      </c>
      <c r="L135" s="4">
        <f>SUMIFS(Tab_05.Mai[SALDO
ATUAL],Tab_05.Mai[CONTA],$F135)</f>
        <v>-15000</v>
      </c>
      <c r="M135" s="4">
        <f>SUMIFS(Tab_06.Jun[SALDO
ATUAL],Tab_06.Jun[CONTA],$F135)</f>
        <v>-15000</v>
      </c>
      <c r="N135" s="4">
        <f>SUMIFS(Tab_07.Jul[SALDO
ATUAL],Tab_07.Jul[CONTA],$F135)</f>
        <v>-15000</v>
      </c>
      <c r="O135" s="4">
        <f>SUMIFS(Tab_08.Ago[SALDO
ATUAL],Tab_08.Ago[CONTA],$F135)</f>
        <v>-15000</v>
      </c>
      <c r="P135" s="4">
        <f>SUMIFS(Tab_09.Set[SALDO
ATUAL],Tab_09.Set[CONTA],$F135)</f>
        <v>-15000</v>
      </c>
      <c r="Q135" s="4">
        <f>SUMIFS(Tab_10.Out[SALDO
ATUAL],Tab_10.Out[CONTA],$F135)</f>
        <v>-15000</v>
      </c>
      <c r="R135" s="4">
        <f>SUMIFS(Tab_11.Nov[SALDO
ATUAL],Tab_11.Nov[CONTA],$F135)</f>
        <v>-15000</v>
      </c>
      <c r="S135" s="4">
        <f>SUMIFS(Tab_12.Dez[SALDO
ATUAL],Tab_12.Dez[CONTA],$F135)</f>
        <v>0</v>
      </c>
    </row>
    <row r="136" spans="2:19" x14ac:dyDescent="0.3">
      <c r="B136" s="3"/>
      <c r="C136" s="2" t="str">
        <f t="shared" si="9"/>
        <v>P</v>
      </c>
      <c r="D136" s="2" t="str">
        <f t="shared" si="12"/>
        <v>S</v>
      </c>
      <c r="E136" s="2">
        <f t="shared" si="13"/>
        <v>2</v>
      </c>
      <c r="F136" s="3" t="s">
        <v>228</v>
      </c>
      <c r="G136" s="3" t="s">
        <v>670</v>
      </c>
      <c r="H136" s="4">
        <f>SUMIFS(Tab_01.Jan[SALDO
ATUAL],Tab_01.Jan[CONTA],$F136)</f>
        <v>-82087967.730000004</v>
      </c>
      <c r="I136" s="4">
        <f>SUMIFS(Tab_02.Fev[SALDO
ATUAL],Tab_02.Fev[CONTA],$F136)</f>
        <v>-82087967.730000004</v>
      </c>
      <c r="J136" s="4">
        <f>SUMIFS(Tab_03.Mar[SALDO
ATUAL],Tab_03.Mar[CONTA],$F136)</f>
        <v>-82087967.730000004</v>
      </c>
      <c r="K136" s="4">
        <f>SUMIFS(Tab_04.Abr[SALDO
ATUAL],Tab_04.Abr[CONTA],$F136)</f>
        <v>-82087967.730000004</v>
      </c>
      <c r="L136" s="4">
        <f>SUMIFS(Tab_05.Mai[SALDO
ATUAL],Tab_05.Mai[CONTA],$F136)</f>
        <v>-82087967.730000004</v>
      </c>
      <c r="M136" s="4">
        <f>SUMIFS(Tab_06.Jun[SALDO
ATUAL],Tab_06.Jun[CONTA],$F136)</f>
        <v>-82087967.730000004</v>
      </c>
      <c r="N136" s="4">
        <f>SUMIFS(Tab_07.Jul[SALDO
ATUAL],Tab_07.Jul[CONTA],$F136)</f>
        <v>-82087967.730000004</v>
      </c>
      <c r="O136" s="4">
        <f>SUMIFS(Tab_08.Ago[SALDO
ATUAL],Tab_08.Ago[CONTA],$F136)</f>
        <v>-82087967.730000004</v>
      </c>
      <c r="P136" s="4">
        <f>SUMIFS(Tab_09.Set[SALDO
ATUAL],Tab_09.Set[CONTA],$F136)</f>
        <v>-82087967.730000004</v>
      </c>
      <c r="Q136" s="4">
        <f>SUMIFS(Tab_10.Out[SALDO
ATUAL],Tab_10.Out[CONTA],$F136)</f>
        <v>-82087967.730000004</v>
      </c>
      <c r="R136" s="4">
        <f>SUMIFS(Tab_11.Nov[SALDO
ATUAL],Tab_11.Nov[CONTA],$F136)</f>
        <v>-82087967.730000004</v>
      </c>
      <c r="S136" s="4">
        <f>SUMIFS(Tab_12.Dez[SALDO
ATUAL],Tab_12.Dez[CONTA],$F136)</f>
        <v>-83125798.969999999</v>
      </c>
    </row>
    <row r="137" spans="2:19" x14ac:dyDescent="0.3">
      <c r="B137" s="3"/>
      <c r="C137" s="2" t="str">
        <f t="shared" si="9"/>
        <v>P</v>
      </c>
      <c r="D137" s="2" t="str">
        <f t="shared" si="12"/>
        <v>S</v>
      </c>
      <c r="E137" s="2">
        <f t="shared" si="13"/>
        <v>5</v>
      </c>
      <c r="F137" s="3" t="s">
        <v>229</v>
      </c>
      <c r="G137" s="3" t="s">
        <v>670</v>
      </c>
      <c r="H137" s="4">
        <f>SUMIFS(Tab_01.Jan[SALDO
ATUAL],Tab_01.Jan[CONTA],$F137)</f>
        <v>-82087967.730000004</v>
      </c>
      <c r="I137" s="4">
        <f>SUMIFS(Tab_02.Fev[SALDO
ATUAL],Tab_02.Fev[CONTA],$F137)</f>
        <v>-82087967.730000004</v>
      </c>
      <c r="J137" s="4">
        <f>SUMIFS(Tab_03.Mar[SALDO
ATUAL],Tab_03.Mar[CONTA],$F137)</f>
        <v>-82087967.730000004</v>
      </c>
      <c r="K137" s="4">
        <f>SUMIFS(Tab_04.Abr[SALDO
ATUAL],Tab_04.Abr[CONTA],$F137)</f>
        <v>-82087967.730000004</v>
      </c>
      <c r="L137" s="4">
        <f>SUMIFS(Tab_05.Mai[SALDO
ATUAL],Tab_05.Mai[CONTA],$F137)</f>
        <v>-82087967.730000004</v>
      </c>
      <c r="M137" s="4">
        <f>SUMIFS(Tab_06.Jun[SALDO
ATUAL],Tab_06.Jun[CONTA],$F137)</f>
        <v>-82087967.730000004</v>
      </c>
      <c r="N137" s="4">
        <f>SUMIFS(Tab_07.Jul[SALDO
ATUAL],Tab_07.Jul[CONTA],$F137)</f>
        <v>-82087967.730000004</v>
      </c>
      <c r="O137" s="4">
        <f>SUMIFS(Tab_08.Ago[SALDO
ATUAL],Tab_08.Ago[CONTA],$F137)</f>
        <v>-82087967.730000004</v>
      </c>
      <c r="P137" s="4">
        <f>SUMIFS(Tab_09.Set[SALDO
ATUAL],Tab_09.Set[CONTA],$F137)</f>
        <v>-82087967.730000004</v>
      </c>
      <c r="Q137" s="4">
        <f>SUMIFS(Tab_10.Out[SALDO
ATUAL],Tab_10.Out[CONTA],$F137)</f>
        <v>-82087967.730000004</v>
      </c>
      <c r="R137" s="4">
        <f>SUMIFS(Tab_11.Nov[SALDO
ATUAL],Tab_11.Nov[CONTA],$F137)</f>
        <v>-82087967.730000004</v>
      </c>
      <c r="S137" s="4">
        <f>SUMIFS(Tab_12.Dez[SALDO
ATUAL],Tab_12.Dez[CONTA],$F137)</f>
        <v>-83125798.969999999</v>
      </c>
    </row>
    <row r="138" spans="2:19" x14ac:dyDescent="0.3">
      <c r="B138" s="3"/>
      <c r="C138" s="2" t="str">
        <f t="shared" si="9"/>
        <v>P</v>
      </c>
      <c r="D138" s="2" t="str">
        <f t="shared" si="12"/>
        <v>S</v>
      </c>
      <c r="E138" s="2">
        <f t="shared" si="13"/>
        <v>5</v>
      </c>
      <c r="F138" s="3" t="s">
        <v>230</v>
      </c>
      <c r="G138" s="3" t="s">
        <v>364</v>
      </c>
      <c r="H138" s="4">
        <f>SUMIFS(Tab_01.Jan[SALDO
ATUAL],Tab_01.Jan[CONTA],$F138)</f>
        <v>-104784619.59999999</v>
      </c>
      <c r="I138" s="4">
        <f>SUMIFS(Tab_02.Fev[SALDO
ATUAL],Tab_02.Fev[CONTA],$F138)</f>
        <v>-104784619.59999999</v>
      </c>
      <c r="J138" s="4">
        <f>SUMIFS(Tab_03.Mar[SALDO
ATUAL],Tab_03.Mar[CONTA],$F138)</f>
        <v>-104784619.59999999</v>
      </c>
      <c r="K138" s="4">
        <f>SUMIFS(Tab_04.Abr[SALDO
ATUAL],Tab_04.Abr[CONTA],$F138)</f>
        <v>-104784619.59999999</v>
      </c>
      <c r="L138" s="4">
        <f>SUMIFS(Tab_05.Mai[SALDO
ATUAL],Tab_05.Mai[CONTA],$F138)</f>
        <v>-104784619.59999999</v>
      </c>
      <c r="M138" s="4">
        <f>SUMIFS(Tab_06.Jun[SALDO
ATUAL],Tab_06.Jun[CONTA],$F138)</f>
        <v>-104784619.59999999</v>
      </c>
      <c r="N138" s="4">
        <f>SUMIFS(Tab_07.Jul[SALDO
ATUAL],Tab_07.Jul[CONTA],$F138)</f>
        <v>-104784619.59999999</v>
      </c>
      <c r="O138" s="4">
        <f>SUMIFS(Tab_08.Ago[SALDO
ATUAL],Tab_08.Ago[CONTA],$F138)</f>
        <v>-104784619.59999999</v>
      </c>
      <c r="P138" s="4">
        <f>SUMIFS(Tab_09.Set[SALDO
ATUAL],Tab_09.Set[CONTA],$F138)</f>
        <v>-104784619.59999999</v>
      </c>
      <c r="Q138" s="4">
        <f>SUMIFS(Tab_10.Out[SALDO
ATUAL],Tab_10.Out[CONTA],$F138)</f>
        <v>-104784619.59999999</v>
      </c>
      <c r="R138" s="4">
        <f>SUMIFS(Tab_11.Nov[SALDO
ATUAL],Tab_11.Nov[CONTA],$F138)</f>
        <v>-104784619.59999999</v>
      </c>
      <c r="S138" s="4">
        <f>SUMIFS(Tab_12.Dez[SALDO
ATUAL],Tab_12.Dez[CONTA],$F138)</f>
        <v>-104784619.59999999</v>
      </c>
    </row>
    <row r="139" spans="2:19" x14ac:dyDescent="0.3">
      <c r="B139" s="3" t="s">
        <v>61</v>
      </c>
      <c r="C139" s="2" t="str">
        <f t="shared" si="9"/>
        <v>P</v>
      </c>
      <c r="D139" s="2" t="str">
        <f t="shared" si="12"/>
        <v>A</v>
      </c>
      <c r="E139" s="2">
        <f t="shared" si="13"/>
        <v>5</v>
      </c>
      <c r="F139" s="3" t="s">
        <v>193</v>
      </c>
      <c r="G139" s="3" t="s">
        <v>364</v>
      </c>
      <c r="H139" s="4">
        <f>SUMIFS(Tab_01.Jan[SALDO
ATUAL],Tab_01.Jan[CONTA],$F139)</f>
        <v>-104784619.59999999</v>
      </c>
      <c r="I139" s="4">
        <f>SUMIFS(Tab_02.Fev[SALDO
ATUAL],Tab_02.Fev[CONTA],$F139)</f>
        <v>-104784619.59999999</v>
      </c>
      <c r="J139" s="4">
        <f>SUMIFS(Tab_03.Mar[SALDO
ATUAL],Tab_03.Mar[CONTA],$F139)</f>
        <v>-104784619.59999999</v>
      </c>
      <c r="K139" s="4">
        <f>SUMIFS(Tab_04.Abr[SALDO
ATUAL],Tab_04.Abr[CONTA],$F139)</f>
        <v>-104784619.59999999</v>
      </c>
      <c r="L139" s="4">
        <f>SUMIFS(Tab_05.Mai[SALDO
ATUAL],Tab_05.Mai[CONTA],$F139)</f>
        <v>-104784619.59999999</v>
      </c>
      <c r="M139" s="4">
        <f>SUMIFS(Tab_06.Jun[SALDO
ATUAL],Tab_06.Jun[CONTA],$F139)</f>
        <v>-104784619.59999999</v>
      </c>
      <c r="N139" s="4">
        <f>SUMIFS(Tab_07.Jul[SALDO
ATUAL],Tab_07.Jul[CONTA],$F139)</f>
        <v>-104784619.59999999</v>
      </c>
      <c r="O139" s="4">
        <f>SUMIFS(Tab_08.Ago[SALDO
ATUAL],Tab_08.Ago[CONTA],$F139)</f>
        <v>-104784619.59999999</v>
      </c>
      <c r="P139" s="4">
        <f>SUMIFS(Tab_09.Set[SALDO
ATUAL],Tab_09.Set[CONTA],$F139)</f>
        <v>-104784619.59999999</v>
      </c>
      <c r="Q139" s="4">
        <f>SUMIFS(Tab_10.Out[SALDO
ATUAL],Tab_10.Out[CONTA],$F139)</f>
        <v>-104784619.59999999</v>
      </c>
      <c r="R139" s="4">
        <f>SUMIFS(Tab_11.Nov[SALDO
ATUAL],Tab_11.Nov[CONTA],$F139)</f>
        <v>-104784619.59999999</v>
      </c>
      <c r="S139" s="4">
        <f>SUMIFS(Tab_12.Dez[SALDO
ATUAL],Tab_12.Dez[CONTA],$F139)</f>
        <v>-104784619.59999999</v>
      </c>
    </row>
    <row r="140" spans="2:19" x14ac:dyDescent="0.3">
      <c r="B140" s="3"/>
      <c r="C140" s="2" t="str">
        <f t="shared" si="9"/>
        <v>P</v>
      </c>
      <c r="D140" s="2" t="str">
        <f t="shared" si="12"/>
        <v>S</v>
      </c>
      <c r="E140" s="2">
        <f t="shared" si="13"/>
        <v>5</v>
      </c>
      <c r="F140" s="3" t="s">
        <v>568</v>
      </c>
      <c r="G140" s="3" t="s">
        <v>671</v>
      </c>
      <c r="H140" s="4">
        <f>SUMIFS(Tab_01.Jan[SALDO
ATUAL],Tab_01.Jan[CONTA],$F140)</f>
        <v>32587250.850000001</v>
      </c>
      <c r="I140" s="4">
        <f>SUMIFS(Tab_02.Fev[SALDO
ATUAL],Tab_02.Fev[CONTA],$F140)</f>
        <v>32587250.850000001</v>
      </c>
      <c r="J140" s="4">
        <f>SUMIFS(Tab_03.Mar[SALDO
ATUAL],Tab_03.Mar[CONTA],$F140)</f>
        <v>32587250.850000001</v>
      </c>
      <c r="K140" s="4">
        <f>SUMIFS(Tab_04.Abr[SALDO
ATUAL],Tab_04.Abr[CONTA],$F140)</f>
        <v>32587250.850000001</v>
      </c>
      <c r="L140" s="4">
        <f>SUMIFS(Tab_05.Mai[SALDO
ATUAL],Tab_05.Mai[CONTA],$F140)</f>
        <v>32587250.850000001</v>
      </c>
      <c r="M140" s="4">
        <f>SUMIFS(Tab_06.Jun[SALDO
ATUAL],Tab_06.Jun[CONTA],$F140)</f>
        <v>32587250.850000001</v>
      </c>
      <c r="N140" s="4">
        <f>SUMIFS(Tab_07.Jul[SALDO
ATUAL],Tab_07.Jul[CONTA],$F140)</f>
        <v>32587250.850000001</v>
      </c>
      <c r="O140" s="4">
        <f>SUMIFS(Tab_08.Ago[SALDO
ATUAL],Tab_08.Ago[CONTA],$F140)</f>
        <v>32587250.850000001</v>
      </c>
      <c r="P140" s="4">
        <f>SUMIFS(Tab_09.Set[SALDO
ATUAL],Tab_09.Set[CONTA],$F140)</f>
        <v>32587250.850000001</v>
      </c>
      <c r="Q140" s="4">
        <f>SUMIFS(Tab_10.Out[SALDO
ATUAL],Tab_10.Out[CONTA],$F140)</f>
        <v>32587250.850000001</v>
      </c>
      <c r="R140" s="4">
        <f>SUMIFS(Tab_11.Nov[SALDO
ATUAL],Tab_11.Nov[CONTA],$F140)</f>
        <v>32587250.850000001</v>
      </c>
      <c r="S140" s="4">
        <f>SUMIFS(Tab_12.Dez[SALDO
ATUAL],Tab_12.Dez[CONTA],$F140)</f>
        <v>32587250.850000001</v>
      </c>
    </row>
    <row r="141" spans="2:19" x14ac:dyDescent="0.3">
      <c r="B141" s="3" t="s">
        <v>163</v>
      </c>
      <c r="C141" s="2" t="str">
        <f>IF($F141="","",IF(LEFT($F141,1)*1=1,"A",IF(LEFT($F141,1)*1=2,"P",IF(LEFT($F141,1)*1=3,"R",IF(LEFT($F141,1)*1=4,"C",IF(LEFT($F141,1)*1=5,"C",""))))))</f>
        <v>P</v>
      </c>
      <c r="D141" s="2" t="str">
        <f>IF($F141="","",IF(LEN($F141)=13,"A","S"))</f>
        <v>A</v>
      </c>
      <c r="E141" s="2">
        <f>IF($F141="","",IF(LEN($F141)=1,1,IF(LEN($F141)=3,2,IF(LEN($F141)=5,3,IF(LEN($F141)=8,4,5)))))</f>
        <v>5</v>
      </c>
      <c r="F141" s="3" t="s">
        <v>743</v>
      </c>
      <c r="G141" s="3" t="s">
        <v>744</v>
      </c>
      <c r="H141" s="4">
        <f>SUMIFS(Tab_01.Jan[SALDO
ATUAL],Tab_01.Jan[CONTA],$F141)</f>
        <v>-827719.82</v>
      </c>
      <c r="I141" s="4">
        <f>SUMIFS(Tab_02.Fev[SALDO
ATUAL],Tab_02.Fev[CONTA],$F141)</f>
        <v>-827719.82</v>
      </c>
      <c r="J141" s="4">
        <f>SUMIFS(Tab_03.Mar[SALDO
ATUAL],Tab_03.Mar[CONTA],$F141)</f>
        <v>-827719.82</v>
      </c>
      <c r="K141" s="4">
        <f>SUMIFS(Tab_04.Abr[SALDO
ATUAL],Tab_04.Abr[CONTA],$F141)</f>
        <v>-827719.82</v>
      </c>
      <c r="L141" s="4">
        <f>SUMIFS(Tab_05.Mai[SALDO
ATUAL],Tab_05.Mai[CONTA],$F141)</f>
        <v>-827719.82</v>
      </c>
      <c r="M141" s="4">
        <f>SUMIFS(Tab_06.Jun[SALDO
ATUAL],Tab_06.Jun[CONTA],$F141)</f>
        <v>-827719.82</v>
      </c>
      <c r="N141" s="4">
        <f>SUMIFS(Tab_07.Jul[SALDO
ATUAL],Tab_07.Jul[CONTA],$F141)</f>
        <v>-827719.82</v>
      </c>
      <c r="O141" s="4">
        <f>SUMIFS(Tab_08.Ago[SALDO
ATUAL],Tab_08.Ago[CONTA],$F141)</f>
        <v>-827719.82</v>
      </c>
      <c r="P141" s="4">
        <f>SUMIFS(Tab_09.Set[SALDO
ATUAL],Tab_09.Set[CONTA],$F141)</f>
        <v>-827719.82</v>
      </c>
      <c r="Q141" s="4">
        <f>SUMIFS(Tab_10.Out[SALDO
ATUAL],Tab_10.Out[CONTA],$F141)</f>
        <v>-827719.82</v>
      </c>
      <c r="R141" s="4">
        <f>SUMIFS(Tab_11.Nov[SALDO
ATUAL],Tab_11.Nov[CONTA],$F141)</f>
        <v>-827719.82</v>
      </c>
      <c r="S141" s="4">
        <f>SUMIFS(Tab_12.Dez[SALDO
ATUAL],Tab_12.Dez[CONTA],$F141)</f>
        <v>-827719.82</v>
      </c>
    </row>
    <row r="142" spans="2:19" x14ac:dyDescent="0.3">
      <c r="B142" s="3" t="s">
        <v>163</v>
      </c>
      <c r="C142" s="2" t="str">
        <f t="shared" si="9"/>
        <v>P</v>
      </c>
      <c r="D142" s="2" t="str">
        <f t="shared" si="12"/>
        <v>A</v>
      </c>
      <c r="E142" s="2">
        <f t="shared" si="13"/>
        <v>5</v>
      </c>
      <c r="F142" s="3" t="s">
        <v>365</v>
      </c>
      <c r="G142" s="3" t="s">
        <v>366</v>
      </c>
      <c r="H142" s="4">
        <f>SUMIFS(Tab_01.Jan[SALDO
ATUAL],Tab_01.Jan[CONTA],$F142)</f>
        <v>33414970.670000002</v>
      </c>
      <c r="I142" s="4">
        <f>SUMIFS(Tab_02.Fev[SALDO
ATUAL],Tab_02.Fev[CONTA],$F142)</f>
        <v>33414970.670000002</v>
      </c>
      <c r="J142" s="4">
        <f>SUMIFS(Tab_03.Mar[SALDO
ATUAL],Tab_03.Mar[CONTA],$F142)</f>
        <v>33414970.670000002</v>
      </c>
      <c r="K142" s="4">
        <f>SUMIFS(Tab_04.Abr[SALDO
ATUAL],Tab_04.Abr[CONTA],$F142)</f>
        <v>33414970.670000002</v>
      </c>
      <c r="L142" s="4">
        <f>SUMIFS(Tab_05.Mai[SALDO
ATUAL],Tab_05.Mai[CONTA],$F142)</f>
        <v>33414970.670000002</v>
      </c>
      <c r="M142" s="4">
        <f>SUMIFS(Tab_06.Jun[SALDO
ATUAL],Tab_06.Jun[CONTA],$F142)</f>
        <v>33414970.670000002</v>
      </c>
      <c r="N142" s="4">
        <f>SUMIFS(Tab_07.Jul[SALDO
ATUAL],Tab_07.Jul[CONTA],$F142)</f>
        <v>33414970.670000002</v>
      </c>
      <c r="O142" s="4">
        <f>SUMIFS(Tab_08.Ago[SALDO
ATUAL],Tab_08.Ago[CONTA],$F142)</f>
        <v>33414970.670000002</v>
      </c>
      <c r="P142" s="4">
        <f>SUMIFS(Tab_09.Set[SALDO
ATUAL],Tab_09.Set[CONTA],$F142)</f>
        <v>33414970.670000002</v>
      </c>
      <c r="Q142" s="4">
        <f>SUMIFS(Tab_10.Out[SALDO
ATUAL],Tab_10.Out[CONTA],$F142)</f>
        <v>33414970.670000002</v>
      </c>
      <c r="R142" s="4">
        <f>SUMIFS(Tab_11.Nov[SALDO
ATUAL],Tab_11.Nov[CONTA],$F142)</f>
        <v>33414970.670000002</v>
      </c>
      <c r="S142" s="4">
        <f>SUMIFS(Tab_12.Dez[SALDO
ATUAL],Tab_12.Dez[CONTA],$F142)</f>
        <v>33414970.670000002</v>
      </c>
    </row>
    <row r="143" spans="2:19" x14ac:dyDescent="0.3">
      <c r="B143" s="3"/>
      <c r="C143" s="2" t="str">
        <f>IF($F143="","",IF(LEFT($F143,1)*1=1,"A",IF(LEFT($F143,1)*1=2,"P",IF(LEFT($F143,1)*1=3,"R",IF(LEFT($F143,1)*1=4,"C",IF(LEFT($F143,1)*1=5,"C",""))))))</f>
        <v>P</v>
      </c>
      <c r="D143" s="2" t="str">
        <f>IF($F143="","",IF(LEN($F143)=13,"A","S"))</f>
        <v>S</v>
      </c>
      <c r="E143" s="2">
        <f>IF($F143="","",IF(LEN($F143)=1,1,IF(LEN($F143)=3,2,IF(LEN($F143)=5,3,IF(LEN($F143)=8,4,5)))))</f>
        <v>5</v>
      </c>
      <c r="F143" s="3" t="s">
        <v>745</v>
      </c>
      <c r="G143" s="3" t="s">
        <v>746</v>
      </c>
      <c r="H143" s="4">
        <f>SUMIFS(Tab_01.Jan[SALDO
ATUAL],Tab_01.Jan[CONTA],$F143)</f>
        <v>-9890598.9800000004</v>
      </c>
      <c r="I143" s="4">
        <f>SUMIFS(Tab_02.Fev[SALDO
ATUAL],Tab_02.Fev[CONTA],$F143)</f>
        <v>-9890598.9800000004</v>
      </c>
      <c r="J143" s="4">
        <f>SUMIFS(Tab_03.Mar[SALDO
ATUAL],Tab_03.Mar[CONTA],$F143)</f>
        <v>-9890598.9800000004</v>
      </c>
      <c r="K143" s="4">
        <f>SUMIFS(Tab_04.Abr[SALDO
ATUAL],Tab_04.Abr[CONTA],$F143)</f>
        <v>-9890598.9800000004</v>
      </c>
      <c r="L143" s="4">
        <f>SUMIFS(Tab_05.Mai[SALDO
ATUAL],Tab_05.Mai[CONTA],$F143)</f>
        <v>-9890598.9800000004</v>
      </c>
      <c r="M143" s="4">
        <f>SUMIFS(Tab_06.Jun[SALDO
ATUAL],Tab_06.Jun[CONTA],$F143)</f>
        <v>-9890598.9800000004</v>
      </c>
      <c r="N143" s="4">
        <f>SUMIFS(Tab_07.Jul[SALDO
ATUAL],Tab_07.Jul[CONTA],$F143)</f>
        <v>-9890598.9800000004</v>
      </c>
      <c r="O143" s="4">
        <f>SUMIFS(Tab_08.Ago[SALDO
ATUAL],Tab_08.Ago[CONTA],$F143)</f>
        <v>-9890598.9800000004</v>
      </c>
      <c r="P143" s="4">
        <f>SUMIFS(Tab_09.Set[SALDO
ATUAL],Tab_09.Set[CONTA],$F143)</f>
        <v>-9890598.9800000004</v>
      </c>
      <c r="Q143" s="4">
        <f>SUMIFS(Tab_10.Out[SALDO
ATUAL],Tab_10.Out[CONTA],$F143)</f>
        <v>-9890598.9800000004</v>
      </c>
      <c r="R143" s="4">
        <f>SUMIFS(Tab_11.Nov[SALDO
ATUAL],Tab_11.Nov[CONTA],$F143)</f>
        <v>-9890598.9800000004</v>
      </c>
      <c r="S143" s="4">
        <f>SUMIFS(Tab_12.Dez[SALDO
ATUAL],Tab_12.Dez[CONTA],$F143)</f>
        <v>-10928430.220000001</v>
      </c>
    </row>
    <row r="144" spans="2:19" x14ac:dyDescent="0.3">
      <c r="B144" s="3" t="s">
        <v>163</v>
      </c>
      <c r="C144" s="2" t="str">
        <f>IF($F144="","",IF(LEFT($F144,1)*1=1,"A",IF(LEFT($F144,1)*1=2,"P",IF(LEFT($F144,1)*1=3,"R",IF(LEFT($F144,1)*1=4,"C",IF(LEFT($F144,1)*1=5,"C",""))))))</f>
        <v>P</v>
      </c>
      <c r="D144" s="2" t="str">
        <f>IF($F144="","",IF(LEN($F144)=13,"A","S"))</f>
        <v>A</v>
      </c>
      <c r="E144" s="2">
        <f>IF($F144="","",IF(LEN($F144)=1,1,IF(LEN($F144)=3,2,IF(LEN($F144)=5,3,IF(LEN($F144)=8,4,5)))))</f>
        <v>5</v>
      </c>
      <c r="F144" s="3" t="s">
        <v>747</v>
      </c>
      <c r="G144" s="3" t="s">
        <v>746</v>
      </c>
      <c r="H144" s="4">
        <f>SUMIFS(Tab_01.Jan[SALDO
ATUAL],Tab_01.Jan[CONTA],$F144)</f>
        <v>-9890598.9800000004</v>
      </c>
      <c r="I144" s="4">
        <f>SUMIFS(Tab_02.Fev[SALDO
ATUAL],Tab_02.Fev[CONTA],$F144)</f>
        <v>-9890598.9800000004</v>
      </c>
      <c r="J144" s="4">
        <f>SUMIFS(Tab_03.Mar[SALDO
ATUAL],Tab_03.Mar[CONTA],$F144)</f>
        <v>-9890598.9800000004</v>
      </c>
      <c r="K144" s="4">
        <f>SUMIFS(Tab_04.Abr[SALDO
ATUAL],Tab_04.Abr[CONTA],$F144)</f>
        <v>-9890598.9800000004</v>
      </c>
      <c r="L144" s="4">
        <f>SUMIFS(Tab_05.Mai[SALDO
ATUAL],Tab_05.Mai[CONTA],$F144)</f>
        <v>-9890598.9800000004</v>
      </c>
      <c r="M144" s="4">
        <f>SUMIFS(Tab_06.Jun[SALDO
ATUAL],Tab_06.Jun[CONTA],$F144)</f>
        <v>-9890598.9800000004</v>
      </c>
      <c r="N144" s="4">
        <f>SUMIFS(Tab_07.Jul[SALDO
ATUAL],Tab_07.Jul[CONTA],$F144)</f>
        <v>-9890598.9800000004</v>
      </c>
      <c r="O144" s="4">
        <f>SUMIFS(Tab_08.Ago[SALDO
ATUAL],Tab_08.Ago[CONTA],$F144)</f>
        <v>-9890598.9800000004</v>
      </c>
      <c r="P144" s="4">
        <f>SUMIFS(Tab_09.Set[SALDO
ATUAL],Tab_09.Set[CONTA],$F144)</f>
        <v>-9890598.9800000004</v>
      </c>
      <c r="Q144" s="4">
        <f>SUMIFS(Tab_10.Out[SALDO
ATUAL],Tab_10.Out[CONTA],$F144)</f>
        <v>-9890598.9800000004</v>
      </c>
      <c r="R144" s="4">
        <f>SUMIFS(Tab_11.Nov[SALDO
ATUAL],Tab_11.Nov[CONTA],$F144)</f>
        <v>-9890598.9800000004</v>
      </c>
      <c r="S144" s="4">
        <f>SUMIFS(Tab_12.Dez[SALDO
ATUAL],Tab_12.Dez[CONTA],$F144)</f>
        <v>-10928430.220000001</v>
      </c>
    </row>
    <row r="145" spans="2:19" x14ac:dyDescent="0.3">
      <c r="B145" s="3"/>
      <c r="C145" s="2" t="str">
        <f t="shared" si="9"/>
        <v>R</v>
      </c>
      <c r="D145" s="2" t="str">
        <f t="shared" si="12"/>
        <v>S</v>
      </c>
      <c r="E145" s="2">
        <f t="shared" si="13"/>
        <v>1</v>
      </c>
      <c r="F145" s="3">
        <v>3</v>
      </c>
      <c r="G145" s="3" t="s">
        <v>672</v>
      </c>
      <c r="H145" s="4">
        <f>SUMIFS(Tab_01.Jan[SALDO
ATUAL],Tab_01.Jan[CONTA],$F145)</f>
        <v>-1152924.6399999999</v>
      </c>
      <c r="I145" s="4">
        <f>SUMIFS(Tab_02.Fev[SALDO
ATUAL],Tab_02.Fev[CONTA],$F145)</f>
        <v>-2346861.59</v>
      </c>
      <c r="J145" s="4">
        <f>SUMIFS(Tab_03.Mar[SALDO
ATUAL],Tab_03.Mar[CONTA],$F145)</f>
        <v>-3704345.37</v>
      </c>
      <c r="K145" s="4">
        <f>SUMIFS(Tab_04.Abr[SALDO
ATUAL],Tab_04.Abr[CONTA],$F145)</f>
        <v>-4786345.3099999996</v>
      </c>
      <c r="L145" s="4">
        <f>SUMIFS(Tab_05.Mai[SALDO
ATUAL],Tab_05.Mai[CONTA],$F145)</f>
        <v>-6324872.71</v>
      </c>
      <c r="M145" s="4">
        <f>SUMIFS(Tab_06.Jun[SALDO
ATUAL],Tab_06.Jun[CONTA],$F145)</f>
        <v>-7536287.2699999996</v>
      </c>
      <c r="N145" s="4">
        <f>SUMIFS(Tab_07.Jul[SALDO
ATUAL],Tab_07.Jul[CONTA],$F145)</f>
        <v>-9046854.1099999994</v>
      </c>
      <c r="O145" s="4">
        <f>SUMIFS(Tab_08.Ago[SALDO
ATUAL],Tab_08.Ago[CONTA],$F145)</f>
        <v>-10466674.550000001</v>
      </c>
      <c r="P145" s="4">
        <f>SUMIFS(Tab_09.Set[SALDO
ATUAL],Tab_09.Set[CONTA],$F145)</f>
        <v>-11583591.220000001</v>
      </c>
      <c r="Q145" s="4">
        <f>SUMIFS(Tab_10.Out[SALDO
ATUAL],Tab_10.Out[CONTA],$F145)</f>
        <v>-13040652.34</v>
      </c>
      <c r="R145" s="4">
        <f>SUMIFS(Tab_11.Nov[SALDO
ATUAL],Tab_11.Nov[CONTA],$F145)</f>
        <v>-14289890.52</v>
      </c>
      <c r="S145" s="4">
        <f>SUMIFS(Tab_12.Dez[SALDO
ATUAL],Tab_12.Dez[CONTA],$F145)</f>
        <v>-15680208.08</v>
      </c>
    </row>
    <row r="146" spans="2:19" x14ac:dyDescent="0.3">
      <c r="B146" s="3"/>
      <c r="C146" s="2" t="str">
        <f t="shared" si="9"/>
        <v>R</v>
      </c>
      <c r="D146" s="2" t="str">
        <f t="shared" si="12"/>
        <v>S</v>
      </c>
      <c r="E146" s="2">
        <f t="shared" si="13"/>
        <v>2</v>
      </c>
      <c r="F146" s="3" t="s">
        <v>231</v>
      </c>
      <c r="G146" s="3" t="s">
        <v>673</v>
      </c>
      <c r="H146" s="4">
        <f>SUMIFS(Tab_01.Jan[SALDO
ATUAL],Tab_01.Jan[CONTA],$F146)</f>
        <v>-528374.13</v>
      </c>
      <c r="I146" s="4">
        <f>SUMIFS(Tab_02.Fev[SALDO
ATUAL],Tab_02.Fev[CONTA],$F146)</f>
        <v>-1068952.32</v>
      </c>
      <c r="J146" s="4">
        <f>SUMIFS(Tab_03.Mar[SALDO
ATUAL],Tab_03.Mar[CONTA],$F146)</f>
        <v>-1675729.13</v>
      </c>
      <c r="K146" s="4">
        <f>SUMIFS(Tab_04.Abr[SALDO
ATUAL],Tab_04.Abr[CONTA],$F146)</f>
        <v>-2339734.73</v>
      </c>
      <c r="L146" s="4">
        <f>SUMIFS(Tab_05.Mai[SALDO
ATUAL],Tab_05.Mai[CONTA],$F146)</f>
        <v>-3098522.67</v>
      </c>
      <c r="M146" s="4">
        <f>SUMIFS(Tab_06.Jun[SALDO
ATUAL],Tab_06.Jun[CONTA],$F146)</f>
        <v>-3665658.71</v>
      </c>
      <c r="N146" s="4">
        <f>SUMIFS(Tab_07.Jul[SALDO
ATUAL],Tab_07.Jul[CONTA],$F146)</f>
        <v>-4292456.7699999996</v>
      </c>
      <c r="O146" s="4">
        <f>SUMIFS(Tab_08.Ago[SALDO
ATUAL],Tab_08.Ago[CONTA],$F146)</f>
        <v>-4887417.67</v>
      </c>
      <c r="P146" s="4">
        <f>SUMIFS(Tab_09.Set[SALDO
ATUAL],Tab_09.Set[CONTA],$F146)</f>
        <v>-5403116.6200000001</v>
      </c>
      <c r="Q146" s="4">
        <f>SUMIFS(Tab_10.Out[SALDO
ATUAL],Tab_10.Out[CONTA],$F146)</f>
        <v>-6178860.7999999998</v>
      </c>
      <c r="R146" s="4">
        <f>SUMIFS(Tab_11.Nov[SALDO
ATUAL],Tab_11.Nov[CONTA],$F146)</f>
        <v>-6649791.8899999997</v>
      </c>
      <c r="S146" s="4">
        <f>SUMIFS(Tab_12.Dez[SALDO
ATUAL],Tab_12.Dez[CONTA],$F146)</f>
        <v>-7691796.46</v>
      </c>
    </row>
    <row r="147" spans="2:19" x14ac:dyDescent="0.3">
      <c r="B147" s="3"/>
      <c r="C147" s="2" t="str">
        <f t="shared" si="9"/>
        <v>R</v>
      </c>
      <c r="D147" s="2" t="str">
        <f t="shared" si="12"/>
        <v>S</v>
      </c>
      <c r="E147" s="2">
        <f t="shared" si="13"/>
        <v>5</v>
      </c>
      <c r="F147" s="3" t="s">
        <v>232</v>
      </c>
      <c r="G147" s="3" t="s">
        <v>674</v>
      </c>
      <c r="H147" s="4">
        <f>SUMIFS(Tab_01.Jan[SALDO
ATUAL],Tab_01.Jan[CONTA],$F147)</f>
        <v>-309988.61</v>
      </c>
      <c r="I147" s="4">
        <f>SUMIFS(Tab_02.Fev[SALDO
ATUAL],Tab_02.Fev[CONTA],$F147)</f>
        <v>-662761.13</v>
      </c>
      <c r="J147" s="4">
        <f>SUMIFS(Tab_03.Mar[SALDO
ATUAL],Tab_03.Mar[CONTA],$F147)</f>
        <v>-1064866.8999999999</v>
      </c>
      <c r="K147" s="4">
        <f>SUMIFS(Tab_04.Abr[SALDO
ATUAL],Tab_04.Abr[CONTA],$F147)</f>
        <v>-1377371.76</v>
      </c>
      <c r="L147" s="4">
        <f>SUMIFS(Tab_05.Mai[SALDO
ATUAL],Tab_05.Mai[CONTA],$F147)</f>
        <v>-1847912.26</v>
      </c>
      <c r="M147" s="4">
        <f>SUMIFS(Tab_06.Jun[SALDO
ATUAL],Tab_06.Jun[CONTA],$F147)</f>
        <v>-2161513.35</v>
      </c>
      <c r="N147" s="4">
        <f>SUMIFS(Tab_07.Jul[SALDO
ATUAL],Tab_07.Jul[CONTA],$F147)</f>
        <v>-2618544.58</v>
      </c>
      <c r="O147" s="4">
        <f>SUMIFS(Tab_08.Ago[SALDO
ATUAL],Tab_08.Ago[CONTA],$F147)</f>
        <v>-2983334.09</v>
      </c>
      <c r="P147" s="4">
        <f>SUMIFS(Tab_09.Set[SALDO
ATUAL],Tab_09.Set[CONTA],$F147)</f>
        <v>-3310249.6</v>
      </c>
      <c r="Q147" s="4">
        <f>SUMIFS(Tab_10.Out[SALDO
ATUAL],Tab_10.Out[CONTA],$F147)</f>
        <v>-3888943.28</v>
      </c>
      <c r="R147" s="4">
        <f>SUMIFS(Tab_11.Nov[SALDO
ATUAL],Tab_11.Nov[CONTA],$F147)</f>
        <v>-4186433.71</v>
      </c>
      <c r="S147" s="4">
        <f>SUMIFS(Tab_12.Dez[SALDO
ATUAL],Tab_12.Dez[CONTA],$F147)</f>
        <v>-4741857.7699999996</v>
      </c>
    </row>
    <row r="148" spans="2:19" x14ac:dyDescent="0.3">
      <c r="B148" s="3"/>
      <c r="C148" s="2" t="str">
        <f t="shared" si="9"/>
        <v>R</v>
      </c>
      <c r="D148" s="2" t="str">
        <f t="shared" si="12"/>
        <v>S</v>
      </c>
      <c r="E148" s="2">
        <f t="shared" si="13"/>
        <v>5</v>
      </c>
      <c r="F148" s="3" t="s">
        <v>233</v>
      </c>
      <c r="G148" s="3" t="s">
        <v>675</v>
      </c>
      <c r="H148" s="4">
        <f>SUMIFS(Tab_01.Jan[SALDO
ATUAL],Tab_01.Jan[CONTA],$F148)</f>
        <v>-122569.24</v>
      </c>
      <c r="I148" s="4">
        <f>SUMIFS(Tab_02.Fev[SALDO
ATUAL],Tab_02.Fev[CONTA],$F148)</f>
        <v>-227807.2</v>
      </c>
      <c r="J148" s="4">
        <f>SUMIFS(Tab_03.Mar[SALDO
ATUAL],Tab_03.Mar[CONTA],$F148)</f>
        <v>-382498.04</v>
      </c>
      <c r="K148" s="4">
        <f>SUMIFS(Tab_04.Abr[SALDO
ATUAL],Tab_04.Abr[CONTA],$F148)</f>
        <v>-514787.48</v>
      </c>
      <c r="L148" s="4">
        <f>SUMIFS(Tab_05.Mai[SALDO
ATUAL],Tab_05.Mai[CONTA],$F148)</f>
        <v>-652647.16</v>
      </c>
      <c r="M148" s="4">
        <f>SUMIFS(Tab_06.Jun[SALDO
ATUAL],Tab_06.Jun[CONTA],$F148)</f>
        <v>-782226.4</v>
      </c>
      <c r="N148" s="4">
        <f>SUMIFS(Tab_07.Jul[SALDO
ATUAL],Tab_07.Jul[CONTA],$F148)</f>
        <v>-916108.28</v>
      </c>
      <c r="O148" s="4">
        <f>SUMIFS(Tab_08.Ago[SALDO
ATUAL],Tab_08.Ago[CONTA],$F148)</f>
        <v>-1056206.8400000001</v>
      </c>
      <c r="P148" s="4">
        <f>SUMIFS(Tab_09.Set[SALDO
ATUAL],Tab_09.Set[CONTA],$F148)</f>
        <v>-1184785.28</v>
      </c>
      <c r="Q148" s="4">
        <f>SUMIFS(Tab_10.Out[SALDO
ATUAL],Tab_10.Out[CONTA],$F148)</f>
        <v>-1333697.1200000001</v>
      </c>
      <c r="R148" s="4">
        <f>SUMIFS(Tab_11.Nov[SALDO
ATUAL],Tab_11.Nov[CONTA],$F148)</f>
        <v>-1443114.24</v>
      </c>
      <c r="S148" s="4">
        <f>SUMIFS(Tab_12.Dez[SALDO
ATUAL],Tab_12.Dez[CONTA],$F148)</f>
        <v>-1555909.28</v>
      </c>
    </row>
    <row r="149" spans="2:19" x14ac:dyDescent="0.3">
      <c r="B149" s="3" t="s">
        <v>101</v>
      </c>
      <c r="C149" s="2" t="str">
        <f t="shared" si="9"/>
        <v>R</v>
      </c>
      <c r="D149" s="2" t="str">
        <f t="shared" si="12"/>
        <v>A</v>
      </c>
      <c r="E149" s="2">
        <f t="shared" si="13"/>
        <v>5</v>
      </c>
      <c r="F149" s="3" t="s">
        <v>194</v>
      </c>
      <c r="G149" s="3" t="s">
        <v>367</v>
      </c>
      <c r="H149" s="4">
        <f>SUMIFS(Tab_01.Jan[SALDO
ATUAL],Tab_01.Jan[CONTA],$F149)</f>
        <v>-122569.24</v>
      </c>
      <c r="I149" s="4">
        <f>SUMIFS(Tab_02.Fev[SALDO
ATUAL],Tab_02.Fev[CONTA],$F149)</f>
        <v>-227807.2</v>
      </c>
      <c r="J149" s="4">
        <f>SUMIFS(Tab_03.Mar[SALDO
ATUAL],Tab_03.Mar[CONTA],$F149)</f>
        <v>-382498.04</v>
      </c>
      <c r="K149" s="4">
        <f>SUMIFS(Tab_04.Abr[SALDO
ATUAL],Tab_04.Abr[CONTA],$F149)</f>
        <v>-514787.48</v>
      </c>
      <c r="L149" s="4">
        <f>SUMIFS(Tab_05.Mai[SALDO
ATUAL],Tab_05.Mai[CONTA],$F149)</f>
        <v>-652647.16</v>
      </c>
      <c r="M149" s="4">
        <f>SUMIFS(Tab_06.Jun[SALDO
ATUAL],Tab_06.Jun[CONTA],$F149)</f>
        <v>-782226.4</v>
      </c>
      <c r="N149" s="4">
        <f>SUMIFS(Tab_07.Jul[SALDO
ATUAL],Tab_07.Jul[CONTA],$F149)</f>
        <v>-916108.28</v>
      </c>
      <c r="O149" s="4">
        <f>SUMIFS(Tab_08.Ago[SALDO
ATUAL],Tab_08.Ago[CONTA],$F149)</f>
        <v>-1056206.8400000001</v>
      </c>
      <c r="P149" s="4">
        <f>SUMIFS(Tab_09.Set[SALDO
ATUAL],Tab_09.Set[CONTA],$F149)</f>
        <v>-1184785.28</v>
      </c>
      <c r="Q149" s="4">
        <f>SUMIFS(Tab_10.Out[SALDO
ATUAL],Tab_10.Out[CONTA],$F149)</f>
        <v>-1333697.1200000001</v>
      </c>
      <c r="R149" s="4">
        <f>SUMIFS(Tab_11.Nov[SALDO
ATUAL],Tab_11.Nov[CONTA],$F149)</f>
        <v>-1443114.24</v>
      </c>
      <c r="S149" s="4">
        <f>SUMIFS(Tab_12.Dez[SALDO
ATUAL],Tab_12.Dez[CONTA],$F149)</f>
        <v>-1555909.28</v>
      </c>
    </row>
    <row r="150" spans="2:19" x14ac:dyDescent="0.3">
      <c r="B150" s="3"/>
      <c r="C150" s="2" t="str">
        <f t="shared" si="9"/>
        <v>R</v>
      </c>
      <c r="D150" s="2" t="str">
        <f t="shared" si="12"/>
        <v>S</v>
      </c>
      <c r="E150" s="2">
        <f t="shared" si="13"/>
        <v>5</v>
      </c>
      <c r="F150" s="3" t="s">
        <v>569</v>
      </c>
      <c r="G150" s="3" t="s">
        <v>676</v>
      </c>
      <c r="H150" s="4">
        <f>SUMIFS(Tab_01.Jan[SALDO
ATUAL],Tab_01.Jan[CONTA],$F150)</f>
        <v>-218385.52</v>
      </c>
      <c r="I150" s="4">
        <f>SUMIFS(Tab_02.Fev[SALDO
ATUAL],Tab_02.Fev[CONTA],$F150)</f>
        <v>-406191.19</v>
      </c>
      <c r="J150" s="4">
        <f>SUMIFS(Tab_03.Mar[SALDO
ATUAL],Tab_03.Mar[CONTA],$F150)</f>
        <v>-610862.23</v>
      </c>
      <c r="K150" s="4">
        <f>SUMIFS(Tab_04.Abr[SALDO
ATUAL],Tab_04.Abr[CONTA],$F150)</f>
        <v>-962362.97</v>
      </c>
      <c r="L150" s="4">
        <f>SUMIFS(Tab_05.Mai[SALDO
ATUAL],Tab_05.Mai[CONTA],$F150)</f>
        <v>-1250610.4099999999</v>
      </c>
      <c r="M150" s="4">
        <f>SUMIFS(Tab_06.Jun[SALDO
ATUAL],Tab_06.Jun[CONTA],$F150)</f>
        <v>-1504145.36</v>
      </c>
      <c r="N150" s="4">
        <f>SUMIFS(Tab_07.Jul[SALDO
ATUAL],Tab_07.Jul[CONTA],$F150)</f>
        <v>-1673912.19</v>
      </c>
      <c r="O150" s="4">
        <f>SUMIFS(Tab_08.Ago[SALDO
ATUAL],Tab_08.Ago[CONTA],$F150)</f>
        <v>-1904083.58</v>
      </c>
      <c r="P150" s="4">
        <f>SUMIFS(Tab_09.Set[SALDO
ATUAL],Tab_09.Set[CONTA],$F150)</f>
        <v>-2092867.02</v>
      </c>
      <c r="Q150" s="4">
        <f>SUMIFS(Tab_10.Out[SALDO
ATUAL],Tab_10.Out[CONTA],$F150)</f>
        <v>-2289917.52</v>
      </c>
      <c r="R150" s="4">
        <f>SUMIFS(Tab_11.Nov[SALDO
ATUAL],Tab_11.Nov[CONTA],$F150)</f>
        <v>-2463358.1800000002</v>
      </c>
      <c r="S150" s="4">
        <f>SUMIFS(Tab_12.Dez[SALDO
ATUAL],Tab_12.Dez[CONTA],$F150)</f>
        <v>-2949938.69</v>
      </c>
    </row>
    <row r="151" spans="2:19" x14ac:dyDescent="0.3">
      <c r="B151" s="3"/>
      <c r="C151" s="2" t="str">
        <f t="shared" si="9"/>
        <v>R</v>
      </c>
      <c r="D151" s="2" t="str">
        <f t="shared" si="12"/>
        <v>S</v>
      </c>
      <c r="E151" s="2">
        <f t="shared" si="13"/>
        <v>5</v>
      </c>
      <c r="F151" s="3" t="s">
        <v>570</v>
      </c>
      <c r="G151" s="3" t="s">
        <v>677</v>
      </c>
      <c r="H151" s="4">
        <f>SUMIFS(Tab_01.Jan[SALDO
ATUAL],Tab_01.Jan[CONTA],$F151)</f>
        <v>-135419.44</v>
      </c>
      <c r="I151" s="4">
        <f>SUMIFS(Tab_02.Fev[SALDO
ATUAL],Tab_02.Fev[CONTA],$F151)</f>
        <v>-240259.03</v>
      </c>
      <c r="J151" s="4">
        <f>SUMIFS(Tab_03.Mar[SALDO
ATUAL],Tab_03.Mar[CONTA],$F151)</f>
        <v>-361963.99</v>
      </c>
      <c r="K151" s="4">
        <f>SUMIFS(Tab_04.Abr[SALDO
ATUAL],Tab_04.Abr[CONTA],$F151)</f>
        <v>-630498.65</v>
      </c>
      <c r="L151" s="4">
        <f>SUMIFS(Tab_05.Mai[SALDO
ATUAL],Tab_05.Mai[CONTA],$F151)</f>
        <v>-835780.01</v>
      </c>
      <c r="M151" s="4">
        <f>SUMIFS(Tab_06.Jun[SALDO
ATUAL],Tab_06.Jun[CONTA],$F151)</f>
        <v>-1006348.88</v>
      </c>
      <c r="N151" s="4">
        <f>SUMIFS(Tab_07.Jul[SALDO
ATUAL],Tab_07.Jul[CONTA],$F151)</f>
        <v>-1093149.6299999999</v>
      </c>
      <c r="O151" s="4">
        <f>SUMIFS(Tab_08.Ago[SALDO
ATUAL],Tab_08.Ago[CONTA],$F151)</f>
        <v>-1240354.94</v>
      </c>
      <c r="P151" s="4">
        <f>SUMIFS(Tab_09.Set[SALDO
ATUAL],Tab_09.Set[CONTA],$F151)</f>
        <v>-1346172.29</v>
      </c>
      <c r="Q151" s="4">
        <f>SUMIFS(Tab_10.Out[SALDO
ATUAL],Tab_10.Out[CONTA],$F151)</f>
        <v>-1460256.71</v>
      </c>
      <c r="R151" s="4">
        <f>SUMIFS(Tab_11.Nov[SALDO
ATUAL],Tab_11.Nov[CONTA],$F151)</f>
        <v>-1550731.29</v>
      </c>
      <c r="S151" s="4">
        <f>SUMIFS(Tab_12.Dez[SALDO
ATUAL],Tab_12.Dez[CONTA],$F151)</f>
        <v>-1954345.72</v>
      </c>
    </row>
    <row r="152" spans="2:19" x14ac:dyDescent="0.3">
      <c r="B152" s="3" t="s">
        <v>101</v>
      </c>
      <c r="C152" s="2" t="str">
        <f t="shared" si="9"/>
        <v>R</v>
      </c>
      <c r="D152" s="2" t="str">
        <f t="shared" si="12"/>
        <v>A</v>
      </c>
      <c r="E152" s="2">
        <f t="shared" si="13"/>
        <v>5</v>
      </c>
      <c r="F152" s="3" t="s">
        <v>368</v>
      </c>
      <c r="G152" s="3" t="s">
        <v>369</v>
      </c>
      <c r="H152" s="4">
        <f>SUMIFS(Tab_01.Jan[SALDO
ATUAL],Tab_01.Jan[CONTA],$F152)</f>
        <v>-52200</v>
      </c>
      <c r="I152" s="4">
        <f>SUMIFS(Tab_02.Fev[SALDO
ATUAL],Tab_02.Fev[CONTA],$F152)</f>
        <v>-84600.24</v>
      </c>
      <c r="J152" s="4">
        <f>SUMIFS(Tab_03.Mar[SALDO
ATUAL],Tab_03.Mar[CONTA],$F152)</f>
        <v>-115763.06</v>
      </c>
      <c r="K152" s="4">
        <f>SUMIFS(Tab_04.Abr[SALDO
ATUAL],Tab_04.Abr[CONTA],$F152)</f>
        <v>-241930.76</v>
      </c>
      <c r="L152" s="4">
        <f>SUMIFS(Tab_05.Mai[SALDO
ATUAL],Tab_05.Mai[CONTA],$F152)</f>
        <v>-401174.76</v>
      </c>
      <c r="M152" s="4">
        <f>SUMIFS(Tab_06.Jun[SALDO
ATUAL],Tab_06.Jun[CONTA],$F152)</f>
        <v>-453145.9</v>
      </c>
      <c r="N152" s="4">
        <f>SUMIFS(Tab_07.Jul[SALDO
ATUAL],Tab_07.Jul[CONTA],$F152)</f>
        <v>-488798.45</v>
      </c>
      <c r="O152" s="4">
        <f>SUMIFS(Tab_08.Ago[SALDO
ATUAL],Tab_08.Ago[CONTA],$F152)</f>
        <v>-492698.45</v>
      </c>
      <c r="P152" s="4">
        <f>SUMIFS(Tab_09.Set[SALDO
ATUAL],Tab_09.Set[CONTA],$F152)</f>
        <v>-496498.45</v>
      </c>
      <c r="Q152" s="4">
        <f>SUMIFS(Tab_10.Out[SALDO
ATUAL],Tab_10.Out[CONTA],$F152)</f>
        <v>-500498.45</v>
      </c>
      <c r="R152" s="4">
        <f>SUMIFS(Tab_11.Nov[SALDO
ATUAL],Tab_11.Nov[CONTA],$F152)</f>
        <v>-504398.45</v>
      </c>
      <c r="S152" s="4">
        <f>SUMIFS(Tab_12.Dez[SALDO
ATUAL],Tab_12.Dez[CONTA],$F152)</f>
        <v>-508298.45</v>
      </c>
    </row>
    <row r="153" spans="2:19" x14ac:dyDescent="0.3">
      <c r="B153" s="3" t="s">
        <v>101</v>
      </c>
      <c r="C153" s="2" t="str">
        <f t="shared" si="9"/>
        <v>R</v>
      </c>
      <c r="D153" s="2" t="str">
        <f t="shared" si="12"/>
        <v>A</v>
      </c>
      <c r="E153" s="2">
        <f t="shared" si="13"/>
        <v>5</v>
      </c>
      <c r="F153" s="3" t="s">
        <v>370</v>
      </c>
      <c r="G153" s="3" t="s">
        <v>371</v>
      </c>
      <c r="H153" s="4">
        <f>SUMIFS(Tab_01.Jan[SALDO
ATUAL],Tab_01.Jan[CONTA],$F153)</f>
        <v>-66574.53</v>
      </c>
      <c r="I153" s="4">
        <f>SUMIFS(Tab_02.Fev[SALDO
ATUAL],Tab_02.Fev[CONTA],$F153)</f>
        <v>-121536.37</v>
      </c>
      <c r="J153" s="4">
        <f>SUMIFS(Tab_03.Mar[SALDO
ATUAL],Tab_03.Mar[CONTA],$F153)</f>
        <v>-199421.78</v>
      </c>
      <c r="K153" s="4">
        <f>SUMIFS(Tab_04.Abr[SALDO
ATUAL],Tab_04.Abr[CONTA],$F153)</f>
        <v>-236231.01</v>
      </c>
      <c r="L153" s="4">
        <f>SUMIFS(Tab_05.Mai[SALDO
ATUAL],Tab_05.Mai[CONTA],$F153)</f>
        <v>-271081.68</v>
      </c>
      <c r="M153" s="4">
        <f>SUMIFS(Tab_06.Jun[SALDO
ATUAL],Tab_06.Jun[CONTA],$F153)</f>
        <v>-371413.04</v>
      </c>
      <c r="N153" s="4">
        <f>SUMIFS(Tab_07.Jul[SALDO
ATUAL],Tab_07.Jul[CONTA],$F153)</f>
        <v>-406878.7</v>
      </c>
      <c r="O153" s="4">
        <f>SUMIFS(Tab_08.Ago[SALDO
ATUAL],Tab_08.Ago[CONTA],$F153)</f>
        <v>-538657.03</v>
      </c>
      <c r="P153" s="4">
        <f>SUMIFS(Tab_09.Set[SALDO
ATUAL],Tab_09.Set[CONTA],$F153)</f>
        <v>-634430.9</v>
      </c>
      <c r="Q153" s="4">
        <f>SUMIFS(Tab_10.Out[SALDO
ATUAL],Tab_10.Out[CONTA],$F153)</f>
        <v>-725893.83</v>
      </c>
      <c r="R153" s="4">
        <f>SUMIFS(Tab_11.Nov[SALDO
ATUAL],Tab_11.Nov[CONTA],$F153)</f>
        <v>-798298.19</v>
      </c>
      <c r="S153" s="4">
        <f>SUMIFS(Tab_12.Dez[SALDO
ATUAL],Tab_12.Dez[CONTA],$F153)</f>
        <v>-1188139.3400000001</v>
      </c>
    </row>
    <row r="154" spans="2:19" x14ac:dyDescent="0.3">
      <c r="B154" s="3" t="s">
        <v>101</v>
      </c>
      <c r="C154" s="2" t="str">
        <f t="shared" si="9"/>
        <v>R</v>
      </c>
      <c r="D154" s="2" t="str">
        <f t="shared" si="12"/>
        <v>A</v>
      </c>
      <c r="E154" s="2">
        <f t="shared" si="13"/>
        <v>5</v>
      </c>
      <c r="F154" s="3" t="s">
        <v>372</v>
      </c>
      <c r="G154" s="3" t="s">
        <v>373</v>
      </c>
      <c r="H154" s="4">
        <f>SUMIFS(Tab_01.Jan[SALDO
ATUAL],Tab_01.Jan[CONTA],$F154)</f>
        <v>0</v>
      </c>
      <c r="I154" s="4">
        <f>SUMIFS(Tab_02.Fev[SALDO
ATUAL],Tab_02.Fev[CONTA],$F154)</f>
        <v>-5670.16</v>
      </c>
      <c r="J154" s="4">
        <f>SUMIFS(Tab_03.Mar[SALDO
ATUAL],Tab_03.Mar[CONTA],$F154)</f>
        <v>-5670.16</v>
      </c>
      <c r="K154" s="4">
        <f>SUMIFS(Tab_04.Abr[SALDO
ATUAL],Tab_04.Abr[CONTA],$F154)</f>
        <v>-5670.16</v>
      </c>
      <c r="L154" s="4">
        <f>SUMIFS(Tab_05.Mai[SALDO
ATUAL],Tab_05.Mai[CONTA],$F154)</f>
        <v>-5670.16</v>
      </c>
      <c r="M154" s="4">
        <f>SUMIFS(Tab_06.Jun[SALDO
ATUAL],Tab_06.Jun[CONTA],$F154)</f>
        <v>-6547.36</v>
      </c>
      <c r="N154" s="4">
        <f>SUMIFS(Tab_07.Jul[SALDO
ATUAL],Tab_07.Jul[CONTA],$F154)</f>
        <v>-6547.36</v>
      </c>
      <c r="O154" s="4">
        <f>SUMIFS(Tab_08.Ago[SALDO
ATUAL],Tab_08.Ago[CONTA],$F154)</f>
        <v>-6547.36</v>
      </c>
      <c r="P154" s="4">
        <f>SUMIFS(Tab_09.Set[SALDO
ATUAL],Tab_09.Set[CONTA],$F154)</f>
        <v>-6547.36</v>
      </c>
      <c r="Q154" s="4">
        <f>SUMIFS(Tab_10.Out[SALDO
ATUAL],Tab_10.Out[CONTA],$F154)</f>
        <v>-6547.36</v>
      </c>
      <c r="R154" s="4">
        <f>SUMIFS(Tab_11.Nov[SALDO
ATUAL],Tab_11.Nov[CONTA],$F154)</f>
        <v>-6547.36</v>
      </c>
      <c r="S154" s="4">
        <f>SUMIFS(Tab_12.Dez[SALDO
ATUAL],Tab_12.Dez[CONTA],$F154)</f>
        <v>-6547.36</v>
      </c>
    </row>
    <row r="155" spans="2:19" x14ac:dyDescent="0.3">
      <c r="B155" s="3" t="s">
        <v>101</v>
      </c>
      <c r="C155" s="2" t="str">
        <f>IF($F155="","",IF(LEFT($F155,1)*1=1,"A",IF(LEFT($F155,1)*1=2,"P",IF(LEFT($F155,1)*1=3,"R",IF(LEFT($F155,1)*1=4,"C",IF(LEFT($F155,1)*1=5,"C",""))))))</f>
        <v>R</v>
      </c>
      <c r="D155" s="2" t="str">
        <f>IF($F155="","",IF(LEN($F155)=13,"A","S"))</f>
        <v>A</v>
      </c>
      <c r="E155" s="2">
        <f>IF($F155="","",IF(LEN($F155)=1,1,IF(LEN($F155)=3,2,IF(LEN($F155)=5,3,IF(LEN($F155)=8,4,5)))))</f>
        <v>5</v>
      </c>
      <c r="F155" s="3" t="s">
        <v>845</v>
      </c>
      <c r="G155" s="3" t="s">
        <v>846</v>
      </c>
      <c r="H155" s="4">
        <f>SUMIFS(Tab_01.Jan[SALDO
ATUAL],Tab_01.Jan[CONTA],$F155)</f>
        <v>0</v>
      </c>
      <c r="I155" s="4">
        <f>SUMIFS(Tab_02.Fev[SALDO
ATUAL],Tab_02.Fev[CONTA],$F155)</f>
        <v>0</v>
      </c>
      <c r="J155" s="4">
        <f>SUMIFS(Tab_03.Mar[SALDO
ATUAL],Tab_03.Mar[CONTA],$F155)</f>
        <v>0</v>
      </c>
      <c r="K155" s="4">
        <f>SUMIFS(Tab_04.Abr[SALDO
ATUAL],Tab_04.Abr[CONTA],$F155)</f>
        <v>-89524.57</v>
      </c>
      <c r="L155" s="4">
        <f>SUMIFS(Tab_05.Mai[SALDO
ATUAL],Tab_05.Mai[CONTA],$F155)</f>
        <v>-89524.57</v>
      </c>
      <c r="M155" s="4">
        <f>SUMIFS(Tab_06.Jun[SALDO
ATUAL],Tab_06.Jun[CONTA],$F155)</f>
        <v>-89524.57</v>
      </c>
      <c r="N155" s="4">
        <f>SUMIFS(Tab_07.Jul[SALDO
ATUAL],Tab_07.Jul[CONTA],$F155)</f>
        <v>-89524.57</v>
      </c>
      <c r="O155" s="4">
        <f>SUMIFS(Tab_08.Ago[SALDO
ATUAL],Tab_08.Ago[CONTA],$F155)</f>
        <v>-89617.06</v>
      </c>
      <c r="P155" s="4">
        <f>SUMIFS(Tab_09.Set[SALDO
ATUAL],Tab_09.Set[CONTA],$F155)</f>
        <v>-89617.06</v>
      </c>
      <c r="Q155" s="4">
        <f>SUMIFS(Tab_10.Out[SALDO
ATUAL],Tab_10.Out[CONTA],$F155)</f>
        <v>-89617.06</v>
      </c>
      <c r="R155" s="4">
        <f>SUMIFS(Tab_11.Nov[SALDO
ATUAL],Tab_11.Nov[CONTA],$F155)</f>
        <v>-89617.06</v>
      </c>
      <c r="S155" s="4">
        <f>SUMIFS(Tab_12.Dez[SALDO
ATUAL],Tab_12.Dez[CONTA],$F155)</f>
        <v>-89617.06</v>
      </c>
    </row>
    <row r="156" spans="2:19" x14ac:dyDescent="0.3">
      <c r="B156" s="3" t="s">
        <v>101</v>
      </c>
      <c r="C156" s="2" t="str">
        <f t="shared" si="9"/>
        <v>R</v>
      </c>
      <c r="D156" s="2" t="str">
        <f t="shared" si="12"/>
        <v>A</v>
      </c>
      <c r="E156" s="2">
        <f t="shared" si="13"/>
        <v>5</v>
      </c>
      <c r="F156" s="3" t="s">
        <v>374</v>
      </c>
      <c r="G156" s="3" t="s">
        <v>375</v>
      </c>
      <c r="H156" s="4">
        <f>SUMIFS(Tab_01.Jan[SALDO
ATUAL],Tab_01.Jan[CONTA],$F156)</f>
        <v>0</v>
      </c>
      <c r="I156" s="4">
        <f>SUMIFS(Tab_02.Fev[SALDO
ATUAL],Tab_02.Fev[CONTA],$F156)</f>
        <v>0</v>
      </c>
      <c r="J156" s="4">
        <f>SUMIFS(Tab_03.Mar[SALDO
ATUAL],Tab_03.Mar[CONTA],$F156)</f>
        <v>0</v>
      </c>
      <c r="K156" s="4">
        <f>SUMIFS(Tab_04.Abr[SALDO
ATUAL],Tab_04.Abr[CONTA],$F156)</f>
        <v>0</v>
      </c>
      <c r="L156" s="4">
        <f>SUMIFS(Tab_05.Mai[SALDO
ATUAL],Tab_05.Mai[CONTA],$F156)</f>
        <v>0</v>
      </c>
      <c r="M156" s="4">
        <f>SUMIFS(Tab_06.Jun[SALDO
ATUAL],Tab_06.Jun[CONTA],$F156)</f>
        <v>0</v>
      </c>
      <c r="N156" s="4">
        <f>SUMIFS(Tab_07.Jul[SALDO
ATUAL],Tab_07.Jul[CONTA],$F156)</f>
        <v>0</v>
      </c>
      <c r="O156" s="4">
        <f>SUMIFS(Tab_08.Ago[SALDO
ATUAL],Tab_08.Ago[CONTA],$F156)</f>
        <v>0</v>
      </c>
      <c r="P156" s="4">
        <f>SUMIFS(Tab_09.Set[SALDO
ATUAL],Tab_09.Set[CONTA],$F156)</f>
        <v>0</v>
      </c>
      <c r="Q156" s="4">
        <f>SUMIFS(Tab_10.Out[SALDO
ATUAL],Tab_10.Out[CONTA],$F156)</f>
        <v>0</v>
      </c>
      <c r="R156" s="4">
        <f>SUMIFS(Tab_11.Nov[SALDO
ATUAL],Tab_11.Nov[CONTA],$F156)</f>
        <v>0</v>
      </c>
      <c r="S156" s="4">
        <f>SUMIFS(Tab_12.Dez[SALDO
ATUAL],Tab_12.Dez[CONTA],$F156)</f>
        <v>0</v>
      </c>
    </row>
    <row r="157" spans="2:19" x14ac:dyDescent="0.3">
      <c r="B157" s="3" t="s">
        <v>101</v>
      </c>
      <c r="C157" s="2" t="str">
        <f>IF($F157="","",IF(LEFT($F157,1)*1=1,"A",IF(LEFT($F157,1)*1=2,"P",IF(LEFT($F157,1)*1=3,"R",IF(LEFT($F157,1)*1=4,"C",IF(LEFT($F157,1)*1=5,"C",""))))))</f>
        <v>R</v>
      </c>
      <c r="D157" s="2" t="str">
        <f>IF($F157="","",IF(LEN($F157)=13,"A","S"))</f>
        <v>A</v>
      </c>
      <c r="E157" s="2">
        <f>IF($F157="","",IF(LEN($F157)=1,1,IF(LEN($F157)=3,2,IF(LEN($F157)=5,3,IF(LEN($F157)=8,4,5)))))</f>
        <v>5</v>
      </c>
      <c r="F157" s="3" t="s">
        <v>927</v>
      </c>
      <c r="G157" s="3" t="s">
        <v>928</v>
      </c>
      <c r="H157" s="4">
        <f>SUMIFS(Tab_01.Jan[SALDO
ATUAL],Tab_01.Jan[CONTA],$F157)</f>
        <v>-16644.91</v>
      </c>
      <c r="I157" s="4">
        <f>SUMIFS(Tab_02.Fev[SALDO
ATUAL],Tab_02.Fev[CONTA],$F157)</f>
        <v>-28452.26</v>
      </c>
      <c r="J157" s="4">
        <f>SUMIFS(Tab_03.Mar[SALDO
ATUAL],Tab_03.Mar[CONTA],$F157)</f>
        <v>-41108.99</v>
      </c>
      <c r="K157" s="4">
        <f>SUMIFS(Tab_04.Abr[SALDO
ATUAL],Tab_04.Abr[CONTA],$F157)</f>
        <v>-57142.15</v>
      </c>
      <c r="L157" s="4">
        <f>SUMIFS(Tab_05.Mai[SALDO
ATUAL],Tab_05.Mai[CONTA],$F157)</f>
        <v>-68328.84</v>
      </c>
      <c r="M157" s="4">
        <f>SUMIFS(Tab_06.Jun[SALDO
ATUAL],Tab_06.Jun[CONTA],$F157)</f>
        <v>-85718.01</v>
      </c>
      <c r="N157" s="4">
        <f>SUMIFS(Tab_07.Jul[SALDO
ATUAL],Tab_07.Jul[CONTA],$F157)</f>
        <v>-101400.55</v>
      </c>
      <c r="O157" s="4">
        <f>SUMIFS(Tab_08.Ago[SALDO
ATUAL],Tab_08.Ago[CONTA],$F157)</f>
        <v>-112835.04</v>
      </c>
      <c r="P157" s="4">
        <f>SUMIFS(Tab_09.Set[SALDO
ATUAL],Tab_09.Set[CONTA],$F157)</f>
        <v>-119078.52</v>
      </c>
      <c r="Q157" s="4">
        <f>SUMIFS(Tab_10.Out[SALDO
ATUAL],Tab_10.Out[CONTA],$F157)</f>
        <v>-137700.01</v>
      </c>
      <c r="R157" s="4">
        <f>SUMIFS(Tab_11.Nov[SALDO
ATUAL],Tab_11.Nov[CONTA],$F157)</f>
        <v>-151870.23000000001</v>
      </c>
      <c r="S157" s="4">
        <f>SUMIFS(Tab_12.Dez[SALDO
ATUAL],Tab_12.Dez[CONTA],$F157)</f>
        <v>-161743.51</v>
      </c>
    </row>
    <row r="158" spans="2:19" x14ac:dyDescent="0.3">
      <c r="B158" s="3"/>
      <c r="C158" s="2" t="str">
        <f t="shared" si="9"/>
        <v>R</v>
      </c>
      <c r="D158" s="2" t="str">
        <f t="shared" si="12"/>
        <v>S</v>
      </c>
      <c r="E158" s="2">
        <f t="shared" si="13"/>
        <v>5</v>
      </c>
      <c r="F158" s="3" t="s">
        <v>571</v>
      </c>
      <c r="G158" s="3" t="s">
        <v>377</v>
      </c>
      <c r="H158" s="4">
        <f>SUMIFS(Tab_01.Jan[SALDO
ATUAL],Tab_01.Jan[CONTA],$F158)</f>
        <v>-82966.080000000002</v>
      </c>
      <c r="I158" s="4">
        <f>SUMIFS(Tab_02.Fev[SALDO
ATUAL],Tab_02.Fev[CONTA],$F158)</f>
        <v>-165932.16</v>
      </c>
      <c r="J158" s="4">
        <f>SUMIFS(Tab_03.Mar[SALDO
ATUAL],Tab_03.Mar[CONTA],$F158)</f>
        <v>-248898.24</v>
      </c>
      <c r="K158" s="4">
        <f>SUMIFS(Tab_04.Abr[SALDO
ATUAL],Tab_04.Abr[CONTA],$F158)</f>
        <v>-331864.32000000001</v>
      </c>
      <c r="L158" s="4">
        <f>SUMIFS(Tab_05.Mai[SALDO
ATUAL],Tab_05.Mai[CONTA],$F158)</f>
        <v>-414830.4</v>
      </c>
      <c r="M158" s="4">
        <f>SUMIFS(Tab_06.Jun[SALDO
ATUAL],Tab_06.Jun[CONTA],$F158)</f>
        <v>-497796.48</v>
      </c>
      <c r="N158" s="4">
        <f>SUMIFS(Tab_07.Jul[SALDO
ATUAL],Tab_07.Jul[CONTA],$F158)</f>
        <v>-580762.56000000006</v>
      </c>
      <c r="O158" s="4">
        <f>SUMIFS(Tab_08.Ago[SALDO
ATUAL],Tab_08.Ago[CONTA],$F158)</f>
        <v>-663728.64000000001</v>
      </c>
      <c r="P158" s="4">
        <f>SUMIFS(Tab_09.Set[SALDO
ATUAL],Tab_09.Set[CONTA],$F158)</f>
        <v>-746694.73</v>
      </c>
      <c r="Q158" s="4">
        <f>SUMIFS(Tab_10.Out[SALDO
ATUAL],Tab_10.Out[CONTA],$F158)</f>
        <v>-829660.81</v>
      </c>
      <c r="R158" s="4">
        <f>SUMIFS(Tab_11.Nov[SALDO
ATUAL],Tab_11.Nov[CONTA],$F158)</f>
        <v>-912626.89</v>
      </c>
      <c r="S158" s="4">
        <f>SUMIFS(Tab_12.Dez[SALDO
ATUAL],Tab_12.Dez[CONTA],$F158)</f>
        <v>-995592.97</v>
      </c>
    </row>
    <row r="159" spans="2:19" x14ac:dyDescent="0.3">
      <c r="B159" s="3" t="s">
        <v>101</v>
      </c>
      <c r="C159" s="2" t="str">
        <f t="shared" si="9"/>
        <v>R</v>
      </c>
      <c r="D159" s="2" t="str">
        <f t="shared" si="12"/>
        <v>A</v>
      </c>
      <c r="E159" s="2">
        <f t="shared" si="13"/>
        <v>5</v>
      </c>
      <c r="F159" s="3" t="s">
        <v>376</v>
      </c>
      <c r="G159" s="3" t="s">
        <v>377</v>
      </c>
      <c r="H159" s="4">
        <f>SUMIFS(Tab_01.Jan[SALDO
ATUAL],Tab_01.Jan[CONTA],$F159)</f>
        <v>-82966.080000000002</v>
      </c>
      <c r="I159" s="4">
        <f>SUMIFS(Tab_02.Fev[SALDO
ATUAL],Tab_02.Fev[CONTA],$F159)</f>
        <v>-165932.16</v>
      </c>
      <c r="J159" s="4">
        <f>SUMIFS(Tab_03.Mar[SALDO
ATUAL],Tab_03.Mar[CONTA],$F159)</f>
        <v>-248898.24</v>
      </c>
      <c r="K159" s="4">
        <f>SUMIFS(Tab_04.Abr[SALDO
ATUAL],Tab_04.Abr[CONTA],$F159)</f>
        <v>-331864.32000000001</v>
      </c>
      <c r="L159" s="4">
        <f>SUMIFS(Tab_05.Mai[SALDO
ATUAL],Tab_05.Mai[CONTA],$F159)</f>
        <v>-414830.4</v>
      </c>
      <c r="M159" s="4">
        <f>SUMIFS(Tab_06.Jun[SALDO
ATUAL],Tab_06.Jun[CONTA],$F159)</f>
        <v>-497796.48</v>
      </c>
      <c r="N159" s="4">
        <f>SUMIFS(Tab_07.Jul[SALDO
ATUAL],Tab_07.Jul[CONTA],$F159)</f>
        <v>-580762.56000000006</v>
      </c>
      <c r="O159" s="4">
        <f>SUMIFS(Tab_08.Ago[SALDO
ATUAL],Tab_08.Ago[CONTA],$F159)</f>
        <v>-663728.64000000001</v>
      </c>
      <c r="P159" s="4">
        <f>SUMIFS(Tab_09.Set[SALDO
ATUAL],Tab_09.Set[CONTA],$F159)</f>
        <v>-746694.73</v>
      </c>
      <c r="Q159" s="4">
        <f>SUMIFS(Tab_10.Out[SALDO
ATUAL],Tab_10.Out[CONTA],$F159)</f>
        <v>-829660.81</v>
      </c>
      <c r="R159" s="4">
        <f>SUMIFS(Tab_11.Nov[SALDO
ATUAL],Tab_11.Nov[CONTA],$F159)</f>
        <v>-912626.89</v>
      </c>
      <c r="S159" s="4">
        <f>SUMIFS(Tab_12.Dez[SALDO
ATUAL],Tab_12.Dez[CONTA],$F159)</f>
        <v>-995592.97</v>
      </c>
    </row>
    <row r="160" spans="2:19" x14ac:dyDescent="0.3">
      <c r="B160" s="3"/>
      <c r="C160" s="2" t="str">
        <f t="shared" si="9"/>
        <v>R</v>
      </c>
      <c r="D160" s="2" t="str">
        <f t="shared" si="12"/>
        <v>S</v>
      </c>
      <c r="E160" s="2">
        <f t="shared" si="13"/>
        <v>5</v>
      </c>
      <c r="F160" s="3" t="s">
        <v>572</v>
      </c>
      <c r="G160" s="3" t="s">
        <v>678</v>
      </c>
      <c r="H160" s="4">
        <f>SUMIFS(Tab_01.Jan[SALDO
ATUAL],Tab_01.Jan[CONTA],$F160)</f>
        <v>0</v>
      </c>
      <c r="I160" s="4">
        <f>SUMIFS(Tab_02.Fev[SALDO
ATUAL],Tab_02.Fev[CONTA],$F160)</f>
        <v>0</v>
      </c>
      <c r="J160" s="4">
        <f>SUMIFS(Tab_03.Mar[SALDO
ATUAL],Tab_03.Mar[CONTA],$F160)</f>
        <v>0</v>
      </c>
      <c r="K160" s="4">
        <f>SUMIFS(Tab_04.Abr[SALDO
ATUAL],Tab_04.Abr[CONTA],$F160)</f>
        <v>0</v>
      </c>
      <c r="L160" s="4">
        <f>SUMIFS(Tab_05.Mai[SALDO
ATUAL],Tab_05.Mai[CONTA],$F160)</f>
        <v>0</v>
      </c>
      <c r="M160" s="4">
        <f>SUMIFS(Tab_06.Jun[SALDO
ATUAL],Tab_06.Jun[CONTA],$F160)</f>
        <v>0</v>
      </c>
      <c r="N160" s="4">
        <f>SUMIFS(Tab_07.Jul[SALDO
ATUAL],Tab_07.Jul[CONTA],$F160)</f>
        <v>0</v>
      </c>
      <c r="O160" s="4">
        <f>SUMIFS(Tab_08.Ago[SALDO
ATUAL],Tab_08.Ago[CONTA],$F160)</f>
        <v>0</v>
      </c>
      <c r="P160" s="4">
        <f>SUMIFS(Tab_09.Set[SALDO
ATUAL],Tab_09.Set[CONTA],$F160)</f>
        <v>0</v>
      </c>
      <c r="Q160" s="4">
        <f>SUMIFS(Tab_10.Out[SALDO
ATUAL],Tab_10.Out[CONTA],$F160)</f>
        <v>0</v>
      </c>
      <c r="R160" s="4">
        <f>SUMIFS(Tab_11.Nov[SALDO
ATUAL],Tab_11.Nov[CONTA],$F160)</f>
        <v>0</v>
      </c>
      <c r="S160" s="4">
        <f>SUMIFS(Tab_12.Dez[SALDO
ATUAL],Tab_12.Dez[CONTA],$F160)</f>
        <v>0</v>
      </c>
    </row>
    <row r="161" spans="2:19" x14ac:dyDescent="0.3">
      <c r="B161" s="3"/>
      <c r="C161" s="2" t="str">
        <f t="shared" si="9"/>
        <v>R</v>
      </c>
      <c r="D161" s="2" t="str">
        <f t="shared" si="12"/>
        <v>S</v>
      </c>
      <c r="E161" s="2">
        <f t="shared" si="13"/>
        <v>5</v>
      </c>
      <c r="F161" s="3" t="s">
        <v>573</v>
      </c>
      <c r="G161" s="3" t="s">
        <v>679</v>
      </c>
      <c r="H161" s="4">
        <f>SUMIFS(Tab_01.Jan[SALDO
ATUAL],Tab_01.Jan[CONTA],$F161)</f>
        <v>0</v>
      </c>
      <c r="I161" s="4">
        <f>SUMIFS(Tab_02.Fev[SALDO
ATUAL],Tab_02.Fev[CONTA],$F161)</f>
        <v>0</v>
      </c>
      <c r="J161" s="4">
        <f>SUMIFS(Tab_03.Mar[SALDO
ATUAL],Tab_03.Mar[CONTA],$F161)</f>
        <v>0</v>
      </c>
      <c r="K161" s="4">
        <f>SUMIFS(Tab_04.Abr[SALDO
ATUAL],Tab_04.Abr[CONTA],$F161)</f>
        <v>0</v>
      </c>
      <c r="L161" s="4">
        <f>SUMIFS(Tab_05.Mai[SALDO
ATUAL],Tab_05.Mai[CONTA],$F161)</f>
        <v>0</v>
      </c>
      <c r="M161" s="4">
        <f>SUMIFS(Tab_06.Jun[SALDO
ATUAL],Tab_06.Jun[CONTA],$F161)</f>
        <v>0</v>
      </c>
      <c r="N161" s="4">
        <f>SUMIFS(Tab_07.Jul[SALDO
ATUAL],Tab_07.Jul[CONTA],$F161)</f>
        <v>0</v>
      </c>
      <c r="O161" s="4">
        <f>SUMIFS(Tab_08.Ago[SALDO
ATUAL],Tab_08.Ago[CONTA],$F161)</f>
        <v>0</v>
      </c>
      <c r="P161" s="4">
        <f>SUMIFS(Tab_09.Set[SALDO
ATUAL],Tab_09.Set[CONTA],$F161)</f>
        <v>0</v>
      </c>
      <c r="Q161" s="4">
        <f>SUMIFS(Tab_10.Out[SALDO
ATUAL],Tab_10.Out[CONTA],$F161)</f>
        <v>0</v>
      </c>
      <c r="R161" s="4">
        <f>SUMIFS(Tab_11.Nov[SALDO
ATUAL],Tab_11.Nov[CONTA],$F161)</f>
        <v>0</v>
      </c>
      <c r="S161" s="4">
        <f>SUMIFS(Tab_12.Dez[SALDO
ATUAL],Tab_12.Dez[CONTA],$F161)</f>
        <v>0</v>
      </c>
    </row>
    <row r="162" spans="2:19" x14ac:dyDescent="0.3">
      <c r="B162" s="3" t="s">
        <v>101</v>
      </c>
      <c r="C162" s="2" t="str">
        <f t="shared" si="9"/>
        <v>R</v>
      </c>
      <c r="D162" s="2" t="str">
        <f t="shared" si="12"/>
        <v>A</v>
      </c>
      <c r="E162" s="2">
        <f t="shared" si="13"/>
        <v>5</v>
      </c>
      <c r="F162" s="3" t="s">
        <v>378</v>
      </c>
      <c r="G162" s="3" t="s">
        <v>379</v>
      </c>
      <c r="H162" s="4">
        <f>SUMIFS(Tab_01.Jan[SALDO
ATUAL],Tab_01.Jan[CONTA],$F162)</f>
        <v>0</v>
      </c>
      <c r="I162" s="4">
        <f>SUMIFS(Tab_02.Fev[SALDO
ATUAL],Tab_02.Fev[CONTA],$F162)</f>
        <v>0</v>
      </c>
      <c r="J162" s="4">
        <f>SUMIFS(Tab_03.Mar[SALDO
ATUAL],Tab_03.Mar[CONTA],$F162)</f>
        <v>0</v>
      </c>
      <c r="K162" s="4">
        <f>SUMIFS(Tab_04.Abr[SALDO
ATUAL],Tab_04.Abr[CONTA],$F162)</f>
        <v>0</v>
      </c>
      <c r="L162" s="4">
        <f>SUMIFS(Tab_05.Mai[SALDO
ATUAL],Tab_05.Mai[CONTA],$F162)</f>
        <v>0</v>
      </c>
      <c r="M162" s="4">
        <f>SUMIFS(Tab_06.Jun[SALDO
ATUAL],Tab_06.Jun[CONTA],$F162)</f>
        <v>0</v>
      </c>
      <c r="N162" s="4">
        <f>SUMIFS(Tab_07.Jul[SALDO
ATUAL],Tab_07.Jul[CONTA],$F162)</f>
        <v>0</v>
      </c>
      <c r="O162" s="4">
        <f>SUMIFS(Tab_08.Ago[SALDO
ATUAL],Tab_08.Ago[CONTA],$F162)</f>
        <v>0</v>
      </c>
      <c r="P162" s="4">
        <f>SUMIFS(Tab_09.Set[SALDO
ATUAL],Tab_09.Set[CONTA],$F162)</f>
        <v>0</v>
      </c>
      <c r="Q162" s="4">
        <f>SUMIFS(Tab_10.Out[SALDO
ATUAL],Tab_10.Out[CONTA],$F162)</f>
        <v>0</v>
      </c>
      <c r="R162" s="4">
        <f>SUMIFS(Tab_11.Nov[SALDO
ATUAL],Tab_11.Nov[CONTA],$F162)</f>
        <v>0</v>
      </c>
      <c r="S162" s="4">
        <f>SUMIFS(Tab_12.Dez[SALDO
ATUAL],Tab_12.Dez[CONTA],$F162)</f>
        <v>0</v>
      </c>
    </row>
    <row r="163" spans="2:19" x14ac:dyDescent="0.3">
      <c r="B163" s="3" t="s">
        <v>101</v>
      </c>
      <c r="C163" s="2" t="str">
        <f t="shared" si="9"/>
        <v>R</v>
      </c>
      <c r="D163" s="2" t="str">
        <f t="shared" si="12"/>
        <v>A</v>
      </c>
      <c r="E163" s="2">
        <f t="shared" si="13"/>
        <v>5</v>
      </c>
      <c r="F163" s="3" t="s">
        <v>380</v>
      </c>
      <c r="G163" s="3" t="s">
        <v>381</v>
      </c>
      <c r="H163" s="4">
        <f>SUMIFS(Tab_01.Jan[SALDO
ATUAL],Tab_01.Jan[CONTA],$F163)</f>
        <v>0</v>
      </c>
      <c r="I163" s="4">
        <f>SUMIFS(Tab_02.Fev[SALDO
ATUAL],Tab_02.Fev[CONTA],$F163)</f>
        <v>0</v>
      </c>
      <c r="J163" s="4">
        <f>SUMIFS(Tab_03.Mar[SALDO
ATUAL],Tab_03.Mar[CONTA],$F163)</f>
        <v>0</v>
      </c>
      <c r="K163" s="4">
        <f>SUMIFS(Tab_04.Abr[SALDO
ATUAL],Tab_04.Abr[CONTA],$F163)</f>
        <v>0</v>
      </c>
      <c r="L163" s="4">
        <f>SUMIFS(Tab_05.Mai[SALDO
ATUAL],Tab_05.Mai[CONTA],$F163)</f>
        <v>0</v>
      </c>
      <c r="M163" s="4">
        <f>SUMIFS(Tab_06.Jun[SALDO
ATUAL],Tab_06.Jun[CONTA],$F163)</f>
        <v>0</v>
      </c>
      <c r="N163" s="4">
        <f>SUMIFS(Tab_07.Jul[SALDO
ATUAL],Tab_07.Jul[CONTA],$F163)</f>
        <v>0</v>
      </c>
      <c r="O163" s="4">
        <f>SUMIFS(Tab_08.Ago[SALDO
ATUAL],Tab_08.Ago[CONTA],$F163)</f>
        <v>0</v>
      </c>
      <c r="P163" s="4">
        <f>SUMIFS(Tab_09.Set[SALDO
ATUAL],Tab_09.Set[CONTA],$F163)</f>
        <v>0</v>
      </c>
      <c r="Q163" s="4">
        <f>SUMIFS(Tab_10.Out[SALDO
ATUAL],Tab_10.Out[CONTA],$F163)</f>
        <v>0</v>
      </c>
      <c r="R163" s="4">
        <f>SUMIFS(Tab_11.Nov[SALDO
ATUAL],Tab_11.Nov[CONTA],$F163)</f>
        <v>0</v>
      </c>
      <c r="S163" s="4">
        <f>SUMIFS(Tab_12.Dez[SALDO
ATUAL],Tab_12.Dez[CONTA],$F163)</f>
        <v>0</v>
      </c>
    </row>
    <row r="164" spans="2:19" x14ac:dyDescent="0.3">
      <c r="B164" s="3"/>
      <c r="C164" s="2" t="str">
        <f>IF($F164="","",IF(LEFT($F164,1)*1=1,"A",IF(LEFT($F164,1)*1=2,"P",IF(LEFT($F164,1)*1=3,"R",IF(LEFT($F164,1)*1=4,"C",IF(LEFT($F164,1)*1=5,"C",""))))))</f>
        <v>R</v>
      </c>
      <c r="D164" s="2" t="str">
        <f>IF($F164="","",IF(LEN($F164)=13,"A","S"))</f>
        <v>S</v>
      </c>
      <c r="E164" s="2">
        <f>IF($F164="","",IF(LEN($F164)=1,1,IF(LEN($F164)=3,2,IF(LEN($F164)=5,3,IF(LEN($F164)=8,4,5)))))</f>
        <v>5</v>
      </c>
      <c r="F164" s="3" t="s">
        <v>735</v>
      </c>
      <c r="G164" s="3" t="s">
        <v>736</v>
      </c>
      <c r="H164" s="4">
        <f>SUMIFS(Tab_01.Jan[SALDO
ATUAL],Tab_01.Jan[CONTA],$F164)</f>
        <v>-187419.37</v>
      </c>
      <c r="I164" s="4">
        <f>SUMIFS(Tab_02.Fev[SALDO
ATUAL],Tab_02.Fev[CONTA],$F164)</f>
        <v>-434953.93</v>
      </c>
      <c r="J164" s="4">
        <f>SUMIFS(Tab_03.Mar[SALDO
ATUAL],Tab_03.Mar[CONTA],$F164)</f>
        <v>-682368.86</v>
      </c>
      <c r="K164" s="4">
        <f>SUMIFS(Tab_04.Abr[SALDO
ATUAL],Tab_04.Abr[CONTA],$F164)</f>
        <v>-862584.28</v>
      </c>
      <c r="L164" s="4">
        <f>SUMIFS(Tab_05.Mai[SALDO
ATUAL],Tab_05.Mai[CONTA],$F164)</f>
        <v>-1195265.1000000001</v>
      </c>
      <c r="M164" s="4">
        <f>SUMIFS(Tab_06.Jun[SALDO
ATUAL],Tab_06.Jun[CONTA],$F164)</f>
        <v>-1379286.95</v>
      </c>
      <c r="N164" s="4">
        <f>SUMIFS(Tab_07.Jul[SALDO
ATUAL],Tab_07.Jul[CONTA],$F164)</f>
        <v>-1702436.3</v>
      </c>
      <c r="O164" s="4">
        <f>SUMIFS(Tab_08.Ago[SALDO
ATUAL],Tab_08.Ago[CONTA],$F164)</f>
        <v>-1927127.25</v>
      </c>
      <c r="P164" s="4">
        <f>SUMIFS(Tab_09.Set[SALDO
ATUAL],Tab_09.Set[CONTA],$F164)</f>
        <v>-2125464.3199999998</v>
      </c>
      <c r="Q164" s="4">
        <f>SUMIFS(Tab_10.Out[SALDO
ATUAL],Tab_10.Out[CONTA],$F164)</f>
        <v>-2555246.16</v>
      </c>
      <c r="R164" s="4">
        <f>SUMIFS(Tab_11.Nov[SALDO
ATUAL],Tab_11.Nov[CONTA],$F164)</f>
        <v>-2743319.47</v>
      </c>
      <c r="S164" s="4">
        <f>SUMIFS(Tab_12.Dez[SALDO
ATUAL],Tab_12.Dez[CONTA],$F164)</f>
        <v>-3185948.49</v>
      </c>
    </row>
    <row r="165" spans="2:19" x14ac:dyDescent="0.3">
      <c r="B165" s="3" t="s">
        <v>101</v>
      </c>
      <c r="C165" s="2" t="str">
        <f>IF($F165="","",IF(LEFT($F165,1)*1=1,"A",IF(LEFT($F165,1)*1=2,"P",IF(LEFT($F165,1)*1=3,"R",IF(LEFT($F165,1)*1=4,"C",IF(LEFT($F165,1)*1=5,"C",""))))))</f>
        <v>R</v>
      </c>
      <c r="D165" s="2" t="str">
        <f>IF($F165="","",IF(LEN($F165)=13,"A","S"))</f>
        <v>A</v>
      </c>
      <c r="E165" s="2">
        <f>IF($F165="","",IF(LEN($F165)=1,1,IF(LEN($F165)=3,2,IF(LEN($F165)=5,3,IF(LEN($F165)=8,4,5)))))</f>
        <v>5</v>
      </c>
      <c r="F165" s="3" t="s">
        <v>737</v>
      </c>
      <c r="G165" s="3" t="s">
        <v>422</v>
      </c>
      <c r="H165" s="4">
        <f>SUMIFS(Tab_01.Jan[SALDO
ATUAL],Tab_01.Jan[CONTA],$F165)</f>
        <v>-187419.37</v>
      </c>
      <c r="I165" s="4">
        <f>SUMIFS(Tab_02.Fev[SALDO
ATUAL],Tab_02.Fev[CONTA],$F165)</f>
        <v>-434953.93</v>
      </c>
      <c r="J165" s="4">
        <f>SUMIFS(Tab_03.Mar[SALDO
ATUAL],Tab_03.Mar[CONTA],$F165)</f>
        <v>-682368.86</v>
      </c>
      <c r="K165" s="4">
        <f>SUMIFS(Tab_04.Abr[SALDO
ATUAL],Tab_04.Abr[CONTA],$F165)</f>
        <v>-862584.28</v>
      </c>
      <c r="L165" s="4">
        <f>SUMIFS(Tab_05.Mai[SALDO
ATUAL],Tab_05.Mai[CONTA],$F165)</f>
        <v>-1195265.1000000001</v>
      </c>
      <c r="M165" s="4">
        <f>SUMIFS(Tab_06.Jun[SALDO
ATUAL],Tab_06.Jun[CONTA],$F165)</f>
        <v>-1379286.95</v>
      </c>
      <c r="N165" s="4">
        <f>SUMIFS(Tab_07.Jul[SALDO
ATUAL],Tab_07.Jul[CONTA],$F165)</f>
        <v>-1702436.3</v>
      </c>
      <c r="O165" s="4">
        <f>SUMIFS(Tab_08.Ago[SALDO
ATUAL],Tab_08.Ago[CONTA],$F165)</f>
        <v>-1927127.25</v>
      </c>
      <c r="P165" s="4">
        <f>SUMIFS(Tab_09.Set[SALDO
ATUAL],Tab_09.Set[CONTA],$F165)</f>
        <v>-2125464.3199999998</v>
      </c>
      <c r="Q165" s="4">
        <f>SUMIFS(Tab_10.Out[SALDO
ATUAL],Tab_10.Out[CONTA],$F165)</f>
        <v>-2555246.16</v>
      </c>
      <c r="R165" s="4">
        <f>SUMIFS(Tab_11.Nov[SALDO
ATUAL],Tab_11.Nov[CONTA],$F165)</f>
        <v>-2743319.47</v>
      </c>
      <c r="S165" s="4">
        <f>SUMIFS(Tab_12.Dez[SALDO
ATUAL],Tab_12.Dez[CONTA],$F165)</f>
        <v>-3185948.49</v>
      </c>
    </row>
    <row r="166" spans="2:19" x14ac:dyDescent="0.3">
      <c r="B166" s="3"/>
      <c r="C166" s="2" t="str">
        <f t="shared" si="9"/>
        <v>R</v>
      </c>
      <c r="D166" s="2" t="str">
        <f t="shared" si="12"/>
        <v>S</v>
      </c>
      <c r="E166" s="2">
        <f t="shared" si="13"/>
        <v>2</v>
      </c>
      <c r="F166" s="3" t="s">
        <v>574</v>
      </c>
      <c r="G166" s="3" t="s">
        <v>680</v>
      </c>
      <c r="H166" s="4">
        <f>SUMIFS(Tab_01.Jan[SALDO
ATUAL],Tab_01.Jan[CONTA],$F166)</f>
        <v>-421470.98</v>
      </c>
      <c r="I166" s="4">
        <f>SUMIFS(Tab_02.Fev[SALDO
ATUAL],Tab_02.Fev[CONTA],$F166)</f>
        <v>-855578.82</v>
      </c>
      <c r="J166" s="4">
        <f>SUMIFS(Tab_03.Mar[SALDO
ATUAL],Tab_03.Mar[CONTA],$F166)</f>
        <v>-1297631.08</v>
      </c>
      <c r="K166" s="4">
        <f>SUMIFS(Tab_04.Abr[SALDO
ATUAL],Tab_04.Abr[CONTA],$F166)</f>
        <v>-1738052.66</v>
      </c>
      <c r="L166" s="4">
        <f>SUMIFS(Tab_05.Mai[SALDO
ATUAL],Tab_05.Mai[CONTA],$F166)</f>
        <v>-2191057.08</v>
      </c>
      <c r="M166" s="4">
        <f>SUMIFS(Tab_06.Jun[SALDO
ATUAL],Tab_06.Jun[CONTA],$F166)</f>
        <v>-2631478.66</v>
      </c>
      <c r="N166" s="4">
        <f>SUMIFS(Tab_07.Jul[SALDO
ATUAL],Tab_07.Jul[CONTA],$F166)</f>
        <v>-3078453.5</v>
      </c>
      <c r="O166" s="4">
        <f>SUMIFS(Tab_08.Ago[SALDO
ATUAL],Tab_08.Ago[CONTA],$F166)</f>
        <v>-3525351.61</v>
      </c>
      <c r="P166" s="4">
        <f>SUMIFS(Tab_09.Set[SALDO
ATUAL],Tab_09.Set[CONTA],$F166)</f>
        <v>-3971723.38</v>
      </c>
      <c r="Q166" s="4">
        <f>SUMIFS(Tab_10.Out[SALDO
ATUAL],Tab_10.Out[CONTA],$F166)</f>
        <v>-4439413.5599999996</v>
      </c>
      <c r="R166" s="4">
        <f>SUMIFS(Tab_11.Nov[SALDO
ATUAL],Tab_11.Nov[CONTA],$F166)</f>
        <v>-4884356.84</v>
      </c>
      <c r="S166" s="4">
        <f>SUMIFS(Tab_12.Dez[SALDO
ATUAL],Tab_12.Dez[CONTA],$F166)</f>
        <v>-5326057.09</v>
      </c>
    </row>
    <row r="167" spans="2:19" x14ac:dyDescent="0.3">
      <c r="B167" s="3"/>
      <c r="C167" s="2" t="str">
        <f t="shared" si="9"/>
        <v>R</v>
      </c>
      <c r="D167" s="2" t="str">
        <f t="shared" si="12"/>
        <v>S</v>
      </c>
      <c r="E167" s="2">
        <f t="shared" si="13"/>
        <v>5</v>
      </c>
      <c r="F167" s="3" t="s">
        <v>575</v>
      </c>
      <c r="G167" s="3" t="s">
        <v>681</v>
      </c>
      <c r="H167" s="4">
        <f>SUMIFS(Tab_01.Jan[SALDO
ATUAL],Tab_01.Jan[CONTA],$F167)</f>
        <v>0</v>
      </c>
      <c r="I167" s="4">
        <f>SUMIFS(Tab_02.Fev[SALDO
ATUAL],Tab_02.Fev[CONTA],$F167)</f>
        <v>0</v>
      </c>
      <c r="J167" s="4">
        <f>SUMIFS(Tab_03.Mar[SALDO
ATUAL],Tab_03.Mar[CONTA],$F167)</f>
        <v>0</v>
      </c>
      <c r="K167" s="4">
        <f>SUMIFS(Tab_04.Abr[SALDO
ATUAL],Tab_04.Abr[CONTA],$F167)</f>
        <v>0</v>
      </c>
      <c r="L167" s="4">
        <f>SUMIFS(Tab_05.Mai[SALDO
ATUAL],Tab_05.Mai[CONTA],$F167)</f>
        <v>0</v>
      </c>
      <c r="M167" s="4">
        <f>SUMIFS(Tab_06.Jun[SALDO
ATUAL],Tab_06.Jun[CONTA],$F167)</f>
        <v>0</v>
      </c>
      <c r="N167" s="4">
        <f>SUMIFS(Tab_07.Jul[SALDO
ATUAL],Tab_07.Jul[CONTA],$F167)</f>
        <v>-50</v>
      </c>
      <c r="O167" s="4">
        <f>SUMIFS(Tab_08.Ago[SALDO
ATUAL],Tab_08.Ago[CONTA],$F167)</f>
        <v>-50</v>
      </c>
      <c r="P167" s="4">
        <f>SUMIFS(Tab_09.Set[SALDO
ATUAL],Tab_09.Set[CONTA],$F167)</f>
        <v>-5050</v>
      </c>
      <c r="Q167" s="4">
        <f>SUMIFS(Tab_10.Out[SALDO
ATUAL],Tab_10.Out[CONTA],$F167)</f>
        <v>-7313.46</v>
      </c>
      <c r="R167" s="4">
        <f>SUMIFS(Tab_11.Nov[SALDO
ATUAL],Tab_11.Nov[CONTA],$F167)</f>
        <v>-13734.16</v>
      </c>
      <c r="S167" s="4">
        <f>SUMIFS(Tab_12.Dez[SALDO
ATUAL],Tab_12.Dez[CONTA],$F167)</f>
        <v>-15055.61</v>
      </c>
    </row>
    <row r="168" spans="2:19" x14ac:dyDescent="0.3">
      <c r="B168" s="3"/>
      <c r="C168" s="2" t="str">
        <f t="shared" ref="C168:C242" si="14">IF($F168="","",IF(LEFT($F168,1)*1=1,"A",IF(LEFT($F168,1)*1=2,"P",IF(LEFT($F168,1)*1=3,"R",IF(LEFT($F168,1)*1=4,"C",IF(LEFT($F168,1)*1=5,"C",""))))))</f>
        <v>R</v>
      </c>
      <c r="D168" s="2" t="str">
        <f t="shared" si="12"/>
        <v>S</v>
      </c>
      <c r="E168" s="2">
        <f t="shared" si="13"/>
        <v>5</v>
      </c>
      <c r="F168" s="3" t="s">
        <v>576</v>
      </c>
      <c r="G168" s="3" t="s">
        <v>682</v>
      </c>
      <c r="H168" s="4">
        <f>SUMIFS(Tab_01.Jan[SALDO
ATUAL],Tab_01.Jan[CONTA],$F168)</f>
        <v>0</v>
      </c>
      <c r="I168" s="4">
        <f>SUMIFS(Tab_02.Fev[SALDO
ATUAL],Tab_02.Fev[CONTA],$F168)</f>
        <v>0</v>
      </c>
      <c r="J168" s="4">
        <f>SUMIFS(Tab_03.Mar[SALDO
ATUAL],Tab_03.Mar[CONTA],$F168)</f>
        <v>0</v>
      </c>
      <c r="K168" s="4">
        <f>SUMIFS(Tab_04.Abr[SALDO
ATUAL],Tab_04.Abr[CONTA],$F168)</f>
        <v>0</v>
      </c>
      <c r="L168" s="4">
        <f>SUMIFS(Tab_05.Mai[SALDO
ATUAL],Tab_05.Mai[CONTA],$F168)</f>
        <v>0</v>
      </c>
      <c r="M168" s="4">
        <f>SUMIFS(Tab_06.Jun[SALDO
ATUAL],Tab_06.Jun[CONTA],$F168)</f>
        <v>0</v>
      </c>
      <c r="N168" s="4">
        <f>SUMIFS(Tab_07.Jul[SALDO
ATUAL],Tab_07.Jul[CONTA],$F168)</f>
        <v>-50</v>
      </c>
      <c r="O168" s="4">
        <f>SUMIFS(Tab_08.Ago[SALDO
ATUAL],Tab_08.Ago[CONTA],$F168)</f>
        <v>-50</v>
      </c>
      <c r="P168" s="4">
        <f>SUMIFS(Tab_09.Set[SALDO
ATUAL],Tab_09.Set[CONTA],$F168)</f>
        <v>-5050</v>
      </c>
      <c r="Q168" s="4">
        <f>SUMIFS(Tab_10.Out[SALDO
ATUAL],Tab_10.Out[CONTA],$F168)</f>
        <v>-7313.46</v>
      </c>
      <c r="R168" s="4">
        <f>SUMIFS(Tab_11.Nov[SALDO
ATUAL],Tab_11.Nov[CONTA],$F168)</f>
        <v>-13734.16</v>
      </c>
      <c r="S168" s="4">
        <f>SUMIFS(Tab_12.Dez[SALDO
ATUAL],Tab_12.Dez[CONTA],$F168)</f>
        <v>-15055.61</v>
      </c>
    </row>
    <row r="169" spans="2:19" x14ac:dyDescent="0.3">
      <c r="B169" s="3" t="s">
        <v>101</v>
      </c>
      <c r="C169" s="2" t="str">
        <f t="shared" si="14"/>
        <v>R</v>
      </c>
      <c r="D169" s="2" t="str">
        <f t="shared" si="12"/>
        <v>A</v>
      </c>
      <c r="E169" s="2">
        <f t="shared" si="13"/>
        <v>5</v>
      </c>
      <c r="F169" s="3" t="s">
        <v>382</v>
      </c>
      <c r="G169" s="3" t="s">
        <v>292</v>
      </c>
      <c r="H169" s="4">
        <f>SUMIFS(Tab_01.Jan[SALDO
ATUAL],Tab_01.Jan[CONTA],$F169)</f>
        <v>0</v>
      </c>
      <c r="I169" s="4">
        <f>SUMIFS(Tab_02.Fev[SALDO
ATUAL],Tab_02.Fev[CONTA],$F169)</f>
        <v>0</v>
      </c>
      <c r="J169" s="4">
        <f>SUMIFS(Tab_03.Mar[SALDO
ATUAL],Tab_03.Mar[CONTA],$F169)</f>
        <v>0</v>
      </c>
      <c r="K169" s="4">
        <f>SUMIFS(Tab_04.Abr[SALDO
ATUAL],Tab_04.Abr[CONTA],$F169)</f>
        <v>0</v>
      </c>
      <c r="L169" s="4">
        <f>SUMIFS(Tab_05.Mai[SALDO
ATUAL],Tab_05.Mai[CONTA],$F169)</f>
        <v>0</v>
      </c>
      <c r="M169" s="4">
        <f>SUMIFS(Tab_06.Jun[SALDO
ATUAL],Tab_06.Jun[CONTA],$F169)</f>
        <v>0</v>
      </c>
      <c r="N169" s="4">
        <f>SUMIFS(Tab_07.Jul[SALDO
ATUAL],Tab_07.Jul[CONTA],$F169)</f>
        <v>-50</v>
      </c>
      <c r="O169" s="4">
        <f>SUMIFS(Tab_08.Ago[SALDO
ATUAL],Tab_08.Ago[CONTA],$F169)</f>
        <v>-50</v>
      </c>
      <c r="P169" s="4">
        <f>SUMIFS(Tab_09.Set[SALDO
ATUAL],Tab_09.Set[CONTA],$F169)</f>
        <v>-5050</v>
      </c>
      <c r="Q169" s="4">
        <f>SUMIFS(Tab_10.Out[SALDO
ATUAL],Tab_10.Out[CONTA],$F169)</f>
        <v>-7313.46</v>
      </c>
      <c r="R169" s="4">
        <f>SUMIFS(Tab_11.Nov[SALDO
ATUAL],Tab_11.Nov[CONTA],$F169)</f>
        <v>-13734.16</v>
      </c>
      <c r="S169" s="4">
        <f>SUMIFS(Tab_12.Dez[SALDO
ATUAL],Tab_12.Dez[CONTA],$F169)</f>
        <v>-15055.61</v>
      </c>
    </row>
    <row r="170" spans="2:19" x14ac:dyDescent="0.3">
      <c r="B170" s="3"/>
      <c r="C170" s="2" t="str">
        <f t="shared" si="14"/>
        <v>R</v>
      </c>
      <c r="D170" s="2" t="str">
        <f>IF($F170="","",IF(LEN($F170)=13,"A","S"))</f>
        <v>S</v>
      </c>
      <c r="E170" s="2">
        <f>IF($F170="","",IF(LEN($F170)=1,1,IF(LEN($F170)=3,2,IF(LEN($F170)=5,3,IF(LEN($F170)=8,4,5)))))</f>
        <v>5</v>
      </c>
      <c r="F170" s="3" t="s">
        <v>577</v>
      </c>
      <c r="G170" s="3" t="s">
        <v>683</v>
      </c>
      <c r="H170" s="4">
        <f>SUMIFS(Tab_01.Jan[SALDO
ATUAL],Tab_01.Jan[CONTA],$F170)</f>
        <v>0</v>
      </c>
      <c r="I170" s="4">
        <f>SUMIFS(Tab_02.Fev[SALDO
ATUAL],Tab_02.Fev[CONTA],$F170)</f>
        <v>0</v>
      </c>
      <c r="J170" s="4">
        <f>SUMIFS(Tab_03.Mar[SALDO
ATUAL],Tab_03.Mar[CONTA],$F170)</f>
        <v>0</v>
      </c>
      <c r="K170" s="4">
        <f>SUMIFS(Tab_04.Abr[SALDO
ATUAL],Tab_04.Abr[CONTA],$F170)</f>
        <v>0</v>
      </c>
      <c r="L170" s="4">
        <f>SUMIFS(Tab_05.Mai[SALDO
ATUAL],Tab_05.Mai[CONTA],$F170)</f>
        <v>0</v>
      </c>
      <c r="M170" s="4">
        <f>SUMIFS(Tab_06.Jun[SALDO
ATUAL],Tab_06.Jun[CONTA],$F170)</f>
        <v>0</v>
      </c>
      <c r="N170" s="4">
        <f>SUMIFS(Tab_07.Jul[SALDO
ATUAL],Tab_07.Jul[CONTA],$F170)</f>
        <v>11</v>
      </c>
      <c r="O170" s="4">
        <f>SUMIFS(Tab_08.Ago[SALDO
ATUAL],Tab_08.Ago[CONTA],$F170)</f>
        <v>48.73</v>
      </c>
      <c r="P170" s="4">
        <f>SUMIFS(Tab_09.Set[SALDO
ATUAL],Tab_09.Set[CONTA],$F170)</f>
        <v>12127.06</v>
      </c>
      <c r="Q170" s="4">
        <f>SUMIFS(Tab_10.Out[SALDO
ATUAL],Tab_10.Out[CONTA],$F170)</f>
        <v>12139.16</v>
      </c>
      <c r="R170" s="4">
        <f>SUMIFS(Tab_11.Nov[SALDO
ATUAL],Tab_11.Nov[CONTA],$F170)</f>
        <v>14038.16</v>
      </c>
      <c r="S170" s="4">
        <f>SUMIFS(Tab_12.Dez[SALDO
ATUAL],Tab_12.Dez[CONTA],$F170)</f>
        <v>14303.78</v>
      </c>
    </row>
    <row r="171" spans="2:19" x14ac:dyDescent="0.3">
      <c r="B171" s="3"/>
      <c r="C171" s="2" t="str">
        <f t="shared" si="14"/>
        <v>R</v>
      </c>
      <c r="D171" s="2" t="str">
        <f t="shared" si="12"/>
        <v>S</v>
      </c>
      <c r="E171" s="2">
        <f t="shared" si="13"/>
        <v>5</v>
      </c>
      <c r="F171" s="3" t="s">
        <v>578</v>
      </c>
      <c r="G171" s="3" t="s">
        <v>684</v>
      </c>
      <c r="H171" s="4">
        <f>SUMIFS(Tab_01.Jan[SALDO
ATUAL],Tab_01.Jan[CONTA],$F171)</f>
        <v>0</v>
      </c>
      <c r="I171" s="4">
        <f>SUMIFS(Tab_02.Fev[SALDO
ATUAL],Tab_02.Fev[CONTA],$F171)</f>
        <v>0</v>
      </c>
      <c r="J171" s="4">
        <f>SUMIFS(Tab_03.Mar[SALDO
ATUAL],Tab_03.Mar[CONTA],$F171)</f>
        <v>0</v>
      </c>
      <c r="K171" s="4">
        <f>SUMIFS(Tab_04.Abr[SALDO
ATUAL],Tab_04.Abr[CONTA],$F171)</f>
        <v>0</v>
      </c>
      <c r="L171" s="4">
        <f>SUMIFS(Tab_05.Mai[SALDO
ATUAL],Tab_05.Mai[CONTA],$F171)</f>
        <v>0</v>
      </c>
      <c r="M171" s="4">
        <f>SUMIFS(Tab_06.Jun[SALDO
ATUAL],Tab_06.Jun[CONTA],$F171)</f>
        <v>0</v>
      </c>
      <c r="N171" s="4">
        <f>SUMIFS(Tab_07.Jul[SALDO
ATUAL],Tab_07.Jul[CONTA],$F171)</f>
        <v>0</v>
      </c>
      <c r="O171" s="4">
        <f>SUMIFS(Tab_08.Ago[SALDO
ATUAL],Tab_08.Ago[CONTA],$F171)</f>
        <v>0</v>
      </c>
      <c r="P171" s="4">
        <f>SUMIFS(Tab_09.Set[SALDO
ATUAL],Tab_09.Set[CONTA],$F171)</f>
        <v>0</v>
      </c>
      <c r="Q171" s="4">
        <f>SUMIFS(Tab_10.Out[SALDO
ATUAL],Tab_10.Out[CONTA],$F171)</f>
        <v>0</v>
      </c>
      <c r="R171" s="4">
        <f>SUMIFS(Tab_11.Nov[SALDO
ATUAL],Tab_11.Nov[CONTA],$F171)</f>
        <v>0</v>
      </c>
      <c r="S171" s="4">
        <f>SUMIFS(Tab_12.Dez[SALDO
ATUAL],Tab_12.Dez[CONTA],$F171)</f>
        <v>0</v>
      </c>
    </row>
    <row r="172" spans="2:19" x14ac:dyDescent="0.3">
      <c r="B172" s="3" t="s">
        <v>101</v>
      </c>
      <c r="C172" s="2" t="str">
        <f t="shared" si="14"/>
        <v>R</v>
      </c>
      <c r="D172" s="2" t="str">
        <f t="shared" si="12"/>
        <v>A</v>
      </c>
      <c r="E172" s="2">
        <f t="shared" si="13"/>
        <v>5</v>
      </c>
      <c r="F172" s="3" t="s">
        <v>383</v>
      </c>
      <c r="G172" s="3" t="s">
        <v>384</v>
      </c>
      <c r="H172" s="4">
        <f>SUMIFS(Tab_01.Jan[SALDO
ATUAL],Tab_01.Jan[CONTA],$F172)</f>
        <v>0</v>
      </c>
      <c r="I172" s="4">
        <f>SUMIFS(Tab_02.Fev[SALDO
ATUAL],Tab_02.Fev[CONTA],$F172)</f>
        <v>0</v>
      </c>
      <c r="J172" s="4">
        <f>SUMIFS(Tab_03.Mar[SALDO
ATUAL],Tab_03.Mar[CONTA],$F172)</f>
        <v>0</v>
      </c>
      <c r="K172" s="4">
        <f>SUMIFS(Tab_04.Abr[SALDO
ATUAL],Tab_04.Abr[CONTA],$F172)</f>
        <v>0</v>
      </c>
      <c r="L172" s="4">
        <f>SUMIFS(Tab_05.Mai[SALDO
ATUAL],Tab_05.Mai[CONTA],$F172)</f>
        <v>0</v>
      </c>
      <c r="M172" s="4">
        <f>SUMIFS(Tab_06.Jun[SALDO
ATUAL],Tab_06.Jun[CONTA],$F172)</f>
        <v>0</v>
      </c>
      <c r="N172" s="4">
        <f>SUMIFS(Tab_07.Jul[SALDO
ATUAL],Tab_07.Jul[CONTA],$F172)</f>
        <v>0</v>
      </c>
      <c r="O172" s="4">
        <f>SUMIFS(Tab_08.Ago[SALDO
ATUAL],Tab_08.Ago[CONTA],$F172)</f>
        <v>0</v>
      </c>
      <c r="P172" s="4">
        <f>SUMIFS(Tab_09.Set[SALDO
ATUAL],Tab_09.Set[CONTA],$F172)</f>
        <v>0</v>
      </c>
      <c r="Q172" s="4">
        <f>SUMIFS(Tab_10.Out[SALDO
ATUAL],Tab_10.Out[CONTA],$F172)</f>
        <v>0</v>
      </c>
      <c r="R172" s="4">
        <f>SUMIFS(Tab_11.Nov[SALDO
ATUAL],Tab_11.Nov[CONTA],$F172)</f>
        <v>0</v>
      </c>
      <c r="S172" s="4">
        <f>SUMIFS(Tab_12.Dez[SALDO
ATUAL],Tab_12.Dez[CONTA],$F172)</f>
        <v>0</v>
      </c>
    </row>
    <row r="173" spans="2:19" x14ac:dyDescent="0.3">
      <c r="B173" s="3"/>
      <c r="C173" s="2" t="str">
        <f t="shared" si="14"/>
        <v>R</v>
      </c>
      <c r="D173" s="2" t="str">
        <f t="shared" si="12"/>
        <v>S</v>
      </c>
      <c r="E173" s="2">
        <f t="shared" si="13"/>
        <v>5</v>
      </c>
      <c r="F173" s="3" t="s">
        <v>579</v>
      </c>
      <c r="G173" s="3" t="s">
        <v>685</v>
      </c>
      <c r="H173" s="4">
        <f>SUMIFS(Tab_01.Jan[SALDO
ATUAL],Tab_01.Jan[CONTA],$F173)</f>
        <v>0</v>
      </c>
      <c r="I173" s="4">
        <f>SUMIFS(Tab_02.Fev[SALDO
ATUAL],Tab_02.Fev[CONTA],$F173)</f>
        <v>0</v>
      </c>
      <c r="J173" s="4">
        <f>SUMIFS(Tab_03.Mar[SALDO
ATUAL],Tab_03.Mar[CONTA],$F173)</f>
        <v>0</v>
      </c>
      <c r="K173" s="4">
        <f>SUMIFS(Tab_04.Abr[SALDO
ATUAL],Tab_04.Abr[CONTA],$F173)</f>
        <v>0</v>
      </c>
      <c r="L173" s="4">
        <f>SUMIFS(Tab_05.Mai[SALDO
ATUAL],Tab_05.Mai[CONTA],$F173)</f>
        <v>0</v>
      </c>
      <c r="M173" s="4">
        <f>SUMIFS(Tab_06.Jun[SALDO
ATUAL],Tab_06.Jun[CONTA],$F173)</f>
        <v>0</v>
      </c>
      <c r="N173" s="4">
        <f>SUMIFS(Tab_07.Jul[SALDO
ATUAL],Tab_07.Jul[CONTA],$F173)</f>
        <v>0</v>
      </c>
      <c r="O173" s="4">
        <f>SUMIFS(Tab_08.Ago[SALDO
ATUAL],Tab_08.Ago[CONTA],$F173)</f>
        <v>0</v>
      </c>
      <c r="P173" s="4">
        <f>SUMIFS(Tab_09.Set[SALDO
ATUAL],Tab_09.Set[CONTA],$F173)</f>
        <v>0</v>
      </c>
      <c r="Q173" s="4">
        <f>SUMIFS(Tab_10.Out[SALDO
ATUAL],Tab_10.Out[CONTA],$F173)</f>
        <v>0</v>
      </c>
      <c r="R173" s="4">
        <f>SUMIFS(Tab_11.Nov[SALDO
ATUAL],Tab_11.Nov[CONTA],$F173)</f>
        <v>0</v>
      </c>
      <c r="S173" s="4">
        <f>SUMIFS(Tab_12.Dez[SALDO
ATUAL],Tab_12.Dez[CONTA],$F173)</f>
        <v>0</v>
      </c>
    </row>
    <row r="174" spans="2:19" x14ac:dyDescent="0.3">
      <c r="B174" s="3" t="s">
        <v>101</v>
      </c>
      <c r="C174" s="2" t="str">
        <f t="shared" si="14"/>
        <v>R</v>
      </c>
      <c r="D174" s="2" t="str">
        <f t="shared" si="12"/>
        <v>A</v>
      </c>
      <c r="E174" s="2">
        <f t="shared" si="13"/>
        <v>5</v>
      </c>
      <c r="F174" s="3" t="s">
        <v>385</v>
      </c>
      <c r="G174" s="3" t="s">
        <v>386</v>
      </c>
      <c r="H174" s="4">
        <f>SUMIFS(Tab_01.Jan[SALDO
ATUAL],Tab_01.Jan[CONTA],$F174)</f>
        <v>0</v>
      </c>
      <c r="I174" s="4">
        <f>SUMIFS(Tab_02.Fev[SALDO
ATUAL],Tab_02.Fev[CONTA],$F174)</f>
        <v>0</v>
      </c>
      <c r="J174" s="4">
        <f>SUMIFS(Tab_03.Mar[SALDO
ATUAL],Tab_03.Mar[CONTA],$F174)</f>
        <v>0</v>
      </c>
      <c r="K174" s="4">
        <f>SUMIFS(Tab_04.Abr[SALDO
ATUAL],Tab_04.Abr[CONTA],$F174)</f>
        <v>0</v>
      </c>
      <c r="L174" s="4">
        <f>SUMIFS(Tab_05.Mai[SALDO
ATUAL],Tab_05.Mai[CONTA],$F174)</f>
        <v>0</v>
      </c>
      <c r="M174" s="4">
        <f>SUMIFS(Tab_06.Jun[SALDO
ATUAL],Tab_06.Jun[CONTA],$F174)</f>
        <v>0</v>
      </c>
      <c r="N174" s="4">
        <f>SUMIFS(Tab_07.Jul[SALDO
ATUAL],Tab_07.Jul[CONTA],$F174)</f>
        <v>0</v>
      </c>
      <c r="O174" s="4">
        <f>SUMIFS(Tab_08.Ago[SALDO
ATUAL],Tab_08.Ago[CONTA],$F174)</f>
        <v>0</v>
      </c>
      <c r="P174" s="4">
        <f>SUMIFS(Tab_09.Set[SALDO
ATUAL],Tab_09.Set[CONTA],$F174)</f>
        <v>0</v>
      </c>
      <c r="Q174" s="4">
        <f>SUMIFS(Tab_10.Out[SALDO
ATUAL],Tab_10.Out[CONTA],$F174)</f>
        <v>0</v>
      </c>
      <c r="R174" s="4">
        <f>SUMIFS(Tab_11.Nov[SALDO
ATUAL],Tab_11.Nov[CONTA],$F174)</f>
        <v>0</v>
      </c>
      <c r="S174" s="4">
        <f>SUMIFS(Tab_12.Dez[SALDO
ATUAL],Tab_12.Dez[CONTA],$F174)</f>
        <v>0</v>
      </c>
    </row>
    <row r="175" spans="2:19" x14ac:dyDescent="0.3">
      <c r="B175" s="3"/>
      <c r="C175" s="2" t="str">
        <f t="shared" si="14"/>
        <v>R</v>
      </c>
      <c r="D175" s="2" t="str">
        <f t="shared" si="12"/>
        <v>S</v>
      </c>
      <c r="E175" s="2">
        <f t="shared" si="13"/>
        <v>5</v>
      </c>
      <c r="F175" s="3" t="s">
        <v>580</v>
      </c>
      <c r="G175" s="3" t="s">
        <v>686</v>
      </c>
      <c r="H175" s="4">
        <f>SUMIFS(Tab_01.Jan[SALDO
ATUAL],Tab_01.Jan[CONTA],$F175)</f>
        <v>-421470.98</v>
      </c>
      <c r="I175" s="4">
        <f>SUMIFS(Tab_02.Fev[SALDO
ATUAL],Tab_02.Fev[CONTA],$F175)</f>
        <v>-855578.82</v>
      </c>
      <c r="J175" s="4">
        <f>SUMIFS(Tab_03.Mar[SALDO
ATUAL],Tab_03.Mar[CONTA],$F175)</f>
        <v>-1297631.08</v>
      </c>
      <c r="K175" s="4">
        <f>SUMIFS(Tab_04.Abr[SALDO
ATUAL],Tab_04.Abr[CONTA],$F175)</f>
        <v>-1738052.66</v>
      </c>
      <c r="L175" s="4">
        <f>SUMIFS(Tab_05.Mai[SALDO
ATUAL],Tab_05.Mai[CONTA],$F175)</f>
        <v>-2191057.08</v>
      </c>
      <c r="M175" s="4">
        <f>SUMIFS(Tab_06.Jun[SALDO
ATUAL],Tab_06.Jun[CONTA],$F175)</f>
        <v>-2631478.66</v>
      </c>
      <c r="N175" s="4">
        <f>SUMIFS(Tab_07.Jul[SALDO
ATUAL],Tab_07.Jul[CONTA],$F175)</f>
        <v>-3078414.5</v>
      </c>
      <c r="O175" s="4">
        <f>SUMIFS(Tab_08.Ago[SALDO
ATUAL],Tab_08.Ago[CONTA],$F175)</f>
        <v>-3525350.34</v>
      </c>
      <c r="P175" s="4">
        <f>SUMIFS(Tab_09.Set[SALDO
ATUAL],Tab_09.Set[CONTA],$F175)</f>
        <v>-3978800.44</v>
      </c>
      <c r="Q175" s="4">
        <f>SUMIFS(Tab_10.Out[SALDO
ATUAL],Tab_10.Out[CONTA],$F175)</f>
        <v>-4444239.26</v>
      </c>
      <c r="R175" s="4">
        <f>SUMIFS(Tab_11.Nov[SALDO
ATUAL],Tab_11.Nov[CONTA],$F175)</f>
        <v>-4884660.84</v>
      </c>
      <c r="S175" s="4">
        <f>SUMIFS(Tab_12.Dez[SALDO
ATUAL],Tab_12.Dez[CONTA],$F175)</f>
        <v>-5325305.26</v>
      </c>
    </row>
    <row r="176" spans="2:19" x14ac:dyDescent="0.3">
      <c r="B176" s="3"/>
      <c r="C176" s="2" t="str">
        <f>IF($F176="","",IF(LEFT($F176,1)*1=1,"A",IF(LEFT($F176,1)*1=2,"P",IF(LEFT($F176,1)*1=3,"R",IF(LEFT($F176,1)*1=4,"C",IF(LEFT($F176,1)*1=5,"C",""))))))</f>
        <v>R</v>
      </c>
      <c r="D176" s="2" t="str">
        <f>IF($F176="","",IF(LEN($F176)=13,"A","S"))</f>
        <v>S</v>
      </c>
      <c r="E176" s="2">
        <f>IF($F176="","",IF(LEN($F176)=1,1,IF(LEN($F176)=3,2,IF(LEN($F176)=5,3,IF(LEN($F176)=8,4,5)))))</f>
        <v>5</v>
      </c>
      <c r="F176" s="3" t="s">
        <v>847</v>
      </c>
      <c r="G176" s="3" t="s">
        <v>848</v>
      </c>
      <c r="H176" s="4">
        <f>SUMIFS(Tab_01.Jan[SALDO
ATUAL],Tab_01.Jan[CONTA],$F176)</f>
        <v>0</v>
      </c>
      <c r="I176" s="4">
        <f>SUMIFS(Tab_02.Fev[SALDO
ATUAL],Tab_02.Fev[CONTA],$F176)</f>
        <v>0</v>
      </c>
      <c r="J176" s="4">
        <f>SUMIFS(Tab_03.Mar[SALDO
ATUAL],Tab_03.Mar[CONTA],$F176)</f>
        <v>0</v>
      </c>
      <c r="K176" s="4">
        <f>SUMIFS(Tab_04.Abr[SALDO
ATUAL],Tab_04.Abr[CONTA],$F176)</f>
        <v>0</v>
      </c>
      <c r="L176" s="4">
        <f>SUMIFS(Tab_05.Mai[SALDO
ATUAL],Tab_05.Mai[CONTA],$F176)</f>
        <v>0</v>
      </c>
      <c r="M176" s="4">
        <f>SUMIFS(Tab_06.Jun[SALDO
ATUAL],Tab_06.Jun[CONTA],$F176)</f>
        <v>0</v>
      </c>
      <c r="N176" s="4">
        <f>SUMIFS(Tab_07.Jul[SALDO
ATUAL],Tab_07.Jul[CONTA],$F176)</f>
        <v>11</v>
      </c>
      <c r="O176" s="4">
        <f>SUMIFS(Tab_08.Ago[SALDO
ATUAL],Tab_08.Ago[CONTA],$F176)</f>
        <v>48.73</v>
      </c>
      <c r="P176" s="4">
        <f>SUMIFS(Tab_09.Set[SALDO
ATUAL],Tab_09.Set[CONTA],$F176)</f>
        <v>12127.06</v>
      </c>
      <c r="Q176" s="4">
        <f>SUMIFS(Tab_10.Out[SALDO
ATUAL],Tab_10.Out[CONTA],$F176)</f>
        <v>12139.16</v>
      </c>
      <c r="R176" s="4">
        <f>SUMIFS(Tab_11.Nov[SALDO
ATUAL],Tab_11.Nov[CONTA],$F176)</f>
        <v>14038.16</v>
      </c>
      <c r="S176" s="4">
        <f>SUMIFS(Tab_12.Dez[SALDO
ATUAL],Tab_12.Dez[CONTA],$F176)</f>
        <v>14303.78</v>
      </c>
    </row>
    <row r="177" spans="2:19" x14ac:dyDescent="0.3">
      <c r="B177" s="184" t="s">
        <v>102</v>
      </c>
      <c r="C177" s="2" t="str">
        <f>IF($F177="","",IF(LEFT($F177,1)*1=1,"A",IF(LEFT($F177,1)*1=2,"P",IF(LEFT($F177,1)*1=3,"R",IF(LEFT($F177,1)*1=4,"C",IF(LEFT($F177,1)*1=5,"C",""))))))</f>
        <v>R</v>
      </c>
      <c r="D177" s="2" t="str">
        <f>IF($F177="","",IF(LEN($F177)=13,"A","S"))</f>
        <v>A</v>
      </c>
      <c r="E177" s="2">
        <f>IF($F177="","",IF(LEN($F177)=1,1,IF(LEN($F177)=3,2,IF(LEN($F177)=5,3,IF(LEN($F177)=8,4,5)))))</f>
        <v>5</v>
      </c>
      <c r="F177" s="3" t="s">
        <v>849</v>
      </c>
      <c r="G177" s="3" t="s">
        <v>850</v>
      </c>
      <c r="H177" s="4">
        <f>SUMIFS(Tab_01.Jan[SALDO
ATUAL],Tab_01.Jan[CONTA],$F177)</f>
        <v>0</v>
      </c>
      <c r="I177" s="4">
        <f>SUMIFS(Tab_02.Fev[SALDO
ATUAL],Tab_02.Fev[CONTA],$F177)</f>
        <v>0</v>
      </c>
      <c r="J177" s="4">
        <f>SUMIFS(Tab_03.Mar[SALDO
ATUAL],Tab_03.Mar[CONTA],$F177)</f>
        <v>0</v>
      </c>
      <c r="K177" s="4">
        <f>SUMIFS(Tab_04.Abr[SALDO
ATUAL],Tab_04.Abr[CONTA],$F177)</f>
        <v>0</v>
      </c>
      <c r="L177" s="4">
        <f>SUMIFS(Tab_05.Mai[SALDO
ATUAL],Tab_05.Mai[CONTA],$F177)</f>
        <v>0</v>
      </c>
      <c r="M177" s="4">
        <f>SUMIFS(Tab_06.Jun[SALDO
ATUAL],Tab_06.Jun[CONTA],$F177)</f>
        <v>0</v>
      </c>
      <c r="N177" s="4">
        <f>SUMIFS(Tab_07.Jul[SALDO
ATUAL],Tab_07.Jul[CONTA],$F177)</f>
        <v>11</v>
      </c>
      <c r="O177" s="4">
        <f>SUMIFS(Tab_08.Ago[SALDO
ATUAL],Tab_08.Ago[CONTA],$F177)</f>
        <v>48.73</v>
      </c>
      <c r="P177" s="4">
        <f>SUMIFS(Tab_09.Set[SALDO
ATUAL],Tab_09.Set[CONTA],$F177)</f>
        <v>12127.06</v>
      </c>
      <c r="Q177" s="4">
        <f>SUMIFS(Tab_10.Out[SALDO
ATUAL],Tab_10.Out[CONTA],$F177)</f>
        <v>12139.16</v>
      </c>
      <c r="R177" s="4">
        <f>SUMIFS(Tab_11.Nov[SALDO
ATUAL],Tab_11.Nov[CONTA],$F177)</f>
        <v>14038.16</v>
      </c>
      <c r="S177" s="4">
        <f>SUMIFS(Tab_12.Dez[SALDO
ATUAL],Tab_12.Dez[CONTA],$F177)</f>
        <v>14303.78</v>
      </c>
    </row>
    <row r="178" spans="2:19" x14ac:dyDescent="0.3">
      <c r="B178" s="3"/>
      <c r="C178" s="2" t="str">
        <f t="shared" si="14"/>
        <v>R</v>
      </c>
      <c r="D178" s="2" t="str">
        <f t="shared" si="12"/>
        <v>S</v>
      </c>
      <c r="E178" s="2">
        <f t="shared" si="13"/>
        <v>5</v>
      </c>
      <c r="F178" s="3" t="s">
        <v>581</v>
      </c>
      <c r="G178" s="3" t="s">
        <v>687</v>
      </c>
      <c r="H178" s="4">
        <f>SUMIFS(Tab_01.Jan[SALDO
ATUAL],Tab_01.Jan[CONTA],$F178)</f>
        <v>-421470.98</v>
      </c>
      <c r="I178" s="4">
        <f>SUMIFS(Tab_02.Fev[SALDO
ATUAL],Tab_02.Fev[CONTA],$F178)</f>
        <v>-855578.82</v>
      </c>
      <c r="J178" s="4">
        <f>SUMIFS(Tab_03.Mar[SALDO
ATUAL],Tab_03.Mar[CONTA],$F178)</f>
        <v>-1297631.08</v>
      </c>
      <c r="K178" s="4">
        <f>SUMIFS(Tab_04.Abr[SALDO
ATUAL],Tab_04.Abr[CONTA],$F178)</f>
        <v>-1738052.66</v>
      </c>
      <c r="L178" s="4">
        <f>SUMIFS(Tab_05.Mai[SALDO
ATUAL],Tab_05.Mai[CONTA],$F178)</f>
        <v>-2191057.08</v>
      </c>
      <c r="M178" s="4">
        <f>SUMIFS(Tab_06.Jun[SALDO
ATUAL],Tab_06.Jun[CONTA],$F178)</f>
        <v>-2631478.66</v>
      </c>
      <c r="N178" s="4">
        <f>SUMIFS(Tab_07.Jul[SALDO
ATUAL],Tab_07.Jul[CONTA],$F178)</f>
        <v>-3078414.5</v>
      </c>
      <c r="O178" s="4">
        <f>SUMIFS(Tab_08.Ago[SALDO
ATUAL],Tab_08.Ago[CONTA],$F178)</f>
        <v>-3525350.34</v>
      </c>
      <c r="P178" s="4">
        <f>SUMIFS(Tab_09.Set[SALDO
ATUAL],Tab_09.Set[CONTA],$F178)</f>
        <v>-3978800.44</v>
      </c>
      <c r="Q178" s="4">
        <f>SUMIFS(Tab_10.Out[SALDO
ATUAL],Tab_10.Out[CONTA],$F178)</f>
        <v>-4444239.26</v>
      </c>
      <c r="R178" s="4">
        <f>SUMIFS(Tab_11.Nov[SALDO
ATUAL],Tab_11.Nov[CONTA],$F178)</f>
        <v>-4884660.84</v>
      </c>
      <c r="S178" s="4">
        <f>SUMIFS(Tab_12.Dez[SALDO
ATUAL],Tab_12.Dez[CONTA],$F178)</f>
        <v>-5325305.26</v>
      </c>
    </row>
    <row r="179" spans="2:19" x14ac:dyDescent="0.3">
      <c r="B179" s="3" t="s">
        <v>101</v>
      </c>
      <c r="C179" s="2" t="str">
        <f t="shared" si="14"/>
        <v>R</v>
      </c>
      <c r="D179" s="2" t="str">
        <f t="shared" si="12"/>
        <v>A</v>
      </c>
      <c r="E179" s="2">
        <f t="shared" si="13"/>
        <v>5</v>
      </c>
      <c r="F179" s="3" t="s">
        <v>387</v>
      </c>
      <c r="G179" s="3" t="s">
        <v>388</v>
      </c>
      <c r="H179" s="4">
        <f>SUMIFS(Tab_01.Jan[SALDO
ATUAL],Tab_01.Jan[CONTA],$F179)</f>
        <v>-421470.98</v>
      </c>
      <c r="I179" s="4">
        <f>SUMIFS(Tab_02.Fev[SALDO
ATUAL],Tab_02.Fev[CONTA],$F179)</f>
        <v>-842941.96</v>
      </c>
      <c r="J179" s="4">
        <f>SUMIFS(Tab_03.Mar[SALDO
ATUAL],Tab_03.Mar[CONTA],$F179)</f>
        <v>-1264412.94</v>
      </c>
      <c r="K179" s="4">
        <f>SUMIFS(Tab_04.Abr[SALDO
ATUAL],Tab_04.Abr[CONTA],$F179)</f>
        <v>-1704834.52</v>
      </c>
      <c r="L179" s="4">
        <f>SUMIFS(Tab_05.Mai[SALDO
ATUAL],Tab_05.Mai[CONTA],$F179)</f>
        <v>-2145256.1</v>
      </c>
      <c r="M179" s="4">
        <f>SUMIFS(Tab_06.Jun[SALDO
ATUAL],Tab_06.Jun[CONTA],$F179)</f>
        <v>-2585677.6800000002</v>
      </c>
      <c r="N179" s="4">
        <f>SUMIFS(Tab_07.Jul[SALDO
ATUAL],Tab_07.Jul[CONTA],$F179)</f>
        <v>-3026099.26</v>
      </c>
      <c r="O179" s="4">
        <f>SUMIFS(Tab_08.Ago[SALDO
ATUAL],Tab_08.Ago[CONTA],$F179)</f>
        <v>-3466520.84</v>
      </c>
      <c r="P179" s="4">
        <f>SUMIFS(Tab_09.Set[SALDO
ATUAL],Tab_09.Set[CONTA],$F179)</f>
        <v>-3906942.42</v>
      </c>
      <c r="Q179" s="4">
        <f>SUMIFS(Tab_10.Out[SALDO
ATUAL],Tab_10.Out[CONTA],$F179)</f>
        <v>-4347364</v>
      </c>
      <c r="R179" s="4">
        <f>SUMIFS(Tab_11.Nov[SALDO
ATUAL],Tab_11.Nov[CONTA],$F179)</f>
        <v>-4787785.58</v>
      </c>
      <c r="S179" s="4">
        <f>SUMIFS(Tab_12.Dez[SALDO
ATUAL],Tab_12.Dez[CONTA],$F179)</f>
        <v>-5228207.16</v>
      </c>
    </row>
    <row r="180" spans="2:19" x14ac:dyDescent="0.3">
      <c r="B180" s="3" t="s">
        <v>101</v>
      </c>
      <c r="C180" s="2" t="str">
        <f t="shared" si="14"/>
        <v>R</v>
      </c>
      <c r="D180" s="2" t="str">
        <f t="shared" si="12"/>
        <v>A</v>
      </c>
      <c r="E180" s="2">
        <f t="shared" si="13"/>
        <v>5</v>
      </c>
      <c r="F180" s="3" t="s">
        <v>389</v>
      </c>
      <c r="G180" s="3" t="s">
        <v>390</v>
      </c>
      <c r="H180" s="4">
        <f>SUMIFS(Tab_01.Jan[SALDO
ATUAL],Tab_01.Jan[CONTA],$F180)</f>
        <v>0</v>
      </c>
      <c r="I180" s="4">
        <f>SUMIFS(Tab_02.Fev[SALDO
ATUAL],Tab_02.Fev[CONTA],$F180)</f>
        <v>-12636.86</v>
      </c>
      <c r="J180" s="4">
        <f>SUMIFS(Tab_03.Mar[SALDO
ATUAL],Tab_03.Mar[CONTA],$F180)</f>
        <v>-33218.14</v>
      </c>
      <c r="K180" s="4">
        <f>SUMIFS(Tab_04.Abr[SALDO
ATUAL],Tab_04.Abr[CONTA],$F180)</f>
        <v>-33218.14</v>
      </c>
      <c r="L180" s="4">
        <f>SUMIFS(Tab_05.Mai[SALDO
ATUAL],Tab_05.Mai[CONTA],$F180)</f>
        <v>-45800.98</v>
      </c>
      <c r="M180" s="4">
        <f>SUMIFS(Tab_06.Jun[SALDO
ATUAL],Tab_06.Jun[CONTA],$F180)</f>
        <v>-45800.98</v>
      </c>
      <c r="N180" s="4">
        <f>SUMIFS(Tab_07.Jul[SALDO
ATUAL],Tab_07.Jul[CONTA],$F180)</f>
        <v>-52315.24</v>
      </c>
      <c r="O180" s="4">
        <f>SUMIFS(Tab_08.Ago[SALDO
ATUAL],Tab_08.Ago[CONTA],$F180)</f>
        <v>-58829.5</v>
      </c>
      <c r="P180" s="4">
        <f>SUMIFS(Tab_09.Set[SALDO
ATUAL],Tab_09.Set[CONTA],$F180)</f>
        <v>-71858.02</v>
      </c>
      <c r="Q180" s="4">
        <f>SUMIFS(Tab_10.Out[SALDO
ATUAL],Tab_10.Out[CONTA],$F180)</f>
        <v>-96875.26</v>
      </c>
      <c r="R180" s="4">
        <f>SUMIFS(Tab_11.Nov[SALDO
ATUAL],Tab_11.Nov[CONTA],$F180)</f>
        <v>-96875.26</v>
      </c>
      <c r="S180" s="4">
        <f>SUMIFS(Tab_12.Dez[SALDO
ATUAL],Tab_12.Dez[CONTA],$F180)</f>
        <v>-97098.1</v>
      </c>
    </row>
    <row r="181" spans="2:19" x14ac:dyDescent="0.3">
      <c r="B181" s="3"/>
      <c r="C181" s="2" t="str">
        <f t="shared" si="14"/>
        <v>R</v>
      </c>
      <c r="D181" s="2" t="str">
        <f t="shared" si="12"/>
        <v>S</v>
      </c>
      <c r="E181" s="2">
        <f t="shared" si="13"/>
        <v>2</v>
      </c>
      <c r="F181" s="3" t="s">
        <v>582</v>
      </c>
      <c r="G181" s="3" t="s">
        <v>688</v>
      </c>
      <c r="H181" s="4">
        <f>SUMIFS(Tab_01.Jan[SALDO
ATUAL],Tab_01.Jan[CONTA],$F181)</f>
        <v>-203029.53</v>
      </c>
      <c r="I181" s="4">
        <f>SUMIFS(Tab_02.Fev[SALDO
ATUAL],Tab_02.Fev[CONTA],$F181)</f>
        <v>-421630.45</v>
      </c>
      <c r="J181" s="4">
        <f>SUMIFS(Tab_03.Mar[SALDO
ATUAL],Tab_03.Mar[CONTA],$F181)</f>
        <v>-728285.16</v>
      </c>
      <c r="K181" s="4">
        <f>SUMIFS(Tab_04.Abr[SALDO
ATUAL],Tab_04.Abr[CONTA],$F181)</f>
        <v>-703557.92</v>
      </c>
      <c r="L181" s="4">
        <f>SUMIFS(Tab_05.Mai[SALDO
ATUAL],Tab_05.Mai[CONTA],$F181)</f>
        <v>-1029792.96</v>
      </c>
      <c r="M181" s="4">
        <f>SUMIFS(Tab_06.Jun[SALDO
ATUAL],Tab_06.Jun[CONTA],$F181)</f>
        <v>-1232949.8999999999</v>
      </c>
      <c r="N181" s="4">
        <f>SUMIFS(Tab_07.Jul[SALDO
ATUAL],Tab_07.Jul[CONTA],$F181)</f>
        <v>-1668493.84</v>
      </c>
      <c r="O181" s="4">
        <f>SUMIFS(Tab_08.Ago[SALDO
ATUAL],Tab_08.Ago[CONTA],$F181)</f>
        <v>-2046455.27</v>
      </c>
      <c r="P181" s="4">
        <f>SUMIFS(Tab_09.Set[SALDO
ATUAL],Tab_09.Set[CONTA],$F181)</f>
        <v>-2201301.2200000002</v>
      </c>
      <c r="Q181" s="4">
        <f>SUMIFS(Tab_10.Out[SALDO
ATUAL],Tab_10.Out[CONTA],$F181)</f>
        <v>-2414927.98</v>
      </c>
      <c r="R181" s="4">
        <f>SUMIFS(Tab_11.Nov[SALDO
ATUAL],Tab_11.Nov[CONTA],$F181)</f>
        <v>-2748291.79</v>
      </c>
      <c r="S181" s="4">
        <f>SUMIFS(Tab_12.Dez[SALDO
ATUAL],Tab_12.Dez[CONTA],$F181)</f>
        <v>-2654904.5299999998</v>
      </c>
    </row>
    <row r="182" spans="2:19" x14ac:dyDescent="0.3">
      <c r="B182" s="3"/>
      <c r="C182" s="2" t="str">
        <f t="shared" si="14"/>
        <v>R</v>
      </c>
      <c r="D182" s="2" t="str">
        <f t="shared" si="12"/>
        <v>S</v>
      </c>
      <c r="E182" s="2">
        <f t="shared" si="13"/>
        <v>5</v>
      </c>
      <c r="F182" s="3" t="s">
        <v>583</v>
      </c>
      <c r="G182" s="3" t="s">
        <v>689</v>
      </c>
      <c r="H182" s="4">
        <f>SUMIFS(Tab_01.Jan[SALDO
ATUAL],Tab_01.Jan[CONTA],$F182)</f>
        <v>-0.05</v>
      </c>
      <c r="I182" s="4">
        <f>SUMIFS(Tab_02.Fev[SALDO
ATUAL],Tab_02.Fev[CONTA],$F182)</f>
        <v>-73.27</v>
      </c>
      <c r="J182" s="4">
        <f>SUMIFS(Tab_03.Mar[SALDO
ATUAL],Tab_03.Mar[CONTA],$F182)</f>
        <v>-73.3</v>
      </c>
      <c r="K182" s="4">
        <f>SUMIFS(Tab_04.Abr[SALDO
ATUAL],Tab_04.Abr[CONTA],$F182)</f>
        <v>-73.349999999999994</v>
      </c>
      <c r="L182" s="4">
        <f>SUMIFS(Tab_05.Mai[SALDO
ATUAL],Tab_05.Mai[CONTA],$F182)</f>
        <v>-73.42</v>
      </c>
      <c r="M182" s="4">
        <f>SUMIFS(Tab_06.Jun[SALDO
ATUAL],Tab_06.Jun[CONTA],$F182)</f>
        <v>-73.430000000000007</v>
      </c>
      <c r="N182" s="4">
        <f>SUMIFS(Tab_07.Jul[SALDO
ATUAL],Tab_07.Jul[CONTA],$F182)</f>
        <v>-73.459999999999994</v>
      </c>
      <c r="O182" s="4">
        <f>SUMIFS(Tab_08.Ago[SALDO
ATUAL],Tab_08.Ago[CONTA],$F182)</f>
        <v>-373.52</v>
      </c>
      <c r="P182" s="4">
        <f>SUMIFS(Tab_09.Set[SALDO
ATUAL],Tab_09.Set[CONTA],$F182)</f>
        <v>-673.54</v>
      </c>
      <c r="Q182" s="4">
        <f>SUMIFS(Tab_10.Out[SALDO
ATUAL],Tab_10.Out[CONTA],$F182)</f>
        <v>-673.54</v>
      </c>
      <c r="R182" s="4">
        <f>SUMIFS(Tab_11.Nov[SALDO
ATUAL],Tab_11.Nov[CONTA],$F182)</f>
        <v>-2008.76</v>
      </c>
      <c r="S182" s="4">
        <f>SUMIFS(Tab_12.Dez[SALDO
ATUAL],Tab_12.Dez[CONTA],$F182)</f>
        <v>-2008.77</v>
      </c>
    </row>
    <row r="183" spans="2:19" x14ac:dyDescent="0.3">
      <c r="B183" s="3"/>
      <c r="C183" s="2" t="str">
        <f t="shared" si="14"/>
        <v>R</v>
      </c>
      <c r="D183" s="2" t="str">
        <f t="shared" si="12"/>
        <v>S</v>
      </c>
      <c r="E183" s="2">
        <f t="shared" si="13"/>
        <v>5</v>
      </c>
      <c r="F183" s="3" t="s">
        <v>584</v>
      </c>
      <c r="G183" s="3" t="s">
        <v>689</v>
      </c>
      <c r="H183" s="4">
        <f>SUMIFS(Tab_01.Jan[SALDO
ATUAL],Tab_01.Jan[CONTA],$F183)</f>
        <v>-0.05</v>
      </c>
      <c r="I183" s="4">
        <f>SUMIFS(Tab_02.Fev[SALDO
ATUAL],Tab_02.Fev[CONTA],$F183)</f>
        <v>-73.27</v>
      </c>
      <c r="J183" s="4">
        <f>SUMIFS(Tab_03.Mar[SALDO
ATUAL],Tab_03.Mar[CONTA],$F183)</f>
        <v>-73.3</v>
      </c>
      <c r="K183" s="4">
        <f>SUMIFS(Tab_04.Abr[SALDO
ATUAL],Tab_04.Abr[CONTA],$F183)</f>
        <v>-73.349999999999994</v>
      </c>
      <c r="L183" s="4">
        <f>SUMIFS(Tab_05.Mai[SALDO
ATUAL],Tab_05.Mai[CONTA],$F183)</f>
        <v>-73.42</v>
      </c>
      <c r="M183" s="4">
        <f>SUMIFS(Tab_06.Jun[SALDO
ATUAL],Tab_06.Jun[CONTA],$F183)</f>
        <v>-73.430000000000007</v>
      </c>
      <c r="N183" s="4">
        <f>SUMIFS(Tab_07.Jul[SALDO
ATUAL],Tab_07.Jul[CONTA],$F183)</f>
        <v>-73.459999999999994</v>
      </c>
      <c r="O183" s="4">
        <f>SUMIFS(Tab_08.Ago[SALDO
ATUAL],Tab_08.Ago[CONTA],$F183)</f>
        <v>-373.52</v>
      </c>
      <c r="P183" s="4">
        <f>SUMIFS(Tab_09.Set[SALDO
ATUAL],Tab_09.Set[CONTA],$F183)</f>
        <v>-673.54</v>
      </c>
      <c r="Q183" s="4">
        <f>SUMIFS(Tab_10.Out[SALDO
ATUAL],Tab_10.Out[CONTA],$F183)</f>
        <v>-673.54</v>
      </c>
      <c r="R183" s="4">
        <f>SUMIFS(Tab_11.Nov[SALDO
ATUAL],Tab_11.Nov[CONTA],$F183)</f>
        <v>-2008.76</v>
      </c>
      <c r="S183" s="4">
        <f>SUMIFS(Tab_12.Dez[SALDO
ATUAL],Tab_12.Dez[CONTA],$F183)</f>
        <v>-2008.77</v>
      </c>
    </row>
    <row r="184" spans="2:19" x14ac:dyDescent="0.3">
      <c r="B184" s="3" t="s">
        <v>71</v>
      </c>
      <c r="C184" s="2" t="str">
        <f t="shared" si="14"/>
        <v>R</v>
      </c>
      <c r="D184" s="2" t="str">
        <f t="shared" si="12"/>
        <v>A</v>
      </c>
      <c r="E184" s="2">
        <f t="shared" si="13"/>
        <v>5</v>
      </c>
      <c r="F184" s="3" t="s">
        <v>391</v>
      </c>
      <c r="G184" s="3" t="s">
        <v>392</v>
      </c>
      <c r="H184" s="4">
        <f>SUMIFS(Tab_01.Jan[SALDO
ATUAL],Tab_01.Jan[CONTA],$F184)</f>
        <v>-0.05</v>
      </c>
      <c r="I184" s="4">
        <f>SUMIFS(Tab_02.Fev[SALDO
ATUAL],Tab_02.Fev[CONTA],$F184)</f>
        <v>-73.27</v>
      </c>
      <c r="J184" s="4">
        <f>SUMIFS(Tab_03.Mar[SALDO
ATUAL],Tab_03.Mar[CONTA],$F184)</f>
        <v>-73.3</v>
      </c>
      <c r="K184" s="4">
        <f>SUMIFS(Tab_04.Abr[SALDO
ATUAL],Tab_04.Abr[CONTA],$F184)</f>
        <v>-73.349999999999994</v>
      </c>
      <c r="L184" s="4">
        <f>SUMIFS(Tab_05.Mai[SALDO
ATUAL],Tab_05.Mai[CONTA],$F184)</f>
        <v>-73.42</v>
      </c>
      <c r="M184" s="4">
        <f>SUMIFS(Tab_06.Jun[SALDO
ATUAL],Tab_06.Jun[CONTA],$F184)</f>
        <v>-73.430000000000007</v>
      </c>
      <c r="N184" s="4">
        <f>SUMIFS(Tab_07.Jul[SALDO
ATUAL],Tab_07.Jul[CONTA],$F184)</f>
        <v>-73.459999999999994</v>
      </c>
      <c r="O184" s="4">
        <f>SUMIFS(Tab_08.Ago[SALDO
ATUAL],Tab_08.Ago[CONTA],$F184)</f>
        <v>-373.52</v>
      </c>
      <c r="P184" s="4">
        <f>SUMIFS(Tab_09.Set[SALDO
ATUAL],Tab_09.Set[CONTA],$F184)</f>
        <v>-673.54</v>
      </c>
      <c r="Q184" s="4">
        <f>SUMIFS(Tab_10.Out[SALDO
ATUAL],Tab_10.Out[CONTA],$F184)</f>
        <v>-673.54</v>
      </c>
      <c r="R184" s="4">
        <f>SUMIFS(Tab_11.Nov[SALDO
ATUAL],Tab_11.Nov[CONTA],$F184)</f>
        <v>-2008.76</v>
      </c>
      <c r="S184" s="4">
        <f>SUMIFS(Tab_12.Dez[SALDO
ATUAL],Tab_12.Dez[CONTA],$F184)</f>
        <v>-2008.77</v>
      </c>
    </row>
    <row r="185" spans="2:19" x14ac:dyDescent="0.3">
      <c r="B185" s="3"/>
      <c r="C185" s="2" t="str">
        <f t="shared" si="14"/>
        <v>R</v>
      </c>
      <c r="D185" s="2" t="str">
        <f t="shared" si="12"/>
        <v>S</v>
      </c>
      <c r="E185" s="2">
        <f t="shared" si="13"/>
        <v>5</v>
      </c>
      <c r="F185" s="3" t="s">
        <v>585</v>
      </c>
      <c r="G185" s="3" t="s">
        <v>690</v>
      </c>
      <c r="H185" s="4">
        <f>SUMIFS(Tab_01.Jan[SALDO
ATUAL],Tab_01.Jan[CONTA],$F185)</f>
        <v>-203029.48</v>
      </c>
      <c r="I185" s="4">
        <f>SUMIFS(Tab_02.Fev[SALDO
ATUAL],Tab_02.Fev[CONTA],$F185)</f>
        <v>-421557.18</v>
      </c>
      <c r="J185" s="4">
        <f>SUMIFS(Tab_03.Mar[SALDO
ATUAL],Tab_03.Mar[CONTA],$F185)</f>
        <v>-728211.86</v>
      </c>
      <c r="K185" s="4">
        <f>SUMIFS(Tab_04.Abr[SALDO
ATUAL],Tab_04.Abr[CONTA],$F185)</f>
        <v>-703484.57</v>
      </c>
      <c r="L185" s="4">
        <f>SUMIFS(Tab_05.Mai[SALDO
ATUAL],Tab_05.Mai[CONTA],$F185)</f>
        <v>-1029719.54</v>
      </c>
      <c r="M185" s="4">
        <f>SUMIFS(Tab_06.Jun[SALDO
ATUAL],Tab_06.Jun[CONTA],$F185)</f>
        <v>-1232876.47</v>
      </c>
      <c r="N185" s="4">
        <f>SUMIFS(Tab_07.Jul[SALDO
ATUAL],Tab_07.Jul[CONTA],$F185)</f>
        <v>-1668420.38</v>
      </c>
      <c r="O185" s="4">
        <f>SUMIFS(Tab_08.Ago[SALDO
ATUAL],Tab_08.Ago[CONTA],$F185)</f>
        <v>-2046081.75</v>
      </c>
      <c r="P185" s="4">
        <f>SUMIFS(Tab_09.Set[SALDO
ATUAL],Tab_09.Set[CONTA],$F185)</f>
        <v>-2200627.6800000002</v>
      </c>
      <c r="Q185" s="4">
        <f>SUMIFS(Tab_10.Out[SALDO
ATUAL],Tab_10.Out[CONTA],$F185)</f>
        <v>-2414254.44</v>
      </c>
      <c r="R185" s="4">
        <f>SUMIFS(Tab_11.Nov[SALDO
ATUAL],Tab_11.Nov[CONTA],$F185)</f>
        <v>-2746283.03</v>
      </c>
      <c r="S185" s="4">
        <f>SUMIFS(Tab_12.Dez[SALDO
ATUAL],Tab_12.Dez[CONTA],$F185)</f>
        <v>-2652895.7599999998</v>
      </c>
    </row>
    <row r="186" spans="2:19" x14ac:dyDescent="0.3">
      <c r="B186" s="3"/>
      <c r="C186" s="2" t="str">
        <f t="shared" si="14"/>
        <v>R</v>
      </c>
      <c r="D186" s="2" t="str">
        <f t="shared" si="12"/>
        <v>S</v>
      </c>
      <c r="E186" s="2">
        <f t="shared" si="13"/>
        <v>5</v>
      </c>
      <c r="F186" s="3" t="s">
        <v>586</v>
      </c>
      <c r="G186" s="3" t="s">
        <v>394</v>
      </c>
      <c r="H186" s="4">
        <f>SUMIFS(Tab_01.Jan[SALDO
ATUAL],Tab_01.Jan[CONTA],$F186)</f>
        <v>-203029.48</v>
      </c>
      <c r="I186" s="4">
        <f>SUMIFS(Tab_02.Fev[SALDO
ATUAL],Tab_02.Fev[CONTA],$F186)</f>
        <v>-421557.18</v>
      </c>
      <c r="J186" s="4">
        <f>SUMIFS(Tab_03.Mar[SALDO
ATUAL],Tab_03.Mar[CONTA],$F186)</f>
        <v>-728211.86</v>
      </c>
      <c r="K186" s="4">
        <f>SUMIFS(Tab_04.Abr[SALDO
ATUAL],Tab_04.Abr[CONTA],$F186)</f>
        <v>-703484.57</v>
      </c>
      <c r="L186" s="4">
        <f>SUMIFS(Tab_05.Mai[SALDO
ATUAL],Tab_05.Mai[CONTA],$F186)</f>
        <v>-1029719.54</v>
      </c>
      <c r="M186" s="4">
        <f>SUMIFS(Tab_06.Jun[SALDO
ATUAL],Tab_06.Jun[CONTA],$F186)</f>
        <v>-1232876.47</v>
      </c>
      <c r="N186" s="4">
        <f>SUMIFS(Tab_07.Jul[SALDO
ATUAL],Tab_07.Jul[CONTA],$F186)</f>
        <v>-1668420.38</v>
      </c>
      <c r="O186" s="4">
        <f>SUMIFS(Tab_08.Ago[SALDO
ATUAL],Tab_08.Ago[CONTA],$F186)</f>
        <v>-2046081.75</v>
      </c>
      <c r="P186" s="4">
        <f>SUMIFS(Tab_09.Set[SALDO
ATUAL],Tab_09.Set[CONTA],$F186)</f>
        <v>-2200627.6800000002</v>
      </c>
      <c r="Q186" s="4">
        <f>SUMIFS(Tab_10.Out[SALDO
ATUAL],Tab_10.Out[CONTA],$F186)</f>
        <v>-2414254.44</v>
      </c>
      <c r="R186" s="4">
        <f>SUMIFS(Tab_11.Nov[SALDO
ATUAL],Tab_11.Nov[CONTA],$F186)</f>
        <v>-2746283.03</v>
      </c>
      <c r="S186" s="4">
        <f>SUMIFS(Tab_12.Dez[SALDO
ATUAL],Tab_12.Dez[CONTA],$F186)</f>
        <v>-2652895.7599999998</v>
      </c>
    </row>
    <row r="187" spans="2:19" x14ac:dyDescent="0.3">
      <c r="B187" s="3" t="s">
        <v>71</v>
      </c>
      <c r="C187" s="2" t="str">
        <f t="shared" si="14"/>
        <v>R</v>
      </c>
      <c r="D187" s="2" t="str">
        <f t="shared" si="12"/>
        <v>A</v>
      </c>
      <c r="E187" s="2">
        <f t="shared" si="13"/>
        <v>5</v>
      </c>
      <c r="F187" s="3" t="s">
        <v>393</v>
      </c>
      <c r="G187" s="3" t="s">
        <v>394</v>
      </c>
      <c r="H187" s="4">
        <f>SUMIFS(Tab_01.Jan[SALDO
ATUAL],Tab_01.Jan[CONTA],$F187)</f>
        <v>-203029.48</v>
      </c>
      <c r="I187" s="4">
        <f>SUMIFS(Tab_02.Fev[SALDO
ATUAL],Tab_02.Fev[CONTA],$F187)</f>
        <v>-421557.18</v>
      </c>
      <c r="J187" s="4">
        <f>SUMIFS(Tab_03.Mar[SALDO
ATUAL],Tab_03.Mar[CONTA],$F187)</f>
        <v>-728211.86</v>
      </c>
      <c r="K187" s="4">
        <f>SUMIFS(Tab_04.Abr[SALDO
ATUAL],Tab_04.Abr[CONTA],$F187)</f>
        <v>-703484.57</v>
      </c>
      <c r="L187" s="4">
        <f>SUMIFS(Tab_05.Mai[SALDO
ATUAL],Tab_05.Mai[CONTA],$F187)</f>
        <v>-1029719.54</v>
      </c>
      <c r="M187" s="4">
        <f>SUMIFS(Tab_06.Jun[SALDO
ATUAL],Tab_06.Jun[CONTA],$F187)</f>
        <v>-1232876.47</v>
      </c>
      <c r="N187" s="4">
        <f>SUMIFS(Tab_07.Jul[SALDO
ATUAL],Tab_07.Jul[CONTA],$F187)</f>
        <v>-1668420.38</v>
      </c>
      <c r="O187" s="4">
        <f>SUMIFS(Tab_08.Ago[SALDO
ATUAL],Tab_08.Ago[CONTA],$F187)</f>
        <v>-2046081.75</v>
      </c>
      <c r="P187" s="4">
        <f>SUMIFS(Tab_09.Set[SALDO
ATUAL],Tab_09.Set[CONTA],$F187)</f>
        <v>-2200627.6800000002</v>
      </c>
      <c r="Q187" s="4">
        <f>SUMIFS(Tab_10.Out[SALDO
ATUAL],Tab_10.Out[CONTA],$F187)</f>
        <v>-2414254.44</v>
      </c>
      <c r="R187" s="4">
        <f>SUMIFS(Tab_11.Nov[SALDO
ATUAL],Tab_11.Nov[CONTA],$F187)</f>
        <v>-2746283.03</v>
      </c>
      <c r="S187" s="4">
        <f>SUMIFS(Tab_12.Dez[SALDO
ATUAL],Tab_12.Dez[CONTA],$F187)</f>
        <v>-2652895.7599999998</v>
      </c>
    </row>
    <row r="188" spans="2:19" x14ac:dyDescent="0.3">
      <c r="B188" s="3"/>
      <c r="C188" s="2" t="str">
        <f t="shared" si="14"/>
        <v>R</v>
      </c>
      <c r="D188" s="2" t="str">
        <f t="shared" ref="D188:D270" si="15">IF($F188="","",IF(LEN($F188)=13,"A","S"))</f>
        <v>S</v>
      </c>
      <c r="E188" s="2">
        <f t="shared" ref="E188:E270" si="16">IF($F188="","",IF(LEN($F188)=1,1,IF(LEN($F188)=3,2,IF(LEN($F188)=5,3,IF(LEN($F188)=8,4,5)))))</f>
        <v>2</v>
      </c>
      <c r="F188" s="3" t="s">
        <v>587</v>
      </c>
      <c r="G188" s="3" t="s">
        <v>691</v>
      </c>
      <c r="H188" s="4">
        <f>SUMIFS(Tab_01.Jan[SALDO
ATUAL],Tab_01.Jan[CONTA],$F188)</f>
        <v>-50</v>
      </c>
      <c r="I188" s="4">
        <f>SUMIFS(Tab_02.Fev[SALDO
ATUAL],Tab_02.Fev[CONTA],$F188)</f>
        <v>-700</v>
      </c>
      <c r="J188" s="4">
        <f>SUMIFS(Tab_03.Mar[SALDO
ATUAL],Tab_03.Mar[CONTA],$F188)</f>
        <v>-2700</v>
      </c>
      <c r="K188" s="4">
        <f>SUMIFS(Tab_04.Abr[SALDO
ATUAL],Tab_04.Abr[CONTA],$F188)</f>
        <v>-5000</v>
      </c>
      <c r="L188" s="4">
        <f>SUMIFS(Tab_05.Mai[SALDO
ATUAL],Tab_05.Mai[CONTA],$F188)</f>
        <v>-5500</v>
      </c>
      <c r="M188" s="4">
        <f>SUMIFS(Tab_06.Jun[SALDO
ATUAL],Tab_06.Jun[CONTA],$F188)</f>
        <v>-6200</v>
      </c>
      <c r="N188" s="4">
        <f>SUMIFS(Tab_07.Jul[SALDO
ATUAL],Tab_07.Jul[CONTA],$F188)</f>
        <v>-7450</v>
      </c>
      <c r="O188" s="4">
        <f>SUMIFS(Tab_08.Ago[SALDO
ATUAL],Tab_08.Ago[CONTA],$F188)</f>
        <v>-7450</v>
      </c>
      <c r="P188" s="4">
        <f>SUMIFS(Tab_09.Set[SALDO
ATUAL],Tab_09.Set[CONTA],$F188)</f>
        <v>-7450</v>
      </c>
      <c r="Q188" s="4">
        <f>SUMIFS(Tab_10.Out[SALDO
ATUAL],Tab_10.Out[CONTA],$F188)</f>
        <v>-7450</v>
      </c>
      <c r="R188" s="4">
        <f>SUMIFS(Tab_11.Nov[SALDO
ATUAL],Tab_11.Nov[CONTA],$F188)</f>
        <v>-7450</v>
      </c>
      <c r="S188" s="4">
        <f>SUMIFS(Tab_12.Dez[SALDO
ATUAL],Tab_12.Dez[CONTA],$F188)</f>
        <v>-7450</v>
      </c>
    </row>
    <row r="189" spans="2:19" x14ac:dyDescent="0.3">
      <c r="B189" s="3"/>
      <c r="C189" s="2" t="str">
        <f t="shared" si="14"/>
        <v>R</v>
      </c>
      <c r="D189" s="2" t="str">
        <f t="shared" si="15"/>
        <v>S</v>
      </c>
      <c r="E189" s="2">
        <f t="shared" si="16"/>
        <v>5</v>
      </c>
      <c r="F189" s="3" t="s">
        <v>588</v>
      </c>
      <c r="G189" s="3" t="s">
        <v>692</v>
      </c>
      <c r="H189" s="4">
        <f>SUMIFS(Tab_01.Jan[SALDO
ATUAL],Tab_01.Jan[CONTA],$F189)</f>
        <v>-50</v>
      </c>
      <c r="I189" s="4">
        <f>SUMIFS(Tab_02.Fev[SALDO
ATUAL],Tab_02.Fev[CONTA],$F189)</f>
        <v>-700</v>
      </c>
      <c r="J189" s="4">
        <f>SUMIFS(Tab_03.Mar[SALDO
ATUAL],Tab_03.Mar[CONTA],$F189)</f>
        <v>-2700</v>
      </c>
      <c r="K189" s="4">
        <f>SUMIFS(Tab_04.Abr[SALDO
ATUAL],Tab_04.Abr[CONTA],$F189)</f>
        <v>-5000</v>
      </c>
      <c r="L189" s="4">
        <f>SUMIFS(Tab_05.Mai[SALDO
ATUAL],Tab_05.Mai[CONTA],$F189)</f>
        <v>-5500</v>
      </c>
      <c r="M189" s="4">
        <f>SUMIFS(Tab_06.Jun[SALDO
ATUAL],Tab_06.Jun[CONTA],$F189)</f>
        <v>-6200</v>
      </c>
      <c r="N189" s="4">
        <f>SUMIFS(Tab_07.Jul[SALDO
ATUAL],Tab_07.Jul[CONTA],$F189)</f>
        <v>-7450</v>
      </c>
      <c r="O189" s="4">
        <f>SUMIFS(Tab_08.Ago[SALDO
ATUAL],Tab_08.Ago[CONTA],$F189)</f>
        <v>-7450</v>
      </c>
      <c r="P189" s="4">
        <f>SUMIFS(Tab_09.Set[SALDO
ATUAL],Tab_09.Set[CONTA],$F189)</f>
        <v>-7450</v>
      </c>
      <c r="Q189" s="4">
        <f>SUMIFS(Tab_10.Out[SALDO
ATUAL],Tab_10.Out[CONTA],$F189)</f>
        <v>-7450</v>
      </c>
      <c r="R189" s="4">
        <f>SUMIFS(Tab_11.Nov[SALDO
ATUAL],Tab_11.Nov[CONTA],$F189)</f>
        <v>-7450</v>
      </c>
      <c r="S189" s="4">
        <f>SUMIFS(Tab_12.Dez[SALDO
ATUAL],Tab_12.Dez[CONTA],$F189)</f>
        <v>-7450</v>
      </c>
    </row>
    <row r="190" spans="2:19" x14ac:dyDescent="0.3">
      <c r="B190" s="3"/>
      <c r="C190" s="2" t="str">
        <f t="shared" si="14"/>
        <v>R</v>
      </c>
      <c r="D190" s="2" t="str">
        <f>IF($F190="","",IF(LEN($F190)=13,"A","S"))</f>
        <v>S</v>
      </c>
      <c r="E190" s="2">
        <f>IF($F190="","",IF(LEN($F190)=1,1,IF(LEN($F190)=3,2,IF(LEN($F190)=5,3,IF(LEN($F190)=8,4,5)))))</f>
        <v>5</v>
      </c>
      <c r="F190" s="3" t="s">
        <v>589</v>
      </c>
      <c r="G190" s="3" t="s">
        <v>692</v>
      </c>
      <c r="H190" s="4">
        <f>SUMIFS(Tab_01.Jan[SALDO
ATUAL],Tab_01.Jan[CONTA],$F190)</f>
        <v>-50</v>
      </c>
      <c r="I190" s="4">
        <f>SUMIFS(Tab_02.Fev[SALDO
ATUAL],Tab_02.Fev[CONTA],$F190)</f>
        <v>-700</v>
      </c>
      <c r="J190" s="4">
        <f>SUMIFS(Tab_03.Mar[SALDO
ATUAL],Tab_03.Mar[CONTA],$F190)</f>
        <v>-2700</v>
      </c>
      <c r="K190" s="4">
        <f>SUMIFS(Tab_04.Abr[SALDO
ATUAL],Tab_04.Abr[CONTA],$F190)</f>
        <v>-5000</v>
      </c>
      <c r="L190" s="4">
        <f>SUMIFS(Tab_05.Mai[SALDO
ATUAL],Tab_05.Mai[CONTA],$F190)</f>
        <v>-5500</v>
      </c>
      <c r="M190" s="4">
        <f>SUMIFS(Tab_06.Jun[SALDO
ATUAL],Tab_06.Jun[CONTA],$F190)</f>
        <v>-6200</v>
      </c>
      <c r="N190" s="4">
        <f>SUMIFS(Tab_07.Jul[SALDO
ATUAL],Tab_07.Jul[CONTA],$F190)</f>
        <v>-7450</v>
      </c>
      <c r="O190" s="4">
        <f>SUMIFS(Tab_08.Ago[SALDO
ATUAL],Tab_08.Ago[CONTA],$F190)</f>
        <v>-7450</v>
      </c>
      <c r="P190" s="4">
        <f>SUMIFS(Tab_09.Set[SALDO
ATUAL],Tab_09.Set[CONTA],$F190)</f>
        <v>-7450</v>
      </c>
      <c r="Q190" s="4">
        <f>SUMIFS(Tab_10.Out[SALDO
ATUAL],Tab_10.Out[CONTA],$F190)</f>
        <v>-7450</v>
      </c>
      <c r="R190" s="4">
        <f>SUMIFS(Tab_11.Nov[SALDO
ATUAL],Tab_11.Nov[CONTA],$F190)</f>
        <v>-7450</v>
      </c>
      <c r="S190" s="4">
        <f>SUMIFS(Tab_12.Dez[SALDO
ATUAL],Tab_12.Dez[CONTA],$F190)</f>
        <v>-7450</v>
      </c>
    </row>
    <row r="191" spans="2:19" x14ac:dyDescent="0.3">
      <c r="B191" s="3" t="s">
        <v>101</v>
      </c>
      <c r="C191" s="2" t="str">
        <f t="shared" si="14"/>
        <v>R</v>
      </c>
      <c r="D191" s="2" t="str">
        <f t="shared" si="15"/>
        <v>A</v>
      </c>
      <c r="E191" s="2">
        <f t="shared" si="16"/>
        <v>5</v>
      </c>
      <c r="F191" s="3" t="s">
        <v>395</v>
      </c>
      <c r="G191" s="3" t="s">
        <v>396</v>
      </c>
      <c r="H191" s="4">
        <f>SUMIFS(Tab_01.Jan[SALDO
ATUAL],Tab_01.Jan[CONTA],$F191)</f>
        <v>-50</v>
      </c>
      <c r="I191" s="4">
        <f>SUMIFS(Tab_02.Fev[SALDO
ATUAL],Tab_02.Fev[CONTA],$F191)</f>
        <v>-700</v>
      </c>
      <c r="J191" s="4">
        <f>SUMIFS(Tab_03.Mar[SALDO
ATUAL],Tab_03.Mar[CONTA],$F191)</f>
        <v>-2700</v>
      </c>
      <c r="K191" s="4">
        <f>SUMIFS(Tab_04.Abr[SALDO
ATUAL],Tab_04.Abr[CONTA],$F191)</f>
        <v>-5000</v>
      </c>
      <c r="L191" s="4">
        <f>SUMIFS(Tab_05.Mai[SALDO
ATUAL],Tab_05.Mai[CONTA],$F191)</f>
        <v>-5500</v>
      </c>
      <c r="M191" s="4">
        <f>SUMIFS(Tab_06.Jun[SALDO
ATUAL],Tab_06.Jun[CONTA],$F191)</f>
        <v>-6200</v>
      </c>
      <c r="N191" s="4">
        <f>SUMIFS(Tab_07.Jul[SALDO
ATUAL],Tab_07.Jul[CONTA],$F191)</f>
        <v>-7450</v>
      </c>
      <c r="O191" s="4">
        <f>SUMIFS(Tab_08.Ago[SALDO
ATUAL],Tab_08.Ago[CONTA],$F191)</f>
        <v>-7450</v>
      </c>
      <c r="P191" s="4">
        <f>SUMIFS(Tab_09.Set[SALDO
ATUAL],Tab_09.Set[CONTA],$F191)</f>
        <v>-7450</v>
      </c>
      <c r="Q191" s="4">
        <f>SUMIFS(Tab_10.Out[SALDO
ATUAL],Tab_10.Out[CONTA],$F191)</f>
        <v>-7450</v>
      </c>
      <c r="R191" s="4">
        <f>SUMIFS(Tab_11.Nov[SALDO
ATUAL],Tab_11.Nov[CONTA],$F191)</f>
        <v>-7450</v>
      </c>
      <c r="S191" s="4">
        <f>SUMIFS(Tab_12.Dez[SALDO
ATUAL],Tab_12.Dez[CONTA],$F191)</f>
        <v>-7450</v>
      </c>
    </row>
    <row r="192" spans="2:19" x14ac:dyDescent="0.3">
      <c r="B192" s="3"/>
      <c r="C192" s="2" t="str">
        <f t="shared" si="14"/>
        <v>C</v>
      </c>
      <c r="D192" s="2" t="str">
        <f t="shared" si="15"/>
        <v>S</v>
      </c>
      <c r="E192" s="2">
        <f t="shared" si="16"/>
        <v>1</v>
      </c>
      <c r="F192" s="3">
        <v>4</v>
      </c>
      <c r="G192" s="3" t="s">
        <v>693</v>
      </c>
      <c r="H192" s="4">
        <f>SUMIFS(Tab_01.Jan[SALDO
ATUAL],Tab_01.Jan[CONTA],$F192)</f>
        <v>994864.81</v>
      </c>
      <c r="I192" s="4">
        <f>SUMIFS(Tab_02.Fev[SALDO
ATUAL],Tab_02.Fev[CONTA],$F192)</f>
        <v>2157355.71</v>
      </c>
      <c r="J192" s="4">
        <f>SUMIFS(Tab_03.Mar[SALDO
ATUAL],Tab_03.Mar[CONTA],$F192)</f>
        <v>2749467.78</v>
      </c>
      <c r="K192" s="4">
        <f>SUMIFS(Tab_04.Abr[SALDO
ATUAL],Tab_04.Abr[CONTA],$F192)</f>
        <v>3599218.53</v>
      </c>
      <c r="L192" s="4">
        <f>SUMIFS(Tab_05.Mai[SALDO
ATUAL],Tab_05.Mai[CONTA],$F192)</f>
        <v>4461032.7300000004</v>
      </c>
      <c r="M192" s="4">
        <f>SUMIFS(Tab_06.Jun[SALDO
ATUAL],Tab_06.Jun[CONTA],$F192)</f>
        <v>5012429.41</v>
      </c>
      <c r="N192" s="4">
        <f>SUMIFS(Tab_07.Jul[SALDO
ATUAL],Tab_07.Jul[CONTA],$F192)</f>
        <v>5856061.6699999999</v>
      </c>
      <c r="O192" s="4">
        <f>SUMIFS(Tab_08.Ago[SALDO
ATUAL],Tab_08.Ago[CONTA],$F192)</f>
        <v>6672907.0700000003</v>
      </c>
      <c r="P192" s="4">
        <f>SUMIFS(Tab_09.Set[SALDO
ATUAL],Tab_09.Set[CONTA],$F192)</f>
        <v>7419925.2599999998</v>
      </c>
      <c r="Q192" s="4">
        <f>SUMIFS(Tab_10.Out[SALDO
ATUAL],Tab_10.Out[CONTA],$F192)</f>
        <v>8379406</v>
      </c>
      <c r="R192" s="4">
        <f>SUMIFS(Tab_11.Nov[SALDO
ATUAL],Tab_11.Nov[CONTA],$F192)</f>
        <v>8854916.7899999991</v>
      </c>
      <c r="S192" s="4">
        <f>SUMIFS(Tab_12.Dez[SALDO
ATUAL],Tab_12.Dez[CONTA],$F192)</f>
        <v>10476976.18</v>
      </c>
    </row>
    <row r="193" spans="2:19" x14ac:dyDescent="0.3">
      <c r="B193" s="3"/>
      <c r="C193" s="2" t="str">
        <f t="shared" si="14"/>
        <v>C</v>
      </c>
      <c r="D193" s="2" t="str">
        <f t="shared" si="15"/>
        <v>S</v>
      </c>
      <c r="E193" s="2">
        <f t="shared" si="16"/>
        <v>2</v>
      </c>
      <c r="F193" s="3" t="s">
        <v>234</v>
      </c>
      <c r="G193" s="3" t="s">
        <v>694</v>
      </c>
      <c r="H193" s="4">
        <f>SUMIFS(Tab_01.Jan[SALDO
ATUAL],Tab_01.Jan[CONTA],$F193)</f>
        <v>994864.81</v>
      </c>
      <c r="I193" s="4">
        <f>SUMIFS(Tab_02.Fev[SALDO
ATUAL],Tab_02.Fev[CONTA],$F193)</f>
        <v>2157355.71</v>
      </c>
      <c r="J193" s="4">
        <f>SUMIFS(Tab_03.Mar[SALDO
ATUAL],Tab_03.Mar[CONTA],$F193)</f>
        <v>2749467.78</v>
      </c>
      <c r="K193" s="4">
        <f>SUMIFS(Tab_04.Abr[SALDO
ATUAL],Tab_04.Abr[CONTA],$F193)</f>
        <v>3599218.53</v>
      </c>
      <c r="L193" s="4">
        <f>SUMIFS(Tab_05.Mai[SALDO
ATUAL],Tab_05.Mai[CONTA],$F193)</f>
        <v>4461032.7300000004</v>
      </c>
      <c r="M193" s="4">
        <f>SUMIFS(Tab_06.Jun[SALDO
ATUAL],Tab_06.Jun[CONTA],$F193)</f>
        <v>5012429.41</v>
      </c>
      <c r="N193" s="4">
        <f>SUMIFS(Tab_07.Jul[SALDO
ATUAL],Tab_07.Jul[CONTA],$F193)</f>
        <v>5856045.5</v>
      </c>
      <c r="O193" s="4">
        <f>SUMIFS(Tab_08.Ago[SALDO
ATUAL],Tab_08.Ago[CONTA],$F193)</f>
        <v>6672890.9000000004</v>
      </c>
      <c r="P193" s="4">
        <f>SUMIFS(Tab_09.Set[SALDO
ATUAL],Tab_09.Set[CONTA],$F193)</f>
        <v>7419100.5899999999</v>
      </c>
      <c r="Q193" s="4">
        <f>SUMIFS(Tab_10.Out[SALDO
ATUAL],Tab_10.Out[CONTA],$F193)</f>
        <v>8378565.1600000001</v>
      </c>
      <c r="R193" s="4">
        <f>SUMIFS(Tab_11.Nov[SALDO
ATUAL],Tab_11.Nov[CONTA],$F193)</f>
        <v>8853645.7899999991</v>
      </c>
      <c r="S193" s="4">
        <f>SUMIFS(Tab_12.Dez[SALDO
ATUAL],Tab_12.Dez[CONTA],$F193)</f>
        <v>10475705.18</v>
      </c>
    </row>
    <row r="194" spans="2:19" x14ac:dyDescent="0.3">
      <c r="B194" s="3"/>
      <c r="C194" s="2" t="str">
        <f t="shared" si="14"/>
        <v>C</v>
      </c>
      <c r="D194" s="2" t="str">
        <f t="shared" si="15"/>
        <v>S</v>
      </c>
      <c r="E194" s="2">
        <f t="shared" si="16"/>
        <v>5</v>
      </c>
      <c r="F194" s="3" t="s">
        <v>235</v>
      </c>
      <c r="G194" s="3" t="s">
        <v>695</v>
      </c>
      <c r="H194" s="4">
        <f>SUMIFS(Tab_01.Jan[SALDO
ATUAL],Tab_01.Jan[CONTA],$F194)</f>
        <v>142425.62</v>
      </c>
      <c r="I194" s="4">
        <f>SUMIFS(Tab_02.Fev[SALDO
ATUAL],Tab_02.Fev[CONTA],$F194)</f>
        <v>281843.59999999998</v>
      </c>
      <c r="J194" s="4">
        <f>SUMIFS(Tab_03.Mar[SALDO
ATUAL],Tab_03.Mar[CONTA],$F194)</f>
        <v>471849.9</v>
      </c>
      <c r="K194" s="4">
        <f>SUMIFS(Tab_04.Abr[SALDO
ATUAL],Tab_04.Abr[CONTA],$F194)</f>
        <v>662563.68000000005</v>
      </c>
      <c r="L194" s="4">
        <f>SUMIFS(Tab_05.Mai[SALDO
ATUAL],Tab_05.Mai[CONTA],$F194)</f>
        <v>846889.36</v>
      </c>
      <c r="M194" s="4">
        <f>SUMIFS(Tab_06.Jun[SALDO
ATUAL],Tab_06.Jun[CONTA],$F194)</f>
        <v>1024992.8</v>
      </c>
      <c r="N194" s="4">
        <f>SUMIFS(Tab_07.Jul[SALDO
ATUAL],Tab_07.Jul[CONTA],$F194)</f>
        <v>1166612.3</v>
      </c>
      <c r="O194" s="4">
        <f>SUMIFS(Tab_08.Ago[SALDO
ATUAL],Tab_08.Ago[CONTA],$F194)</f>
        <v>1331616.6299999999</v>
      </c>
      <c r="P194" s="4">
        <f>SUMIFS(Tab_09.Set[SALDO
ATUAL],Tab_09.Set[CONTA],$F194)</f>
        <v>1506524.82</v>
      </c>
      <c r="Q194" s="4">
        <f>SUMIFS(Tab_10.Out[SALDO
ATUAL],Tab_10.Out[CONTA],$F194)</f>
        <v>1661824.43</v>
      </c>
      <c r="R194" s="4">
        <f>SUMIFS(Tab_11.Nov[SALDO
ATUAL],Tab_11.Nov[CONTA],$F194)</f>
        <v>1839414.63</v>
      </c>
      <c r="S194" s="4">
        <f>SUMIFS(Tab_12.Dez[SALDO
ATUAL],Tab_12.Dez[CONTA],$F194)</f>
        <v>2006842.63</v>
      </c>
    </row>
    <row r="195" spans="2:19" x14ac:dyDescent="0.3">
      <c r="B195" s="3"/>
      <c r="C195" s="2" t="str">
        <f t="shared" si="14"/>
        <v>C</v>
      </c>
      <c r="D195" s="2" t="str">
        <f t="shared" si="15"/>
        <v>S</v>
      </c>
      <c r="E195" s="2">
        <f t="shared" si="16"/>
        <v>5</v>
      </c>
      <c r="F195" s="3" t="s">
        <v>236</v>
      </c>
      <c r="G195" s="3" t="s">
        <v>696</v>
      </c>
      <c r="H195" s="4">
        <f>SUMIFS(Tab_01.Jan[SALDO
ATUAL],Tab_01.Jan[CONTA],$F195)</f>
        <v>54534.01</v>
      </c>
      <c r="I195" s="4">
        <f>SUMIFS(Tab_02.Fev[SALDO
ATUAL],Tab_02.Fev[CONTA],$F195)</f>
        <v>113365.92</v>
      </c>
      <c r="J195" s="4">
        <f>SUMIFS(Tab_03.Mar[SALDO
ATUAL],Tab_03.Mar[CONTA],$F195)</f>
        <v>184999.1</v>
      </c>
      <c r="K195" s="4">
        <f>SUMIFS(Tab_04.Abr[SALDO
ATUAL],Tab_04.Abr[CONTA],$F195)</f>
        <v>269489.52</v>
      </c>
      <c r="L195" s="4">
        <f>SUMIFS(Tab_05.Mai[SALDO
ATUAL],Tab_05.Mai[CONTA],$F195)</f>
        <v>352529.93</v>
      </c>
      <c r="M195" s="4">
        <f>SUMIFS(Tab_06.Jun[SALDO
ATUAL],Tab_06.Jun[CONTA],$F195)</f>
        <v>422451</v>
      </c>
      <c r="N195" s="4">
        <f>SUMIFS(Tab_07.Jul[SALDO
ATUAL],Tab_07.Jul[CONTA],$F195)</f>
        <v>477244.49</v>
      </c>
      <c r="O195" s="4">
        <f>SUMIFS(Tab_08.Ago[SALDO
ATUAL],Tab_08.Ago[CONTA],$F195)</f>
        <v>548135.39</v>
      </c>
      <c r="P195" s="4">
        <f>SUMIFS(Tab_09.Set[SALDO
ATUAL],Tab_09.Set[CONTA],$F195)</f>
        <v>621104.32999999996</v>
      </c>
      <c r="Q195" s="4">
        <f>SUMIFS(Tab_10.Out[SALDO
ATUAL],Tab_10.Out[CONTA],$F195)</f>
        <v>685295.09</v>
      </c>
      <c r="R195" s="4">
        <f>SUMIFS(Tab_11.Nov[SALDO
ATUAL],Tab_11.Nov[CONTA],$F195)</f>
        <v>760522.57</v>
      </c>
      <c r="S195" s="4">
        <f>SUMIFS(Tab_12.Dez[SALDO
ATUAL],Tab_12.Dez[CONTA],$F195)</f>
        <v>844882.83</v>
      </c>
    </row>
    <row r="196" spans="2:19" x14ac:dyDescent="0.3">
      <c r="B196" s="3" t="s">
        <v>104</v>
      </c>
      <c r="C196" s="2" t="str">
        <f t="shared" si="14"/>
        <v>C</v>
      </c>
      <c r="D196" s="2" t="str">
        <f t="shared" si="15"/>
        <v>A</v>
      </c>
      <c r="E196" s="2">
        <f t="shared" si="16"/>
        <v>5</v>
      </c>
      <c r="F196" s="3" t="s">
        <v>195</v>
      </c>
      <c r="G196" s="3" t="s">
        <v>427</v>
      </c>
      <c r="H196" s="4">
        <f>SUMIFS(Tab_01.Jan[SALDO
ATUAL],Tab_01.Jan[CONTA],$F196)</f>
        <v>-9283.35</v>
      </c>
      <c r="I196" s="4">
        <f>SUMIFS(Tab_02.Fev[SALDO
ATUAL],Tab_02.Fev[CONTA],$F196)</f>
        <v>48442.58</v>
      </c>
      <c r="J196" s="4">
        <f>SUMIFS(Tab_03.Mar[SALDO
ATUAL],Tab_03.Mar[CONTA],$F196)</f>
        <v>103060.46</v>
      </c>
      <c r="K196" s="4">
        <f>SUMIFS(Tab_04.Abr[SALDO
ATUAL],Tab_04.Abr[CONTA],$F196)</f>
        <v>170393.05</v>
      </c>
      <c r="L196" s="4">
        <f>SUMIFS(Tab_05.Mai[SALDO
ATUAL],Tab_05.Mai[CONTA],$F196)</f>
        <v>235725.68</v>
      </c>
      <c r="M196" s="4">
        <f>SUMIFS(Tab_06.Jun[SALDO
ATUAL],Tab_06.Jun[CONTA],$F196)</f>
        <v>289892.45</v>
      </c>
      <c r="N196" s="4">
        <f>SUMIFS(Tab_07.Jul[SALDO
ATUAL],Tab_07.Jul[CONTA],$F196)</f>
        <v>326968.65999999997</v>
      </c>
      <c r="O196" s="4">
        <f>SUMIFS(Tab_08.Ago[SALDO
ATUAL],Tab_08.Ago[CONTA],$F196)</f>
        <v>381873.53</v>
      </c>
      <c r="P196" s="4">
        <f>SUMIFS(Tab_09.Set[SALDO
ATUAL],Tab_09.Set[CONTA],$F196)</f>
        <v>444376.65</v>
      </c>
      <c r="Q196" s="4">
        <f>SUMIFS(Tab_10.Out[SALDO
ATUAL],Tab_10.Out[CONTA],$F196)</f>
        <v>491573.88</v>
      </c>
      <c r="R196" s="4">
        <f>SUMIFS(Tab_11.Nov[SALDO
ATUAL],Tab_11.Nov[CONTA],$F196)</f>
        <v>549917.99</v>
      </c>
      <c r="S196" s="4">
        <f>SUMIFS(Tab_12.Dez[SALDO
ATUAL],Tab_12.Dez[CONTA],$F196)</f>
        <v>612404.01</v>
      </c>
    </row>
    <row r="197" spans="2:19" x14ac:dyDescent="0.3">
      <c r="B197" s="3" t="s">
        <v>104</v>
      </c>
      <c r="C197" s="2" t="str">
        <f t="shared" si="14"/>
        <v>C</v>
      </c>
      <c r="D197" s="2" t="str">
        <f t="shared" si="15"/>
        <v>A</v>
      </c>
      <c r="E197" s="2">
        <f t="shared" si="16"/>
        <v>5</v>
      </c>
      <c r="F197" s="3" t="s">
        <v>428</v>
      </c>
      <c r="G197" s="3" t="s">
        <v>429</v>
      </c>
      <c r="H197" s="4">
        <f>SUMIFS(Tab_01.Jan[SALDO
ATUAL],Tab_01.Jan[CONTA],$F197)</f>
        <v>0</v>
      </c>
      <c r="I197" s="4">
        <f>SUMIFS(Tab_02.Fev[SALDO
ATUAL],Tab_02.Fev[CONTA],$F197)</f>
        <v>0</v>
      </c>
      <c r="J197" s="4">
        <f>SUMIFS(Tab_03.Mar[SALDO
ATUAL],Tab_03.Mar[CONTA],$F197)</f>
        <v>0</v>
      </c>
      <c r="K197" s="4">
        <f>SUMIFS(Tab_04.Abr[SALDO
ATUAL],Tab_04.Abr[CONTA],$F197)</f>
        <v>0</v>
      </c>
      <c r="L197" s="4">
        <f>SUMIFS(Tab_05.Mai[SALDO
ATUAL],Tab_05.Mai[CONTA],$F197)</f>
        <v>0</v>
      </c>
      <c r="M197" s="4">
        <f>SUMIFS(Tab_06.Jun[SALDO
ATUAL],Tab_06.Jun[CONTA],$F197)</f>
        <v>0</v>
      </c>
      <c r="N197" s="4">
        <f>SUMIFS(Tab_07.Jul[SALDO
ATUAL],Tab_07.Jul[CONTA],$F197)</f>
        <v>0</v>
      </c>
      <c r="O197" s="4">
        <f>SUMIFS(Tab_08.Ago[SALDO
ATUAL],Tab_08.Ago[CONTA],$F197)</f>
        <v>0</v>
      </c>
      <c r="P197" s="4">
        <f>SUMIFS(Tab_09.Set[SALDO
ATUAL],Tab_09.Set[CONTA],$F197)</f>
        <v>0</v>
      </c>
      <c r="Q197" s="4">
        <f>SUMIFS(Tab_10.Out[SALDO
ATUAL],Tab_10.Out[CONTA],$F197)</f>
        <v>0</v>
      </c>
      <c r="R197" s="4">
        <f>SUMIFS(Tab_11.Nov[SALDO
ATUAL],Tab_11.Nov[CONTA],$F197)</f>
        <v>0</v>
      </c>
      <c r="S197" s="4">
        <f>SUMIFS(Tab_12.Dez[SALDO
ATUAL],Tab_12.Dez[CONTA],$F197)</f>
        <v>0</v>
      </c>
    </row>
    <row r="198" spans="2:19" x14ac:dyDescent="0.3">
      <c r="B198" s="3" t="s">
        <v>104</v>
      </c>
      <c r="C198" s="2" t="str">
        <f t="shared" si="14"/>
        <v>C</v>
      </c>
      <c r="D198" s="2" t="str">
        <f t="shared" si="15"/>
        <v>A</v>
      </c>
      <c r="E198" s="2">
        <f t="shared" si="16"/>
        <v>5</v>
      </c>
      <c r="F198" s="3" t="s">
        <v>430</v>
      </c>
      <c r="G198" s="3" t="s">
        <v>431</v>
      </c>
      <c r="H198" s="4">
        <f>SUMIFS(Tab_01.Jan[SALDO
ATUAL],Tab_01.Jan[CONTA],$F198)</f>
        <v>7059.76</v>
      </c>
      <c r="I198" s="4">
        <f>SUMIFS(Tab_02.Fev[SALDO
ATUAL],Tab_02.Fev[CONTA],$F198)</f>
        <v>16723.97</v>
      </c>
      <c r="J198" s="4">
        <f>SUMIFS(Tab_03.Mar[SALDO
ATUAL],Tab_03.Mar[CONTA],$F198)</f>
        <v>23634.400000000001</v>
      </c>
      <c r="K198" s="4">
        <f>SUMIFS(Tab_04.Abr[SALDO
ATUAL],Tab_04.Abr[CONTA],$F198)</f>
        <v>31810.63</v>
      </c>
      <c r="L198" s="4">
        <f>SUMIFS(Tab_05.Mai[SALDO
ATUAL],Tab_05.Mai[CONTA],$F198)</f>
        <v>40250.800000000003</v>
      </c>
      <c r="M198" s="4">
        <f>SUMIFS(Tab_06.Jun[SALDO
ATUAL],Tab_06.Jun[CONTA],$F198)</f>
        <v>46745.78</v>
      </c>
      <c r="N198" s="4">
        <f>SUMIFS(Tab_07.Jul[SALDO
ATUAL],Tab_07.Jul[CONTA],$F198)</f>
        <v>53472.45</v>
      </c>
      <c r="O198" s="4">
        <f>SUMIFS(Tab_08.Ago[SALDO
ATUAL],Tab_08.Ago[CONTA],$F198)</f>
        <v>60199.16</v>
      </c>
      <c r="P198" s="4">
        <f>SUMIFS(Tab_09.Set[SALDO
ATUAL],Tab_09.Set[CONTA],$F198)</f>
        <v>68632.02</v>
      </c>
      <c r="Q198" s="4">
        <f>SUMIFS(Tab_10.Out[SALDO
ATUAL],Tab_10.Out[CONTA],$F198)</f>
        <v>81136.55</v>
      </c>
      <c r="R198" s="4">
        <f>SUMIFS(Tab_11.Nov[SALDO
ATUAL],Tab_11.Nov[CONTA],$F198)</f>
        <v>93631.43</v>
      </c>
      <c r="S198" s="4">
        <f>SUMIFS(Tab_12.Dez[SALDO
ATUAL],Tab_12.Dez[CONTA],$F198)</f>
        <v>106262.17</v>
      </c>
    </row>
    <row r="199" spans="2:19" x14ac:dyDescent="0.3">
      <c r="B199" s="3" t="s">
        <v>104</v>
      </c>
      <c r="C199" s="2" t="str">
        <f t="shared" si="14"/>
        <v>C</v>
      </c>
      <c r="D199" s="2" t="str">
        <f t="shared" si="15"/>
        <v>A</v>
      </c>
      <c r="E199" s="2">
        <f t="shared" si="16"/>
        <v>5</v>
      </c>
      <c r="F199" s="3" t="s">
        <v>432</v>
      </c>
      <c r="G199" s="3" t="s">
        <v>433</v>
      </c>
      <c r="H199" s="4">
        <f>SUMIFS(Tab_01.Jan[SALDO
ATUAL],Tab_01.Jan[CONTA],$F199)</f>
        <v>5045.03</v>
      </c>
      <c r="I199" s="4">
        <f>SUMIFS(Tab_02.Fev[SALDO
ATUAL],Tab_02.Fev[CONTA],$F199)</f>
        <v>10090.06</v>
      </c>
      <c r="J199" s="4">
        <f>SUMIFS(Tab_03.Mar[SALDO
ATUAL],Tab_03.Mar[CONTA],$F199)</f>
        <v>15135.09</v>
      </c>
      <c r="K199" s="4">
        <f>SUMIFS(Tab_04.Abr[SALDO
ATUAL],Tab_04.Abr[CONTA],$F199)</f>
        <v>20180.080000000002</v>
      </c>
      <c r="L199" s="4">
        <f>SUMIFS(Tab_05.Mai[SALDO
ATUAL],Tab_05.Mai[CONTA],$F199)</f>
        <v>25225.13</v>
      </c>
      <c r="M199" s="4">
        <f>SUMIFS(Tab_06.Jun[SALDO
ATUAL],Tab_06.Jun[CONTA],$F199)</f>
        <v>30270.16</v>
      </c>
      <c r="N199" s="4">
        <f>SUMIFS(Tab_07.Jul[SALDO
ATUAL],Tab_07.Jul[CONTA],$F199)</f>
        <v>36600.269999999997</v>
      </c>
      <c r="O199" s="4">
        <f>SUMIFS(Tab_08.Ago[SALDO
ATUAL],Tab_08.Ago[CONTA],$F199)</f>
        <v>41645.300000000003</v>
      </c>
      <c r="P199" s="4">
        <f>SUMIFS(Tab_09.Set[SALDO
ATUAL],Tab_09.Set[CONTA],$F199)</f>
        <v>48912.75</v>
      </c>
      <c r="Q199" s="4">
        <f>SUMIFS(Tab_10.Out[SALDO
ATUAL],Tab_10.Out[CONTA],$F199)</f>
        <v>48912.75</v>
      </c>
      <c r="R199" s="4">
        <f>SUMIFS(Tab_11.Nov[SALDO
ATUAL],Tab_11.Nov[CONTA],$F199)</f>
        <v>48912.75</v>
      </c>
      <c r="S199" s="4">
        <f>SUMIFS(Tab_12.Dez[SALDO
ATUAL],Tab_12.Dez[CONTA],$F199)</f>
        <v>52347.21</v>
      </c>
    </row>
    <row r="200" spans="2:19" x14ac:dyDescent="0.3">
      <c r="B200" s="3" t="s">
        <v>104</v>
      </c>
      <c r="C200" s="2" t="str">
        <f>IF($F200="","",IF(LEFT($F200,1)*1=1,"A",IF(LEFT($F200,1)*1=2,"P",IF(LEFT($F200,1)*1=3,"R",IF(LEFT($F200,1)*1=4,"C",IF(LEFT($F200,1)*1=5,"C",""))))))</f>
        <v>C</v>
      </c>
      <c r="D200" s="2" t="str">
        <f>IF($F200="","",IF(LEN($F200)=13,"A","S"))</f>
        <v>A</v>
      </c>
      <c r="E200" s="2">
        <f>IF($F200="","",IF(LEN($F200)=1,1,IF(LEN($F200)=3,2,IF(LEN($F200)=5,3,IF(LEN($F200)=8,4,5)))))</f>
        <v>5</v>
      </c>
      <c r="F200" s="3" t="s">
        <v>748</v>
      </c>
      <c r="G200" s="3" t="s">
        <v>749</v>
      </c>
      <c r="H200" s="4">
        <f>SUMIFS(Tab_01.Jan[SALDO
ATUAL],Tab_01.Jan[CONTA],$F200)</f>
        <v>0</v>
      </c>
      <c r="I200" s="4">
        <f>SUMIFS(Tab_02.Fev[SALDO
ATUAL],Tab_02.Fev[CONTA],$F200)</f>
        <v>0</v>
      </c>
      <c r="J200" s="4">
        <f>SUMIFS(Tab_03.Mar[SALDO
ATUAL],Tab_03.Mar[CONTA],$F200)</f>
        <v>0</v>
      </c>
      <c r="K200" s="4">
        <f>SUMIFS(Tab_04.Abr[SALDO
ATUAL],Tab_04.Abr[CONTA],$F200)</f>
        <v>0</v>
      </c>
      <c r="L200" s="4">
        <f>SUMIFS(Tab_05.Mai[SALDO
ATUAL],Tab_05.Mai[CONTA],$F200)</f>
        <v>0</v>
      </c>
      <c r="M200" s="4">
        <f>SUMIFS(Tab_06.Jun[SALDO
ATUAL],Tab_06.Jun[CONTA],$F200)</f>
        <v>0</v>
      </c>
      <c r="N200" s="4">
        <f>SUMIFS(Tab_07.Jul[SALDO
ATUAL],Tab_07.Jul[CONTA],$F200)</f>
        <v>0</v>
      </c>
      <c r="O200" s="4">
        <f>SUMIFS(Tab_08.Ago[SALDO
ATUAL],Tab_08.Ago[CONTA],$F200)</f>
        <v>0</v>
      </c>
      <c r="P200" s="4">
        <f>SUMIFS(Tab_09.Set[SALDO
ATUAL],Tab_09.Set[CONTA],$F200)</f>
        <v>0</v>
      </c>
      <c r="Q200" s="4">
        <f>SUMIFS(Tab_10.Out[SALDO
ATUAL],Tab_10.Out[CONTA],$F200)</f>
        <v>0</v>
      </c>
      <c r="R200" s="4">
        <f>SUMIFS(Tab_11.Nov[SALDO
ATUAL],Tab_11.Nov[CONTA],$F200)</f>
        <v>0</v>
      </c>
      <c r="S200" s="4">
        <f>SUMIFS(Tab_12.Dez[SALDO
ATUAL],Tab_12.Dez[CONTA],$F200)</f>
        <v>0</v>
      </c>
    </row>
    <row r="201" spans="2:19" x14ac:dyDescent="0.3">
      <c r="B201" s="3" t="s">
        <v>104</v>
      </c>
      <c r="C201" s="2" t="str">
        <f t="shared" ref="C201:C206" si="17">IF($F201="","",IF(LEFT($F201,1)*1=1,"A",IF(LEFT($F201,1)*1=2,"P",IF(LEFT($F201,1)*1=3,"R",IF(LEFT($F201,1)*1=4,"C",IF(LEFT($F201,1)*1=5,"C",""))))))</f>
        <v>C</v>
      </c>
      <c r="D201" s="2" t="str">
        <f t="shared" ref="D201:D206" si="18">IF($F201="","",IF(LEN($F201)=13,"A","S"))</f>
        <v>A</v>
      </c>
      <c r="E201" s="2">
        <f t="shared" ref="E201:E206" si="19">IF($F201="","",IF(LEN($F201)=1,1,IF(LEN($F201)=3,2,IF(LEN($F201)=5,3,IF(LEN($F201)=8,4,5)))))</f>
        <v>5</v>
      </c>
      <c r="F201" s="3" t="s">
        <v>790</v>
      </c>
      <c r="G201" s="3" t="s">
        <v>791</v>
      </c>
      <c r="H201" s="4">
        <f>SUMIFS(Tab_01.Jan[SALDO
ATUAL],Tab_01.Jan[CONTA],$F201)</f>
        <v>49658.59</v>
      </c>
      <c r="I201" s="4">
        <f>SUMIFS(Tab_02.Fev[SALDO
ATUAL],Tab_02.Fev[CONTA],$F201)</f>
        <v>33779.15</v>
      </c>
      <c r="J201" s="4">
        <f>SUMIFS(Tab_03.Mar[SALDO
ATUAL],Tab_03.Mar[CONTA],$F201)</f>
        <v>36497.67</v>
      </c>
      <c r="K201" s="4">
        <f>SUMIFS(Tab_04.Abr[SALDO
ATUAL],Tab_04.Abr[CONTA],$F201)</f>
        <v>38252.639999999999</v>
      </c>
      <c r="L201" s="4">
        <f>SUMIFS(Tab_05.Mai[SALDO
ATUAL],Tab_05.Mai[CONTA],$F201)</f>
        <v>40055.42</v>
      </c>
      <c r="M201" s="4">
        <f>SUMIFS(Tab_06.Jun[SALDO
ATUAL],Tab_06.Jun[CONTA],$F201)</f>
        <v>41858.21</v>
      </c>
      <c r="N201" s="4">
        <f>SUMIFS(Tab_07.Jul[SALDO
ATUAL],Tab_07.Jul[CONTA],$F201)</f>
        <v>43660.94</v>
      </c>
      <c r="O201" s="4">
        <f>SUMIFS(Tab_08.Ago[SALDO
ATUAL],Tab_08.Ago[CONTA],$F201)</f>
        <v>45463.69</v>
      </c>
      <c r="P201" s="4">
        <f>SUMIFS(Tab_09.Set[SALDO
ATUAL],Tab_09.Set[CONTA],$F201)</f>
        <v>39794.730000000003</v>
      </c>
      <c r="Q201" s="4">
        <f>SUMIFS(Tab_10.Out[SALDO
ATUAL],Tab_10.Out[CONTA],$F201)</f>
        <v>43155.22</v>
      </c>
      <c r="R201" s="4">
        <f>SUMIFS(Tab_11.Nov[SALDO
ATUAL],Tab_11.Nov[CONTA],$F201)</f>
        <v>46469.52</v>
      </c>
      <c r="S201" s="4">
        <f>SUMIFS(Tab_12.Dez[SALDO
ATUAL],Tab_12.Dez[CONTA],$F201)</f>
        <v>49829.94</v>
      </c>
    </row>
    <row r="202" spans="2:19" x14ac:dyDescent="0.3">
      <c r="B202" s="3" t="s">
        <v>104</v>
      </c>
      <c r="C202" s="2" t="str">
        <f t="shared" si="17"/>
        <v>C</v>
      </c>
      <c r="D202" s="2" t="str">
        <f t="shared" si="18"/>
        <v>A</v>
      </c>
      <c r="E202" s="2">
        <f t="shared" si="19"/>
        <v>5</v>
      </c>
      <c r="F202" s="3" t="s">
        <v>792</v>
      </c>
      <c r="G202" s="3" t="s">
        <v>793</v>
      </c>
      <c r="H202" s="4">
        <f>SUMIFS(Tab_01.Jan[SALDO
ATUAL],Tab_01.Jan[CONTA],$F202)</f>
        <v>179.93</v>
      </c>
      <c r="I202" s="4">
        <f>SUMIFS(Tab_02.Fev[SALDO
ATUAL],Tab_02.Fev[CONTA],$F202)</f>
        <v>672.71</v>
      </c>
      <c r="J202" s="4">
        <f>SUMIFS(Tab_03.Mar[SALDO
ATUAL],Tab_03.Mar[CONTA],$F202)</f>
        <v>1138.78</v>
      </c>
      <c r="K202" s="4">
        <f>SUMIFS(Tab_04.Abr[SALDO
ATUAL],Tab_04.Abr[CONTA],$F202)</f>
        <v>1441.01</v>
      </c>
      <c r="L202" s="4">
        <f>SUMIFS(Tab_05.Mai[SALDO
ATUAL],Tab_05.Mai[CONTA],$F202)</f>
        <v>1979.14</v>
      </c>
      <c r="M202" s="4">
        <f>SUMIFS(Tab_06.Jun[SALDO
ATUAL],Tab_06.Jun[CONTA],$F202)</f>
        <v>2517.27</v>
      </c>
      <c r="N202" s="4">
        <f>SUMIFS(Tab_07.Jul[SALDO
ATUAL],Tab_07.Jul[CONTA],$F202)</f>
        <v>3055.4</v>
      </c>
      <c r="O202" s="4">
        <f>SUMIFS(Tab_08.Ago[SALDO
ATUAL],Tab_08.Ago[CONTA],$F202)</f>
        <v>3593.54</v>
      </c>
      <c r="P202" s="4">
        <f>SUMIFS(Tab_09.Set[SALDO
ATUAL],Tab_09.Set[CONTA],$F202)</f>
        <v>1901.31</v>
      </c>
      <c r="Q202" s="4">
        <f>SUMIFS(Tab_10.Out[SALDO
ATUAL],Tab_10.Out[CONTA],$F202)</f>
        <v>2904.43</v>
      </c>
      <c r="R202" s="4">
        <f>SUMIFS(Tab_11.Nov[SALDO
ATUAL],Tab_11.Nov[CONTA],$F202)</f>
        <v>3853.21</v>
      </c>
      <c r="S202" s="4">
        <f>SUMIFS(Tab_12.Dez[SALDO
ATUAL],Tab_12.Dez[CONTA],$F202)</f>
        <v>4856.3100000000004</v>
      </c>
    </row>
    <row r="203" spans="2:19" x14ac:dyDescent="0.3">
      <c r="B203" s="3" t="s">
        <v>104</v>
      </c>
      <c r="C203" s="2" t="str">
        <f t="shared" si="17"/>
        <v>C</v>
      </c>
      <c r="D203" s="2" t="str">
        <f t="shared" si="18"/>
        <v>A</v>
      </c>
      <c r="E203" s="2">
        <f t="shared" si="19"/>
        <v>5</v>
      </c>
      <c r="F203" s="3" t="s">
        <v>794</v>
      </c>
      <c r="G203" s="3" t="s">
        <v>795</v>
      </c>
      <c r="H203" s="4">
        <f>SUMIFS(Tab_01.Jan[SALDO
ATUAL],Tab_01.Jan[CONTA],$F203)</f>
        <v>67.97</v>
      </c>
      <c r="I203" s="4">
        <f>SUMIFS(Tab_02.Fev[SALDO
ATUAL],Tab_02.Fev[CONTA],$F203)</f>
        <v>45.28</v>
      </c>
      <c r="J203" s="4">
        <f>SUMIFS(Tab_03.Mar[SALDO
ATUAL],Tab_03.Mar[CONTA],$F203)</f>
        <v>114.43</v>
      </c>
      <c r="K203" s="4">
        <f>SUMIFS(Tab_04.Abr[SALDO
ATUAL],Tab_04.Abr[CONTA],$F203)</f>
        <v>187.72</v>
      </c>
      <c r="L203" s="4">
        <f>SUMIFS(Tab_05.Mai[SALDO
ATUAL],Tab_05.Mai[CONTA],$F203)</f>
        <v>263.23</v>
      </c>
      <c r="M203" s="4">
        <f>SUMIFS(Tab_06.Jun[SALDO
ATUAL],Tab_06.Jun[CONTA],$F203)</f>
        <v>330.49</v>
      </c>
      <c r="N203" s="4">
        <f>SUMIFS(Tab_07.Jul[SALDO
ATUAL],Tab_07.Jul[CONTA],$F203)</f>
        <v>397.77</v>
      </c>
      <c r="O203" s="4">
        <f>SUMIFS(Tab_08.Ago[SALDO
ATUAL],Tab_08.Ago[CONTA],$F203)</f>
        <v>465.03</v>
      </c>
      <c r="P203" s="4">
        <f>SUMIFS(Tab_09.Set[SALDO
ATUAL],Tab_09.Set[CONTA],$F203)</f>
        <v>365.56</v>
      </c>
      <c r="Q203" s="4">
        <f>SUMIFS(Tab_10.Out[SALDO
ATUAL],Tab_10.Out[CONTA],$F203)</f>
        <v>365.56</v>
      </c>
      <c r="R203" s="4">
        <f>SUMIFS(Tab_11.Nov[SALDO
ATUAL],Tab_11.Nov[CONTA],$F203)</f>
        <v>365.56</v>
      </c>
      <c r="S203" s="4">
        <f>SUMIFS(Tab_12.Dez[SALDO
ATUAL],Tab_12.Dez[CONTA],$F203)</f>
        <v>365.56</v>
      </c>
    </row>
    <row r="204" spans="2:19" x14ac:dyDescent="0.3">
      <c r="B204" s="3" t="s">
        <v>104</v>
      </c>
      <c r="C204" s="2" t="str">
        <f t="shared" si="17"/>
        <v>C</v>
      </c>
      <c r="D204" s="2" t="str">
        <f t="shared" si="18"/>
        <v>A</v>
      </c>
      <c r="E204" s="2">
        <f t="shared" si="19"/>
        <v>5</v>
      </c>
      <c r="F204" s="3" t="s">
        <v>796</v>
      </c>
      <c r="G204" s="3" t="s">
        <v>797</v>
      </c>
      <c r="H204" s="4">
        <f>SUMIFS(Tab_01.Jan[SALDO
ATUAL],Tab_01.Jan[CONTA],$F204)</f>
        <v>1352.06</v>
      </c>
      <c r="I204" s="4">
        <f>SUMIFS(Tab_02.Fev[SALDO
ATUAL],Tab_02.Fev[CONTA],$F204)</f>
        <v>2704.08</v>
      </c>
      <c r="J204" s="4">
        <f>SUMIFS(Tab_03.Mar[SALDO
ATUAL],Tab_03.Mar[CONTA],$F204)</f>
        <v>4056.14</v>
      </c>
      <c r="K204" s="4">
        <f>SUMIFS(Tab_04.Abr[SALDO
ATUAL],Tab_04.Abr[CONTA],$F204)</f>
        <v>5408.21</v>
      </c>
      <c r="L204" s="4">
        <f>SUMIFS(Tab_05.Mai[SALDO
ATUAL],Tab_05.Mai[CONTA],$F204)</f>
        <v>6760.31</v>
      </c>
      <c r="M204" s="4">
        <f>SUMIFS(Tab_06.Jun[SALDO
ATUAL],Tab_06.Jun[CONTA],$F204)</f>
        <v>8112.36</v>
      </c>
      <c r="N204" s="4">
        <f>SUMIFS(Tab_07.Jul[SALDO
ATUAL],Tab_07.Jul[CONTA],$F204)</f>
        <v>9807.86</v>
      </c>
      <c r="O204" s="4">
        <f>SUMIFS(Tab_08.Ago[SALDO
ATUAL],Tab_08.Ago[CONTA],$F204)</f>
        <v>11159.93</v>
      </c>
      <c r="P204" s="4">
        <f>SUMIFS(Tab_09.Set[SALDO
ATUAL],Tab_09.Set[CONTA],$F204)</f>
        <v>12943.65</v>
      </c>
      <c r="Q204" s="4">
        <f>SUMIFS(Tab_10.Out[SALDO
ATUAL],Tab_10.Out[CONTA],$F204)</f>
        <v>12943.65</v>
      </c>
      <c r="R204" s="4">
        <f>SUMIFS(Tab_11.Nov[SALDO
ATUAL],Tab_11.Nov[CONTA],$F204)</f>
        <v>12943.65</v>
      </c>
      <c r="S204" s="4">
        <f>SUMIFS(Tab_12.Dez[SALDO
ATUAL],Tab_12.Dez[CONTA],$F204)</f>
        <v>13933.39</v>
      </c>
    </row>
    <row r="205" spans="2:19" x14ac:dyDescent="0.3">
      <c r="B205" s="3" t="s">
        <v>104</v>
      </c>
      <c r="C205" s="2" t="str">
        <f t="shared" si="17"/>
        <v>C</v>
      </c>
      <c r="D205" s="2" t="str">
        <f t="shared" si="18"/>
        <v>A</v>
      </c>
      <c r="E205" s="2">
        <f t="shared" si="19"/>
        <v>5</v>
      </c>
      <c r="F205" s="3" t="s">
        <v>798</v>
      </c>
      <c r="G205" s="3" t="s">
        <v>799</v>
      </c>
      <c r="H205" s="4">
        <f>SUMIFS(Tab_01.Jan[SALDO
ATUAL],Tab_01.Jan[CONTA],$F205)</f>
        <v>403.57</v>
      </c>
      <c r="I205" s="4">
        <f>SUMIFS(Tab_02.Fev[SALDO
ATUAL],Tab_02.Fev[CONTA],$F205)</f>
        <v>807.18</v>
      </c>
      <c r="J205" s="4">
        <f>SUMIFS(Tab_03.Mar[SALDO
ATUAL],Tab_03.Mar[CONTA],$F205)</f>
        <v>1210.78</v>
      </c>
      <c r="K205" s="4">
        <f>SUMIFS(Tab_04.Abr[SALDO
ATUAL],Tab_04.Abr[CONTA],$F205)</f>
        <v>1614.37</v>
      </c>
      <c r="L205" s="4">
        <f>SUMIFS(Tab_05.Mai[SALDO
ATUAL],Tab_05.Mai[CONTA],$F205)</f>
        <v>2017.98</v>
      </c>
      <c r="M205" s="4">
        <f>SUMIFS(Tab_06.Jun[SALDO
ATUAL],Tab_06.Jun[CONTA],$F205)</f>
        <v>2421.59</v>
      </c>
      <c r="N205" s="4">
        <f>SUMIFS(Tab_07.Jul[SALDO
ATUAL],Tab_07.Jul[CONTA],$F205)</f>
        <v>2928</v>
      </c>
      <c r="O205" s="4">
        <f>SUMIFS(Tab_08.Ago[SALDO
ATUAL],Tab_08.Ago[CONTA],$F205)</f>
        <v>3331.59</v>
      </c>
      <c r="P205" s="4">
        <f>SUMIFS(Tab_09.Set[SALDO
ATUAL],Tab_09.Set[CONTA],$F205)</f>
        <v>3913</v>
      </c>
      <c r="Q205" s="4">
        <f>SUMIFS(Tab_10.Out[SALDO
ATUAL],Tab_10.Out[CONTA],$F205)</f>
        <v>3913</v>
      </c>
      <c r="R205" s="4">
        <f>SUMIFS(Tab_11.Nov[SALDO
ATUAL],Tab_11.Nov[CONTA],$F205)</f>
        <v>3913</v>
      </c>
      <c r="S205" s="4">
        <f>SUMIFS(Tab_12.Dez[SALDO
ATUAL],Tab_12.Dez[CONTA],$F205)</f>
        <v>4216.47</v>
      </c>
    </row>
    <row r="206" spans="2:19" x14ac:dyDescent="0.3">
      <c r="B206" s="3" t="s">
        <v>104</v>
      </c>
      <c r="C206" s="2" t="str">
        <f t="shared" si="17"/>
        <v>C</v>
      </c>
      <c r="D206" s="2" t="str">
        <f t="shared" si="18"/>
        <v>A</v>
      </c>
      <c r="E206" s="2">
        <f t="shared" si="19"/>
        <v>5</v>
      </c>
      <c r="F206" s="3" t="s">
        <v>800</v>
      </c>
      <c r="G206" s="3" t="s">
        <v>801</v>
      </c>
      <c r="H206" s="4">
        <f>SUMIFS(Tab_01.Jan[SALDO
ATUAL],Tab_01.Jan[CONTA],$F206)</f>
        <v>50.45</v>
      </c>
      <c r="I206" s="4">
        <f>SUMIFS(Tab_02.Fev[SALDO
ATUAL],Tab_02.Fev[CONTA],$F206)</f>
        <v>100.91</v>
      </c>
      <c r="J206" s="4">
        <f>SUMIFS(Tab_03.Mar[SALDO
ATUAL],Tab_03.Mar[CONTA],$F206)</f>
        <v>151.35</v>
      </c>
      <c r="K206" s="4">
        <f>SUMIFS(Tab_04.Abr[SALDO
ATUAL],Tab_04.Abr[CONTA],$F206)</f>
        <v>201.81</v>
      </c>
      <c r="L206" s="4">
        <f>SUMIFS(Tab_05.Mai[SALDO
ATUAL],Tab_05.Mai[CONTA],$F206)</f>
        <v>252.24</v>
      </c>
      <c r="M206" s="4">
        <f>SUMIFS(Tab_06.Jun[SALDO
ATUAL],Tab_06.Jun[CONTA],$F206)</f>
        <v>302.69</v>
      </c>
      <c r="N206" s="4">
        <f>SUMIFS(Tab_07.Jul[SALDO
ATUAL],Tab_07.Jul[CONTA],$F206)</f>
        <v>353.14</v>
      </c>
      <c r="O206" s="4">
        <f>SUMIFS(Tab_08.Ago[SALDO
ATUAL],Tab_08.Ago[CONTA],$F206)</f>
        <v>403.62</v>
      </c>
      <c r="P206" s="4">
        <f>SUMIFS(Tab_09.Set[SALDO
ATUAL],Tab_09.Set[CONTA],$F206)</f>
        <v>264.66000000000003</v>
      </c>
      <c r="Q206" s="4">
        <f>SUMIFS(Tab_10.Out[SALDO
ATUAL],Tab_10.Out[CONTA],$F206)</f>
        <v>390.05</v>
      </c>
      <c r="R206" s="4">
        <f>SUMIFS(Tab_11.Nov[SALDO
ATUAL],Tab_11.Nov[CONTA],$F206)</f>
        <v>515.46</v>
      </c>
      <c r="S206" s="4">
        <f>SUMIFS(Tab_12.Dez[SALDO
ATUAL],Tab_12.Dez[CONTA],$F206)</f>
        <v>667.77</v>
      </c>
    </row>
    <row r="207" spans="2:19" x14ac:dyDescent="0.3">
      <c r="B207" s="3"/>
      <c r="C207" s="2" t="str">
        <f t="shared" si="14"/>
        <v>C</v>
      </c>
      <c r="D207" s="2" t="str">
        <f t="shared" si="15"/>
        <v>S</v>
      </c>
      <c r="E207" s="2">
        <f t="shared" si="16"/>
        <v>5</v>
      </c>
      <c r="F207" s="3" t="s">
        <v>590</v>
      </c>
      <c r="G207" s="3" t="s">
        <v>697</v>
      </c>
      <c r="H207" s="4">
        <f>SUMIFS(Tab_01.Jan[SALDO
ATUAL],Tab_01.Jan[CONTA],$F207)</f>
        <v>16378.13</v>
      </c>
      <c r="I207" s="4">
        <f>SUMIFS(Tab_02.Fev[SALDO
ATUAL],Tab_02.Fev[CONTA],$F207)</f>
        <v>33927.69</v>
      </c>
      <c r="J207" s="4">
        <f>SUMIFS(Tab_03.Mar[SALDO
ATUAL],Tab_03.Mar[CONTA],$F207)</f>
        <v>78861.22</v>
      </c>
      <c r="K207" s="4">
        <f>SUMIFS(Tab_04.Abr[SALDO
ATUAL],Tab_04.Abr[CONTA],$F207)</f>
        <v>104970.22</v>
      </c>
      <c r="L207" s="4">
        <f>SUMIFS(Tab_05.Mai[SALDO
ATUAL],Tab_05.Mai[CONTA],$F207)</f>
        <v>125701.8</v>
      </c>
      <c r="M207" s="4">
        <f>SUMIFS(Tab_06.Jun[SALDO
ATUAL],Tab_06.Jun[CONTA],$F207)</f>
        <v>155616.79</v>
      </c>
      <c r="N207" s="4">
        <f>SUMIFS(Tab_07.Jul[SALDO
ATUAL],Tab_07.Jul[CONTA],$F207)</f>
        <v>178894.39</v>
      </c>
      <c r="O207" s="4">
        <f>SUMIFS(Tab_08.Ago[SALDO
ATUAL],Tab_08.Ago[CONTA],$F207)</f>
        <v>203944.01</v>
      </c>
      <c r="P207" s="4">
        <f>SUMIFS(Tab_09.Set[SALDO
ATUAL],Tab_09.Set[CONTA],$F207)</f>
        <v>230804.85</v>
      </c>
      <c r="Q207" s="4">
        <f>SUMIFS(Tab_10.Out[SALDO
ATUAL],Tab_10.Out[CONTA],$F207)</f>
        <v>252424.1</v>
      </c>
      <c r="R207" s="4">
        <f>SUMIFS(Tab_11.Nov[SALDO
ATUAL],Tab_11.Nov[CONTA],$F207)</f>
        <v>274047.57</v>
      </c>
      <c r="S207" s="4">
        <f>SUMIFS(Tab_12.Dez[SALDO
ATUAL],Tab_12.Dez[CONTA],$F207)</f>
        <v>295540.46999999997</v>
      </c>
    </row>
    <row r="208" spans="2:19" x14ac:dyDescent="0.3">
      <c r="B208" s="3" t="s">
        <v>104</v>
      </c>
      <c r="C208" s="2" t="str">
        <f t="shared" si="14"/>
        <v>C</v>
      </c>
      <c r="D208" s="2" t="str">
        <f t="shared" si="15"/>
        <v>A</v>
      </c>
      <c r="E208" s="2">
        <f t="shared" si="16"/>
        <v>5</v>
      </c>
      <c r="F208" s="3" t="s">
        <v>434</v>
      </c>
      <c r="G208" s="3" t="s">
        <v>435</v>
      </c>
      <c r="H208" s="4">
        <f>SUMIFS(Tab_01.Jan[SALDO
ATUAL],Tab_01.Jan[CONTA],$F208)</f>
        <v>15206.61</v>
      </c>
      <c r="I208" s="4">
        <f>SUMIFS(Tab_02.Fev[SALDO
ATUAL],Tab_02.Fev[CONTA],$F208)</f>
        <v>31547.72</v>
      </c>
      <c r="J208" s="4">
        <f>SUMIFS(Tab_03.Mar[SALDO
ATUAL],Tab_03.Mar[CONTA],$F208)</f>
        <v>75029.38</v>
      </c>
      <c r="K208" s="4">
        <f>SUMIFS(Tab_04.Abr[SALDO
ATUAL],Tab_04.Abr[CONTA],$F208)</f>
        <v>100788.89</v>
      </c>
      <c r="L208" s="4">
        <f>SUMIFS(Tab_05.Mai[SALDO
ATUAL],Tab_05.Mai[CONTA],$F208)</f>
        <v>121415.07</v>
      </c>
      <c r="M208" s="4">
        <f>SUMIFS(Tab_06.Jun[SALDO
ATUAL],Tab_06.Jun[CONTA],$F208)</f>
        <v>150849.46</v>
      </c>
      <c r="N208" s="4">
        <f>SUMIFS(Tab_07.Jul[SALDO
ATUAL],Tab_07.Jul[CONTA],$F208)</f>
        <v>174412.34</v>
      </c>
      <c r="O208" s="4">
        <f>SUMIFS(Tab_08.Ago[SALDO
ATUAL],Tab_08.Ago[CONTA],$F208)</f>
        <v>198204.72</v>
      </c>
      <c r="P208" s="4">
        <f>SUMIFS(Tab_09.Set[SALDO
ATUAL],Tab_09.Set[CONTA],$F208)</f>
        <v>222850.66</v>
      </c>
      <c r="Q208" s="4">
        <f>SUMIFS(Tab_10.Out[SALDO
ATUAL],Tab_10.Out[CONTA],$F208)</f>
        <v>245658.69</v>
      </c>
      <c r="R208" s="4">
        <f>SUMIFS(Tab_11.Nov[SALDO
ATUAL],Tab_11.Nov[CONTA],$F208)</f>
        <v>268466.71999999997</v>
      </c>
      <c r="S208" s="4">
        <f>SUMIFS(Tab_12.Dez[SALDO
ATUAL],Tab_12.Dez[CONTA],$F208)</f>
        <v>291274.75</v>
      </c>
    </row>
    <row r="209" spans="2:19" x14ac:dyDescent="0.3">
      <c r="B209" s="3" t="s">
        <v>104</v>
      </c>
      <c r="C209" s="2" t="str">
        <f>IF($F209="","",IF(LEFT($F209,1)*1=1,"A",IF(LEFT($F209,1)*1=2,"P",IF(LEFT($F209,1)*1=3,"R",IF(LEFT($F209,1)*1=4,"C",IF(LEFT($F209,1)*1=5,"C",""))))))</f>
        <v>C</v>
      </c>
      <c r="D209" s="2" t="str">
        <f>IF($F209="","",IF(LEN($F209)=13,"A","S"))</f>
        <v>A</v>
      </c>
      <c r="E209" s="2">
        <f>IF($F209="","",IF(LEN($F209)=1,1,IF(LEN($F209)=3,2,IF(LEN($F209)=5,3,IF(LEN($F209)=8,4,5)))))</f>
        <v>5</v>
      </c>
      <c r="F209" s="3" t="s">
        <v>750</v>
      </c>
      <c r="G209" s="3" t="s">
        <v>751</v>
      </c>
      <c r="H209" s="4">
        <f>SUMIFS(Tab_01.Jan[SALDO
ATUAL],Tab_01.Jan[CONTA],$F209)</f>
        <v>1171.52</v>
      </c>
      <c r="I209" s="4">
        <f>SUMIFS(Tab_02.Fev[SALDO
ATUAL],Tab_02.Fev[CONTA],$F209)</f>
        <v>2379.9699999999998</v>
      </c>
      <c r="J209" s="4">
        <f>SUMIFS(Tab_03.Mar[SALDO
ATUAL],Tab_03.Mar[CONTA],$F209)</f>
        <v>3831.84</v>
      </c>
      <c r="K209" s="4">
        <f>SUMIFS(Tab_04.Abr[SALDO
ATUAL],Tab_04.Abr[CONTA],$F209)</f>
        <v>4181.33</v>
      </c>
      <c r="L209" s="4">
        <f>SUMIFS(Tab_05.Mai[SALDO
ATUAL],Tab_05.Mai[CONTA],$F209)</f>
        <v>4286.7299999999996</v>
      </c>
      <c r="M209" s="4">
        <f>SUMIFS(Tab_06.Jun[SALDO
ATUAL],Tab_06.Jun[CONTA],$F209)</f>
        <v>4767.33</v>
      </c>
      <c r="N209" s="4">
        <f>SUMIFS(Tab_07.Jul[SALDO
ATUAL],Tab_07.Jul[CONTA],$F209)</f>
        <v>4482.05</v>
      </c>
      <c r="O209" s="4">
        <f>SUMIFS(Tab_08.Ago[SALDO
ATUAL],Tab_08.Ago[CONTA],$F209)</f>
        <v>5739.29</v>
      </c>
      <c r="P209" s="4">
        <f>SUMIFS(Tab_09.Set[SALDO
ATUAL],Tab_09.Set[CONTA],$F209)</f>
        <v>7954.19</v>
      </c>
      <c r="Q209" s="4">
        <f>SUMIFS(Tab_10.Out[SALDO
ATUAL],Tab_10.Out[CONTA],$F209)</f>
        <v>6765.41</v>
      </c>
      <c r="R209" s="4">
        <f>SUMIFS(Tab_11.Nov[SALDO
ATUAL],Tab_11.Nov[CONTA],$F209)</f>
        <v>5580.85</v>
      </c>
      <c r="S209" s="4">
        <f>SUMIFS(Tab_12.Dez[SALDO
ATUAL],Tab_12.Dez[CONTA],$F209)</f>
        <v>4265.72</v>
      </c>
    </row>
    <row r="210" spans="2:19" x14ac:dyDescent="0.3">
      <c r="B210" s="3"/>
      <c r="C210" s="2" t="str">
        <f t="shared" si="14"/>
        <v>C</v>
      </c>
      <c r="D210" s="2" t="str">
        <f t="shared" si="15"/>
        <v>S</v>
      </c>
      <c r="E210" s="2">
        <f t="shared" si="16"/>
        <v>5</v>
      </c>
      <c r="F210" s="3" t="s">
        <v>591</v>
      </c>
      <c r="G210" s="3" t="s">
        <v>698</v>
      </c>
      <c r="H210" s="4">
        <f>SUMIFS(Tab_01.Jan[SALDO
ATUAL],Tab_01.Jan[CONTA],$F210)</f>
        <v>16434.849999999999</v>
      </c>
      <c r="I210" s="4">
        <f>SUMIFS(Tab_02.Fev[SALDO
ATUAL],Tab_02.Fev[CONTA],$F210)</f>
        <v>37386.26</v>
      </c>
      <c r="J210" s="4">
        <f>SUMIFS(Tab_03.Mar[SALDO
ATUAL],Tab_03.Mar[CONTA],$F210)</f>
        <v>62180.74</v>
      </c>
      <c r="K210" s="4">
        <f>SUMIFS(Tab_04.Abr[SALDO
ATUAL],Tab_04.Abr[CONTA],$F210)</f>
        <v>86154.76</v>
      </c>
      <c r="L210" s="4">
        <f>SUMIFS(Tab_05.Mai[SALDO
ATUAL],Tab_05.Mai[CONTA],$F210)</f>
        <v>111910.85</v>
      </c>
      <c r="M210" s="4">
        <f>SUMIFS(Tab_06.Jun[SALDO
ATUAL],Tab_06.Jun[CONTA],$F210)</f>
        <v>130610.46</v>
      </c>
      <c r="N210" s="4">
        <f>SUMIFS(Tab_07.Jul[SALDO
ATUAL],Tab_07.Jul[CONTA],$F210)</f>
        <v>143762.09</v>
      </c>
      <c r="O210" s="4">
        <f>SUMIFS(Tab_08.Ago[SALDO
ATUAL],Tab_08.Ago[CONTA],$F210)</f>
        <v>161568.31</v>
      </c>
      <c r="P210" s="4">
        <f>SUMIFS(Tab_09.Set[SALDO
ATUAL],Tab_09.Set[CONTA],$F210)</f>
        <v>190587.49</v>
      </c>
      <c r="Q210" s="4">
        <f>SUMIFS(Tab_10.Out[SALDO
ATUAL],Tab_10.Out[CONTA],$F210)</f>
        <v>205545.72</v>
      </c>
      <c r="R210" s="4">
        <f>SUMIFS(Tab_11.Nov[SALDO
ATUAL],Tab_11.Nov[CONTA],$F210)</f>
        <v>225903.28</v>
      </c>
      <c r="S210" s="4">
        <f>SUMIFS(Tab_12.Dez[SALDO
ATUAL],Tab_12.Dez[CONTA],$F210)</f>
        <v>247560.65</v>
      </c>
    </row>
    <row r="211" spans="2:19" x14ac:dyDescent="0.3">
      <c r="B211" s="3" t="s">
        <v>104</v>
      </c>
      <c r="C211" s="2" t="str">
        <f t="shared" si="14"/>
        <v>C</v>
      </c>
      <c r="D211" s="2" t="str">
        <f t="shared" si="15"/>
        <v>A</v>
      </c>
      <c r="E211" s="2">
        <f t="shared" si="16"/>
        <v>5</v>
      </c>
      <c r="F211" s="3" t="s">
        <v>436</v>
      </c>
      <c r="G211" s="3" t="s">
        <v>437</v>
      </c>
      <c r="H211" s="4">
        <f>SUMIFS(Tab_01.Jan[SALDO
ATUAL],Tab_01.Jan[CONTA],$F211)</f>
        <v>13434.9</v>
      </c>
      <c r="I211" s="4">
        <f>SUMIFS(Tab_02.Fev[SALDO
ATUAL],Tab_02.Fev[CONTA],$F211)</f>
        <v>30560.52</v>
      </c>
      <c r="J211" s="4">
        <f>SUMIFS(Tab_03.Mar[SALDO
ATUAL],Tab_03.Mar[CONTA],$F211)</f>
        <v>50448.83</v>
      </c>
      <c r="K211" s="4">
        <f>SUMIFS(Tab_04.Abr[SALDO
ATUAL],Tab_04.Abr[CONTA],$F211)</f>
        <v>69437.960000000006</v>
      </c>
      <c r="L211" s="4">
        <f>SUMIFS(Tab_05.Mai[SALDO
ATUAL],Tab_05.Mai[CONTA],$F211)</f>
        <v>89987.74</v>
      </c>
      <c r="M211" s="4">
        <f>SUMIFS(Tab_06.Jun[SALDO
ATUAL],Tab_06.Jun[CONTA],$F211)</f>
        <v>104991.49</v>
      </c>
      <c r="N211" s="4">
        <f>SUMIFS(Tab_07.Jul[SALDO
ATUAL],Tab_07.Jul[CONTA],$F211)</f>
        <v>114927.93</v>
      </c>
      <c r="O211" s="4">
        <f>SUMIFS(Tab_08.Ago[SALDO
ATUAL],Tab_08.Ago[CONTA],$F211)</f>
        <v>127885.04</v>
      </c>
      <c r="P211" s="4">
        <f>SUMIFS(Tab_09.Set[SALDO
ATUAL],Tab_09.Set[CONTA],$F211)</f>
        <v>149766.78</v>
      </c>
      <c r="Q211" s="4">
        <f>SUMIFS(Tab_10.Out[SALDO
ATUAL],Tab_10.Out[CONTA],$F211)</f>
        <v>160642.68</v>
      </c>
      <c r="R211" s="4">
        <f>SUMIFS(Tab_11.Nov[SALDO
ATUAL],Tab_11.Nov[CONTA],$F211)</f>
        <v>175882.43</v>
      </c>
      <c r="S211" s="4">
        <f>SUMIFS(Tab_12.Dez[SALDO
ATUAL],Tab_12.Dez[CONTA],$F211)</f>
        <v>192150.03</v>
      </c>
    </row>
    <row r="212" spans="2:19" x14ac:dyDescent="0.3">
      <c r="B212" s="3" t="s">
        <v>104</v>
      </c>
      <c r="C212" s="2" t="str">
        <f t="shared" si="14"/>
        <v>C</v>
      </c>
      <c r="D212" s="2" t="str">
        <f t="shared" si="15"/>
        <v>A</v>
      </c>
      <c r="E212" s="2">
        <f t="shared" si="16"/>
        <v>5</v>
      </c>
      <c r="F212" s="3" t="s">
        <v>438</v>
      </c>
      <c r="G212" s="3" t="s">
        <v>196</v>
      </c>
      <c r="H212" s="4">
        <f>SUMIFS(Tab_01.Jan[SALDO
ATUAL],Tab_01.Jan[CONTA],$F212)</f>
        <v>2354.0700000000002</v>
      </c>
      <c r="I212" s="4">
        <f>SUMIFS(Tab_02.Fev[SALDO
ATUAL],Tab_02.Fev[CONTA],$F212)</f>
        <v>5921.7</v>
      </c>
      <c r="J212" s="4">
        <f>SUMIFS(Tab_03.Mar[SALDO
ATUAL],Tab_03.Mar[CONTA],$F212)</f>
        <v>10113.6</v>
      </c>
      <c r="K212" s="4">
        <f>SUMIFS(Tab_04.Abr[SALDO
ATUAL],Tab_04.Abr[CONTA],$F212)</f>
        <v>14412.32</v>
      </c>
      <c r="L212" s="4">
        <f>SUMIFS(Tab_05.Mai[SALDO
ATUAL],Tab_05.Mai[CONTA],$F212)</f>
        <v>18856.099999999999</v>
      </c>
      <c r="M212" s="4">
        <f>SUMIFS(Tab_06.Jun[SALDO
ATUAL],Tab_06.Jun[CONTA],$F212)</f>
        <v>22010.29</v>
      </c>
      <c r="N212" s="4">
        <f>SUMIFS(Tab_07.Jul[SALDO
ATUAL],Tab_07.Jul[CONTA],$F212)</f>
        <v>24854.71</v>
      </c>
      <c r="O212" s="4">
        <f>SUMIFS(Tab_08.Ago[SALDO
ATUAL],Tab_08.Ago[CONTA],$F212)</f>
        <v>29100.04</v>
      </c>
      <c r="P212" s="4">
        <f>SUMIFS(Tab_09.Set[SALDO
ATUAL],Tab_09.Set[CONTA],$F212)</f>
        <v>35584.75</v>
      </c>
      <c r="Q212" s="4">
        <f>SUMIFS(Tab_10.Out[SALDO
ATUAL],Tab_10.Out[CONTA],$F212)</f>
        <v>39213.47</v>
      </c>
      <c r="R212" s="4">
        <f>SUMIFS(Tab_11.Nov[SALDO
ATUAL],Tab_11.Nov[CONTA],$F212)</f>
        <v>43762.63</v>
      </c>
      <c r="S212" s="4">
        <f>SUMIFS(Tab_12.Dez[SALDO
ATUAL],Tab_12.Dez[CONTA],$F212)</f>
        <v>48618.61</v>
      </c>
    </row>
    <row r="213" spans="2:19" x14ac:dyDescent="0.3">
      <c r="B213" s="3" t="s">
        <v>104</v>
      </c>
      <c r="C213" s="2" t="str">
        <f t="shared" si="14"/>
        <v>C</v>
      </c>
      <c r="D213" s="2" t="str">
        <f t="shared" si="15"/>
        <v>A</v>
      </c>
      <c r="E213" s="2">
        <f t="shared" si="16"/>
        <v>5</v>
      </c>
      <c r="F213" s="3" t="s">
        <v>439</v>
      </c>
      <c r="G213" s="3" t="s">
        <v>440</v>
      </c>
      <c r="H213" s="4">
        <f>SUMIFS(Tab_01.Jan[SALDO
ATUAL],Tab_01.Jan[CONTA],$F213)</f>
        <v>645.88</v>
      </c>
      <c r="I213" s="4">
        <f>SUMIFS(Tab_02.Fev[SALDO
ATUAL],Tab_02.Fev[CONTA],$F213)</f>
        <v>904.04</v>
      </c>
      <c r="J213" s="4">
        <f>SUMIFS(Tab_03.Mar[SALDO
ATUAL],Tab_03.Mar[CONTA],$F213)</f>
        <v>1618.31</v>
      </c>
      <c r="K213" s="4">
        <f>SUMIFS(Tab_04.Abr[SALDO
ATUAL],Tab_04.Abr[CONTA],$F213)</f>
        <v>2304.48</v>
      </c>
      <c r="L213" s="4">
        <f>SUMIFS(Tab_05.Mai[SALDO
ATUAL],Tab_05.Mai[CONTA],$F213)</f>
        <v>3067.01</v>
      </c>
      <c r="M213" s="4">
        <f>SUMIFS(Tab_06.Jun[SALDO
ATUAL],Tab_06.Jun[CONTA],$F213)</f>
        <v>3608.68</v>
      </c>
      <c r="N213" s="4">
        <f>SUMIFS(Tab_07.Jul[SALDO
ATUAL],Tab_07.Jul[CONTA],$F213)</f>
        <v>3979.45</v>
      </c>
      <c r="O213" s="4">
        <f>SUMIFS(Tab_08.Ago[SALDO
ATUAL],Tab_08.Ago[CONTA],$F213)</f>
        <v>4583.2299999999996</v>
      </c>
      <c r="P213" s="4">
        <f>SUMIFS(Tab_09.Set[SALDO
ATUAL],Tab_09.Set[CONTA],$F213)</f>
        <v>5235.96</v>
      </c>
      <c r="Q213" s="4">
        <f>SUMIFS(Tab_10.Out[SALDO
ATUAL],Tab_10.Out[CONTA],$F213)</f>
        <v>5689.57</v>
      </c>
      <c r="R213" s="4">
        <f>SUMIFS(Tab_11.Nov[SALDO
ATUAL],Tab_11.Nov[CONTA],$F213)</f>
        <v>6258.22</v>
      </c>
      <c r="S213" s="4">
        <f>SUMIFS(Tab_12.Dez[SALDO
ATUAL],Tab_12.Dez[CONTA],$F213)</f>
        <v>6792.01</v>
      </c>
    </row>
    <row r="214" spans="2:19" x14ac:dyDescent="0.3">
      <c r="B214" s="3"/>
      <c r="C214" s="2" t="str">
        <f t="shared" si="14"/>
        <v>C</v>
      </c>
      <c r="D214" s="2" t="str">
        <f t="shared" si="15"/>
        <v>S</v>
      </c>
      <c r="E214" s="2">
        <f t="shared" si="16"/>
        <v>5</v>
      </c>
      <c r="F214" s="3" t="s">
        <v>592</v>
      </c>
      <c r="G214" s="3" t="s">
        <v>699</v>
      </c>
      <c r="H214" s="4">
        <f>SUMIFS(Tab_01.Jan[SALDO
ATUAL],Tab_01.Jan[CONTA],$F214)</f>
        <v>2235.4699999999998</v>
      </c>
      <c r="I214" s="4">
        <f>SUMIFS(Tab_02.Fev[SALDO
ATUAL],Tab_02.Fev[CONTA],$F214)</f>
        <v>2235.4699999999998</v>
      </c>
      <c r="J214" s="4">
        <f>SUMIFS(Tab_03.Mar[SALDO
ATUAL],Tab_03.Mar[CONTA],$F214)</f>
        <v>5788.26</v>
      </c>
      <c r="K214" s="4">
        <f>SUMIFS(Tab_04.Abr[SALDO
ATUAL],Tab_04.Abr[CONTA],$F214)</f>
        <v>6378.77</v>
      </c>
      <c r="L214" s="4">
        <f>SUMIFS(Tab_05.Mai[SALDO
ATUAL],Tab_05.Mai[CONTA],$F214)</f>
        <v>6378.77</v>
      </c>
      <c r="M214" s="4">
        <f>SUMIFS(Tab_06.Jun[SALDO
ATUAL],Tab_06.Jun[CONTA],$F214)</f>
        <v>8031.9</v>
      </c>
      <c r="N214" s="4">
        <f>SUMIFS(Tab_07.Jul[SALDO
ATUAL],Tab_07.Jul[CONTA],$F214)</f>
        <v>9743.5</v>
      </c>
      <c r="O214" s="4">
        <f>SUMIFS(Tab_08.Ago[SALDO
ATUAL],Tab_08.Ago[CONTA],$F214)</f>
        <v>9743.5</v>
      </c>
      <c r="P214" s="4">
        <f>SUMIFS(Tab_09.Set[SALDO
ATUAL],Tab_09.Set[CONTA],$F214)</f>
        <v>10362.82</v>
      </c>
      <c r="Q214" s="4">
        <f>SUMIFS(Tab_10.Out[SALDO
ATUAL],Tab_10.Out[CONTA],$F214)</f>
        <v>12548.87</v>
      </c>
      <c r="R214" s="4">
        <f>SUMIFS(Tab_11.Nov[SALDO
ATUAL],Tab_11.Nov[CONTA],$F214)</f>
        <v>12548.87</v>
      </c>
      <c r="S214" s="4">
        <f>SUMIFS(Tab_12.Dez[SALDO
ATUAL],Tab_12.Dez[CONTA],$F214)</f>
        <v>13908.39</v>
      </c>
    </row>
    <row r="215" spans="2:19" x14ac:dyDescent="0.3">
      <c r="B215" s="3" t="s">
        <v>103</v>
      </c>
      <c r="C215" s="2" t="str">
        <f t="shared" si="14"/>
        <v>C</v>
      </c>
      <c r="D215" s="2" t="str">
        <f t="shared" si="15"/>
        <v>A</v>
      </c>
      <c r="E215" s="2">
        <f t="shared" si="16"/>
        <v>5</v>
      </c>
      <c r="F215" s="3" t="s">
        <v>397</v>
      </c>
      <c r="G215" s="3" t="s">
        <v>398</v>
      </c>
      <c r="H215" s="4">
        <f>SUMIFS(Tab_01.Jan[SALDO
ATUAL],Tab_01.Jan[CONTA],$F215)</f>
        <v>2235.4699999999998</v>
      </c>
      <c r="I215" s="4">
        <f>SUMIFS(Tab_02.Fev[SALDO
ATUAL],Tab_02.Fev[CONTA],$F215)</f>
        <v>2235.4699999999998</v>
      </c>
      <c r="J215" s="4">
        <f>SUMIFS(Tab_03.Mar[SALDO
ATUAL],Tab_03.Mar[CONTA],$F215)</f>
        <v>5788.26</v>
      </c>
      <c r="K215" s="4">
        <f>SUMIFS(Tab_04.Abr[SALDO
ATUAL],Tab_04.Abr[CONTA],$F215)</f>
        <v>6378.77</v>
      </c>
      <c r="L215" s="4">
        <f>SUMIFS(Tab_05.Mai[SALDO
ATUAL],Tab_05.Mai[CONTA],$F215)</f>
        <v>6378.77</v>
      </c>
      <c r="M215" s="4">
        <f>SUMIFS(Tab_06.Jun[SALDO
ATUAL],Tab_06.Jun[CONTA],$F215)</f>
        <v>8031.9</v>
      </c>
      <c r="N215" s="4">
        <f>SUMIFS(Tab_07.Jul[SALDO
ATUAL],Tab_07.Jul[CONTA],$F215)</f>
        <v>9743.5</v>
      </c>
      <c r="O215" s="4">
        <f>SUMIFS(Tab_08.Ago[SALDO
ATUAL],Tab_08.Ago[CONTA],$F215)</f>
        <v>9743.5</v>
      </c>
      <c r="P215" s="4">
        <f>SUMIFS(Tab_09.Set[SALDO
ATUAL],Tab_09.Set[CONTA],$F215)</f>
        <v>9768.99</v>
      </c>
      <c r="Q215" s="4">
        <f>SUMIFS(Tab_10.Out[SALDO
ATUAL],Tab_10.Out[CONTA],$F215)</f>
        <v>10917.24</v>
      </c>
      <c r="R215" s="4">
        <f>SUMIFS(Tab_11.Nov[SALDO
ATUAL],Tab_11.Nov[CONTA],$F215)</f>
        <v>10917.24</v>
      </c>
      <c r="S215" s="4">
        <f>SUMIFS(Tab_12.Dez[SALDO
ATUAL],Tab_12.Dez[CONTA],$F215)</f>
        <v>12276.76</v>
      </c>
    </row>
    <row r="216" spans="2:19" x14ac:dyDescent="0.3">
      <c r="B216" s="3" t="s">
        <v>103</v>
      </c>
      <c r="C216" s="2" t="str">
        <f t="shared" si="14"/>
        <v>C</v>
      </c>
      <c r="D216" s="2" t="str">
        <f t="shared" si="15"/>
        <v>A</v>
      </c>
      <c r="E216" s="2">
        <f t="shared" si="16"/>
        <v>5</v>
      </c>
      <c r="F216" s="3" t="s">
        <v>399</v>
      </c>
      <c r="G216" s="3" t="s">
        <v>400</v>
      </c>
      <c r="H216" s="4">
        <f>SUMIFS(Tab_01.Jan[SALDO
ATUAL],Tab_01.Jan[CONTA],$F216)</f>
        <v>0</v>
      </c>
      <c r="I216" s="4">
        <f>SUMIFS(Tab_02.Fev[SALDO
ATUAL],Tab_02.Fev[CONTA],$F216)</f>
        <v>0</v>
      </c>
      <c r="J216" s="4">
        <f>SUMIFS(Tab_03.Mar[SALDO
ATUAL],Tab_03.Mar[CONTA],$F216)</f>
        <v>0</v>
      </c>
      <c r="K216" s="4">
        <f>SUMIFS(Tab_04.Abr[SALDO
ATUAL],Tab_04.Abr[CONTA],$F216)</f>
        <v>0</v>
      </c>
      <c r="L216" s="4">
        <f>SUMIFS(Tab_05.Mai[SALDO
ATUAL],Tab_05.Mai[CONTA],$F216)</f>
        <v>0</v>
      </c>
      <c r="M216" s="4">
        <f>SUMIFS(Tab_06.Jun[SALDO
ATUAL],Tab_06.Jun[CONTA],$F216)</f>
        <v>0</v>
      </c>
      <c r="N216" s="4">
        <f>SUMIFS(Tab_07.Jul[SALDO
ATUAL],Tab_07.Jul[CONTA],$F216)</f>
        <v>0</v>
      </c>
      <c r="O216" s="4">
        <f>SUMIFS(Tab_08.Ago[SALDO
ATUAL],Tab_08.Ago[CONTA],$F216)</f>
        <v>0</v>
      </c>
      <c r="P216" s="4">
        <f>SUMIFS(Tab_09.Set[SALDO
ATUAL],Tab_09.Set[CONTA],$F216)</f>
        <v>593.83000000000004</v>
      </c>
      <c r="Q216" s="4">
        <f>SUMIFS(Tab_10.Out[SALDO
ATUAL],Tab_10.Out[CONTA],$F216)</f>
        <v>1631.63</v>
      </c>
      <c r="R216" s="4">
        <f>SUMIFS(Tab_11.Nov[SALDO
ATUAL],Tab_11.Nov[CONTA],$F216)</f>
        <v>1631.63</v>
      </c>
      <c r="S216" s="4">
        <f>SUMIFS(Tab_12.Dez[SALDO
ATUAL],Tab_12.Dez[CONTA],$F216)</f>
        <v>1631.63</v>
      </c>
    </row>
    <row r="217" spans="2:19" x14ac:dyDescent="0.3">
      <c r="B217" s="3" t="s">
        <v>103</v>
      </c>
      <c r="C217" s="2" t="str">
        <f t="shared" si="14"/>
        <v>C</v>
      </c>
      <c r="D217" s="2" t="str">
        <f t="shared" si="15"/>
        <v>A</v>
      </c>
      <c r="E217" s="2">
        <f t="shared" si="16"/>
        <v>5</v>
      </c>
      <c r="F217" s="3" t="s">
        <v>401</v>
      </c>
      <c r="G217" s="3" t="s">
        <v>402</v>
      </c>
      <c r="H217" s="4">
        <f>SUMIFS(Tab_01.Jan[SALDO
ATUAL],Tab_01.Jan[CONTA],$F217)</f>
        <v>0</v>
      </c>
      <c r="I217" s="4">
        <f>SUMIFS(Tab_02.Fev[SALDO
ATUAL],Tab_02.Fev[CONTA],$F217)</f>
        <v>0</v>
      </c>
      <c r="J217" s="4">
        <f>SUMIFS(Tab_03.Mar[SALDO
ATUAL],Tab_03.Mar[CONTA],$F217)</f>
        <v>0</v>
      </c>
      <c r="K217" s="4">
        <f>SUMIFS(Tab_04.Abr[SALDO
ATUAL],Tab_04.Abr[CONTA],$F217)</f>
        <v>0</v>
      </c>
      <c r="L217" s="4">
        <f>SUMIFS(Tab_05.Mai[SALDO
ATUAL],Tab_05.Mai[CONTA],$F217)</f>
        <v>0</v>
      </c>
      <c r="M217" s="4">
        <f>SUMIFS(Tab_06.Jun[SALDO
ATUAL],Tab_06.Jun[CONTA],$F217)</f>
        <v>0</v>
      </c>
      <c r="N217" s="4">
        <f>SUMIFS(Tab_07.Jul[SALDO
ATUAL],Tab_07.Jul[CONTA],$F217)</f>
        <v>0</v>
      </c>
      <c r="O217" s="4">
        <f>SUMIFS(Tab_08.Ago[SALDO
ATUAL],Tab_08.Ago[CONTA],$F217)</f>
        <v>0</v>
      </c>
      <c r="P217" s="4">
        <f>SUMIFS(Tab_09.Set[SALDO
ATUAL],Tab_09.Set[CONTA],$F217)</f>
        <v>0</v>
      </c>
      <c r="Q217" s="4">
        <f>SUMIFS(Tab_10.Out[SALDO
ATUAL],Tab_10.Out[CONTA],$F217)</f>
        <v>0</v>
      </c>
      <c r="R217" s="4">
        <f>SUMIFS(Tab_11.Nov[SALDO
ATUAL],Tab_11.Nov[CONTA],$F217)</f>
        <v>0</v>
      </c>
      <c r="S217" s="4">
        <f>SUMIFS(Tab_12.Dez[SALDO
ATUAL],Tab_12.Dez[CONTA],$F217)</f>
        <v>0</v>
      </c>
    </row>
    <row r="218" spans="2:19" x14ac:dyDescent="0.3">
      <c r="B218" s="3"/>
      <c r="C218" s="2" t="str">
        <f t="shared" si="14"/>
        <v>C</v>
      </c>
      <c r="D218" s="2" t="str">
        <f t="shared" si="15"/>
        <v>S</v>
      </c>
      <c r="E218" s="2">
        <f t="shared" si="16"/>
        <v>5</v>
      </c>
      <c r="F218" s="3" t="s">
        <v>593</v>
      </c>
      <c r="G218" s="3" t="s">
        <v>700</v>
      </c>
      <c r="H218" s="4">
        <f>SUMIFS(Tab_01.Jan[SALDO
ATUAL],Tab_01.Jan[CONTA],$F218)</f>
        <v>34180.15</v>
      </c>
      <c r="I218" s="4">
        <f>SUMIFS(Tab_02.Fev[SALDO
ATUAL],Tab_02.Fev[CONTA],$F218)</f>
        <v>64030.64</v>
      </c>
      <c r="J218" s="4">
        <f>SUMIFS(Tab_03.Mar[SALDO
ATUAL],Tab_03.Mar[CONTA],$F218)</f>
        <v>95206.93</v>
      </c>
      <c r="K218" s="4">
        <f>SUMIFS(Tab_04.Abr[SALDO
ATUAL],Tab_04.Abr[CONTA],$F218)</f>
        <v>133712.89000000001</v>
      </c>
      <c r="L218" s="4">
        <f>SUMIFS(Tab_05.Mai[SALDO
ATUAL],Tab_05.Mai[CONTA],$F218)</f>
        <v>175168.85</v>
      </c>
      <c r="M218" s="4">
        <f>SUMIFS(Tab_06.Jun[SALDO
ATUAL],Tab_06.Jun[CONTA],$F218)</f>
        <v>213723.01</v>
      </c>
      <c r="N218" s="4">
        <f>SUMIFS(Tab_07.Jul[SALDO
ATUAL],Tab_07.Jul[CONTA],$F218)</f>
        <v>245698.97</v>
      </c>
      <c r="O218" s="4">
        <f>SUMIFS(Tab_08.Ago[SALDO
ATUAL],Tab_08.Ago[CONTA],$F218)</f>
        <v>283759.93</v>
      </c>
      <c r="P218" s="4">
        <f>SUMIFS(Tab_09.Set[SALDO
ATUAL],Tab_09.Set[CONTA],$F218)</f>
        <v>321220.69</v>
      </c>
      <c r="Q218" s="4">
        <f>SUMIFS(Tab_10.Out[SALDO
ATUAL],Tab_10.Out[CONTA],$F218)</f>
        <v>353386.65</v>
      </c>
      <c r="R218" s="4">
        <f>SUMIFS(Tab_11.Nov[SALDO
ATUAL],Tab_11.Nov[CONTA],$F218)</f>
        <v>398262.2</v>
      </c>
      <c r="S218" s="4">
        <f>SUMIFS(Tab_12.Dez[SALDO
ATUAL],Tab_12.Dez[CONTA],$F218)</f>
        <v>425568.16</v>
      </c>
    </row>
    <row r="219" spans="2:19" x14ac:dyDescent="0.3">
      <c r="B219" s="3" t="s">
        <v>103</v>
      </c>
      <c r="C219" s="2" t="str">
        <f t="shared" si="14"/>
        <v>C</v>
      </c>
      <c r="D219" s="2" t="str">
        <f t="shared" si="15"/>
        <v>A</v>
      </c>
      <c r="E219" s="2">
        <f t="shared" si="16"/>
        <v>5</v>
      </c>
      <c r="F219" s="3" t="s">
        <v>403</v>
      </c>
      <c r="G219" s="3" t="s">
        <v>404</v>
      </c>
      <c r="H219" s="4">
        <f>SUMIFS(Tab_01.Jan[SALDO
ATUAL],Tab_01.Jan[CONTA],$F219)</f>
        <v>4135.96</v>
      </c>
      <c r="I219" s="4">
        <f>SUMIFS(Tab_02.Fev[SALDO
ATUAL],Tab_02.Fev[CONTA],$F219)</f>
        <v>8271.92</v>
      </c>
      <c r="J219" s="4">
        <f>SUMIFS(Tab_03.Mar[SALDO
ATUAL],Tab_03.Mar[CONTA],$F219)</f>
        <v>12407.88</v>
      </c>
      <c r="K219" s="4">
        <f>SUMIFS(Tab_04.Abr[SALDO
ATUAL],Tab_04.Abr[CONTA],$F219)</f>
        <v>16543.84</v>
      </c>
      <c r="L219" s="4">
        <f>SUMIFS(Tab_05.Mai[SALDO
ATUAL],Tab_05.Mai[CONTA],$F219)</f>
        <v>20679.8</v>
      </c>
      <c r="M219" s="4">
        <f>SUMIFS(Tab_06.Jun[SALDO
ATUAL],Tab_06.Jun[CONTA],$F219)</f>
        <v>24815.759999999998</v>
      </c>
      <c r="N219" s="4">
        <f>SUMIFS(Tab_07.Jul[SALDO
ATUAL],Tab_07.Jul[CONTA],$F219)</f>
        <v>28951.72</v>
      </c>
      <c r="O219" s="4">
        <f>SUMIFS(Tab_08.Ago[SALDO
ATUAL],Tab_08.Ago[CONTA],$F219)</f>
        <v>33892.68</v>
      </c>
      <c r="P219" s="4">
        <f>SUMIFS(Tab_09.Set[SALDO
ATUAL],Tab_09.Set[CONTA],$F219)</f>
        <v>39293.440000000002</v>
      </c>
      <c r="Q219" s="4">
        <f>SUMIFS(Tab_10.Out[SALDO
ATUAL],Tab_10.Out[CONTA],$F219)</f>
        <v>43709.4</v>
      </c>
      <c r="R219" s="4">
        <f>SUMIFS(Tab_11.Nov[SALDO
ATUAL],Tab_11.Nov[CONTA],$F219)</f>
        <v>48374.95</v>
      </c>
      <c r="S219" s="4">
        <f>SUMIFS(Tab_12.Dez[SALDO
ATUAL],Tab_12.Dez[CONTA],$F219)</f>
        <v>52960.91</v>
      </c>
    </row>
    <row r="220" spans="2:19" x14ac:dyDescent="0.3">
      <c r="B220" s="3" t="s">
        <v>103</v>
      </c>
      <c r="C220" s="2" t="str">
        <f t="shared" si="14"/>
        <v>C</v>
      </c>
      <c r="D220" s="2" t="str">
        <f t="shared" si="15"/>
        <v>A</v>
      </c>
      <c r="E220" s="2">
        <f t="shared" si="16"/>
        <v>5</v>
      </c>
      <c r="F220" s="3" t="s">
        <v>405</v>
      </c>
      <c r="G220" s="3" t="s">
        <v>406</v>
      </c>
      <c r="H220" s="4">
        <f>SUMIFS(Tab_01.Jan[SALDO
ATUAL],Tab_01.Jan[CONTA],$F220)</f>
        <v>27797</v>
      </c>
      <c r="I220" s="4">
        <f>SUMIFS(Tab_02.Fev[SALDO
ATUAL],Tab_02.Fev[CONTA],$F220)</f>
        <v>53137</v>
      </c>
      <c r="J220" s="4">
        <f>SUMIFS(Tab_03.Mar[SALDO
ATUAL],Tab_03.Mar[CONTA],$F220)</f>
        <v>76447</v>
      </c>
      <c r="K220" s="4">
        <f>SUMIFS(Tab_04.Abr[SALDO
ATUAL],Tab_04.Abr[CONTA],$F220)</f>
        <v>107817</v>
      </c>
      <c r="L220" s="4">
        <f>SUMIFS(Tab_05.Mai[SALDO
ATUAL],Tab_05.Mai[CONTA],$F220)</f>
        <v>139137</v>
      </c>
      <c r="M220" s="4">
        <f>SUMIFS(Tab_06.Jun[SALDO
ATUAL],Tab_06.Jun[CONTA],$F220)</f>
        <v>168542</v>
      </c>
      <c r="N220" s="4">
        <f>SUMIFS(Tab_07.Jul[SALDO
ATUAL],Tab_07.Jul[CONTA],$F220)</f>
        <v>196382</v>
      </c>
      <c r="O220" s="4">
        <f>SUMIFS(Tab_08.Ago[SALDO
ATUAL],Tab_08.Ago[CONTA],$F220)</f>
        <v>229502</v>
      </c>
      <c r="P220" s="4">
        <f>SUMIFS(Tab_09.Set[SALDO
ATUAL],Tab_09.Set[CONTA],$F220)</f>
        <v>261562</v>
      </c>
      <c r="Q220" s="4">
        <f>SUMIFS(Tab_10.Out[SALDO
ATUAL],Tab_10.Out[CONTA],$F220)</f>
        <v>289312</v>
      </c>
      <c r="R220" s="4">
        <f>SUMIFS(Tab_11.Nov[SALDO
ATUAL],Tab_11.Nov[CONTA],$F220)</f>
        <v>329522</v>
      </c>
      <c r="S220" s="4">
        <f>SUMIFS(Tab_12.Dez[SALDO
ATUAL],Tab_12.Dez[CONTA],$F220)</f>
        <v>352242</v>
      </c>
    </row>
    <row r="221" spans="2:19" x14ac:dyDescent="0.3">
      <c r="B221" s="3" t="s">
        <v>103</v>
      </c>
      <c r="C221" s="2" t="str">
        <f t="shared" si="14"/>
        <v>C</v>
      </c>
      <c r="D221" s="2" t="str">
        <f t="shared" si="15"/>
        <v>A</v>
      </c>
      <c r="E221" s="2">
        <f t="shared" si="16"/>
        <v>5</v>
      </c>
      <c r="F221" s="3" t="s">
        <v>407</v>
      </c>
      <c r="G221" s="3" t="s">
        <v>408</v>
      </c>
      <c r="H221" s="4">
        <f>SUMIFS(Tab_01.Jan[SALDO
ATUAL],Tab_01.Jan[CONTA],$F221)</f>
        <v>2247.19</v>
      </c>
      <c r="I221" s="4">
        <f>SUMIFS(Tab_02.Fev[SALDO
ATUAL],Tab_02.Fev[CONTA],$F221)</f>
        <v>2621.72</v>
      </c>
      <c r="J221" s="4">
        <f>SUMIFS(Tab_03.Mar[SALDO
ATUAL],Tab_03.Mar[CONTA],$F221)</f>
        <v>6352.05</v>
      </c>
      <c r="K221" s="4">
        <f>SUMIFS(Tab_04.Abr[SALDO
ATUAL],Tab_04.Abr[CONTA],$F221)</f>
        <v>9352.0499999999993</v>
      </c>
      <c r="L221" s="4">
        <f>SUMIFS(Tab_05.Mai[SALDO
ATUAL],Tab_05.Mai[CONTA],$F221)</f>
        <v>15352.05</v>
      </c>
      <c r="M221" s="4">
        <f>SUMIFS(Tab_06.Jun[SALDO
ATUAL],Tab_06.Jun[CONTA],$F221)</f>
        <v>20365.25</v>
      </c>
      <c r="N221" s="4">
        <f>SUMIFS(Tab_07.Jul[SALDO
ATUAL],Tab_07.Jul[CONTA],$F221)</f>
        <v>20365.25</v>
      </c>
      <c r="O221" s="4">
        <f>SUMIFS(Tab_08.Ago[SALDO
ATUAL],Tab_08.Ago[CONTA],$F221)</f>
        <v>20365.25</v>
      </c>
      <c r="P221" s="4">
        <f>SUMIFS(Tab_09.Set[SALDO
ATUAL],Tab_09.Set[CONTA],$F221)</f>
        <v>20365.25</v>
      </c>
      <c r="Q221" s="4">
        <f>SUMIFS(Tab_10.Out[SALDO
ATUAL],Tab_10.Out[CONTA],$F221)</f>
        <v>20365.25</v>
      </c>
      <c r="R221" s="4">
        <f>SUMIFS(Tab_11.Nov[SALDO
ATUAL],Tab_11.Nov[CONTA],$F221)</f>
        <v>20365.25</v>
      </c>
      <c r="S221" s="4">
        <f>SUMIFS(Tab_12.Dez[SALDO
ATUAL],Tab_12.Dez[CONTA],$F221)</f>
        <v>20365.25</v>
      </c>
    </row>
    <row r="222" spans="2:19" x14ac:dyDescent="0.3">
      <c r="B222" s="3" t="s">
        <v>103</v>
      </c>
      <c r="C222" s="2" t="str">
        <f t="shared" si="14"/>
        <v>C</v>
      </c>
      <c r="D222" s="2" t="str">
        <f t="shared" si="15"/>
        <v>A</v>
      </c>
      <c r="E222" s="2">
        <f t="shared" si="16"/>
        <v>5</v>
      </c>
      <c r="F222" s="3" t="s">
        <v>409</v>
      </c>
      <c r="G222" s="3" t="s">
        <v>410</v>
      </c>
      <c r="H222" s="4">
        <f>SUMIFS(Tab_01.Jan[SALDO
ATUAL],Tab_01.Jan[CONTA],$F222)</f>
        <v>0</v>
      </c>
      <c r="I222" s="4">
        <f>SUMIFS(Tab_02.Fev[SALDO
ATUAL],Tab_02.Fev[CONTA],$F222)</f>
        <v>0</v>
      </c>
      <c r="J222" s="4">
        <f>SUMIFS(Tab_03.Mar[SALDO
ATUAL],Tab_03.Mar[CONTA],$F222)</f>
        <v>0</v>
      </c>
      <c r="K222" s="4">
        <f>SUMIFS(Tab_04.Abr[SALDO
ATUAL],Tab_04.Abr[CONTA],$F222)</f>
        <v>0</v>
      </c>
      <c r="L222" s="4">
        <f>SUMIFS(Tab_05.Mai[SALDO
ATUAL],Tab_05.Mai[CONTA],$F222)</f>
        <v>0</v>
      </c>
      <c r="M222" s="4">
        <f>SUMIFS(Tab_06.Jun[SALDO
ATUAL],Tab_06.Jun[CONTA],$F222)</f>
        <v>0</v>
      </c>
      <c r="N222" s="4">
        <f>SUMIFS(Tab_07.Jul[SALDO
ATUAL],Tab_07.Jul[CONTA],$F222)</f>
        <v>0</v>
      </c>
      <c r="O222" s="4">
        <f>SUMIFS(Tab_08.Ago[SALDO
ATUAL],Tab_08.Ago[CONTA],$F222)</f>
        <v>0</v>
      </c>
      <c r="P222" s="4">
        <f>SUMIFS(Tab_09.Set[SALDO
ATUAL],Tab_09.Set[CONTA],$F222)</f>
        <v>0</v>
      </c>
      <c r="Q222" s="4">
        <f>SUMIFS(Tab_10.Out[SALDO
ATUAL],Tab_10.Out[CONTA],$F222)</f>
        <v>0</v>
      </c>
      <c r="R222" s="4">
        <f>SUMIFS(Tab_11.Nov[SALDO
ATUAL],Tab_11.Nov[CONTA],$F222)</f>
        <v>0</v>
      </c>
      <c r="S222" s="4">
        <f>SUMIFS(Tab_12.Dez[SALDO
ATUAL],Tab_12.Dez[CONTA],$F222)</f>
        <v>0</v>
      </c>
    </row>
    <row r="223" spans="2:19" x14ac:dyDescent="0.3">
      <c r="B223" s="3"/>
      <c r="C223" s="2" t="str">
        <f t="shared" si="14"/>
        <v>C</v>
      </c>
      <c r="D223" s="2" t="str">
        <f t="shared" si="15"/>
        <v>S</v>
      </c>
      <c r="E223" s="2">
        <f t="shared" si="16"/>
        <v>5</v>
      </c>
      <c r="F223" s="3" t="s">
        <v>594</v>
      </c>
      <c r="G223" s="3" t="s">
        <v>701</v>
      </c>
      <c r="H223" s="4">
        <f>SUMIFS(Tab_01.Jan[SALDO
ATUAL],Tab_01.Jan[CONTA],$F223)</f>
        <v>18235.75</v>
      </c>
      <c r="I223" s="4">
        <f>SUMIFS(Tab_02.Fev[SALDO
ATUAL],Tab_02.Fev[CONTA],$F223)</f>
        <v>30043.1</v>
      </c>
      <c r="J223" s="4">
        <f>SUMIFS(Tab_03.Mar[SALDO
ATUAL],Tab_03.Mar[CONTA],$F223)</f>
        <v>43531.87</v>
      </c>
      <c r="K223" s="4">
        <f>SUMIFS(Tab_04.Abr[SALDO
ATUAL],Tab_04.Abr[CONTA],$F223)</f>
        <v>60148.480000000003</v>
      </c>
      <c r="L223" s="4">
        <f>SUMIFS(Tab_05.Mai[SALDO
ATUAL],Tab_05.Mai[CONTA],$F223)</f>
        <v>72223.539999999994</v>
      </c>
      <c r="M223" s="4">
        <f>SUMIFS(Tab_06.Jun[SALDO
ATUAL],Tab_06.Jun[CONTA],$F223)</f>
        <v>90856.76</v>
      </c>
      <c r="N223" s="4">
        <f>SUMIFS(Tab_07.Jul[SALDO
ATUAL],Tab_07.Jul[CONTA],$F223)</f>
        <v>107138.72</v>
      </c>
      <c r="O223" s="4">
        <f>SUMIFS(Tab_08.Ago[SALDO
ATUAL],Tab_08.Ago[CONTA],$F223)</f>
        <v>119908.09</v>
      </c>
      <c r="P223" s="4">
        <f>SUMIFS(Tab_09.Set[SALDO
ATUAL],Tab_09.Set[CONTA],$F223)</f>
        <v>126204.03</v>
      </c>
      <c r="Q223" s="4">
        <f>SUMIFS(Tab_10.Out[SALDO
ATUAL],Tab_10.Out[CONTA],$F223)</f>
        <v>145956.13</v>
      </c>
      <c r="R223" s="4">
        <f>SUMIFS(Tab_11.Nov[SALDO
ATUAL],Tab_11.Nov[CONTA],$F223)</f>
        <v>161035.01</v>
      </c>
      <c r="S223" s="4">
        <f>SUMIFS(Tab_12.Dez[SALDO
ATUAL],Tab_12.Dez[CONTA],$F223)</f>
        <v>171859.74</v>
      </c>
    </row>
    <row r="224" spans="2:19" x14ac:dyDescent="0.3">
      <c r="B224" s="3" t="s">
        <v>103</v>
      </c>
      <c r="C224" s="2" t="str">
        <f t="shared" si="14"/>
        <v>C</v>
      </c>
      <c r="D224" s="2" t="str">
        <f t="shared" si="15"/>
        <v>A</v>
      </c>
      <c r="E224" s="2">
        <f t="shared" si="16"/>
        <v>5</v>
      </c>
      <c r="F224" s="3" t="s">
        <v>411</v>
      </c>
      <c r="G224" s="3" t="s">
        <v>412</v>
      </c>
      <c r="H224" s="4">
        <f>SUMIFS(Tab_01.Jan[SALDO
ATUAL],Tab_01.Jan[CONTA],$F224)</f>
        <v>300</v>
      </c>
      <c r="I224" s="4">
        <f>SUMIFS(Tab_02.Fev[SALDO
ATUAL],Tab_02.Fev[CONTA],$F224)</f>
        <v>300</v>
      </c>
      <c r="J224" s="4">
        <f>SUMIFS(Tab_03.Mar[SALDO
ATUAL],Tab_03.Mar[CONTA],$F224)</f>
        <v>300</v>
      </c>
      <c r="K224" s="4">
        <f>SUMIFS(Tab_04.Abr[SALDO
ATUAL],Tab_04.Abr[CONTA],$F224)</f>
        <v>300</v>
      </c>
      <c r="L224" s="4">
        <f>SUMIFS(Tab_05.Mai[SALDO
ATUAL],Tab_05.Mai[CONTA],$F224)</f>
        <v>300</v>
      </c>
      <c r="M224" s="4">
        <f>SUMIFS(Tab_06.Jun[SALDO
ATUAL],Tab_06.Jun[CONTA],$F224)</f>
        <v>300</v>
      </c>
      <c r="N224" s="4">
        <f>SUMIFS(Tab_07.Jul[SALDO
ATUAL],Tab_07.Jul[CONTA],$F224)</f>
        <v>300</v>
      </c>
      <c r="O224" s="4">
        <f>SUMIFS(Tab_08.Ago[SALDO
ATUAL],Tab_08.Ago[CONTA],$F224)</f>
        <v>300</v>
      </c>
      <c r="P224" s="4">
        <f>SUMIFS(Tab_09.Set[SALDO
ATUAL],Tab_09.Set[CONTA],$F224)</f>
        <v>300</v>
      </c>
      <c r="Q224" s="4">
        <f>SUMIFS(Tab_10.Out[SALDO
ATUAL],Tab_10.Out[CONTA],$F224)</f>
        <v>300</v>
      </c>
      <c r="R224" s="4">
        <f>SUMIFS(Tab_11.Nov[SALDO
ATUAL],Tab_11.Nov[CONTA],$F224)</f>
        <v>300</v>
      </c>
      <c r="S224" s="4">
        <f>SUMIFS(Tab_12.Dez[SALDO
ATUAL],Tab_12.Dez[CONTA],$F224)</f>
        <v>300</v>
      </c>
    </row>
    <row r="225" spans="2:19" x14ac:dyDescent="0.3">
      <c r="B225" s="3" t="s">
        <v>103</v>
      </c>
      <c r="C225" s="2" t="str">
        <f t="shared" si="14"/>
        <v>C</v>
      </c>
      <c r="D225" s="2" t="str">
        <f t="shared" si="15"/>
        <v>A</v>
      </c>
      <c r="E225" s="2">
        <f t="shared" si="16"/>
        <v>5</v>
      </c>
      <c r="F225" s="3" t="s">
        <v>413</v>
      </c>
      <c r="G225" s="3" t="s">
        <v>414</v>
      </c>
      <c r="H225" s="4">
        <f>SUMIFS(Tab_01.Jan[SALDO
ATUAL],Tab_01.Jan[CONTA],$F225)</f>
        <v>17935.75</v>
      </c>
      <c r="I225" s="4">
        <f>SUMIFS(Tab_02.Fev[SALDO
ATUAL],Tab_02.Fev[CONTA],$F225)</f>
        <v>29743.1</v>
      </c>
      <c r="J225" s="4">
        <f>SUMIFS(Tab_03.Mar[SALDO
ATUAL],Tab_03.Mar[CONTA],$F225)</f>
        <v>43231.87</v>
      </c>
      <c r="K225" s="4">
        <f>SUMIFS(Tab_04.Abr[SALDO
ATUAL],Tab_04.Abr[CONTA],$F225)</f>
        <v>59848.480000000003</v>
      </c>
      <c r="L225" s="4">
        <f>SUMIFS(Tab_05.Mai[SALDO
ATUAL],Tab_05.Mai[CONTA],$F225)</f>
        <v>71923.539999999994</v>
      </c>
      <c r="M225" s="4">
        <f>SUMIFS(Tab_06.Jun[SALDO
ATUAL],Tab_06.Jun[CONTA],$F225)</f>
        <v>90556.76</v>
      </c>
      <c r="N225" s="4">
        <f>SUMIFS(Tab_07.Jul[SALDO
ATUAL],Tab_07.Jul[CONTA],$F225)</f>
        <v>106838.72</v>
      </c>
      <c r="O225" s="4">
        <f>SUMIFS(Tab_08.Ago[SALDO
ATUAL],Tab_08.Ago[CONTA],$F225)</f>
        <v>119608.09</v>
      </c>
      <c r="P225" s="4">
        <f>SUMIFS(Tab_09.Set[SALDO
ATUAL],Tab_09.Set[CONTA],$F225)</f>
        <v>125851.57</v>
      </c>
      <c r="Q225" s="4">
        <f>SUMIFS(Tab_10.Out[SALDO
ATUAL],Tab_10.Out[CONTA],$F225)</f>
        <v>145603.67000000001</v>
      </c>
      <c r="R225" s="4">
        <f>SUMIFS(Tab_11.Nov[SALDO
ATUAL],Tab_11.Nov[CONTA],$F225)</f>
        <v>160682.54999999999</v>
      </c>
      <c r="S225" s="4">
        <f>SUMIFS(Tab_12.Dez[SALDO
ATUAL],Tab_12.Dez[CONTA],$F225)</f>
        <v>171507.28</v>
      </c>
    </row>
    <row r="226" spans="2:19" x14ac:dyDescent="0.3">
      <c r="B226" s="3" t="s">
        <v>103</v>
      </c>
      <c r="C226" s="2" t="str">
        <f t="shared" si="14"/>
        <v>C</v>
      </c>
      <c r="D226" s="2" t="str">
        <f t="shared" si="15"/>
        <v>A</v>
      </c>
      <c r="E226" s="2">
        <f t="shared" si="16"/>
        <v>5</v>
      </c>
      <c r="F226" s="3" t="s">
        <v>415</v>
      </c>
      <c r="G226" s="3" t="s">
        <v>416</v>
      </c>
      <c r="H226" s="4">
        <f>SUMIFS(Tab_01.Jan[SALDO
ATUAL],Tab_01.Jan[CONTA],$F226)</f>
        <v>0</v>
      </c>
      <c r="I226" s="4">
        <f>SUMIFS(Tab_02.Fev[SALDO
ATUAL],Tab_02.Fev[CONTA],$F226)</f>
        <v>0</v>
      </c>
      <c r="J226" s="4">
        <f>SUMIFS(Tab_03.Mar[SALDO
ATUAL],Tab_03.Mar[CONTA],$F226)</f>
        <v>0</v>
      </c>
      <c r="K226" s="4">
        <f>SUMIFS(Tab_04.Abr[SALDO
ATUAL],Tab_04.Abr[CONTA],$F226)</f>
        <v>0</v>
      </c>
      <c r="L226" s="4">
        <f>SUMIFS(Tab_05.Mai[SALDO
ATUAL],Tab_05.Mai[CONTA],$F226)</f>
        <v>0</v>
      </c>
      <c r="M226" s="4">
        <f>SUMIFS(Tab_06.Jun[SALDO
ATUAL],Tab_06.Jun[CONTA],$F226)</f>
        <v>0</v>
      </c>
      <c r="N226" s="4">
        <f>SUMIFS(Tab_07.Jul[SALDO
ATUAL],Tab_07.Jul[CONTA],$F226)</f>
        <v>0</v>
      </c>
      <c r="O226" s="4">
        <f>SUMIFS(Tab_08.Ago[SALDO
ATUAL],Tab_08.Ago[CONTA],$F226)</f>
        <v>0</v>
      </c>
      <c r="P226" s="4">
        <f>SUMIFS(Tab_09.Set[SALDO
ATUAL],Tab_09.Set[CONTA],$F226)</f>
        <v>0</v>
      </c>
      <c r="Q226" s="4">
        <f>SUMIFS(Tab_10.Out[SALDO
ATUAL],Tab_10.Out[CONTA],$F226)</f>
        <v>0</v>
      </c>
      <c r="R226" s="4">
        <f>SUMIFS(Tab_11.Nov[SALDO
ATUAL],Tab_11.Nov[CONTA],$F226)</f>
        <v>0</v>
      </c>
      <c r="S226" s="4">
        <f>SUMIFS(Tab_12.Dez[SALDO
ATUAL],Tab_12.Dez[CONTA],$F226)</f>
        <v>0</v>
      </c>
    </row>
    <row r="227" spans="2:19" x14ac:dyDescent="0.3">
      <c r="B227" s="3" t="s">
        <v>103</v>
      </c>
      <c r="C227" s="2" t="str">
        <f t="shared" si="14"/>
        <v>C</v>
      </c>
      <c r="D227" s="2" t="str">
        <f t="shared" si="15"/>
        <v>A</v>
      </c>
      <c r="E227" s="2">
        <f t="shared" si="16"/>
        <v>5</v>
      </c>
      <c r="F227" s="3" t="s">
        <v>417</v>
      </c>
      <c r="G227" s="3" t="s">
        <v>418</v>
      </c>
      <c r="H227" s="4">
        <f>SUMIFS(Tab_01.Jan[SALDO
ATUAL],Tab_01.Jan[CONTA],$F227)</f>
        <v>0</v>
      </c>
      <c r="I227" s="4">
        <f>SUMIFS(Tab_02.Fev[SALDO
ATUAL],Tab_02.Fev[CONTA],$F227)</f>
        <v>0</v>
      </c>
      <c r="J227" s="4">
        <f>SUMIFS(Tab_03.Mar[SALDO
ATUAL],Tab_03.Mar[CONTA],$F227)</f>
        <v>0</v>
      </c>
      <c r="K227" s="4">
        <f>SUMIFS(Tab_04.Abr[SALDO
ATUAL],Tab_04.Abr[CONTA],$F227)</f>
        <v>0</v>
      </c>
      <c r="L227" s="4">
        <f>SUMIFS(Tab_05.Mai[SALDO
ATUAL],Tab_05.Mai[CONTA],$F227)</f>
        <v>0</v>
      </c>
      <c r="M227" s="4">
        <f>SUMIFS(Tab_06.Jun[SALDO
ATUAL],Tab_06.Jun[CONTA],$F227)</f>
        <v>0</v>
      </c>
      <c r="N227" s="4">
        <f>SUMIFS(Tab_07.Jul[SALDO
ATUAL],Tab_07.Jul[CONTA],$F227)</f>
        <v>0</v>
      </c>
      <c r="O227" s="4">
        <f>SUMIFS(Tab_08.Ago[SALDO
ATUAL],Tab_08.Ago[CONTA],$F227)</f>
        <v>0</v>
      </c>
      <c r="P227" s="4">
        <f>SUMIFS(Tab_09.Set[SALDO
ATUAL],Tab_09.Set[CONTA],$F227)</f>
        <v>52.46</v>
      </c>
      <c r="Q227" s="4">
        <f>SUMIFS(Tab_10.Out[SALDO
ATUAL],Tab_10.Out[CONTA],$F227)</f>
        <v>52.46</v>
      </c>
      <c r="R227" s="4">
        <f>SUMIFS(Tab_11.Nov[SALDO
ATUAL],Tab_11.Nov[CONTA],$F227)</f>
        <v>52.46</v>
      </c>
      <c r="S227" s="4">
        <f>SUMIFS(Tab_12.Dez[SALDO
ATUAL],Tab_12.Dez[CONTA],$F227)</f>
        <v>52.46</v>
      </c>
    </row>
    <row r="228" spans="2:19" x14ac:dyDescent="0.3">
      <c r="B228" s="3"/>
      <c r="C228" s="2" t="str">
        <f t="shared" si="14"/>
        <v>C</v>
      </c>
      <c r="D228" s="2" t="str">
        <f t="shared" si="15"/>
        <v>S</v>
      </c>
      <c r="E228" s="2">
        <f t="shared" si="16"/>
        <v>5</v>
      </c>
      <c r="F228" s="3" t="s">
        <v>595</v>
      </c>
      <c r="G228" s="3" t="s">
        <v>420</v>
      </c>
      <c r="H228" s="4">
        <f>SUMIFS(Tab_01.Jan[SALDO
ATUAL],Tab_01.Jan[CONTA],$F228)</f>
        <v>427.26</v>
      </c>
      <c r="I228" s="4">
        <f>SUMIFS(Tab_02.Fev[SALDO
ATUAL],Tab_02.Fev[CONTA],$F228)</f>
        <v>854.52</v>
      </c>
      <c r="J228" s="4">
        <f>SUMIFS(Tab_03.Mar[SALDO
ATUAL],Tab_03.Mar[CONTA],$F228)</f>
        <v>1281.78</v>
      </c>
      <c r="K228" s="4">
        <f>SUMIFS(Tab_04.Abr[SALDO
ATUAL],Tab_04.Abr[CONTA],$F228)</f>
        <v>1709.04</v>
      </c>
      <c r="L228" s="4">
        <f>SUMIFS(Tab_05.Mai[SALDO
ATUAL],Tab_05.Mai[CONTA],$F228)</f>
        <v>2975.62</v>
      </c>
      <c r="M228" s="4">
        <f>SUMIFS(Tab_06.Jun[SALDO
ATUAL],Tab_06.Jun[CONTA],$F228)</f>
        <v>3702.88</v>
      </c>
      <c r="N228" s="4">
        <f>SUMIFS(Tab_07.Jul[SALDO
ATUAL],Tab_07.Jul[CONTA],$F228)</f>
        <v>4130.1400000000003</v>
      </c>
      <c r="O228" s="4">
        <f>SUMIFS(Tab_08.Ago[SALDO
ATUAL],Tab_08.Ago[CONTA],$F228)</f>
        <v>4557.3999999999996</v>
      </c>
      <c r="P228" s="4">
        <f>SUMIFS(Tab_09.Set[SALDO
ATUAL],Tab_09.Set[CONTA],$F228)</f>
        <v>6240.61</v>
      </c>
      <c r="Q228" s="4">
        <f>SUMIFS(Tab_10.Out[SALDO
ATUAL],Tab_10.Out[CONTA],$F228)</f>
        <v>6667.87</v>
      </c>
      <c r="R228" s="4">
        <f>SUMIFS(Tab_11.Nov[SALDO
ATUAL],Tab_11.Nov[CONTA],$F228)</f>
        <v>7095.13</v>
      </c>
      <c r="S228" s="4">
        <f>SUMIFS(Tab_12.Dez[SALDO
ATUAL],Tab_12.Dez[CONTA],$F228)</f>
        <v>7522.39</v>
      </c>
    </row>
    <row r="229" spans="2:19" x14ac:dyDescent="0.3">
      <c r="B229" s="3" t="s">
        <v>103</v>
      </c>
      <c r="C229" s="2" t="str">
        <f t="shared" si="14"/>
        <v>C</v>
      </c>
      <c r="D229" s="2" t="str">
        <f t="shared" si="15"/>
        <v>A</v>
      </c>
      <c r="E229" s="2">
        <f t="shared" si="16"/>
        <v>5</v>
      </c>
      <c r="F229" s="3" t="s">
        <v>419</v>
      </c>
      <c r="G229" s="3" t="s">
        <v>420</v>
      </c>
      <c r="H229" s="4">
        <f>SUMIFS(Tab_01.Jan[SALDO
ATUAL],Tab_01.Jan[CONTA],$F229)</f>
        <v>427.26</v>
      </c>
      <c r="I229" s="4">
        <f>SUMIFS(Tab_02.Fev[SALDO
ATUAL],Tab_02.Fev[CONTA],$F229)</f>
        <v>854.52</v>
      </c>
      <c r="J229" s="4">
        <f>SUMIFS(Tab_03.Mar[SALDO
ATUAL],Tab_03.Mar[CONTA],$F229)</f>
        <v>1281.78</v>
      </c>
      <c r="K229" s="4">
        <f>SUMIFS(Tab_04.Abr[SALDO
ATUAL],Tab_04.Abr[CONTA],$F229)</f>
        <v>1709.04</v>
      </c>
      <c r="L229" s="4">
        <f>SUMIFS(Tab_05.Mai[SALDO
ATUAL],Tab_05.Mai[CONTA],$F229)</f>
        <v>2975.62</v>
      </c>
      <c r="M229" s="4">
        <f>SUMIFS(Tab_06.Jun[SALDO
ATUAL],Tab_06.Jun[CONTA],$F229)</f>
        <v>3702.88</v>
      </c>
      <c r="N229" s="4">
        <f>SUMIFS(Tab_07.Jul[SALDO
ATUAL],Tab_07.Jul[CONTA],$F229)</f>
        <v>4130.1400000000003</v>
      </c>
      <c r="O229" s="4">
        <f>SUMIFS(Tab_08.Ago[SALDO
ATUAL],Tab_08.Ago[CONTA],$F229)</f>
        <v>4557.3999999999996</v>
      </c>
      <c r="P229" s="4">
        <f>SUMIFS(Tab_09.Set[SALDO
ATUAL],Tab_09.Set[CONTA],$F229)</f>
        <v>6240.61</v>
      </c>
      <c r="Q229" s="4">
        <f>SUMIFS(Tab_10.Out[SALDO
ATUAL],Tab_10.Out[CONTA],$F229)</f>
        <v>6667.87</v>
      </c>
      <c r="R229" s="4">
        <f>SUMIFS(Tab_11.Nov[SALDO
ATUAL],Tab_11.Nov[CONTA],$F229)</f>
        <v>7095.13</v>
      </c>
      <c r="S229" s="4">
        <f>SUMIFS(Tab_12.Dez[SALDO
ATUAL],Tab_12.Dez[CONTA],$F229)</f>
        <v>7522.39</v>
      </c>
    </row>
    <row r="230" spans="2:19" x14ac:dyDescent="0.3">
      <c r="B230" s="3"/>
      <c r="C230" s="2" t="str">
        <f t="shared" si="14"/>
        <v>C</v>
      </c>
      <c r="D230" s="2" t="str">
        <f t="shared" si="15"/>
        <v>S</v>
      </c>
      <c r="E230" s="2">
        <f t="shared" si="16"/>
        <v>5</v>
      </c>
      <c r="F230" s="3" t="s">
        <v>237</v>
      </c>
      <c r="G230" s="3" t="s">
        <v>702</v>
      </c>
      <c r="H230" s="4">
        <f>SUMIFS(Tab_01.Jan[SALDO
ATUAL],Tab_01.Jan[CONTA],$F230)</f>
        <v>852439.19</v>
      </c>
      <c r="I230" s="4">
        <f>SUMIFS(Tab_02.Fev[SALDO
ATUAL],Tab_02.Fev[CONTA],$F230)</f>
        <v>1875512.11</v>
      </c>
      <c r="J230" s="4">
        <f>SUMIFS(Tab_03.Mar[SALDO
ATUAL],Tab_03.Mar[CONTA],$F230)</f>
        <v>2277617.88</v>
      </c>
      <c r="K230" s="4">
        <f>SUMIFS(Tab_04.Abr[SALDO
ATUAL],Tab_04.Abr[CONTA],$F230)</f>
        <v>2936654.85</v>
      </c>
      <c r="L230" s="4">
        <f>SUMIFS(Tab_05.Mai[SALDO
ATUAL],Tab_05.Mai[CONTA],$F230)</f>
        <v>3614143.37</v>
      </c>
      <c r="M230" s="4">
        <f>SUMIFS(Tab_06.Jun[SALDO
ATUAL],Tab_06.Jun[CONTA],$F230)</f>
        <v>3987436.61</v>
      </c>
      <c r="N230" s="4">
        <f>SUMIFS(Tab_07.Jul[SALDO
ATUAL],Tab_07.Jul[CONTA],$F230)</f>
        <v>4689433.2</v>
      </c>
      <c r="O230" s="4">
        <f>SUMIFS(Tab_08.Ago[SALDO
ATUAL],Tab_08.Ago[CONTA],$F230)</f>
        <v>5341274.2699999996</v>
      </c>
      <c r="P230" s="4">
        <f>SUMIFS(Tab_09.Set[SALDO
ATUAL],Tab_09.Set[CONTA],$F230)</f>
        <v>5912575.7699999996</v>
      </c>
      <c r="Q230" s="4">
        <f>SUMIFS(Tab_10.Out[SALDO
ATUAL],Tab_10.Out[CONTA],$F230)</f>
        <v>6716740.7300000004</v>
      </c>
      <c r="R230" s="4">
        <f>SUMIFS(Tab_11.Nov[SALDO
ATUAL],Tab_11.Nov[CONTA],$F230)</f>
        <v>7014231.1600000001</v>
      </c>
      <c r="S230" s="4">
        <f>SUMIFS(Tab_12.Dez[SALDO
ATUAL],Tab_12.Dez[CONTA],$F230)</f>
        <v>8468862.5500000007</v>
      </c>
    </row>
    <row r="231" spans="2:19" x14ac:dyDescent="0.3">
      <c r="B231" s="3"/>
      <c r="C231" s="2" t="str">
        <f t="shared" si="14"/>
        <v>C</v>
      </c>
      <c r="D231" s="2" t="str">
        <f t="shared" si="15"/>
        <v>S</v>
      </c>
      <c r="E231" s="2">
        <f t="shared" si="16"/>
        <v>5</v>
      </c>
      <c r="F231" s="3" t="s">
        <v>238</v>
      </c>
      <c r="G231" s="3" t="s">
        <v>702</v>
      </c>
      <c r="H231" s="4">
        <f>SUMIFS(Tab_01.Jan[SALDO
ATUAL],Tab_01.Jan[CONTA],$F231)</f>
        <v>852439.19</v>
      </c>
      <c r="I231" s="4">
        <f>SUMIFS(Tab_02.Fev[SALDO
ATUAL],Tab_02.Fev[CONTA],$F231)</f>
        <v>1875512.11</v>
      </c>
      <c r="J231" s="4">
        <f>SUMIFS(Tab_03.Mar[SALDO
ATUAL],Tab_03.Mar[CONTA],$F231)</f>
        <v>2277617.88</v>
      </c>
      <c r="K231" s="4">
        <f>SUMIFS(Tab_04.Abr[SALDO
ATUAL],Tab_04.Abr[CONTA],$F231)</f>
        <v>2936654.85</v>
      </c>
      <c r="L231" s="4">
        <f>SUMIFS(Tab_05.Mai[SALDO
ATUAL],Tab_05.Mai[CONTA],$F231)</f>
        <v>3614143.37</v>
      </c>
      <c r="M231" s="4">
        <f>SUMIFS(Tab_06.Jun[SALDO
ATUAL],Tab_06.Jun[CONTA],$F231)</f>
        <v>3987436.61</v>
      </c>
      <c r="N231" s="4">
        <f>SUMIFS(Tab_07.Jul[SALDO
ATUAL],Tab_07.Jul[CONTA],$F231)</f>
        <v>4689433.2</v>
      </c>
      <c r="O231" s="4">
        <f>SUMIFS(Tab_08.Ago[SALDO
ATUAL],Tab_08.Ago[CONTA],$F231)</f>
        <v>5341274.2699999996</v>
      </c>
      <c r="P231" s="4">
        <f>SUMIFS(Tab_09.Set[SALDO
ATUAL],Tab_09.Set[CONTA],$F231)</f>
        <v>5912575.7699999996</v>
      </c>
      <c r="Q231" s="4">
        <f>SUMIFS(Tab_10.Out[SALDO
ATUAL],Tab_10.Out[CONTA],$F231)</f>
        <v>6716740.7300000004</v>
      </c>
      <c r="R231" s="4">
        <f>SUMIFS(Tab_11.Nov[SALDO
ATUAL],Tab_11.Nov[CONTA],$F231)</f>
        <v>7014231.1600000001</v>
      </c>
      <c r="S231" s="4">
        <f>SUMIFS(Tab_12.Dez[SALDO
ATUAL],Tab_12.Dez[CONTA],$F231)</f>
        <v>8468862.5500000007</v>
      </c>
    </row>
    <row r="232" spans="2:19" x14ac:dyDescent="0.3">
      <c r="B232" s="3" t="s">
        <v>103</v>
      </c>
      <c r="C232" s="2" t="str">
        <f t="shared" si="14"/>
        <v>C</v>
      </c>
      <c r="D232" s="2" t="str">
        <f t="shared" si="15"/>
        <v>A</v>
      </c>
      <c r="E232" s="2">
        <f t="shared" si="16"/>
        <v>5</v>
      </c>
      <c r="F232" s="3" t="s">
        <v>421</v>
      </c>
      <c r="G232" s="3" t="s">
        <v>422</v>
      </c>
      <c r="H232" s="4">
        <f>SUMIFS(Tab_01.Jan[SALDO
ATUAL],Tab_01.Jan[CONTA],$F232)</f>
        <v>187419.37</v>
      </c>
      <c r="I232" s="4">
        <f>SUMIFS(Tab_02.Fev[SALDO
ATUAL],Tab_02.Fev[CONTA],$F232)</f>
        <v>434953.93</v>
      </c>
      <c r="J232" s="4">
        <f>SUMIFS(Tab_03.Mar[SALDO
ATUAL],Tab_03.Mar[CONTA],$F232)</f>
        <v>682368.86</v>
      </c>
      <c r="K232" s="4">
        <f>SUMIFS(Tab_04.Abr[SALDO
ATUAL],Tab_04.Abr[CONTA],$F232)</f>
        <v>862584.28</v>
      </c>
      <c r="L232" s="4">
        <f>SUMIFS(Tab_05.Mai[SALDO
ATUAL],Tab_05.Mai[CONTA],$F232)</f>
        <v>1195265.1000000001</v>
      </c>
      <c r="M232" s="4">
        <f>SUMIFS(Tab_06.Jun[SALDO
ATUAL],Tab_06.Jun[CONTA],$F232)</f>
        <v>1379286.95</v>
      </c>
      <c r="N232" s="4">
        <f>SUMIFS(Tab_07.Jul[SALDO
ATUAL],Tab_07.Jul[CONTA],$F232)</f>
        <v>1702436.3</v>
      </c>
      <c r="O232" s="4">
        <f>SUMIFS(Tab_08.Ago[SALDO
ATUAL],Tab_08.Ago[CONTA],$F232)</f>
        <v>1927127.25</v>
      </c>
      <c r="P232" s="4">
        <f>SUMIFS(Tab_09.Set[SALDO
ATUAL],Tab_09.Set[CONTA],$F232)</f>
        <v>2125464.3199999998</v>
      </c>
      <c r="Q232" s="4">
        <f>SUMIFS(Tab_10.Out[SALDO
ATUAL],Tab_10.Out[CONTA],$F232)</f>
        <v>2555246.16</v>
      </c>
      <c r="R232" s="4">
        <f>SUMIFS(Tab_11.Nov[SALDO
ATUAL],Tab_11.Nov[CONTA],$F232)</f>
        <v>2743319.47</v>
      </c>
      <c r="S232" s="4">
        <f>SUMIFS(Tab_12.Dez[SALDO
ATUAL],Tab_12.Dez[CONTA],$F232)</f>
        <v>3185948.49</v>
      </c>
    </row>
    <row r="233" spans="2:19" x14ac:dyDescent="0.3">
      <c r="B233" s="3" t="s">
        <v>103</v>
      </c>
      <c r="C233" s="2" t="str">
        <f>IF($F233="","",IF(LEFT($F233,1)*1=1,"A",IF(LEFT($F233,1)*1=2,"P",IF(LEFT($F233,1)*1=3,"R",IF(LEFT($F233,1)*1=4,"C",IF(LEFT($F233,1)*1=5,"C",""))))))</f>
        <v>C</v>
      </c>
      <c r="D233" s="2" t="str">
        <f>IF($F233="","",IF(LEN($F233)=13,"A","S"))</f>
        <v>A</v>
      </c>
      <c r="E233" s="2">
        <f>IF($F233="","",IF(LEN($F233)=1,1,IF(LEN($F233)=3,2,IF(LEN($F233)=5,3,IF(LEN($F233)=8,4,5)))))</f>
        <v>5</v>
      </c>
      <c r="F233" s="3" t="s">
        <v>738</v>
      </c>
      <c r="G233" s="3" t="s">
        <v>367</v>
      </c>
      <c r="H233" s="4">
        <f>SUMIFS(Tab_01.Jan[SALDO
ATUAL],Tab_01.Jan[CONTA],$F233)</f>
        <v>122569.24</v>
      </c>
      <c r="I233" s="4">
        <f>SUMIFS(Tab_02.Fev[SALDO
ATUAL],Tab_02.Fev[CONTA],$F233)</f>
        <v>227807.2</v>
      </c>
      <c r="J233" s="4">
        <f>SUMIFS(Tab_03.Mar[SALDO
ATUAL],Tab_03.Mar[CONTA],$F233)</f>
        <v>382498.04</v>
      </c>
      <c r="K233" s="4">
        <f>SUMIFS(Tab_04.Abr[SALDO
ATUAL],Tab_04.Abr[CONTA],$F233)</f>
        <v>514787.48</v>
      </c>
      <c r="L233" s="4">
        <f>SUMIFS(Tab_05.Mai[SALDO
ATUAL],Tab_05.Mai[CONTA],$F233)</f>
        <v>652647.16</v>
      </c>
      <c r="M233" s="4">
        <f>SUMIFS(Tab_06.Jun[SALDO
ATUAL],Tab_06.Jun[CONTA],$F233)</f>
        <v>782226.4</v>
      </c>
      <c r="N233" s="4">
        <f>SUMIFS(Tab_07.Jul[SALDO
ATUAL],Tab_07.Jul[CONTA],$F233)</f>
        <v>916108.28</v>
      </c>
      <c r="O233" s="4">
        <f>SUMIFS(Tab_08.Ago[SALDO
ATUAL],Tab_08.Ago[CONTA],$F233)</f>
        <v>1056206.8400000001</v>
      </c>
      <c r="P233" s="4">
        <f>SUMIFS(Tab_09.Set[SALDO
ATUAL],Tab_09.Set[CONTA],$F233)</f>
        <v>1184785.28</v>
      </c>
      <c r="Q233" s="4">
        <f>SUMIFS(Tab_10.Out[SALDO
ATUAL],Tab_10.Out[CONTA],$F233)</f>
        <v>1333697.1200000001</v>
      </c>
      <c r="R233" s="4">
        <f>SUMIFS(Tab_11.Nov[SALDO
ATUAL],Tab_11.Nov[CONTA],$F233)</f>
        <v>1443114.24</v>
      </c>
      <c r="S233" s="4">
        <f>SUMIFS(Tab_12.Dez[SALDO
ATUAL],Tab_12.Dez[CONTA],$F233)</f>
        <v>1555909.28</v>
      </c>
    </row>
    <row r="234" spans="2:19" x14ac:dyDescent="0.3">
      <c r="B234" s="3" t="s">
        <v>103</v>
      </c>
      <c r="C234" s="2" t="str">
        <f t="shared" si="14"/>
        <v>C</v>
      </c>
      <c r="D234" s="2" t="str">
        <f t="shared" si="15"/>
        <v>A</v>
      </c>
      <c r="E234" s="2">
        <f t="shared" si="16"/>
        <v>5</v>
      </c>
      <c r="F234" s="3" t="s">
        <v>423</v>
      </c>
      <c r="G234" s="3" t="s">
        <v>424</v>
      </c>
      <c r="H234" s="4">
        <f>SUMIFS(Tab_01.Jan[SALDO
ATUAL],Tab_01.Jan[CONTA],$F234)</f>
        <v>542450.57999999996</v>
      </c>
      <c r="I234" s="4">
        <f>SUMIFS(Tab_02.Fev[SALDO
ATUAL],Tab_02.Fev[CONTA],$F234)</f>
        <v>1212750.98</v>
      </c>
      <c r="J234" s="4">
        <f>SUMIFS(Tab_03.Mar[SALDO
ATUAL],Tab_03.Mar[CONTA],$F234)</f>
        <v>1212750.98</v>
      </c>
      <c r="K234" s="4">
        <f>SUMIFS(Tab_04.Abr[SALDO
ATUAL],Tab_04.Abr[CONTA],$F234)</f>
        <v>1559283.09</v>
      </c>
      <c r="L234" s="4">
        <f>SUMIFS(Tab_05.Mai[SALDO
ATUAL],Tab_05.Mai[CONTA],$F234)</f>
        <v>1766231.11</v>
      </c>
      <c r="M234" s="4">
        <f>SUMIFS(Tab_06.Jun[SALDO
ATUAL],Tab_06.Jun[CONTA],$F234)</f>
        <v>1825923.26</v>
      </c>
      <c r="N234" s="4">
        <f>SUMIFS(Tab_07.Jul[SALDO
ATUAL],Tab_07.Jul[CONTA],$F234)</f>
        <v>2070888.62</v>
      </c>
      <c r="O234" s="4">
        <f>SUMIFS(Tab_08.Ago[SALDO
ATUAL],Tab_08.Ago[CONTA],$F234)</f>
        <v>2357940.1800000002</v>
      </c>
      <c r="P234" s="4">
        <f>SUMIFS(Tab_09.Set[SALDO
ATUAL],Tab_09.Set[CONTA],$F234)</f>
        <v>2602326.17</v>
      </c>
      <c r="Q234" s="4">
        <f>SUMIFS(Tab_10.Out[SALDO
ATUAL],Tab_10.Out[CONTA],$F234)</f>
        <v>2827797.45</v>
      </c>
      <c r="R234" s="4">
        <f>SUMIFS(Tab_11.Nov[SALDO
ATUAL],Tab_11.Nov[CONTA],$F234)</f>
        <v>2827797.45</v>
      </c>
      <c r="S234" s="4">
        <f>SUMIFS(Tab_12.Dez[SALDO
ATUAL],Tab_12.Dez[CONTA],$F234)</f>
        <v>3727004.78</v>
      </c>
    </row>
    <row r="235" spans="2:19" x14ac:dyDescent="0.3">
      <c r="B235" s="3"/>
      <c r="C235" s="2" t="str">
        <f t="shared" si="14"/>
        <v>C</v>
      </c>
      <c r="D235" s="2" t="str">
        <f t="shared" si="15"/>
        <v>S</v>
      </c>
      <c r="E235" s="2">
        <f t="shared" si="16"/>
        <v>2</v>
      </c>
      <c r="F235" s="3" t="s">
        <v>596</v>
      </c>
      <c r="G235" s="3" t="s">
        <v>680</v>
      </c>
      <c r="H235" s="4">
        <f>SUMIFS(Tab_01.Jan[SALDO
ATUAL],Tab_01.Jan[CONTA],$F235)</f>
        <v>0</v>
      </c>
      <c r="I235" s="4">
        <f>SUMIFS(Tab_02.Fev[SALDO
ATUAL],Tab_02.Fev[CONTA],$F235)</f>
        <v>0</v>
      </c>
      <c r="J235" s="4">
        <f>SUMIFS(Tab_03.Mar[SALDO
ATUAL],Tab_03.Mar[CONTA],$F235)</f>
        <v>0</v>
      </c>
      <c r="K235" s="4">
        <f>SUMIFS(Tab_04.Abr[SALDO
ATUAL],Tab_04.Abr[CONTA],$F235)</f>
        <v>0</v>
      </c>
      <c r="L235" s="4">
        <f>SUMIFS(Tab_05.Mai[SALDO
ATUAL],Tab_05.Mai[CONTA],$F235)</f>
        <v>0</v>
      </c>
      <c r="M235" s="4">
        <f>SUMIFS(Tab_06.Jun[SALDO
ATUAL],Tab_06.Jun[CONTA],$F235)</f>
        <v>0</v>
      </c>
      <c r="N235" s="4">
        <f>SUMIFS(Tab_07.Jul[SALDO
ATUAL],Tab_07.Jul[CONTA],$F235)</f>
        <v>16.170000000000002</v>
      </c>
      <c r="O235" s="4">
        <f>SUMIFS(Tab_08.Ago[SALDO
ATUAL],Tab_08.Ago[CONTA],$F235)</f>
        <v>16.170000000000002</v>
      </c>
      <c r="P235" s="4">
        <f>SUMIFS(Tab_09.Set[SALDO
ATUAL],Tab_09.Set[CONTA],$F235)</f>
        <v>824.67</v>
      </c>
      <c r="Q235" s="4">
        <f>SUMIFS(Tab_10.Out[SALDO
ATUAL],Tab_10.Out[CONTA],$F235)</f>
        <v>840.84</v>
      </c>
      <c r="R235" s="4">
        <f>SUMIFS(Tab_11.Nov[SALDO
ATUAL],Tab_11.Nov[CONTA],$F235)</f>
        <v>1271</v>
      </c>
      <c r="S235" s="4">
        <f>SUMIFS(Tab_12.Dez[SALDO
ATUAL],Tab_12.Dez[CONTA],$F235)</f>
        <v>1271</v>
      </c>
    </row>
    <row r="236" spans="2:19" x14ac:dyDescent="0.3">
      <c r="B236" s="3"/>
      <c r="C236" s="2" t="str">
        <f t="shared" si="14"/>
        <v>C</v>
      </c>
      <c r="D236" s="2" t="str">
        <f t="shared" si="15"/>
        <v>S</v>
      </c>
      <c r="E236" s="2">
        <f t="shared" si="16"/>
        <v>5</v>
      </c>
      <c r="F236" s="3" t="s">
        <v>597</v>
      </c>
      <c r="G236" s="3" t="s">
        <v>703</v>
      </c>
      <c r="H236" s="4">
        <f>SUMIFS(Tab_01.Jan[SALDO
ATUAL],Tab_01.Jan[CONTA],$F236)</f>
        <v>0</v>
      </c>
      <c r="I236" s="4">
        <f>SUMIFS(Tab_02.Fev[SALDO
ATUAL],Tab_02.Fev[CONTA],$F236)</f>
        <v>0</v>
      </c>
      <c r="J236" s="4">
        <f>SUMIFS(Tab_03.Mar[SALDO
ATUAL],Tab_03.Mar[CONTA],$F236)</f>
        <v>0</v>
      </c>
      <c r="K236" s="4">
        <f>SUMIFS(Tab_04.Abr[SALDO
ATUAL],Tab_04.Abr[CONTA],$F236)</f>
        <v>0</v>
      </c>
      <c r="L236" s="4">
        <f>SUMIFS(Tab_05.Mai[SALDO
ATUAL],Tab_05.Mai[CONTA],$F236)</f>
        <v>0</v>
      </c>
      <c r="M236" s="4">
        <f>SUMIFS(Tab_06.Jun[SALDO
ATUAL],Tab_06.Jun[CONTA],$F236)</f>
        <v>0</v>
      </c>
      <c r="N236" s="4">
        <f>SUMIFS(Tab_07.Jul[SALDO
ATUAL],Tab_07.Jul[CONTA],$F236)</f>
        <v>16.170000000000002</v>
      </c>
      <c r="O236" s="4">
        <f>SUMIFS(Tab_08.Ago[SALDO
ATUAL],Tab_08.Ago[CONTA],$F236)</f>
        <v>16.170000000000002</v>
      </c>
      <c r="P236" s="4">
        <f>SUMIFS(Tab_09.Set[SALDO
ATUAL],Tab_09.Set[CONTA],$F236)</f>
        <v>824.67</v>
      </c>
      <c r="Q236" s="4">
        <f>SUMIFS(Tab_10.Out[SALDO
ATUAL],Tab_10.Out[CONTA],$F236)</f>
        <v>840.84</v>
      </c>
      <c r="R236" s="4">
        <f>SUMIFS(Tab_11.Nov[SALDO
ATUAL],Tab_11.Nov[CONTA],$F236)</f>
        <v>1271</v>
      </c>
      <c r="S236" s="4">
        <f>SUMIFS(Tab_12.Dez[SALDO
ATUAL],Tab_12.Dez[CONTA],$F236)</f>
        <v>1271</v>
      </c>
    </row>
    <row r="237" spans="2:19" x14ac:dyDescent="0.3">
      <c r="B237" s="3"/>
      <c r="C237" s="2" t="str">
        <f t="shared" si="14"/>
        <v>C</v>
      </c>
      <c r="D237" s="2" t="str">
        <f t="shared" si="15"/>
        <v>S</v>
      </c>
      <c r="E237" s="2">
        <f t="shared" si="16"/>
        <v>5</v>
      </c>
      <c r="F237" s="3" t="s">
        <v>598</v>
      </c>
      <c r="G237" s="3" t="s">
        <v>704</v>
      </c>
      <c r="H237" s="4">
        <f>SUMIFS(Tab_01.Jan[SALDO
ATUAL],Tab_01.Jan[CONTA],$F237)</f>
        <v>0</v>
      </c>
      <c r="I237" s="4">
        <f>SUMIFS(Tab_02.Fev[SALDO
ATUAL],Tab_02.Fev[CONTA],$F237)</f>
        <v>0</v>
      </c>
      <c r="J237" s="4">
        <f>SUMIFS(Tab_03.Mar[SALDO
ATUAL],Tab_03.Mar[CONTA],$F237)</f>
        <v>0</v>
      </c>
      <c r="K237" s="4">
        <f>SUMIFS(Tab_04.Abr[SALDO
ATUAL],Tab_04.Abr[CONTA],$F237)</f>
        <v>0</v>
      </c>
      <c r="L237" s="4">
        <f>SUMIFS(Tab_05.Mai[SALDO
ATUAL],Tab_05.Mai[CONTA],$F237)</f>
        <v>0</v>
      </c>
      <c r="M237" s="4">
        <f>SUMIFS(Tab_06.Jun[SALDO
ATUAL],Tab_06.Jun[CONTA],$F237)</f>
        <v>0</v>
      </c>
      <c r="N237" s="4">
        <f>SUMIFS(Tab_07.Jul[SALDO
ATUAL],Tab_07.Jul[CONTA],$F237)</f>
        <v>16.170000000000002</v>
      </c>
      <c r="O237" s="4">
        <f>SUMIFS(Tab_08.Ago[SALDO
ATUAL],Tab_08.Ago[CONTA],$F237)</f>
        <v>16.170000000000002</v>
      </c>
      <c r="P237" s="4">
        <f>SUMIFS(Tab_09.Set[SALDO
ATUAL],Tab_09.Set[CONTA],$F237)</f>
        <v>824.67</v>
      </c>
      <c r="Q237" s="4">
        <f>SUMIFS(Tab_10.Out[SALDO
ATUAL],Tab_10.Out[CONTA],$F237)</f>
        <v>840.84</v>
      </c>
      <c r="R237" s="4">
        <f>SUMIFS(Tab_11.Nov[SALDO
ATUAL],Tab_11.Nov[CONTA],$F237)</f>
        <v>1271</v>
      </c>
      <c r="S237" s="4">
        <f>SUMIFS(Tab_12.Dez[SALDO
ATUAL],Tab_12.Dez[CONTA],$F237)</f>
        <v>1271</v>
      </c>
    </row>
    <row r="238" spans="2:19" x14ac:dyDescent="0.3">
      <c r="B238" s="3" t="s">
        <v>103</v>
      </c>
      <c r="C238" s="2" t="str">
        <f t="shared" si="14"/>
        <v>C</v>
      </c>
      <c r="D238" s="2" t="str">
        <f t="shared" si="15"/>
        <v>A</v>
      </c>
      <c r="E238" s="2">
        <f t="shared" si="16"/>
        <v>5</v>
      </c>
      <c r="F238" s="3" t="s">
        <v>425</v>
      </c>
      <c r="G238" s="3" t="s">
        <v>426</v>
      </c>
      <c r="H238" s="4">
        <f>SUMIFS(Tab_01.Jan[SALDO
ATUAL],Tab_01.Jan[CONTA],$F238)</f>
        <v>0</v>
      </c>
      <c r="I238" s="4">
        <f>SUMIFS(Tab_02.Fev[SALDO
ATUAL],Tab_02.Fev[CONTA],$F238)</f>
        <v>0</v>
      </c>
      <c r="J238" s="4">
        <f>SUMIFS(Tab_03.Mar[SALDO
ATUAL],Tab_03.Mar[CONTA],$F238)</f>
        <v>0</v>
      </c>
      <c r="K238" s="4">
        <f>SUMIFS(Tab_04.Abr[SALDO
ATUAL],Tab_04.Abr[CONTA],$F238)</f>
        <v>0</v>
      </c>
      <c r="L238" s="4">
        <f>SUMIFS(Tab_05.Mai[SALDO
ATUAL],Tab_05.Mai[CONTA],$F238)</f>
        <v>0</v>
      </c>
      <c r="M238" s="4">
        <f>SUMIFS(Tab_06.Jun[SALDO
ATUAL],Tab_06.Jun[CONTA],$F238)</f>
        <v>0</v>
      </c>
      <c r="N238" s="4">
        <f>SUMIFS(Tab_07.Jul[SALDO
ATUAL],Tab_07.Jul[CONTA],$F238)</f>
        <v>16.170000000000002</v>
      </c>
      <c r="O238" s="4">
        <f>SUMIFS(Tab_08.Ago[SALDO
ATUAL],Tab_08.Ago[CONTA],$F238)</f>
        <v>16.170000000000002</v>
      </c>
      <c r="P238" s="4">
        <f>SUMIFS(Tab_09.Set[SALDO
ATUAL],Tab_09.Set[CONTA],$F238)</f>
        <v>824.67</v>
      </c>
      <c r="Q238" s="4">
        <f>SUMIFS(Tab_10.Out[SALDO
ATUAL],Tab_10.Out[CONTA],$F238)</f>
        <v>840.84</v>
      </c>
      <c r="R238" s="4">
        <f>SUMIFS(Tab_11.Nov[SALDO
ATUAL],Tab_11.Nov[CONTA],$F238)</f>
        <v>1271</v>
      </c>
      <c r="S238" s="4">
        <f>SUMIFS(Tab_12.Dez[SALDO
ATUAL],Tab_12.Dez[CONTA],$F238)</f>
        <v>1271</v>
      </c>
    </row>
    <row r="239" spans="2:19" x14ac:dyDescent="0.3">
      <c r="B239" s="3"/>
      <c r="C239" s="2" t="str">
        <f t="shared" si="14"/>
        <v>C</v>
      </c>
      <c r="D239" s="2" t="str">
        <f t="shared" si="15"/>
        <v>S</v>
      </c>
      <c r="E239" s="2">
        <f t="shared" si="16"/>
        <v>1</v>
      </c>
      <c r="F239" s="3">
        <v>5</v>
      </c>
      <c r="G239" s="3" t="s">
        <v>705</v>
      </c>
      <c r="H239" s="4">
        <f>SUMIFS(Tab_01.Jan[SALDO
ATUAL],Tab_01.Jan[CONTA],$F239)</f>
        <v>269324.59000000003</v>
      </c>
      <c r="I239" s="4">
        <f>SUMIFS(Tab_02.Fev[SALDO
ATUAL],Tab_02.Fev[CONTA],$F239)</f>
        <v>797170.53</v>
      </c>
      <c r="J239" s="4">
        <f>SUMIFS(Tab_03.Mar[SALDO
ATUAL],Tab_03.Mar[CONTA],$F239)</f>
        <v>1027226.37</v>
      </c>
      <c r="K239" s="4">
        <f>SUMIFS(Tab_04.Abr[SALDO
ATUAL],Tab_04.Abr[CONTA],$F239)</f>
        <v>1257197.3600000001</v>
      </c>
      <c r="L239" s="4">
        <f>SUMIFS(Tab_05.Mai[SALDO
ATUAL],Tab_05.Mai[CONTA],$F239)</f>
        <v>1471404.67</v>
      </c>
      <c r="M239" s="4">
        <f>SUMIFS(Tab_06.Jun[SALDO
ATUAL],Tab_06.Jun[CONTA],$F239)</f>
        <v>1779858.55</v>
      </c>
      <c r="N239" s="4">
        <f>SUMIFS(Tab_07.Jul[SALDO
ATUAL],Tab_07.Jul[CONTA],$F239)</f>
        <v>2037713.18</v>
      </c>
      <c r="O239" s="4">
        <f>SUMIFS(Tab_08.Ago[SALDO
ATUAL],Tab_08.Ago[CONTA],$F239)</f>
        <v>2304302.27</v>
      </c>
      <c r="P239" s="4">
        <f>SUMIFS(Tab_09.Set[SALDO
ATUAL],Tab_09.Set[CONTA],$F239)</f>
        <v>2611572.69</v>
      </c>
      <c r="Q239" s="4">
        <f>SUMIFS(Tab_10.Out[SALDO
ATUAL],Tab_10.Out[CONTA],$F239)</f>
        <v>2882221.89</v>
      </c>
      <c r="R239" s="4">
        <f>SUMIFS(Tab_11.Nov[SALDO
ATUAL],Tab_11.Nov[CONTA],$F239)</f>
        <v>3154590.35</v>
      </c>
      <c r="S239" s="4">
        <f>SUMIFS(Tab_12.Dez[SALDO
ATUAL],Tab_12.Dez[CONTA],$F239)</f>
        <v>3413890.32</v>
      </c>
    </row>
    <row r="240" spans="2:19" x14ac:dyDescent="0.3">
      <c r="B240" s="3"/>
      <c r="C240" s="2" t="str">
        <f t="shared" si="14"/>
        <v>C</v>
      </c>
      <c r="D240" s="2" t="str">
        <f t="shared" si="15"/>
        <v>S</v>
      </c>
      <c r="E240" s="2">
        <f t="shared" si="16"/>
        <v>2</v>
      </c>
      <c r="F240" s="3" t="s">
        <v>599</v>
      </c>
      <c r="G240" s="3" t="s">
        <v>694</v>
      </c>
      <c r="H240" s="4">
        <f>SUMIFS(Tab_01.Jan[SALDO
ATUAL],Tab_01.Jan[CONTA],$F240)</f>
        <v>269513.59000000003</v>
      </c>
      <c r="I240" s="4">
        <f>SUMIFS(Tab_02.Fev[SALDO
ATUAL],Tab_02.Fev[CONTA],$F240)</f>
        <v>797089.53</v>
      </c>
      <c r="J240" s="4">
        <f>SUMIFS(Tab_03.Mar[SALDO
ATUAL],Tab_03.Mar[CONTA],$F240)</f>
        <v>1027145.37</v>
      </c>
      <c r="K240" s="4">
        <f>SUMIFS(Tab_04.Abr[SALDO
ATUAL],Tab_04.Abr[CONTA],$F240)</f>
        <v>1257116.3600000001</v>
      </c>
      <c r="L240" s="4">
        <f>SUMIFS(Tab_05.Mai[SALDO
ATUAL],Tab_05.Mai[CONTA],$F240)</f>
        <v>1471323.67</v>
      </c>
      <c r="M240" s="4">
        <f>SUMIFS(Tab_06.Jun[SALDO
ATUAL],Tab_06.Jun[CONTA],$F240)</f>
        <v>1779642.55</v>
      </c>
      <c r="N240" s="4">
        <f>SUMIFS(Tab_07.Jul[SALDO
ATUAL],Tab_07.Jul[CONTA],$F240)</f>
        <v>2037497.18</v>
      </c>
      <c r="O240" s="4">
        <f>SUMIFS(Tab_08.Ago[SALDO
ATUAL],Tab_08.Ago[CONTA],$F240)</f>
        <v>2304086.27</v>
      </c>
      <c r="P240" s="4">
        <f>SUMIFS(Tab_09.Set[SALDO
ATUAL],Tab_09.Set[CONTA],$F240)</f>
        <v>2611356.69</v>
      </c>
      <c r="Q240" s="4">
        <f>SUMIFS(Tab_10.Out[SALDO
ATUAL],Tab_10.Out[CONTA],$F240)</f>
        <v>2882005.89</v>
      </c>
      <c r="R240" s="4">
        <f>SUMIFS(Tab_11.Nov[SALDO
ATUAL],Tab_11.Nov[CONTA],$F240)</f>
        <v>3154374.35</v>
      </c>
      <c r="S240" s="4">
        <f>SUMIFS(Tab_12.Dez[SALDO
ATUAL],Tab_12.Dez[CONTA],$F240)</f>
        <v>3413674.32</v>
      </c>
    </row>
    <row r="241" spans="2:19" x14ac:dyDescent="0.3">
      <c r="B241" s="3"/>
      <c r="C241" s="2" t="str">
        <f t="shared" si="14"/>
        <v>C</v>
      </c>
      <c r="D241" s="2" t="str">
        <f t="shared" si="15"/>
        <v>S</v>
      </c>
      <c r="E241" s="2">
        <f t="shared" si="16"/>
        <v>5</v>
      </c>
      <c r="F241" s="3" t="s">
        <v>600</v>
      </c>
      <c r="G241" s="3" t="s">
        <v>706</v>
      </c>
      <c r="H241" s="4">
        <f>SUMIFS(Tab_01.Jan[SALDO
ATUAL],Tab_01.Jan[CONTA],$F241)</f>
        <v>114421.35</v>
      </c>
      <c r="I241" s="4">
        <f>SUMIFS(Tab_02.Fev[SALDO
ATUAL],Tab_02.Fev[CONTA],$F241)</f>
        <v>493928.83</v>
      </c>
      <c r="J241" s="4">
        <f>SUMIFS(Tab_03.Mar[SALDO
ATUAL],Tab_03.Mar[CONTA],$F241)</f>
        <v>560407.41</v>
      </c>
      <c r="K241" s="4">
        <f>SUMIFS(Tab_04.Abr[SALDO
ATUAL],Tab_04.Abr[CONTA],$F241)</f>
        <v>612215.82999999996</v>
      </c>
      <c r="L241" s="4">
        <f>SUMIFS(Tab_05.Mai[SALDO
ATUAL],Tab_05.Mai[CONTA],$F241)</f>
        <v>663991.79</v>
      </c>
      <c r="M241" s="4">
        <f>SUMIFS(Tab_06.Jun[SALDO
ATUAL],Tab_06.Jun[CONTA],$F241)</f>
        <v>736112.89</v>
      </c>
      <c r="N241" s="4">
        <f>SUMIFS(Tab_07.Jul[SALDO
ATUAL],Tab_07.Jul[CONTA],$F241)</f>
        <v>804141.97</v>
      </c>
      <c r="O241" s="4">
        <f>SUMIFS(Tab_08.Ago[SALDO
ATUAL],Tab_08.Ago[CONTA],$F241)</f>
        <v>882088.29</v>
      </c>
      <c r="P241" s="4">
        <f>SUMIFS(Tab_09.Set[SALDO
ATUAL],Tab_09.Set[CONTA],$F241)</f>
        <v>941985.01</v>
      </c>
      <c r="Q241" s="4">
        <f>SUMIFS(Tab_10.Out[SALDO
ATUAL],Tab_10.Out[CONTA],$F241)</f>
        <v>1015110.9</v>
      </c>
      <c r="R241" s="4">
        <f>SUMIFS(Tab_11.Nov[SALDO
ATUAL],Tab_11.Nov[CONTA],$F241)</f>
        <v>1086533.54</v>
      </c>
      <c r="S241" s="4">
        <f>SUMIFS(Tab_12.Dez[SALDO
ATUAL],Tab_12.Dez[CONTA],$F241)</f>
        <v>1135162.83</v>
      </c>
    </row>
    <row r="242" spans="2:19" x14ac:dyDescent="0.3">
      <c r="B242" s="3"/>
      <c r="C242" s="2" t="str">
        <f t="shared" si="14"/>
        <v>C</v>
      </c>
      <c r="D242" s="2" t="str">
        <f t="shared" si="15"/>
        <v>S</v>
      </c>
      <c r="E242" s="2">
        <f t="shared" si="16"/>
        <v>5</v>
      </c>
      <c r="F242" s="3" t="s">
        <v>601</v>
      </c>
      <c r="G242" s="3" t="s">
        <v>707</v>
      </c>
      <c r="H242" s="4">
        <f>SUMIFS(Tab_01.Jan[SALDO
ATUAL],Tab_01.Jan[CONTA],$F242)</f>
        <v>88515.91</v>
      </c>
      <c r="I242" s="4">
        <f>SUMIFS(Tab_02.Fev[SALDO
ATUAL],Tab_02.Fev[CONTA],$F242)</f>
        <v>259630.68</v>
      </c>
      <c r="J242" s="4">
        <f>SUMIFS(Tab_03.Mar[SALDO
ATUAL],Tab_03.Mar[CONTA],$F242)</f>
        <v>314679</v>
      </c>
      <c r="K242" s="4">
        <f>SUMIFS(Tab_04.Abr[SALDO
ATUAL],Tab_04.Abr[CONTA],$F242)</f>
        <v>355062.16</v>
      </c>
      <c r="L242" s="4">
        <f>SUMIFS(Tab_05.Mai[SALDO
ATUAL],Tab_05.Mai[CONTA],$F242)</f>
        <v>395452.86</v>
      </c>
      <c r="M242" s="4">
        <f>SUMIFS(Tab_06.Jun[SALDO
ATUAL],Tab_06.Jun[CONTA],$F242)</f>
        <v>451967.44</v>
      </c>
      <c r="N242" s="4">
        <f>SUMIFS(Tab_07.Jul[SALDO
ATUAL],Tab_07.Jul[CONTA],$F242)</f>
        <v>504393.81</v>
      </c>
      <c r="O242" s="4">
        <f>SUMIFS(Tab_08.Ago[SALDO
ATUAL],Tab_08.Ago[CONTA],$F242)</f>
        <v>565780.51</v>
      </c>
      <c r="P242" s="4">
        <f>SUMIFS(Tab_09.Set[SALDO
ATUAL],Tab_09.Set[CONTA],$F242)</f>
        <v>615045.84</v>
      </c>
      <c r="Q242" s="4">
        <f>SUMIFS(Tab_10.Out[SALDO
ATUAL],Tab_10.Out[CONTA],$F242)</f>
        <v>672412.16000000003</v>
      </c>
      <c r="R242" s="4">
        <f>SUMIFS(Tab_11.Nov[SALDO
ATUAL],Tab_11.Nov[CONTA],$F242)</f>
        <v>728347.62</v>
      </c>
      <c r="S242" s="4">
        <f>SUMIFS(Tab_12.Dez[SALDO
ATUAL],Tab_12.Dez[CONTA],$F242)</f>
        <v>755904.97</v>
      </c>
    </row>
    <row r="243" spans="2:19" x14ac:dyDescent="0.3">
      <c r="B243" s="3" t="s">
        <v>104</v>
      </c>
      <c r="C243" s="2" t="str">
        <f t="shared" ref="C243:C319" si="20">IF($F243="","",IF(LEFT($F243,1)*1=1,"A",IF(LEFT($F243,1)*1=2,"P",IF(LEFT($F243,1)*1=3,"R",IF(LEFT($F243,1)*1=4,"C",IF(LEFT($F243,1)*1=5,"C",""))))))</f>
        <v>C</v>
      </c>
      <c r="D243" s="2" t="str">
        <f t="shared" si="15"/>
        <v>A</v>
      </c>
      <c r="E243" s="2">
        <f t="shared" si="16"/>
        <v>5</v>
      </c>
      <c r="F243" s="3" t="s">
        <v>441</v>
      </c>
      <c r="G243" s="3" t="s">
        <v>427</v>
      </c>
      <c r="H243" s="4">
        <f>SUMIFS(Tab_01.Jan[SALDO
ATUAL],Tab_01.Jan[CONTA],$F243)</f>
        <v>54518.48</v>
      </c>
      <c r="I243" s="4">
        <f>SUMIFS(Tab_02.Fev[SALDO
ATUAL],Tab_02.Fev[CONTA],$F243)</f>
        <v>116782.9</v>
      </c>
      <c r="J243" s="4">
        <f>SUMIFS(Tab_03.Mar[SALDO
ATUAL],Tab_03.Mar[CONTA],$F243)</f>
        <v>162656.29999999999</v>
      </c>
      <c r="K243" s="4">
        <f>SUMIFS(Tab_04.Abr[SALDO
ATUAL],Tab_04.Abr[CONTA],$F243)</f>
        <v>193928.11</v>
      </c>
      <c r="L243" s="4">
        <f>SUMIFS(Tab_05.Mai[SALDO
ATUAL],Tab_05.Mai[CONTA],$F243)</f>
        <v>225199.92</v>
      </c>
      <c r="M243" s="4">
        <f>SUMIFS(Tab_06.Jun[SALDO
ATUAL],Tab_06.Jun[CONTA],$F243)</f>
        <v>270376.56</v>
      </c>
      <c r="N243" s="4">
        <f>SUMIFS(Tab_07.Jul[SALDO
ATUAL],Tab_07.Jul[CONTA],$F243)</f>
        <v>313429.03000000003</v>
      </c>
      <c r="O243" s="4">
        <f>SUMIFS(Tab_08.Ago[SALDO
ATUAL],Tab_08.Ago[CONTA],$F243)</f>
        <v>359986.3</v>
      </c>
      <c r="P243" s="4">
        <f>SUMIFS(Tab_09.Set[SALDO
ATUAL],Tab_09.Set[CONTA],$F243)</f>
        <v>398237.66</v>
      </c>
      <c r="Q243" s="4">
        <f>SUMIFS(Tab_10.Out[SALDO
ATUAL],Tab_10.Out[CONTA],$F243)</f>
        <v>443857.25</v>
      </c>
      <c r="R243" s="4">
        <f>SUMIFS(Tab_11.Nov[SALDO
ATUAL],Tab_11.Nov[CONTA],$F243)</f>
        <v>488045.75</v>
      </c>
      <c r="S243" s="4">
        <f>SUMIFS(Tab_12.Dez[SALDO
ATUAL],Tab_12.Dez[CONTA],$F243)</f>
        <v>532743.71</v>
      </c>
    </row>
    <row r="244" spans="2:19" x14ac:dyDescent="0.3">
      <c r="B244" s="3" t="s">
        <v>104</v>
      </c>
      <c r="C244" s="2" t="str">
        <f t="shared" si="20"/>
        <v>C</v>
      </c>
      <c r="D244" s="2" t="str">
        <f t="shared" si="15"/>
        <v>A</v>
      </c>
      <c r="E244" s="2">
        <f t="shared" si="16"/>
        <v>5</v>
      </c>
      <c r="F244" s="3" t="s">
        <v>442</v>
      </c>
      <c r="G244" s="3" t="s">
        <v>429</v>
      </c>
      <c r="H244" s="4">
        <f>SUMIFS(Tab_01.Jan[SALDO
ATUAL],Tab_01.Jan[CONTA],$F244)</f>
        <v>0</v>
      </c>
      <c r="I244" s="4">
        <f>SUMIFS(Tab_02.Fev[SALDO
ATUAL],Tab_02.Fev[CONTA],$F244)</f>
        <v>0</v>
      </c>
      <c r="J244" s="4">
        <f>SUMIFS(Tab_03.Mar[SALDO
ATUAL],Tab_03.Mar[CONTA],$F244)</f>
        <v>0</v>
      </c>
      <c r="K244" s="4">
        <f>SUMIFS(Tab_04.Abr[SALDO
ATUAL],Tab_04.Abr[CONTA],$F244)</f>
        <v>0</v>
      </c>
      <c r="L244" s="4">
        <f>SUMIFS(Tab_05.Mai[SALDO
ATUAL],Tab_05.Mai[CONTA],$F244)</f>
        <v>0</v>
      </c>
      <c r="M244" s="4">
        <f>SUMIFS(Tab_06.Jun[SALDO
ATUAL],Tab_06.Jun[CONTA],$F244)</f>
        <v>0</v>
      </c>
      <c r="N244" s="4">
        <f>SUMIFS(Tab_07.Jul[SALDO
ATUAL],Tab_07.Jul[CONTA],$F244)</f>
        <v>0</v>
      </c>
      <c r="O244" s="4">
        <f>SUMIFS(Tab_08.Ago[SALDO
ATUAL],Tab_08.Ago[CONTA],$F244)</f>
        <v>0</v>
      </c>
      <c r="P244" s="4">
        <f>SUMIFS(Tab_09.Set[SALDO
ATUAL],Tab_09.Set[CONTA],$F244)</f>
        <v>0</v>
      </c>
      <c r="Q244" s="4">
        <f>SUMIFS(Tab_10.Out[SALDO
ATUAL],Tab_10.Out[CONTA],$F244)</f>
        <v>0</v>
      </c>
      <c r="R244" s="4">
        <f>SUMIFS(Tab_11.Nov[SALDO
ATUAL],Tab_11.Nov[CONTA],$F244)</f>
        <v>0</v>
      </c>
      <c r="S244" s="4">
        <f>SUMIFS(Tab_12.Dez[SALDO
ATUAL],Tab_12.Dez[CONTA],$F244)</f>
        <v>0</v>
      </c>
    </row>
    <row r="245" spans="2:19" x14ac:dyDescent="0.3">
      <c r="B245" s="3" t="s">
        <v>104</v>
      </c>
      <c r="C245" s="2" t="str">
        <f t="shared" si="20"/>
        <v>C</v>
      </c>
      <c r="D245" s="2" t="str">
        <f t="shared" si="15"/>
        <v>A</v>
      </c>
      <c r="E245" s="2">
        <f t="shared" si="16"/>
        <v>5</v>
      </c>
      <c r="F245" s="3" t="s">
        <v>443</v>
      </c>
      <c r="G245" s="3" t="s">
        <v>431</v>
      </c>
      <c r="H245" s="4">
        <f>SUMIFS(Tab_01.Jan[SALDO
ATUAL],Tab_01.Jan[CONTA],$F245)</f>
        <v>10254.450000000001</v>
      </c>
      <c r="I245" s="4">
        <f>SUMIFS(Tab_02.Fev[SALDO
ATUAL],Tab_02.Fev[CONTA],$F245)</f>
        <v>23957.59</v>
      </c>
      <c r="J245" s="4">
        <f>SUMIFS(Tab_03.Mar[SALDO
ATUAL],Tab_03.Mar[CONTA],$F245)</f>
        <v>28400.5</v>
      </c>
      <c r="K245" s="4">
        <f>SUMIFS(Tab_04.Abr[SALDO
ATUAL],Tab_04.Abr[CONTA],$F245)</f>
        <v>31360.39</v>
      </c>
      <c r="L245" s="4">
        <f>SUMIFS(Tab_05.Mai[SALDO
ATUAL],Tab_05.Mai[CONTA],$F245)</f>
        <v>33586.93</v>
      </c>
      <c r="M245" s="4">
        <f>SUMIFS(Tab_06.Jun[SALDO
ATUAL],Tab_06.Jun[CONTA],$F245)</f>
        <v>38492.01</v>
      </c>
      <c r="N245" s="4">
        <f>SUMIFS(Tab_07.Jul[SALDO
ATUAL],Tab_07.Jul[CONTA],$F245)</f>
        <v>43165.37</v>
      </c>
      <c r="O245" s="4">
        <f>SUMIFS(Tab_08.Ago[SALDO
ATUAL],Tab_08.Ago[CONTA],$F245)</f>
        <v>50255.83</v>
      </c>
      <c r="P245" s="4">
        <f>SUMIFS(Tab_09.Set[SALDO
ATUAL],Tab_09.Set[CONTA],$F245)</f>
        <v>55069.19</v>
      </c>
      <c r="Q245" s="4">
        <f>SUMIFS(Tab_10.Out[SALDO
ATUAL],Tab_10.Out[CONTA],$F245)</f>
        <v>55069.19</v>
      </c>
      <c r="R245" s="4">
        <f>SUMIFS(Tab_11.Nov[SALDO
ATUAL],Tab_11.Nov[CONTA],$F245)</f>
        <v>55069.19</v>
      </c>
      <c r="S245" s="4">
        <f>SUMIFS(Tab_12.Dez[SALDO
ATUAL],Tab_12.Dez[CONTA],$F245)</f>
        <v>55069.19</v>
      </c>
    </row>
    <row r="246" spans="2:19" x14ac:dyDescent="0.3">
      <c r="B246" s="3" t="s">
        <v>104</v>
      </c>
      <c r="C246" s="2" t="str">
        <f t="shared" si="20"/>
        <v>C</v>
      </c>
      <c r="D246" s="2" t="str">
        <f t="shared" si="15"/>
        <v>A</v>
      </c>
      <c r="E246" s="2">
        <f t="shared" si="16"/>
        <v>5</v>
      </c>
      <c r="F246" s="3" t="s">
        <v>444</v>
      </c>
      <c r="G246" s="3" t="s">
        <v>433</v>
      </c>
      <c r="H246" s="4">
        <f>SUMIFS(Tab_01.Jan[SALDO
ATUAL],Tab_01.Jan[CONTA],$F246)</f>
        <v>6223.05</v>
      </c>
      <c r="I246" s="4">
        <f>SUMIFS(Tab_02.Fev[SALDO
ATUAL],Tab_02.Fev[CONTA],$F246)</f>
        <v>18415.560000000001</v>
      </c>
      <c r="J246" s="4">
        <f>SUMIFS(Tab_03.Mar[SALDO
ATUAL],Tab_03.Mar[CONTA],$F246)</f>
        <v>21653.9</v>
      </c>
      <c r="K246" s="4">
        <f>SUMIFS(Tab_04.Abr[SALDO
ATUAL],Tab_04.Abr[CONTA],$F246)</f>
        <v>24892.240000000002</v>
      </c>
      <c r="L246" s="4">
        <f>SUMIFS(Tab_05.Mai[SALDO
ATUAL],Tab_05.Mai[CONTA],$F246)</f>
        <v>28397.25</v>
      </c>
      <c r="M246" s="4">
        <f>SUMIFS(Tab_06.Jun[SALDO
ATUAL],Tab_06.Jun[CONTA],$F246)</f>
        <v>31902.27</v>
      </c>
      <c r="N246" s="4">
        <f>SUMIFS(Tab_07.Jul[SALDO
ATUAL],Tab_07.Jul[CONTA],$F246)</f>
        <v>34122.18</v>
      </c>
      <c r="O246" s="4">
        <f>SUMIFS(Tab_08.Ago[SALDO
ATUAL],Tab_08.Ago[CONTA],$F246)</f>
        <v>38369.879999999997</v>
      </c>
      <c r="P246" s="4">
        <f>SUMIFS(Tab_09.Set[SALDO
ATUAL],Tab_09.Set[CONTA],$F246)</f>
        <v>41199.1</v>
      </c>
      <c r="Q246" s="4">
        <f>SUMIFS(Tab_10.Out[SALDO
ATUAL],Tab_10.Out[CONTA],$F246)</f>
        <v>49850.7</v>
      </c>
      <c r="R246" s="4">
        <f>SUMIFS(Tab_11.Nov[SALDO
ATUAL],Tab_11.Nov[CONTA],$F246)</f>
        <v>58502.32</v>
      </c>
      <c r="S246" s="4">
        <f>SUMIFS(Tab_12.Dez[SALDO
ATUAL],Tab_12.Dez[CONTA],$F246)</f>
        <v>40071.760000000002</v>
      </c>
    </row>
    <row r="247" spans="2:19" x14ac:dyDescent="0.3">
      <c r="B247" s="3" t="s">
        <v>104</v>
      </c>
      <c r="C247" s="2" t="str">
        <f>IF($F247="","",IF(LEFT($F247,1)*1=1,"A",IF(LEFT($F247,1)*1=2,"P",IF(LEFT($F247,1)*1=3,"R",IF(LEFT($F247,1)*1=4,"C",IF(LEFT($F247,1)*1=5,"C",""))))))</f>
        <v>C</v>
      </c>
      <c r="D247" s="2" t="str">
        <f>IF($F247="","",IF(LEN($F247)=13,"A","S"))</f>
        <v>A</v>
      </c>
      <c r="E247" s="2">
        <f>IF($F247="","",IF(LEN($F247)=1,1,IF(LEN($F247)=3,2,IF(LEN($F247)=5,3,IF(LEN($F247)=8,4,5)))))</f>
        <v>5</v>
      </c>
      <c r="F247" s="3" t="s">
        <v>775</v>
      </c>
      <c r="G247" s="3" t="s">
        <v>749</v>
      </c>
      <c r="H247" s="4">
        <f>SUMIFS(Tab_01.Jan[SALDO
ATUAL],Tab_01.Jan[CONTA],$F247)</f>
        <v>0</v>
      </c>
      <c r="I247" s="4">
        <f>SUMIFS(Tab_02.Fev[SALDO
ATUAL],Tab_02.Fev[CONTA],$F247)</f>
        <v>85959.77</v>
      </c>
      <c r="J247" s="4">
        <f>SUMIFS(Tab_03.Mar[SALDO
ATUAL],Tab_03.Mar[CONTA],$F247)</f>
        <v>85959.77</v>
      </c>
      <c r="K247" s="4">
        <f>SUMIFS(Tab_04.Abr[SALDO
ATUAL],Tab_04.Abr[CONTA],$F247)</f>
        <v>85959.77</v>
      </c>
      <c r="L247" s="4">
        <f>SUMIFS(Tab_05.Mai[SALDO
ATUAL],Tab_05.Mai[CONTA],$F247)</f>
        <v>85959.77</v>
      </c>
      <c r="M247" s="4">
        <f>SUMIFS(Tab_06.Jun[SALDO
ATUAL],Tab_06.Jun[CONTA],$F247)</f>
        <v>85959.77</v>
      </c>
      <c r="N247" s="4">
        <f>SUMIFS(Tab_07.Jul[SALDO
ATUAL],Tab_07.Jul[CONTA],$F247)</f>
        <v>85959.77</v>
      </c>
      <c r="O247" s="4">
        <f>SUMIFS(Tab_08.Ago[SALDO
ATUAL],Tab_08.Ago[CONTA],$F247)</f>
        <v>85959.77</v>
      </c>
      <c r="P247" s="4">
        <f>SUMIFS(Tab_09.Set[SALDO
ATUAL],Tab_09.Set[CONTA],$F247)</f>
        <v>85959.77</v>
      </c>
      <c r="Q247" s="4">
        <f>SUMIFS(Tab_10.Out[SALDO
ATUAL],Tab_10.Out[CONTA],$F247)</f>
        <v>85959.77</v>
      </c>
      <c r="R247" s="4">
        <f>SUMIFS(Tab_11.Nov[SALDO
ATUAL],Tab_11.Nov[CONTA],$F247)</f>
        <v>85959.77</v>
      </c>
      <c r="S247" s="4">
        <f>SUMIFS(Tab_12.Dez[SALDO
ATUAL],Tab_12.Dez[CONTA],$F247)</f>
        <v>85959.77</v>
      </c>
    </row>
    <row r="248" spans="2:19" x14ac:dyDescent="0.3">
      <c r="B248" s="3" t="s">
        <v>104</v>
      </c>
      <c r="C248" s="2" t="str">
        <f t="shared" si="20"/>
        <v>C</v>
      </c>
      <c r="D248" s="2" t="str">
        <f t="shared" si="15"/>
        <v>A</v>
      </c>
      <c r="E248" s="2">
        <f t="shared" si="16"/>
        <v>5</v>
      </c>
      <c r="F248" s="3" t="s">
        <v>445</v>
      </c>
      <c r="G248" s="3" t="s">
        <v>446</v>
      </c>
      <c r="H248" s="4">
        <f>SUMIFS(Tab_01.Jan[SALDO
ATUAL],Tab_01.Jan[CONTA],$F248)</f>
        <v>0</v>
      </c>
      <c r="I248" s="4">
        <f>SUMIFS(Tab_02.Fev[SALDO
ATUAL],Tab_02.Fev[CONTA],$F248)</f>
        <v>0</v>
      </c>
      <c r="J248" s="4">
        <f>SUMIFS(Tab_03.Mar[SALDO
ATUAL],Tab_03.Mar[CONTA],$F248)</f>
        <v>0</v>
      </c>
      <c r="K248" s="4">
        <f>SUMIFS(Tab_04.Abr[SALDO
ATUAL],Tab_04.Abr[CONTA],$F248)</f>
        <v>0</v>
      </c>
      <c r="L248" s="4">
        <f>SUMIFS(Tab_05.Mai[SALDO
ATUAL],Tab_05.Mai[CONTA],$F248)</f>
        <v>0</v>
      </c>
      <c r="M248" s="4">
        <f>SUMIFS(Tab_06.Jun[SALDO
ATUAL],Tab_06.Jun[CONTA],$F248)</f>
        <v>0</v>
      </c>
      <c r="N248" s="4">
        <f>SUMIFS(Tab_07.Jul[SALDO
ATUAL],Tab_07.Jul[CONTA],$F248)</f>
        <v>0</v>
      </c>
      <c r="O248" s="4">
        <f>SUMIFS(Tab_08.Ago[SALDO
ATUAL],Tab_08.Ago[CONTA],$F248)</f>
        <v>0</v>
      </c>
      <c r="P248" s="4">
        <f>SUMIFS(Tab_09.Set[SALDO
ATUAL],Tab_09.Set[CONTA],$F248)</f>
        <v>0</v>
      </c>
      <c r="Q248" s="4">
        <f>SUMIFS(Tab_10.Out[SALDO
ATUAL],Tab_10.Out[CONTA],$F248)</f>
        <v>0</v>
      </c>
      <c r="R248" s="4">
        <f>SUMIFS(Tab_11.Nov[SALDO
ATUAL],Tab_11.Nov[CONTA],$F248)</f>
        <v>0</v>
      </c>
      <c r="S248" s="4">
        <f>SUMIFS(Tab_12.Dez[SALDO
ATUAL],Tab_12.Dez[CONTA],$F248)</f>
        <v>0</v>
      </c>
    </row>
    <row r="249" spans="2:19" x14ac:dyDescent="0.3">
      <c r="B249" s="3" t="s">
        <v>104</v>
      </c>
      <c r="C249" s="2" t="str">
        <f t="shared" si="20"/>
        <v>C</v>
      </c>
      <c r="D249" s="2" t="str">
        <f t="shared" si="15"/>
        <v>A</v>
      </c>
      <c r="E249" s="2">
        <f t="shared" si="16"/>
        <v>5</v>
      </c>
      <c r="F249" s="3" t="s">
        <v>447</v>
      </c>
      <c r="G249" s="3" t="s">
        <v>448</v>
      </c>
      <c r="H249" s="4">
        <f>SUMIFS(Tab_01.Jan[SALDO
ATUAL],Tab_01.Jan[CONTA],$F249)</f>
        <v>0</v>
      </c>
      <c r="I249" s="4">
        <f>SUMIFS(Tab_02.Fev[SALDO
ATUAL],Tab_02.Fev[CONTA],$F249)</f>
        <v>0</v>
      </c>
      <c r="J249" s="4">
        <f>SUMIFS(Tab_03.Mar[SALDO
ATUAL],Tab_03.Mar[CONTA],$F249)</f>
        <v>0</v>
      </c>
      <c r="K249" s="4">
        <f>SUMIFS(Tab_04.Abr[SALDO
ATUAL],Tab_04.Abr[CONTA],$F249)</f>
        <v>0</v>
      </c>
      <c r="L249" s="4">
        <f>SUMIFS(Tab_05.Mai[SALDO
ATUAL],Tab_05.Mai[CONTA],$F249)</f>
        <v>476.67</v>
      </c>
      <c r="M249" s="4">
        <f>SUMIFS(Tab_06.Jun[SALDO
ATUAL],Tab_06.Jun[CONTA],$F249)</f>
        <v>476.67</v>
      </c>
      <c r="N249" s="4">
        <f>SUMIFS(Tab_07.Jul[SALDO
ATUAL],Tab_07.Jul[CONTA],$F249)</f>
        <v>476.67</v>
      </c>
      <c r="O249" s="4">
        <f>SUMIFS(Tab_08.Ago[SALDO
ATUAL],Tab_08.Ago[CONTA],$F249)</f>
        <v>476.67</v>
      </c>
      <c r="P249" s="4">
        <f>SUMIFS(Tab_09.Set[SALDO
ATUAL],Tab_09.Set[CONTA],$F249)</f>
        <v>1576.67</v>
      </c>
      <c r="Q249" s="4">
        <f>SUMIFS(Tab_10.Out[SALDO
ATUAL],Tab_10.Out[CONTA],$F249)</f>
        <v>1576.67</v>
      </c>
      <c r="R249" s="4">
        <f>SUMIFS(Tab_11.Nov[SALDO
ATUAL],Tab_11.Nov[CONTA],$F249)</f>
        <v>1576.67</v>
      </c>
      <c r="S249" s="4">
        <f>SUMIFS(Tab_12.Dez[SALDO
ATUAL],Tab_12.Dez[CONTA],$F249)</f>
        <v>1576.67</v>
      </c>
    </row>
    <row r="250" spans="2:19" x14ac:dyDescent="0.3">
      <c r="B250" s="3" t="s">
        <v>104</v>
      </c>
      <c r="C250" s="2" t="str">
        <f t="shared" si="20"/>
        <v>C</v>
      </c>
      <c r="D250" s="2" t="str">
        <f t="shared" si="15"/>
        <v>A</v>
      </c>
      <c r="E250" s="2">
        <f t="shared" si="16"/>
        <v>5</v>
      </c>
      <c r="F250" s="3" t="s">
        <v>449</v>
      </c>
      <c r="G250" s="3" t="s">
        <v>450</v>
      </c>
      <c r="H250" s="4">
        <f>SUMIFS(Tab_01.Jan[SALDO
ATUAL],Tab_01.Jan[CONTA],$F250)</f>
        <v>0</v>
      </c>
      <c r="I250" s="4">
        <f>SUMIFS(Tab_02.Fev[SALDO
ATUAL],Tab_02.Fev[CONTA],$F250)</f>
        <v>0</v>
      </c>
      <c r="J250" s="4">
        <f>SUMIFS(Tab_03.Mar[SALDO
ATUAL],Tab_03.Mar[CONTA],$F250)</f>
        <v>0</v>
      </c>
      <c r="K250" s="4">
        <f>SUMIFS(Tab_04.Abr[SALDO
ATUAL],Tab_04.Abr[CONTA],$F250)</f>
        <v>0</v>
      </c>
      <c r="L250" s="4">
        <f>SUMIFS(Tab_05.Mai[SALDO
ATUAL],Tab_05.Mai[CONTA],$F250)</f>
        <v>0</v>
      </c>
      <c r="M250" s="4">
        <f>SUMIFS(Tab_06.Jun[SALDO
ATUAL],Tab_06.Jun[CONTA],$F250)</f>
        <v>0</v>
      </c>
      <c r="N250" s="4">
        <f>SUMIFS(Tab_07.Jul[SALDO
ATUAL],Tab_07.Jul[CONTA],$F250)</f>
        <v>0</v>
      </c>
      <c r="O250" s="4">
        <f>SUMIFS(Tab_08.Ago[SALDO
ATUAL],Tab_08.Ago[CONTA],$F250)</f>
        <v>0</v>
      </c>
      <c r="P250" s="4">
        <f>SUMIFS(Tab_09.Set[SALDO
ATUAL],Tab_09.Set[CONTA],$F250)</f>
        <v>0</v>
      </c>
      <c r="Q250" s="4">
        <f>SUMIFS(Tab_10.Out[SALDO
ATUAL],Tab_10.Out[CONTA],$F250)</f>
        <v>0</v>
      </c>
      <c r="R250" s="4">
        <f>SUMIFS(Tab_11.Nov[SALDO
ATUAL],Tab_11.Nov[CONTA],$F250)</f>
        <v>0</v>
      </c>
      <c r="S250" s="4">
        <f>SUMIFS(Tab_12.Dez[SALDO
ATUAL],Tab_12.Dez[CONTA],$F250)</f>
        <v>0</v>
      </c>
    </row>
    <row r="251" spans="2:19" x14ac:dyDescent="0.3">
      <c r="B251" s="3" t="s">
        <v>104</v>
      </c>
      <c r="C251" s="2" t="str">
        <f t="shared" ref="C251:C256" si="21">IF($F251="","",IF(LEFT($F251,1)*1=1,"A",IF(LEFT($F251,1)*1=2,"P",IF(LEFT($F251,1)*1=3,"R",IF(LEFT($F251,1)*1=4,"C",IF(LEFT($F251,1)*1=5,"C",""))))))</f>
        <v>C</v>
      </c>
      <c r="D251" s="2" t="str">
        <f t="shared" ref="D251:D256" si="22">IF($F251="","",IF(LEN($F251)=13,"A","S"))</f>
        <v>A</v>
      </c>
      <c r="E251" s="2">
        <f t="shared" ref="E251:E256" si="23">IF($F251="","",IF(LEN($F251)=1,1,IF(LEN($F251)=3,2,IF(LEN($F251)=5,3,IF(LEN($F251)=8,4,5)))))</f>
        <v>5</v>
      </c>
      <c r="F251" s="3" t="s">
        <v>802</v>
      </c>
      <c r="G251" s="3" t="s">
        <v>791</v>
      </c>
      <c r="H251" s="4">
        <f>SUMIFS(Tab_01.Jan[SALDO
ATUAL],Tab_01.Jan[CONTA],$F251)</f>
        <v>862.74</v>
      </c>
      <c r="I251" s="4">
        <f>SUMIFS(Tab_02.Fev[SALDO
ATUAL],Tab_02.Fev[CONTA],$F251)</f>
        <v>862.74</v>
      </c>
      <c r="J251" s="4">
        <f>SUMIFS(Tab_03.Mar[SALDO
ATUAL],Tab_03.Mar[CONTA],$F251)</f>
        <v>862.74</v>
      </c>
      <c r="K251" s="4">
        <f>SUMIFS(Tab_04.Abr[SALDO
ATUAL],Tab_04.Abr[CONTA],$F251)</f>
        <v>2019.89</v>
      </c>
      <c r="L251" s="4">
        <f>SUMIFS(Tab_05.Mai[SALDO
ATUAL],Tab_05.Mai[CONTA],$F251)</f>
        <v>3272.33</v>
      </c>
      <c r="M251" s="4">
        <f>SUMIFS(Tab_06.Jun[SALDO
ATUAL],Tab_06.Jun[CONTA],$F251)</f>
        <v>4524.8100000000004</v>
      </c>
      <c r="N251" s="4">
        <f>SUMIFS(Tab_07.Jul[SALDO
ATUAL],Tab_07.Jul[CONTA],$F251)</f>
        <v>5777.27</v>
      </c>
      <c r="O251" s="4">
        <f>SUMIFS(Tab_08.Ago[SALDO
ATUAL],Tab_08.Ago[CONTA],$F251)</f>
        <v>7295.1</v>
      </c>
      <c r="P251" s="4">
        <f>SUMIFS(Tab_09.Set[SALDO
ATUAL],Tab_09.Set[CONTA],$F251)</f>
        <v>8227.25</v>
      </c>
      <c r="Q251" s="4">
        <f>SUMIFS(Tab_10.Out[SALDO
ATUAL],Tab_10.Out[CONTA],$F251)</f>
        <v>8227.25</v>
      </c>
      <c r="R251" s="4">
        <f>SUMIFS(Tab_11.Nov[SALDO
ATUAL],Tab_11.Nov[CONTA],$F251)</f>
        <v>8227.25</v>
      </c>
      <c r="S251" s="4">
        <f>SUMIFS(Tab_12.Dez[SALDO
ATUAL],Tab_12.Dez[CONTA],$F251)</f>
        <v>8227.25</v>
      </c>
    </row>
    <row r="252" spans="2:19" x14ac:dyDescent="0.3">
      <c r="B252" s="3" t="s">
        <v>104</v>
      </c>
      <c r="C252" s="2" t="str">
        <f t="shared" si="21"/>
        <v>C</v>
      </c>
      <c r="D252" s="2" t="str">
        <f t="shared" si="22"/>
        <v>A</v>
      </c>
      <c r="E252" s="2">
        <f t="shared" si="23"/>
        <v>5</v>
      </c>
      <c r="F252" s="3" t="s">
        <v>803</v>
      </c>
      <c r="G252" s="3" t="s">
        <v>793</v>
      </c>
      <c r="H252" s="4">
        <f>SUMIFS(Tab_01.Jan[SALDO
ATUAL],Tab_01.Jan[CONTA],$F252)</f>
        <v>14346.41</v>
      </c>
      <c r="I252" s="4">
        <f>SUMIFS(Tab_02.Fev[SALDO
ATUAL],Tab_02.Fev[CONTA],$F252)</f>
        <v>9113.42</v>
      </c>
      <c r="J252" s="4">
        <f>SUMIFS(Tab_03.Mar[SALDO
ATUAL],Tab_03.Mar[CONTA],$F252)</f>
        <v>9458.86</v>
      </c>
      <c r="K252" s="4">
        <f>SUMIFS(Tab_04.Abr[SALDO
ATUAL],Tab_04.Abr[CONTA],$F252)</f>
        <v>10025.94</v>
      </c>
      <c r="L252" s="4">
        <f>SUMIFS(Tab_05.Mai[SALDO
ATUAL],Tab_05.Mai[CONTA],$F252)</f>
        <v>10399.799999999999</v>
      </c>
      <c r="M252" s="4">
        <f>SUMIFS(Tab_06.Jun[SALDO
ATUAL],Tab_06.Jun[CONTA],$F252)</f>
        <v>10773.66</v>
      </c>
      <c r="N252" s="4">
        <f>SUMIFS(Tab_07.Jul[SALDO
ATUAL],Tab_07.Jul[CONTA],$F252)</f>
        <v>11147.53</v>
      </c>
      <c r="O252" s="4">
        <f>SUMIFS(Tab_08.Ago[SALDO
ATUAL],Tab_08.Ago[CONTA],$F252)</f>
        <v>11600.62</v>
      </c>
      <c r="P252" s="4">
        <f>SUMIFS(Tab_09.Set[SALDO
ATUAL],Tab_09.Set[CONTA],$F252)</f>
        <v>11878.87</v>
      </c>
      <c r="Q252" s="4">
        <f>SUMIFS(Tab_10.Out[SALDO
ATUAL],Tab_10.Out[CONTA],$F252)</f>
        <v>11878.87</v>
      </c>
      <c r="R252" s="4">
        <f>SUMIFS(Tab_11.Nov[SALDO
ATUAL],Tab_11.Nov[CONTA],$F252)</f>
        <v>11878.87</v>
      </c>
      <c r="S252" s="4">
        <f>SUMIFS(Tab_12.Dez[SALDO
ATUAL],Tab_12.Dez[CONTA],$F252)</f>
        <v>11878.87</v>
      </c>
    </row>
    <row r="253" spans="2:19" x14ac:dyDescent="0.3">
      <c r="B253" s="3" t="s">
        <v>104</v>
      </c>
      <c r="C253" s="2" t="str">
        <f t="shared" si="21"/>
        <v>C</v>
      </c>
      <c r="D253" s="2" t="str">
        <f t="shared" si="22"/>
        <v>A</v>
      </c>
      <c r="E253" s="2">
        <f t="shared" si="23"/>
        <v>5</v>
      </c>
      <c r="F253" s="3" t="s">
        <v>804</v>
      </c>
      <c r="G253" s="3" t="s">
        <v>795</v>
      </c>
      <c r="H253" s="4">
        <f>SUMIFS(Tab_01.Jan[SALDO
ATUAL],Tab_01.Jan[CONTA],$F253)</f>
        <v>82.97</v>
      </c>
      <c r="I253" s="4">
        <f>SUMIFS(Tab_02.Fev[SALDO
ATUAL],Tab_02.Fev[CONTA],$F253)</f>
        <v>82.97</v>
      </c>
      <c r="J253" s="4">
        <f>SUMIFS(Tab_03.Mar[SALDO
ATUAL],Tab_03.Mar[CONTA],$F253)</f>
        <v>71.84</v>
      </c>
      <c r="K253" s="4">
        <f>SUMIFS(Tab_04.Abr[SALDO
ATUAL],Tab_04.Abr[CONTA],$F253)</f>
        <v>101.44</v>
      </c>
      <c r="L253" s="4">
        <f>SUMIFS(Tab_05.Mai[SALDO
ATUAL],Tab_05.Mai[CONTA],$F253)</f>
        <v>131.03</v>
      </c>
      <c r="M253" s="4">
        <f>SUMIFS(Tab_06.Jun[SALDO
ATUAL],Tab_06.Jun[CONTA],$F253)</f>
        <v>177.77</v>
      </c>
      <c r="N253" s="4">
        <f>SUMIFS(Tab_07.Jul[SALDO
ATUAL],Tab_07.Jul[CONTA],$F253)</f>
        <v>224.51</v>
      </c>
      <c r="O253" s="4">
        <f>SUMIFS(Tab_08.Ago[SALDO
ATUAL],Tab_08.Ago[CONTA],$F253)</f>
        <v>224.11</v>
      </c>
      <c r="P253" s="4">
        <f>SUMIFS(Tab_09.Set[SALDO
ATUAL],Tab_09.Set[CONTA],$F253)</f>
        <v>272.25</v>
      </c>
      <c r="Q253" s="4">
        <f>SUMIFS(Tab_10.Out[SALDO
ATUAL],Tab_10.Out[CONTA],$F253)</f>
        <v>272.25</v>
      </c>
      <c r="R253" s="4">
        <f>SUMIFS(Tab_11.Nov[SALDO
ATUAL],Tab_11.Nov[CONTA],$F253)</f>
        <v>272.25</v>
      </c>
      <c r="S253" s="4">
        <f>SUMIFS(Tab_12.Dez[SALDO
ATUAL],Tab_12.Dez[CONTA],$F253)</f>
        <v>272.25</v>
      </c>
    </row>
    <row r="254" spans="2:19" x14ac:dyDescent="0.3">
      <c r="B254" s="3" t="s">
        <v>104</v>
      </c>
      <c r="C254" s="2" t="str">
        <f t="shared" si="21"/>
        <v>C</v>
      </c>
      <c r="D254" s="2" t="str">
        <f t="shared" si="22"/>
        <v>A</v>
      </c>
      <c r="E254" s="2">
        <f t="shared" si="23"/>
        <v>5</v>
      </c>
      <c r="F254" s="3" t="s">
        <v>805</v>
      </c>
      <c r="G254" s="3" t="s">
        <v>797</v>
      </c>
      <c r="H254" s="4">
        <f>SUMIFS(Tab_01.Jan[SALDO
ATUAL],Tab_01.Jan[CONTA],$F254)</f>
        <v>1667.78</v>
      </c>
      <c r="I254" s="4">
        <f>SUMIFS(Tab_02.Fev[SALDO
ATUAL],Tab_02.Fev[CONTA],$F254)</f>
        <v>3335.61</v>
      </c>
      <c r="J254" s="4">
        <f>SUMIFS(Tab_03.Mar[SALDO
ATUAL],Tab_03.Mar[CONTA],$F254)</f>
        <v>4203.51</v>
      </c>
      <c r="K254" s="4">
        <f>SUMIFS(Tab_04.Abr[SALDO
ATUAL],Tab_04.Abr[CONTA],$F254)</f>
        <v>5071.3599999999997</v>
      </c>
      <c r="L254" s="4">
        <f>SUMIFS(Tab_05.Mai[SALDO
ATUAL],Tab_05.Mai[CONTA],$F254)</f>
        <v>6010.67</v>
      </c>
      <c r="M254" s="4">
        <f>SUMIFS(Tab_06.Jun[SALDO
ATUAL],Tab_06.Jun[CONTA],$F254)</f>
        <v>6950.01</v>
      </c>
      <c r="N254" s="4">
        <f>SUMIFS(Tab_07.Jul[SALDO
ATUAL],Tab_07.Jul[CONTA],$F254)</f>
        <v>7544.94</v>
      </c>
      <c r="O254" s="4">
        <f>SUMIFS(Tab_08.Ago[SALDO
ATUAL],Tab_08.Ago[CONTA],$F254)</f>
        <v>8683.3799999999992</v>
      </c>
      <c r="P254" s="4">
        <f>SUMIFS(Tab_09.Set[SALDO
ATUAL],Tab_09.Set[CONTA],$F254)</f>
        <v>9441.61</v>
      </c>
      <c r="Q254" s="4">
        <f>SUMIFS(Tab_10.Out[SALDO
ATUAL],Tab_10.Out[CONTA],$F254)</f>
        <v>11758.15</v>
      </c>
      <c r="R254" s="4">
        <f>SUMIFS(Tab_11.Nov[SALDO
ATUAL],Tab_11.Nov[CONTA],$F254)</f>
        <v>14074.93</v>
      </c>
      <c r="S254" s="4">
        <f>SUMIFS(Tab_12.Dez[SALDO
ATUAL],Tab_12.Dez[CONTA],$F254)</f>
        <v>15040.6</v>
      </c>
    </row>
    <row r="255" spans="2:19" x14ac:dyDescent="0.3">
      <c r="B255" s="3" t="s">
        <v>104</v>
      </c>
      <c r="C255" s="2" t="str">
        <f t="shared" si="21"/>
        <v>C</v>
      </c>
      <c r="D255" s="2" t="str">
        <f t="shared" si="22"/>
        <v>A</v>
      </c>
      <c r="E255" s="2">
        <f t="shared" si="23"/>
        <v>5</v>
      </c>
      <c r="F255" s="3" t="s">
        <v>806</v>
      </c>
      <c r="G255" s="3" t="s">
        <v>799</v>
      </c>
      <c r="H255" s="4">
        <f>SUMIFS(Tab_01.Jan[SALDO
ATUAL],Tab_01.Jan[CONTA],$F255)</f>
        <v>497.81</v>
      </c>
      <c r="I255" s="4">
        <f>SUMIFS(Tab_02.Fev[SALDO
ATUAL],Tab_02.Fev[CONTA],$F255)</f>
        <v>995.66</v>
      </c>
      <c r="J255" s="4">
        <f>SUMIFS(Tab_03.Mar[SALDO
ATUAL],Tab_03.Mar[CONTA],$F255)</f>
        <v>1254.74</v>
      </c>
      <c r="K255" s="4">
        <f>SUMIFS(Tab_04.Abr[SALDO
ATUAL],Tab_04.Abr[CONTA],$F255)</f>
        <v>1513.8</v>
      </c>
      <c r="L255" s="4">
        <f>SUMIFS(Tab_05.Mai[SALDO
ATUAL],Tab_05.Mai[CONTA],$F255)</f>
        <v>1794.21</v>
      </c>
      <c r="M255" s="4">
        <f>SUMIFS(Tab_06.Jun[SALDO
ATUAL],Tab_06.Jun[CONTA],$F255)</f>
        <v>2074.59</v>
      </c>
      <c r="N255" s="4">
        <f>SUMIFS(Tab_07.Jul[SALDO
ATUAL],Tab_07.Jul[CONTA],$F255)</f>
        <v>2252.1799999999998</v>
      </c>
      <c r="O255" s="4">
        <f>SUMIFS(Tab_08.Ago[SALDO
ATUAL],Tab_08.Ago[CONTA],$F255)</f>
        <v>2591.9899999999998</v>
      </c>
      <c r="P255" s="4">
        <f>SUMIFS(Tab_09.Set[SALDO
ATUAL],Tab_09.Set[CONTA],$F255)</f>
        <v>2818.32</v>
      </c>
      <c r="Q255" s="4">
        <f>SUMIFS(Tab_10.Out[SALDO
ATUAL],Tab_10.Out[CONTA],$F255)</f>
        <v>3510.46</v>
      </c>
      <c r="R255" s="4">
        <f>SUMIFS(Tab_11.Nov[SALDO
ATUAL],Tab_11.Nov[CONTA],$F255)</f>
        <v>4202.57</v>
      </c>
      <c r="S255" s="4">
        <f>SUMIFS(Tab_12.Dez[SALDO
ATUAL],Tab_12.Dez[CONTA],$F255)</f>
        <v>4490.83</v>
      </c>
    </row>
    <row r="256" spans="2:19" x14ac:dyDescent="0.3">
      <c r="B256" s="3" t="s">
        <v>104</v>
      </c>
      <c r="C256" s="2" t="str">
        <f t="shared" si="21"/>
        <v>C</v>
      </c>
      <c r="D256" s="2" t="str">
        <f t="shared" si="22"/>
        <v>A</v>
      </c>
      <c r="E256" s="2">
        <f t="shared" si="23"/>
        <v>5</v>
      </c>
      <c r="F256" s="3" t="s">
        <v>807</v>
      </c>
      <c r="G256" s="3" t="s">
        <v>801</v>
      </c>
      <c r="H256" s="4">
        <f>SUMIFS(Tab_01.Jan[SALDO
ATUAL],Tab_01.Jan[CONTA],$F256)</f>
        <v>62.22</v>
      </c>
      <c r="I256" s="4">
        <f>SUMIFS(Tab_02.Fev[SALDO
ATUAL],Tab_02.Fev[CONTA],$F256)</f>
        <v>124.46</v>
      </c>
      <c r="J256" s="4">
        <f>SUMIFS(Tab_03.Mar[SALDO
ATUAL],Tab_03.Mar[CONTA],$F256)</f>
        <v>156.84</v>
      </c>
      <c r="K256" s="4">
        <f>SUMIFS(Tab_04.Abr[SALDO
ATUAL],Tab_04.Abr[CONTA],$F256)</f>
        <v>189.22</v>
      </c>
      <c r="L256" s="4">
        <f>SUMIFS(Tab_05.Mai[SALDO
ATUAL],Tab_05.Mai[CONTA],$F256)</f>
        <v>224.28</v>
      </c>
      <c r="M256" s="4">
        <f>SUMIFS(Tab_06.Jun[SALDO
ATUAL],Tab_06.Jun[CONTA],$F256)</f>
        <v>259.32</v>
      </c>
      <c r="N256" s="4">
        <f>SUMIFS(Tab_07.Jul[SALDO
ATUAL],Tab_07.Jul[CONTA],$F256)</f>
        <v>294.36</v>
      </c>
      <c r="O256" s="4">
        <f>SUMIFS(Tab_08.Ago[SALDO
ATUAL],Tab_08.Ago[CONTA],$F256)</f>
        <v>336.86</v>
      </c>
      <c r="P256" s="4">
        <f>SUMIFS(Tab_09.Set[SALDO
ATUAL],Tab_09.Set[CONTA],$F256)</f>
        <v>365.15</v>
      </c>
      <c r="Q256" s="4">
        <f>SUMIFS(Tab_10.Out[SALDO
ATUAL],Tab_10.Out[CONTA],$F256)</f>
        <v>451.6</v>
      </c>
      <c r="R256" s="4">
        <f>SUMIFS(Tab_11.Nov[SALDO
ATUAL],Tab_11.Nov[CONTA],$F256)</f>
        <v>538.04999999999995</v>
      </c>
      <c r="S256" s="4">
        <f>SUMIFS(Tab_12.Dez[SALDO
ATUAL],Tab_12.Dez[CONTA],$F256)</f>
        <v>574.07000000000005</v>
      </c>
    </row>
    <row r="257" spans="2:19" x14ac:dyDescent="0.3">
      <c r="B257" s="3"/>
      <c r="C257" s="2" t="str">
        <f t="shared" si="20"/>
        <v>C</v>
      </c>
      <c r="D257" s="2" t="str">
        <f t="shared" si="15"/>
        <v>S</v>
      </c>
      <c r="E257" s="2">
        <f t="shared" si="16"/>
        <v>5</v>
      </c>
      <c r="F257" s="3" t="s">
        <v>602</v>
      </c>
      <c r="G257" s="3" t="s">
        <v>708</v>
      </c>
      <c r="H257" s="4">
        <f>SUMIFS(Tab_01.Jan[SALDO
ATUAL],Tab_01.Jan[CONTA],$F257)</f>
        <v>1014</v>
      </c>
      <c r="I257" s="4">
        <f>SUMIFS(Tab_02.Fev[SALDO
ATUAL],Tab_02.Fev[CONTA],$F257)</f>
        <v>1014</v>
      </c>
      <c r="J257" s="4">
        <f>SUMIFS(Tab_03.Mar[SALDO
ATUAL],Tab_03.Mar[CONTA],$F257)</f>
        <v>1014</v>
      </c>
      <c r="K257" s="4">
        <f>SUMIFS(Tab_04.Abr[SALDO
ATUAL],Tab_04.Abr[CONTA],$F257)</f>
        <v>1014</v>
      </c>
      <c r="L257" s="4">
        <f>SUMIFS(Tab_05.Mai[SALDO
ATUAL],Tab_05.Mai[CONTA],$F257)</f>
        <v>1014</v>
      </c>
      <c r="M257" s="4">
        <f>SUMIFS(Tab_06.Jun[SALDO
ATUAL],Tab_06.Jun[CONTA],$F257)</f>
        <v>1014</v>
      </c>
      <c r="N257" s="4">
        <f>SUMIFS(Tab_07.Jul[SALDO
ATUAL],Tab_07.Jul[CONTA],$F257)</f>
        <v>1014</v>
      </c>
      <c r="O257" s="4">
        <f>SUMIFS(Tab_08.Ago[SALDO
ATUAL],Tab_08.Ago[CONTA],$F257)</f>
        <v>1400.16</v>
      </c>
      <c r="P257" s="4">
        <f>SUMIFS(Tab_09.Set[SALDO
ATUAL],Tab_09.Set[CONTA],$F257)</f>
        <v>1014</v>
      </c>
      <c r="Q257" s="4">
        <f>SUMIFS(Tab_10.Out[SALDO
ATUAL],Tab_10.Out[CONTA],$F257)</f>
        <v>1014</v>
      </c>
      <c r="R257" s="4">
        <f>SUMIFS(Tab_11.Nov[SALDO
ATUAL],Tab_11.Nov[CONTA],$F257)</f>
        <v>1014</v>
      </c>
      <c r="S257" s="4">
        <f>SUMIFS(Tab_12.Dez[SALDO
ATUAL],Tab_12.Dez[CONTA],$F257)</f>
        <v>1133.6099999999999</v>
      </c>
    </row>
    <row r="258" spans="2:19" x14ac:dyDescent="0.3">
      <c r="B258" s="3" t="s">
        <v>105</v>
      </c>
      <c r="C258" s="2" t="str">
        <f>IF($F258="","",IF(LEFT($F258,1)*1=1,"A",IF(LEFT($F258,1)*1=2,"P",IF(LEFT($F258,1)*1=3,"R",IF(LEFT($F258,1)*1=4,"C",IF(LEFT($F258,1)*1=5,"C",""))))))</f>
        <v>C</v>
      </c>
      <c r="D258" s="2" t="str">
        <f>IF($F258="","",IF(LEN($F258)=13,"A","S"))</f>
        <v>A</v>
      </c>
      <c r="E258" s="2">
        <f>IF($F258="","",IF(LEN($F258)=1,1,IF(LEN($F258)=3,2,IF(LEN($F258)=5,3,IF(LEN($F258)=8,4,5)))))</f>
        <v>5</v>
      </c>
      <c r="F258" s="3" t="s">
        <v>772</v>
      </c>
      <c r="G258" s="3" t="s">
        <v>435</v>
      </c>
      <c r="H258" s="4">
        <f>SUMIFS(Tab_01.Jan[SALDO
ATUAL],Tab_01.Jan[CONTA],$F258)</f>
        <v>0</v>
      </c>
      <c r="I258" s="4">
        <f>SUMIFS(Tab_02.Fev[SALDO
ATUAL],Tab_02.Fev[CONTA],$F258)</f>
        <v>0</v>
      </c>
      <c r="J258" s="4">
        <f>SUMIFS(Tab_03.Mar[SALDO
ATUAL],Tab_03.Mar[CONTA],$F258)</f>
        <v>0</v>
      </c>
      <c r="K258" s="4">
        <f>SUMIFS(Tab_04.Abr[SALDO
ATUAL],Tab_04.Abr[CONTA],$F258)</f>
        <v>0</v>
      </c>
      <c r="L258" s="4">
        <f>SUMIFS(Tab_05.Mai[SALDO
ATUAL],Tab_05.Mai[CONTA],$F258)</f>
        <v>0</v>
      </c>
      <c r="M258" s="4">
        <f>SUMIFS(Tab_06.Jun[SALDO
ATUAL],Tab_06.Jun[CONTA],$F258)</f>
        <v>0</v>
      </c>
      <c r="N258" s="4">
        <f>SUMIFS(Tab_07.Jul[SALDO
ATUAL],Tab_07.Jul[CONTA],$F258)</f>
        <v>0</v>
      </c>
      <c r="O258" s="4">
        <f>SUMIFS(Tab_08.Ago[SALDO
ATUAL],Tab_08.Ago[CONTA],$F258)</f>
        <v>0</v>
      </c>
      <c r="P258" s="4">
        <f>SUMIFS(Tab_09.Set[SALDO
ATUAL],Tab_09.Set[CONTA],$F258)</f>
        <v>0</v>
      </c>
      <c r="Q258" s="4">
        <f>SUMIFS(Tab_10.Out[SALDO
ATUAL],Tab_10.Out[CONTA],$F258)</f>
        <v>0</v>
      </c>
      <c r="R258" s="4">
        <f>SUMIFS(Tab_11.Nov[SALDO
ATUAL],Tab_11.Nov[CONTA],$F258)</f>
        <v>0</v>
      </c>
      <c r="S258" s="4">
        <f>SUMIFS(Tab_12.Dez[SALDO
ATUAL],Tab_12.Dez[CONTA],$F258)</f>
        <v>0</v>
      </c>
    </row>
    <row r="259" spans="2:19" x14ac:dyDescent="0.3">
      <c r="B259" s="3" t="s">
        <v>105</v>
      </c>
      <c r="C259" s="2" t="str">
        <f>IF($F259="","",IF(LEFT($F259,1)*1=1,"A",IF(LEFT($F259,1)*1=2,"P",IF(LEFT($F259,1)*1=3,"R",IF(LEFT($F259,1)*1=4,"C",IF(LEFT($F259,1)*1=5,"C",""))))))</f>
        <v>C</v>
      </c>
      <c r="D259" s="2" t="str">
        <f>IF($F259="","",IF(LEN($F259)=13,"A","S"))</f>
        <v>A</v>
      </c>
      <c r="E259" s="2">
        <f>IF($F259="","",IF(LEN($F259)=1,1,IF(LEN($F259)=3,2,IF(LEN($F259)=5,3,IF(LEN($F259)=8,4,5)))))</f>
        <v>5</v>
      </c>
      <c r="F259" s="3" t="s">
        <v>773</v>
      </c>
      <c r="G259" s="3" t="s">
        <v>751</v>
      </c>
      <c r="H259" s="4">
        <f>SUMIFS(Tab_01.Jan[SALDO
ATUAL],Tab_01.Jan[CONTA],$F259)</f>
        <v>0</v>
      </c>
      <c r="I259" s="4">
        <f>SUMIFS(Tab_02.Fev[SALDO
ATUAL],Tab_02.Fev[CONTA],$F259)</f>
        <v>0</v>
      </c>
      <c r="J259" s="4">
        <f>SUMIFS(Tab_03.Mar[SALDO
ATUAL],Tab_03.Mar[CONTA],$F259)</f>
        <v>0</v>
      </c>
      <c r="K259" s="4">
        <f>SUMIFS(Tab_04.Abr[SALDO
ATUAL],Tab_04.Abr[CONTA],$F259)</f>
        <v>0</v>
      </c>
      <c r="L259" s="4">
        <f>SUMIFS(Tab_05.Mai[SALDO
ATUAL],Tab_05.Mai[CONTA],$F259)</f>
        <v>0</v>
      </c>
      <c r="M259" s="4">
        <f>SUMIFS(Tab_06.Jun[SALDO
ATUAL],Tab_06.Jun[CONTA],$F259)</f>
        <v>0</v>
      </c>
      <c r="N259" s="4">
        <f>SUMIFS(Tab_07.Jul[SALDO
ATUAL],Tab_07.Jul[CONTA],$F259)</f>
        <v>0</v>
      </c>
      <c r="O259" s="4">
        <f>SUMIFS(Tab_08.Ago[SALDO
ATUAL],Tab_08.Ago[CONTA],$F259)</f>
        <v>386.16</v>
      </c>
      <c r="P259" s="4">
        <f>SUMIFS(Tab_09.Set[SALDO
ATUAL],Tab_09.Set[CONTA],$F259)</f>
        <v>0</v>
      </c>
      <c r="Q259" s="4">
        <f>SUMIFS(Tab_10.Out[SALDO
ATUAL],Tab_10.Out[CONTA],$F259)</f>
        <v>0</v>
      </c>
      <c r="R259" s="4">
        <f>SUMIFS(Tab_11.Nov[SALDO
ATUAL],Tab_11.Nov[CONTA],$F259)</f>
        <v>0</v>
      </c>
      <c r="S259" s="4">
        <f>SUMIFS(Tab_12.Dez[SALDO
ATUAL],Tab_12.Dez[CONTA],$F259)</f>
        <v>0</v>
      </c>
    </row>
    <row r="260" spans="2:19" x14ac:dyDescent="0.3">
      <c r="B260" s="3" t="s">
        <v>105</v>
      </c>
      <c r="C260" s="2" t="str">
        <f t="shared" si="20"/>
        <v>C</v>
      </c>
      <c r="D260" s="2" t="str">
        <f t="shared" si="15"/>
        <v>A</v>
      </c>
      <c r="E260" s="2">
        <f t="shared" si="16"/>
        <v>5</v>
      </c>
      <c r="F260" s="3" t="s">
        <v>455</v>
      </c>
      <c r="G260" s="3" t="s">
        <v>456</v>
      </c>
      <c r="H260" s="4">
        <f>SUMIFS(Tab_01.Jan[SALDO
ATUAL],Tab_01.Jan[CONTA],$F260)</f>
        <v>1014</v>
      </c>
      <c r="I260" s="4">
        <f>SUMIFS(Tab_02.Fev[SALDO
ATUAL],Tab_02.Fev[CONTA],$F260)</f>
        <v>1014</v>
      </c>
      <c r="J260" s="4">
        <f>SUMIFS(Tab_03.Mar[SALDO
ATUAL],Tab_03.Mar[CONTA],$F260)</f>
        <v>1014</v>
      </c>
      <c r="K260" s="4">
        <f>SUMIFS(Tab_04.Abr[SALDO
ATUAL],Tab_04.Abr[CONTA],$F260)</f>
        <v>1014</v>
      </c>
      <c r="L260" s="4">
        <f>SUMIFS(Tab_05.Mai[SALDO
ATUAL],Tab_05.Mai[CONTA],$F260)</f>
        <v>1014</v>
      </c>
      <c r="M260" s="4">
        <f>SUMIFS(Tab_06.Jun[SALDO
ATUAL],Tab_06.Jun[CONTA],$F260)</f>
        <v>1014</v>
      </c>
      <c r="N260" s="4">
        <f>SUMIFS(Tab_07.Jul[SALDO
ATUAL],Tab_07.Jul[CONTA],$F260)</f>
        <v>1014</v>
      </c>
      <c r="O260" s="4">
        <f>SUMIFS(Tab_08.Ago[SALDO
ATUAL],Tab_08.Ago[CONTA],$F260)</f>
        <v>1014</v>
      </c>
      <c r="P260" s="4">
        <f>SUMIFS(Tab_09.Set[SALDO
ATUAL],Tab_09.Set[CONTA],$F260)</f>
        <v>1014</v>
      </c>
      <c r="Q260" s="4">
        <f>SUMIFS(Tab_10.Out[SALDO
ATUAL],Tab_10.Out[CONTA],$F260)</f>
        <v>1014</v>
      </c>
      <c r="R260" s="4">
        <f>SUMIFS(Tab_11.Nov[SALDO
ATUAL],Tab_11.Nov[CONTA],$F260)</f>
        <v>1014</v>
      </c>
      <c r="S260" s="4">
        <f>SUMIFS(Tab_12.Dez[SALDO
ATUAL],Tab_12.Dez[CONTA],$F260)</f>
        <v>1133.6099999999999</v>
      </c>
    </row>
    <row r="261" spans="2:19" x14ac:dyDescent="0.3">
      <c r="B261" s="3"/>
      <c r="C261" s="2" t="str">
        <f t="shared" si="20"/>
        <v>C</v>
      </c>
      <c r="D261" s="2" t="str">
        <f t="shared" si="15"/>
        <v>S</v>
      </c>
      <c r="E261" s="2">
        <f t="shared" si="16"/>
        <v>5</v>
      </c>
      <c r="F261" s="3" t="s">
        <v>603</v>
      </c>
      <c r="G261" s="3" t="s">
        <v>709</v>
      </c>
      <c r="H261" s="4">
        <f>SUMIFS(Tab_01.Jan[SALDO
ATUAL],Tab_01.Jan[CONTA],$F261)</f>
        <v>24701.439999999999</v>
      </c>
      <c r="I261" s="4">
        <f>SUMIFS(Tab_02.Fev[SALDO
ATUAL],Tab_02.Fev[CONTA],$F261)</f>
        <v>232859.15</v>
      </c>
      <c r="J261" s="4">
        <f>SUMIFS(Tab_03.Mar[SALDO
ATUAL],Tab_03.Mar[CONTA],$F261)</f>
        <v>244054.41</v>
      </c>
      <c r="K261" s="4">
        <f>SUMIFS(Tab_04.Abr[SALDO
ATUAL],Tab_04.Abr[CONTA],$F261)</f>
        <v>255249.67</v>
      </c>
      <c r="L261" s="4">
        <f>SUMIFS(Tab_05.Mai[SALDO
ATUAL],Tab_05.Mai[CONTA],$F261)</f>
        <v>266444.93</v>
      </c>
      <c r="M261" s="4">
        <f>SUMIFS(Tab_06.Jun[SALDO
ATUAL],Tab_06.Jun[CONTA],$F261)</f>
        <v>281776.45</v>
      </c>
      <c r="N261" s="4">
        <f>SUMIFS(Tab_07.Jul[SALDO
ATUAL],Tab_07.Jul[CONTA],$F261)</f>
        <v>297189.15999999997</v>
      </c>
      <c r="O261" s="4">
        <f>SUMIFS(Tab_08.Ago[SALDO
ATUAL],Tab_08.Ago[CONTA],$F261)</f>
        <v>313172.62</v>
      </c>
      <c r="P261" s="4">
        <f>SUMIFS(Tab_09.Set[SALDO
ATUAL],Tab_09.Set[CONTA],$F261)</f>
        <v>323000.17</v>
      </c>
      <c r="Q261" s="4">
        <f>SUMIFS(Tab_10.Out[SALDO
ATUAL],Tab_10.Out[CONTA],$F261)</f>
        <v>338479.74</v>
      </c>
      <c r="R261" s="4">
        <f>SUMIFS(Tab_11.Nov[SALDO
ATUAL],Tab_11.Nov[CONTA],$F261)</f>
        <v>353776.92</v>
      </c>
      <c r="S261" s="4">
        <f>SUMIFS(Tab_12.Dez[SALDO
ATUAL],Tab_12.Dez[CONTA],$F261)</f>
        <v>374499.25</v>
      </c>
    </row>
    <row r="262" spans="2:19" x14ac:dyDescent="0.3">
      <c r="B262" s="3" t="s">
        <v>104</v>
      </c>
      <c r="C262" s="2" t="str">
        <f t="shared" si="20"/>
        <v>C</v>
      </c>
      <c r="D262" s="2" t="str">
        <f t="shared" si="15"/>
        <v>A</v>
      </c>
      <c r="E262" s="2">
        <f t="shared" si="16"/>
        <v>5</v>
      </c>
      <c r="F262" s="3" t="s">
        <v>451</v>
      </c>
      <c r="G262" s="3" t="s">
        <v>437</v>
      </c>
      <c r="H262" s="4">
        <f>SUMIFS(Tab_01.Jan[SALDO
ATUAL],Tab_01.Jan[CONTA],$F262)</f>
        <v>18491.599999999999</v>
      </c>
      <c r="I262" s="4">
        <f>SUMIFS(Tab_02.Fev[SALDO
ATUAL],Tab_02.Fev[CONTA],$F262)</f>
        <v>34871.449999999997</v>
      </c>
      <c r="J262" s="4">
        <f>SUMIFS(Tab_03.Mar[SALDO
ATUAL],Tab_03.Mar[CONTA],$F262)</f>
        <v>43252.27</v>
      </c>
      <c r="K262" s="4">
        <f>SUMIFS(Tab_04.Abr[SALDO
ATUAL],Tab_04.Abr[CONTA],$F262)</f>
        <v>51633.09</v>
      </c>
      <c r="L262" s="4">
        <f>SUMIFS(Tab_05.Mai[SALDO
ATUAL],Tab_05.Mai[CONTA],$F262)</f>
        <v>60013.91</v>
      </c>
      <c r="M262" s="4">
        <f>SUMIFS(Tab_06.Jun[SALDO
ATUAL],Tab_06.Jun[CONTA],$F262)</f>
        <v>73086.490000000005</v>
      </c>
      <c r="N262" s="4">
        <f>SUMIFS(Tab_07.Jul[SALDO
ATUAL],Tab_07.Jul[CONTA],$F262)</f>
        <v>84624.5</v>
      </c>
      <c r="O262" s="4">
        <f>SUMIFS(Tab_08.Ago[SALDO
ATUAL],Tab_08.Ago[CONTA],$F262)</f>
        <v>96585.86</v>
      </c>
      <c r="P262" s="4">
        <f>SUMIFS(Tab_09.Set[SALDO
ATUAL],Tab_09.Set[CONTA],$F262)</f>
        <v>103942.8</v>
      </c>
      <c r="Q262" s="4">
        <f>SUMIFS(Tab_10.Out[SALDO
ATUAL],Tab_10.Out[CONTA],$F262)</f>
        <v>115530.86</v>
      </c>
      <c r="R262" s="4">
        <f>SUMIFS(Tab_11.Nov[SALDO
ATUAL],Tab_11.Nov[CONTA],$F262)</f>
        <v>126982.38</v>
      </c>
      <c r="S262" s="4">
        <f>SUMIFS(Tab_12.Dez[SALDO
ATUAL],Tab_12.Dez[CONTA],$F262)</f>
        <v>143813.20000000001</v>
      </c>
    </row>
    <row r="263" spans="2:19" x14ac:dyDescent="0.3">
      <c r="B263" s="3" t="s">
        <v>104</v>
      </c>
      <c r="C263" s="2" t="str">
        <f t="shared" si="20"/>
        <v>C</v>
      </c>
      <c r="D263" s="2" t="str">
        <f t="shared" si="15"/>
        <v>A</v>
      </c>
      <c r="E263" s="2">
        <f t="shared" si="16"/>
        <v>5</v>
      </c>
      <c r="F263" s="3" t="s">
        <v>452</v>
      </c>
      <c r="G263" s="3" t="s">
        <v>196</v>
      </c>
      <c r="H263" s="4">
        <f>SUMIFS(Tab_01.Jan[SALDO
ATUAL],Tab_01.Jan[CONTA],$F263)</f>
        <v>5519.86</v>
      </c>
      <c r="I263" s="4">
        <f>SUMIFS(Tab_02.Fev[SALDO
ATUAL],Tab_02.Fev[CONTA],$F263)</f>
        <v>196686.53</v>
      </c>
      <c r="J263" s="4">
        <f>SUMIFS(Tab_03.Mar[SALDO
ATUAL],Tab_03.Mar[CONTA],$F263)</f>
        <v>199188.25</v>
      </c>
      <c r="K263" s="4">
        <f>SUMIFS(Tab_04.Abr[SALDO
ATUAL],Tab_04.Abr[CONTA],$F263)</f>
        <v>201689.97</v>
      </c>
      <c r="L263" s="4">
        <f>SUMIFS(Tab_05.Mai[SALDO
ATUAL],Tab_05.Mai[CONTA],$F263)</f>
        <v>204191.69</v>
      </c>
      <c r="M263" s="4">
        <f>SUMIFS(Tab_06.Jun[SALDO
ATUAL],Tab_06.Jun[CONTA],$F263)</f>
        <v>205962.84</v>
      </c>
      <c r="N263" s="4">
        <f>SUMIFS(Tab_07.Jul[SALDO
ATUAL],Tab_07.Jul[CONTA],$F263)</f>
        <v>209407.02</v>
      </c>
      <c r="O263" s="4">
        <f>SUMIFS(Tab_08.Ago[SALDO
ATUAL],Tab_08.Ago[CONTA],$F263)</f>
        <v>212982.21</v>
      </c>
      <c r="P263" s="4">
        <f>SUMIFS(Tab_09.Set[SALDO
ATUAL],Tab_09.Set[CONTA],$F263)</f>
        <v>215178.31</v>
      </c>
      <c r="Q263" s="4">
        <f>SUMIFS(Tab_10.Out[SALDO
ATUAL],Tab_10.Out[CONTA],$F263)</f>
        <v>218637.43</v>
      </c>
      <c r="R263" s="4">
        <f>SUMIFS(Tab_11.Nov[SALDO
ATUAL],Tab_11.Nov[CONTA],$F263)</f>
        <v>222055.79</v>
      </c>
      <c r="S263" s="4">
        <f>SUMIFS(Tab_12.Dez[SALDO
ATUAL],Tab_12.Dez[CONTA],$F263)</f>
        <v>225514.91</v>
      </c>
    </row>
    <row r="264" spans="2:19" x14ac:dyDescent="0.3">
      <c r="B264" s="3" t="s">
        <v>104</v>
      </c>
      <c r="C264" s="2" t="str">
        <f t="shared" si="20"/>
        <v>C</v>
      </c>
      <c r="D264" s="2" t="str">
        <f t="shared" si="15"/>
        <v>A</v>
      </c>
      <c r="E264" s="2">
        <f t="shared" si="16"/>
        <v>5</v>
      </c>
      <c r="F264" s="3" t="s">
        <v>453</v>
      </c>
      <c r="G264" s="3" t="s">
        <v>454</v>
      </c>
      <c r="H264" s="4">
        <f>SUMIFS(Tab_01.Jan[SALDO
ATUAL],Tab_01.Jan[CONTA],$F264)</f>
        <v>689.98</v>
      </c>
      <c r="I264" s="4">
        <f>SUMIFS(Tab_02.Fev[SALDO
ATUAL],Tab_02.Fev[CONTA],$F264)</f>
        <v>1301.17</v>
      </c>
      <c r="J264" s="4">
        <f>SUMIFS(Tab_03.Mar[SALDO
ATUAL],Tab_03.Mar[CONTA],$F264)</f>
        <v>1613.89</v>
      </c>
      <c r="K264" s="4">
        <f>SUMIFS(Tab_04.Abr[SALDO
ATUAL],Tab_04.Abr[CONTA],$F264)</f>
        <v>1926.61</v>
      </c>
      <c r="L264" s="4">
        <f>SUMIFS(Tab_05.Mai[SALDO
ATUAL],Tab_05.Mai[CONTA],$F264)</f>
        <v>2239.33</v>
      </c>
      <c r="M264" s="4">
        <f>SUMIFS(Tab_06.Jun[SALDO
ATUAL],Tab_06.Jun[CONTA],$F264)</f>
        <v>2727.12</v>
      </c>
      <c r="N264" s="4">
        <f>SUMIFS(Tab_07.Jul[SALDO
ATUAL],Tab_07.Jul[CONTA],$F264)</f>
        <v>3157.64</v>
      </c>
      <c r="O264" s="4">
        <f>SUMIFS(Tab_08.Ago[SALDO
ATUAL],Tab_08.Ago[CONTA],$F264)</f>
        <v>3604.55</v>
      </c>
      <c r="P264" s="4">
        <f>SUMIFS(Tab_09.Set[SALDO
ATUAL],Tab_09.Set[CONTA],$F264)</f>
        <v>3879.06</v>
      </c>
      <c r="Q264" s="4">
        <f>SUMIFS(Tab_10.Out[SALDO
ATUAL],Tab_10.Out[CONTA],$F264)</f>
        <v>4311.45</v>
      </c>
      <c r="R264" s="4">
        <f>SUMIFS(Tab_11.Nov[SALDO
ATUAL],Tab_11.Nov[CONTA],$F264)</f>
        <v>4738.75</v>
      </c>
      <c r="S264" s="4">
        <f>SUMIFS(Tab_12.Dez[SALDO
ATUAL],Tab_12.Dez[CONTA],$F264)</f>
        <v>5171.1400000000003</v>
      </c>
    </row>
    <row r="265" spans="2:19" x14ac:dyDescent="0.3">
      <c r="B265" s="3"/>
      <c r="C265" s="2" t="str">
        <f t="shared" si="20"/>
        <v>C</v>
      </c>
      <c r="D265" s="2" t="str">
        <f t="shared" si="15"/>
        <v>S</v>
      </c>
      <c r="E265" s="2">
        <f t="shared" si="16"/>
        <v>5</v>
      </c>
      <c r="F265" s="3" t="s">
        <v>604</v>
      </c>
      <c r="G265" s="3" t="s">
        <v>710</v>
      </c>
      <c r="H265" s="4">
        <f>SUMIFS(Tab_01.Jan[SALDO
ATUAL],Tab_01.Jan[CONTA],$F265)</f>
        <v>190</v>
      </c>
      <c r="I265" s="4">
        <f>SUMIFS(Tab_02.Fev[SALDO
ATUAL],Tab_02.Fev[CONTA],$F265)</f>
        <v>425</v>
      </c>
      <c r="J265" s="4">
        <f>SUMIFS(Tab_03.Mar[SALDO
ATUAL],Tab_03.Mar[CONTA],$F265)</f>
        <v>660</v>
      </c>
      <c r="K265" s="4">
        <f>SUMIFS(Tab_04.Abr[SALDO
ATUAL],Tab_04.Abr[CONTA],$F265)</f>
        <v>890</v>
      </c>
      <c r="L265" s="4">
        <f>SUMIFS(Tab_05.Mai[SALDO
ATUAL],Tab_05.Mai[CONTA],$F265)</f>
        <v>1080</v>
      </c>
      <c r="M265" s="4">
        <f>SUMIFS(Tab_06.Jun[SALDO
ATUAL],Tab_06.Jun[CONTA],$F265)</f>
        <v>1355</v>
      </c>
      <c r="N265" s="4">
        <f>SUMIFS(Tab_07.Jul[SALDO
ATUAL],Tab_07.Jul[CONTA],$F265)</f>
        <v>1545</v>
      </c>
      <c r="O265" s="4">
        <f>SUMIFS(Tab_08.Ago[SALDO
ATUAL],Tab_08.Ago[CONTA],$F265)</f>
        <v>1735</v>
      </c>
      <c r="P265" s="4">
        <f>SUMIFS(Tab_09.Set[SALDO
ATUAL],Tab_09.Set[CONTA],$F265)</f>
        <v>2925</v>
      </c>
      <c r="Q265" s="4">
        <f>SUMIFS(Tab_10.Out[SALDO
ATUAL],Tab_10.Out[CONTA],$F265)</f>
        <v>3205</v>
      </c>
      <c r="R265" s="4">
        <f>SUMIFS(Tab_11.Nov[SALDO
ATUAL],Tab_11.Nov[CONTA],$F265)</f>
        <v>3395</v>
      </c>
      <c r="S265" s="4">
        <f>SUMIFS(Tab_12.Dez[SALDO
ATUAL],Tab_12.Dez[CONTA],$F265)</f>
        <v>3625</v>
      </c>
    </row>
    <row r="266" spans="2:19" x14ac:dyDescent="0.3">
      <c r="B266" s="3" t="s">
        <v>105</v>
      </c>
      <c r="C266" s="2" t="str">
        <f t="shared" si="20"/>
        <v>C</v>
      </c>
      <c r="D266" s="2" t="str">
        <f t="shared" si="15"/>
        <v>A</v>
      </c>
      <c r="E266" s="2">
        <f t="shared" si="16"/>
        <v>5</v>
      </c>
      <c r="F266" s="3" t="s">
        <v>457</v>
      </c>
      <c r="G266" s="3" t="s">
        <v>458</v>
      </c>
      <c r="H266" s="4">
        <f>SUMIFS(Tab_01.Jan[SALDO
ATUAL],Tab_01.Jan[CONTA],$F266)</f>
        <v>190</v>
      </c>
      <c r="I266" s="4">
        <f>SUMIFS(Tab_02.Fev[SALDO
ATUAL],Tab_02.Fev[CONTA],$F266)</f>
        <v>425</v>
      </c>
      <c r="J266" s="4">
        <f>SUMIFS(Tab_03.Mar[SALDO
ATUAL],Tab_03.Mar[CONTA],$F266)</f>
        <v>660</v>
      </c>
      <c r="K266" s="4">
        <f>SUMIFS(Tab_04.Abr[SALDO
ATUAL],Tab_04.Abr[CONTA],$F266)</f>
        <v>890</v>
      </c>
      <c r="L266" s="4">
        <f>SUMIFS(Tab_05.Mai[SALDO
ATUAL],Tab_05.Mai[CONTA],$F266)</f>
        <v>1080</v>
      </c>
      <c r="M266" s="4">
        <f>SUMIFS(Tab_06.Jun[SALDO
ATUAL],Tab_06.Jun[CONTA],$F266)</f>
        <v>1355</v>
      </c>
      <c r="N266" s="4">
        <f>SUMIFS(Tab_07.Jul[SALDO
ATUAL],Tab_07.Jul[CONTA],$F266)</f>
        <v>1545</v>
      </c>
      <c r="O266" s="4">
        <f>SUMIFS(Tab_08.Ago[SALDO
ATUAL],Tab_08.Ago[CONTA],$F266)</f>
        <v>1735</v>
      </c>
      <c r="P266" s="4">
        <f>SUMIFS(Tab_09.Set[SALDO
ATUAL],Tab_09.Set[CONTA],$F266)</f>
        <v>2925</v>
      </c>
      <c r="Q266" s="4">
        <f>SUMIFS(Tab_10.Out[SALDO
ATUAL],Tab_10.Out[CONTA],$F266)</f>
        <v>3205</v>
      </c>
      <c r="R266" s="4">
        <f>SUMIFS(Tab_11.Nov[SALDO
ATUAL],Tab_11.Nov[CONTA],$F266)</f>
        <v>3395</v>
      </c>
      <c r="S266" s="4">
        <f>SUMIFS(Tab_12.Dez[SALDO
ATUAL],Tab_12.Dez[CONTA],$F266)</f>
        <v>3625</v>
      </c>
    </row>
    <row r="267" spans="2:19" x14ac:dyDescent="0.3">
      <c r="B267" s="3"/>
      <c r="C267" s="2" t="str">
        <f t="shared" si="20"/>
        <v>C</v>
      </c>
      <c r="D267" s="2" t="str">
        <f t="shared" si="15"/>
        <v>S</v>
      </c>
      <c r="E267" s="2">
        <f t="shared" si="16"/>
        <v>5</v>
      </c>
      <c r="F267" s="3" t="s">
        <v>605</v>
      </c>
      <c r="G267" s="3" t="s">
        <v>711</v>
      </c>
      <c r="H267" s="4">
        <f>SUMIFS(Tab_01.Jan[SALDO
ATUAL],Tab_01.Jan[CONTA],$F267)</f>
        <v>128411.32</v>
      </c>
      <c r="I267" s="4">
        <f>SUMIFS(Tab_02.Fev[SALDO
ATUAL],Tab_02.Fev[CONTA],$F267)</f>
        <v>253240.91</v>
      </c>
      <c r="J267" s="4">
        <f>SUMIFS(Tab_03.Mar[SALDO
ATUAL],Tab_03.Mar[CONTA],$F267)</f>
        <v>378070.5</v>
      </c>
      <c r="K267" s="4">
        <f>SUMIFS(Tab_04.Abr[SALDO
ATUAL],Tab_04.Abr[CONTA],$F267)</f>
        <v>511410.86</v>
      </c>
      <c r="L267" s="4">
        <f>SUMIFS(Tab_05.Mai[SALDO
ATUAL],Tab_05.Mai[CONTA],$F267)</f>
        <v>651135.29</v>
      </c>
      <c r="M267" s="4">
        <f>SUMIFS(Tab_06.Jun[SALDO
ATUAL],Tab_06.Jun[CONTA],$F267)</f>
        <v>863373.9</v>
      </c>
      <c r="N267" s="4">
        <f>SUMIFS(Tab_07.Jul[SALDO
ATUAL],Tab_07.Jul[CONTA],$F267)</f>
        <v>1031244.39</v>
      </c>
      <c r="O267" s="4">
        <f>SUMIFS(Tab_08.Ago[SALDO
ATUAL],Tab_08.Ago[CONTA],$F267)</f>
        <v>1195905.17</v>
      </c>
      <c r="P267" s="4">
        <f>SUMIFS(Tab_09.Set[SALDO
ATUAL],Tab_09.Set[CONTA],$F267)</f>
        <v>1358889.56</v>
      </c>
      <c r="Q267" s="4">
        <f>SUMIFS(Tab_10.Out[SALDO
ATUAL],Tab_10.Out[CONTA],$F267)</f>
        <v>1520420.77</v>
      </c>
      <c r="R267" s="4">
        <f>SUMIFS(Tab_11.Nov[SALDO
ATUAL],Tab_11.Nov[CONTA],$F267)</f>
        <v>1691374.48</v>
      </c>
      <c r="S267" s="4">
        <f>SUMIFS(Tab_12.Dez[SALDO
ATUAL],Tab_12.Dez[CONTA],$F267)</f>
        <v>1852547.01</v>
      </c>
    </row>
    <row r="268" spans="2:19" x14ac:dyDescent="0.3">
      <c r="B268" s="3"/>
      <c r="C268" s="2" t="str">
        <f t="shared" si="20"/>
        <v>C</v>
      </c>
      <c r="D268" s="2" t="str">
        <f t="shared" si="15"/>
        <v>S</v>
      </c>
      <c r="E268" s="2">
        <f t="shared" si="16"/>
        <v>5</v>
      </c>
      <c r="F268" s="3" t="s">
        <v>606</v>
      </c>
      <c r="G268" s="3" t="s">
        <v>712</v>
      </c>
      <c r="H268" s="4">
        <f>SUMIFS(Tab_01.Jan[SALDO
ATUAL],Tab_01.Jan[CONTA],$F268)</f>
        <v>45445.24</v>
      </c>
      <c r="I268" s="4">
        <f>SUMIFS(Tab_02.Fev[SALDO
ATUAL],Tab_02.Fev[CONTA],$F268)</f>
        <v>87308.75</v>
      </c>
      <c r="J268" s="4">
        <f>SUMIFS(Tab_03.Mar[SALDO
ATUAL],Tab_03.Mar[CONTA],$F268)</f>
        <v>129172.26</v>
      </c>
      <c r="K268" s="4">
        <f>SUMIFS(Tab_04.Abr[SALDO
ATUAL],Tab_04.Abr[CONTA],$F268)</f>
        <v>179546.54</v>
      </c>
      <c r="L268" s="4">
        <f>SUMIFS(Tab_05.Mai[SALDO
ATUAL],Tab_05.Mai[CONTA],$F268)</f>
        <v>236304.89</v>
      </c>
      <c r="M268" s="4">
        <f>SUMIFS(Tab_06.Jun[SALDO
ATUAL],Tab_06.Jun[CONTA],$F268)</f>
        <v>365577.42</v>
      </c>
      <c r="N268" s="4">
        <f>SUMIFS(Tab_07.Jul[SALDO
ATUAL],Tab_07.Jul[CONTA],$F268)</f>
        <v>450481.83</v>
      </c>
      <c r="O268" s="4">
        <f>SUMIFS(Tab_08.Ago[SALDO
ATUAL],Tab_08.Ago[CONTA],$F268)</f>
        <v>532176.53</v>
      </c>
      <c r="P268" s="4">
        <f>SUMIFS(Tab_09.Set[SALDO
ATUAL],Tab_09.Set[CONTA],$F268)</f>
        <v>612194.82999999996</v>
      </c>
      <c r="Q268" s="4">
        <f>SUMIFS(Tab_10.Out[SALDO
ATUAL],Tab_10.Out[CONTA],$F268)</f>
        <v>690759.96</v>
      </c>
      <c r="R268" s="4">
        <f>SUMIFS(Tab_11.Nov[SALDO
ATUAL],Tab_11.Nov[CONTA],$F268)</f>
        <v>778747.59</v>
      </c>
      <c r="S268" s="4">
        <f>SUMIFS(Tab_12.Dez[SALDO
ATUAL],Tab_12.Dez[CONTA],$F268)</f>
        <v>856954.04</v>
      </c>
    </row>
    <row r="269" spans="2:19" x14ac:dyDescent="0.3">
      <c r="B269" s="3" t="s">
        <v>106</v>
      </c>
      <c r="C269" s="2" t="str">
        <f t="shared" si="20"/>
        <v>C</v>
      </c>
      <c r="D269" s="2" t="str">
        <f t="shared" si="15"/>
        <v>A</v>
      </c>
      <c r="E269" s="2">
        <f t="shared" si="16"/>
        <v>5</v>
      </c>
      <c r="F269" s="3" t="s">
        <v>459</v>
      </c>
      <c r="G269" s="3" t="s">
        <v>460</v>
      </c>
      <c r="H269" s="4">
        <f>SUMIFS(Tab_01.Jan[SALDO
ATUAL],Tab_01.Jan[CONTA],$F269)</f>
        <v>7634.62</v>
      </c>
      <c r="I269" s="4">
        <f>SUMIFS(Tab_02.Fev[SALDO
ATUAL],Tab_02.Fev[CONTA],$F269)</f>
        <v>15269.24</v>
      </c>
      <c r="J269" s="4">
        <f>SUMIFS(Tab_03.Mar[SALDO
ATUAL],Tab_03.Mar[CONTA],$F269)</f>
        <v>22903.86</v>
      </c>
      <c r="K269" s="4">
        <f>SUMIFS(Tab_04.Abr[SALDO
ATUAL],Tab_04.Abr[CONTA],$F269)</f>
        <v>30582.58</v>
      </c>
      <c r="L269" s="4">
        <f>SUMIFS(Tab_05.Mai[SALDO
ATUAL],Tab_05.Mai[CONTA],$F269)</f>
        <v>38217.199999999997</v>
      </c>
      <c r="M269" s="4">
        <f>SUMIFS(Tab_06.Jun[SALDO
ATUAL],Tab_06.Jun[CONTA],$F269)</f>
        <v>45851.82</v>
      </c>
      <c r="N269" s="4">
        <f>SUMIFS(Tab_07.Jul[SALDO
ATUAL],Tab_07.Jul[CONTA],$F269)</f>
        <v>53486.44</v>
      </c>
      <c r="O269" s="4">
        <f>SUMIFS(Tab_08.Ago[SALDO
ATUAL],Tab_08.Ago[CONTA],$F269)</f>
        <v>61444</v>
      </c>
      <c r="P269" s="4">
        <f>SUMIFS(Tab_09.Set[SALDO
ATUAL],Tab_09.Set[CONTA],$F269)</f>
        <v>70601.56</v>
      </c>
      <c r="Q269" s="4">
        <f>SUMIFS(Tab_10.Out[SALDO
ATUAL],Tab_10.Out[CONTA],$F269)</f>
        <v>79759.12</v>
      </c>
      <c r="R269" s="4">
        <f>SUMIFS(Tab_11.Nov[SALDO
ATUAL],Tab_11.Nov[CONTA],$F269)</f>
        <v>96874.240000000005</v>
      </c>
      <c r="S269" s="4">
        <f>SUMIFS(Tab_12.Dez[SALDO
ATUAL],Tab_12.Dez[CONTA],$F269)</f>
        <v>106031.8</v>
      </c>
    </row>
    <row r="270" spans="2:19" x14ac:dyDescent="0.3">
      <c r="B270" s="3" t="s">
        <v>106</v>
      </c>
      <c r="C270" s="2" t="str">
        <f t="shared" si="20"/>
        <v>C</v>
      </c>
      <c r="D270" s="2" t="str">
        <f t="shared" si="15"/>
        <v>A</v>
      </c>
      <c r="E270" s="2">
        <f t="shared" si="16"/>
        <v>5</v>
      </c>
      <c r="F270" s="3" t="s">
        <v>461</v>
      </c>
      <c r="G270" s="3" t="s">
        <v>462</v>
      </c>
      <c r="H270" s="4">
        <f>SUMIFS(Tab_01.Jan[SALDO
ATUAL],Tab_01.Jan[CONTA],$F270)</f>
        <v>17299.38</v>
      </c>
      <c r="I270" s="4">
        <f>SUMIFS(Tab_02.Fev[SALDO
ATUAL],Tab_02.Fev[CONTA],$F270)</f>
        <v>31107.03</v>
      </c>
      <c r="J270" s="4">
        <f>SUMIFS(Tab_03.Mar[SALDO
ATUAL],Tab_03.Mar[CONTA],$F270)</f>
        <v>44914.68</v>
      </c>
      <c r="K270" s="4">
        <f>SUMIFS(Tab_04.Abr[SALDO
ATUAL],Tab_04.Abr[CONTA],$F270)</f>
        <v>58572.33</v>
      </c>
      <c r="L270" s="4">
        <f>SUMIFS(Tab_05.Mai[SALDO
ATUAL],Tab_05.Mai[CONTA],$F270)</f>
        <v>79526.759999999995</v>
      </c>
      <c r="M270" s="4">
        <f>SUMIFS(Tab_06.Jun[SALDO
ATUAL],Tab_06.Jun[CONTA],$F270)</f>
        <v>93576.76</v>
      </c>
      <c r="N270" s="4">
        <f>SUMIFS(Tab_07.Jul[SALDO
ATUAL],Tab_07.Jul[CONTA],$F270)</f>
        <v>105046.48</v>
      </c>
      <c r="O270" s="4">
        <f>SUMIFS(Tab_08.Ago[SALDO
ATUAL],Tab_08.Ago[CONTA],$F270)</f>
        <v>119272.1</v>
      </c>
      <c r="P270" s="4">
        <f>SUMIFS(Tab_09.Set[SALDO
ATUAL],Tab_09.Set[CONTA],$F270)</f>
        <v>131622.1</v>
      </c>
      <c r="Q270" s="4">
        <f>SUMIFS(Tab_10.Out[SALDO
ATUAL],Tab_10.Out[CONTA],$F270)</f>
        <v>143972.1</v>
      </c>
      <c r="R270" s="4">
        <f>SUMIFS(Tab_11.Nov[SALDO
ATUAL],Tab_11.Nov[CONTA],$F270)</f>
        <v>156172.1</v>
      </c>
      <c r="S270" s="4">
        <f>SUMIFS(Tab_12.Dez[SALDO
ATUAL],Tab_12.Dez[CONTA],$F270)</f>
        <v>168522.1</v>
      </c>
    </row>
    <row r="271" spans="2:19" x14ac:dyDescent="0.3">
      <c r="B271" s="3" t="s">
        <v>106</v>
      </c>
      <c r="C271" s="2" t="str">
        <f t="shared" si="20"/>
        <v>C</v>
      </c>
      <c r="D271" s="2" t="str">
        <f t="shared" ref="D271:D317" si="24">IF($F271="","",IF(LEN($F271)=13,"A","S"))</f>
        <v>A</v>
      </c>
      <c r="E271" s="2">
        <f t="shared" ref="E271:E317" si="25">IF($F271="","",IF(LEN($F271)=1,1,IF(LEN($F271)=3,2,IF(LEN($F271)=5,3,IF(LEN($F271)=8,4,5)))))</f>
        <v>5</v>
      </c>
      <c r="F271" s="3" t="s">
        <v>463</v>
      </c>
      <c r="G271" s="3" t="s">
        <v>464</v>
      </c>
      <c r="H271" s="4">
        <f>SUMIFS(Tab_01.Jan[SALDO
ATUAL],Tab_01.Jan[CONTA],$F271)</f>
        <v>0</v>
      </c>
      <c r="I271" s="4">
        <f>SUMIFS(Tab_02.Fev[SALDO
ATUAL],Tab_02.Fev[CONTA],$F271)</f>
        <v>0</v>
      </c>
      <c r="J271" s="4">
        <f>SUMIFS(Tab_03.Mar[SALDO
ATUAL],Tab_03.Mar[CONTA],$F271)</f>
        <v>0</v>
      </c>
      <c r="K271" s="4">
        <f>SUMIFS(Tab_04.Abr[SALDO
ATUAL],Tab_04.Abr[CONTA],$F271)</f>
        <v>7166.67</v>
      </c>
      <c r="L271" s="4">
        <f>SUMIFS(Tab_05.Mai[SALDO
ATUAL],Tab_05.Mai[CONTA],$F271)</f>
        <v>14333.34</v>
      </c>
      <c r="M271" s="4">
        <f>SUMIFS(Tab_06.Jun[SALDO
ATUAL],Tab_06.Jun[CONTA],$F271)</f>
        <v>21500.01</v>
      </c>
      <c r="N271" s="4">
        <f>SUMIFS(Tab_07.Jul[SALDO
ATUAL],Tab_07.Jul[CONTA],$F271)</f>
        <v>21500.01</v>
      </c>
      <c r="O271" s="4">
        <f>SUMIFS(Tab_08.Ago[SALDO
ATUAL],Tab_08.Ago[CONTA],$F271)</f>
        <v>21500.01</v>
      </c>
      <c r="P271" s="4">
        <f>SUMIFS(Tab_09.Set[SALDO
ATUAL],Tab_09.Set[CONTA],$F271)</f>
        <v>21500.01</v>
      </c>
      <c r="Q271" s="4">
        <f>SUMIFS(Tab_10.Out[SALDO
ATUAL],Tab_10.Out[CONTA],$F271)</f>
        <v>21500.01</v>
      </c>
      <c r="R271" s="4">
        <f>SUMIFS(Tab_11.Nov[SALDO
ATUAL],Tab_11.Nov[CONTA],$F271)</f>
        <v>21500.01</v>
      </c>
      <c r="S271" s="4">
        <f>SUMIFS(Tab_12.Dez[SALDO
ATUAL],Tab_12.Dez[CONTA],$F271)</f>
        <v>21500.01</v>
      </c>
    </row>
    <row r="272" spans="2:19" x14ac:dyDescent="0.3">
      <c r="B272" s="3" t="s">
        <v>106</v>
      </c>
      <c r="C272" s="2" t="str">
        <f t="shared" si="20"/>
        <v>C</v>
      </c>
      <c r="D272" s="2" t="str">
        <f t="shared" si="24"/>
        <v>A</v>
      </c>
      <c r="E272" s="2">
        <f t="shared" si="25"/>
        <v>5</v>
      </c>
      <c r="F272" s="3" t="s">
        <v>465</v>
      </c>
      <c r="G272" s="3" t="s">
        <v>466</v>
      </c>
      <c r="H272" s="4">
        <f>SUMIFS(Tab_01.Jan[SALDO
ATUAL],Tab_01.Jan[CONTA],$F272)</f>
        <v>4524.45</v>
      </c>
      <c r="I272" s="4">
        <f>SUMIFS(Tab_02.Fev[SALDO
ATUAL],Tab_02.Fev[CONTA],$F272)</f>
        <v>8958.9</v>
      </c>
      <c r="J272" s="4">
        <f>SUMIFS(Tab_03.Mar[SALDO
ATUAL],Tab_03.Mar[CONTA],$F272)</f>
        <v>13393.35</v>
      </c>
      <c r="K272" s="4">
        <f>SUMIFS(Tab_04.Abr[SALDO
ATUAL],Tab_04.Abr[CONTA],$F272)</f>
        <v>19277.8</v>
      </c>
      <c r="L272" s="4">
        <f>SUMIFS(Tab_05.Mai[SALDO
ATUAL],Tab_05.Mai[CONTA],$F272)</f>
        <v>24293.64</v>
      </c>
      <c r="M272" s="4">
        <f>SUMIFS(Tab_06.Jun[SALDO
ATUAL],Tab_06.Jun[CONTA],$F272)</f>
        <v>108728.09</v>
      </c>
      <c r="N272" s="4">
        <f>SUMIFS(Tab_07.Jul[SALDO
ATUAL],Tab_07.Jul[CONTA],$F272)</f>
        <v>157895.04000000001</v>
      </c>
      <c r="O272" s="4">
        <f>SUMIFS(Tab_08.Ago[SALDO
ATUAL],Tab_08.Ago[CONTA],$F272)</f>
        <v>202423.26</v>
      </c>
      <c r="P272" s="4">
        <f>SUMIFS(Tab_09.Set[SALDO
ATUAL],Tab_09.Set[CONTA],$F272)</f>
        <v>246320.03</v>
      </c>
      <c r="Q272" s="4">
        <f>SUMIFS(Tab_10.Out[SALDO
ATUAL],Tab_10.Out[CONTA],$F272)</f>
        <v>288394.3</v>
      </c>
      <c r="R272" s="4">
        <f>SUMIFS(Tab_11.Nov[SALDO
ATUAL],Tab_11.Nov[CONTA],$F272)</f>
        <v>332452.84000000003</v>
      </c>
      <c r="S272" s="4">
        <f>SUMIFS(Tab_12.Dez[SALDO
ATUAL],Tab_12.Dez[CONTA],$F272)</f>
        <v>374527.11</v>
      </c>
    </row>
    <row r="273" spans="2:19" x14ac:dyDescent="0.3">
      <c r="B273" s="3" t="s">
        <v>105</v>
      </c>
      <c r="C273" s="2" t="str">
        <f t="shared" si="20"/>
        <v>C</v>
      </c>
      <c r="D273" s="2" t="str">
        <f t="shared" si="24"/>
        <v>A</v>
      </c>
      <c r="E273" s="2">
        <f t="shared" si="25"/>
        <v>5</v>
      </c>
      <c r="F273" s="3" t="s">
        <v>473</v>
      </c>
      <c r="G273" s="3" t="s">
        <v>474</v>
      </c>
      <c r="H273" s="4">
        <f>SUMIFS(Tab_01.Jan[SALDO
ATUAL],Tab_01.Jan[CONTA],$F273)</f>
        <v>4500</v>
      </c>
      <c r="I273" s="4">
        <f>SUMIFS(Tab_02.Fev[SALDO
ATUAL],Tab_02.Fev[CONTA],$F273)</f>
        <v>9000</v>
      </c>
      <c r="J273" s="4">
        <f>SUMIFS(Tab_03.Mar[SALDO
ATUAL],Tab_03.Mar[CONTA],$F273)</f>
        <v>13500</v>
      </c>
      <c r="K273" s="4">
        <f>SUMIFS(Tab_04.Abr[SALDO
ATUAL],Tab_04.Abr[CONTA],$F273)</f>
        <v>18000</v>
      </c>
      <c r="L273" s="4">
        <f>SUMIFS(Tab_05.Mai[SALDO
ATUAL],Tab_05.Mai[CONTA],$F273)</f>
        <v>22500</v>
      </c>
      <c r="M273" s="4">
        <f>SUMIFS(Tab_06.Jun[SALDO
ATUAL],Tab_06.Jun[CONTA],$F273)</f>
        <v>27000</v>
      </c>
      <c r="N273" s="4">
        <f>SUMIFS(Tab_07.Jul[SALDO
ATUAL],Tab_07.Jul[CONTA],$F273)</f>
        <v>31500</v>
      </c>
      <c r="O273" s="4">
        <f>SUMIFS(Tab_08.Ago[SALDO
ATUAL],Tab_08.Ago[CONTA],$F273)</f>
        <v>36000</v>
      </c>
      <c r="P273" s="4">
        <f>SUMIFS(Tab_09.Set[SALDO
ATUAL],Tab_09.Set[CONTA],$F273)</f>
        <v>40500</v>
      </c>
      <c r="Q273" s="4">
        <f>SUMIFS(Tab_10.Out[SALDO
ATUAL],Tab_10.Out[CONTA],$F273)</f>
        <v>45000</v>
      </c>
      <c r="R273" s="4">
        <f>SUMIFS(Tab_11.Nov[SALDO
ATUAL],Tab_11.Nov[CONTA],$F273)</f>
        <v>49500</v>
      </c>
      <c r="S273" s="4">
        <f>SUMIFS(Tab_12.Dez[SALDO
ATUAL],Tab_12.Dez[CONTA],$F273)</f>
        <v>54000</v>
      </c>
    </row>
    <row r="274" spans="2:19" x14ac:dyDescent="0.3">
      <c r="B274" s="3" t="s">
        <v>106</v>
      </c>
      <c r="C274" s="2" t="str">
        <f t="shared" si="20"/>
        <v>C</v>
      </c>
      <c r="D274" s="2" t="str">
        <f t="shared" si="24"/>
        <v>A</v>
      </c>
      <c r="E274" s="2">
        <f t="shared" si="25"/>
        <v>5</v>
      </c>
      <c r="F274" s="3" t="s">
        <v>467</v>
      </c>
      <c r="G274" s="3" t="s">
        <v>468</v>
      </c>
      <c r="H274" s="4">
        <f>SUMIFS(Tab_01.Jan[SALDO
ATUAL],Tab_01.Jan[CONTA],$F274)</f>
        <v>223.56</v>
      </c>
      <c r="I274" s="4">
        <f>SUMIFS(Tab_02.Fev[SALDO
ATUAL],Tab_02.Fev[CONTA],$F274)</f>
        <v>447.12</v>
      </c>
      <c r="J274" s="4">
        <f>SUMIFS(Tab_03.Mar[SALDO
ATUAL],Tab_03.Mar[CONTA],$F274)</f>
        <v>670.68</v>
      </c>
      <c r="K274" s="4">
        <f>SUMIFS(Tab_04.Abr[SALDO
ATUAL],Tab_04.Abr[CONTA],$F274)</f>
        <v>894.24</v>
      </c>
      <c r="L274" s="4">
        <f>SUMIFS(Tab_05.Mai[SALDO
ATUAL],Tab_05.Mai[CONTA],$F274)</f>
        <v>1117.8</v>
      </c>
      <c r="M274" s="4">
        <f>SUMIFS(Tab_06.Jun[SALDO
ATUAL],Tab_06.Jun[CONTA],$F274)</f>
        <v>1341.36</v>
      </c>
      <c r="N274" s="4">
        <f>SUMIFS(Tab_07.Jul[SALDO
ATUAL],Tab_07.Jul[CONTA],$F274)</f>
        <v>1564.92</v>
      </c>
      <c r="O274" s="4">
        <f>SUMIFS(Tab_08.Ago[SALDO
ATUAL],Tab_08.Ago[CONTA],$F274)</f>
        <v>1788.48</v>
      </c>
      <c r="P274" s="4">
        <f>SUMIFS(Tab_09.Set[SALDO
ATUAL],Tab_09.Set[CONTA],$F274)</f>
        <v>2012.04</v>
      </c>
      <c r="Q274" s="4">
        <f>SUMIFS(Tab_10.Out[SALDO
ATUAL],Tab_10.Out[CONTA],$F274)</f>
        <v>2235.6</v>
      </c>
      <c r="R274" s="4">
        <f>SUMIFS(Tab_11.Nov[SALDO
ATUAL],Tab_11.Nov[CONTA],$F274)</f>
        <v>2459.16</v>
      </c>
      <c r="S274" s="4">
        <f>SUMIFS(Tab_12.Dez[SALDO
ATUAL],Tab_12.Dez[CONTA],$F274)</f>
        <v>2693.37</v>
      </c>
    </row>
    <row r="275" spans="2:19" x14ac:dyDescent="0.3">
      <c r="B275" s="3" t="s">
        <v>105</v>
      </c>
      <c r="C275" s="2" t="str">
        <f t="shared" si="20"/>
        <v>C</v>
      </c>
      <c r="D275" s="2" t="str">
        <f t="shared" si="24"/>
        <v>A</v>
      </c>
      <c r="E275" s="2">
        <f t="shared" si="25"/>
        <v>5</v>
      </c>
      <c r="F275" s="3" t="s">
        <v>475</v>
      </c>
      <c r="G275" s="3" t="s">
        <v>476</v>
      </c>
      <c r="H275" s="4">
        <f>SUMIFS(Tab_01.Jan[SALDO
ATUAL],Tab_01.Jan[CONTA],$F275)</f>
        <v>0</v>
      </c>
      <c r="I275" s="4">
        <f>SUMIFS(Tab_02.Fev[SALDO
ATUAL],Tab_02.Fev[CONTA],$F275)</f>
        <v>0</v>
      </c>
      <c r="J275" s="4">
        <f>SUMIFS(Tab_03.Mar[SALDO
ATUAL],Tab_03.Mar[CONTA],$F275)</f>
        <v>0</v>
      </c>
      <c r="K275" s="4">
        <f>SUMIFS(Tab_04.Abr[SALDO
ATUAL],Tab_04.Abr[CONTA],$F275)</f>
        <v>0</v>
      </c>
      <c r="L275" s="4">
        <f>SUMIFS(Tab_05.Mai[SALDO
ATUAL],Tab_05.Mai[CONTA],$F275)</f>
        <v>0</v>
      </c>
      <c r="M275" s="4">
        <f>SUMIFS(Tab_06.Jun[SALDO
ATUAL],Tab_06.Jun[CONTA],$F275)</f>
        <v>0</v>
      </c>
      <c r="N275" s="4">
        <f>SUMIFS(Tab_07.Jul[SALDO
ATUAL],Tab_07.Jul[CONTA],$F275)</f>
        <v>0</v>
      </c>
      <c r="O275" s="4">
        <f>SUMIFS(Tab_08.Ago[SALDO
ATUAL],Tab_08.Ago[CONTA],$F275)</f>
        <v>0</v>
      </c>
      <c r="P275" s="4">
        <f>SUMIFS(Tab_09.Set[SALDO
ATUAL],Tab_09.Set[CONTA],$F275)</f>
        <v>0</v>
      </c>
      <c r="Q275" s="4">
        <f>SUMIFS(Tab_10.Out[SALDO
ATUAL],Tab_10.Out[CONTA],$F275)</f>
        <v>0</v>
      </c>
      <c r="R275" s="4">
        <f>SUMIFS(Tab_11.Nov[SALDO
ATUAL],Tab_11.Nov[CONTA],$F275)</f>
        <v>0</v>
      </c>
      <c r="S275" s="4">
        <f>SUMIFS(Tab_12.Dez[SALDO
ATUAL],Tab_12.Dez[CONTA],$F275)</f>
        <v>0</v>
      </c>
    </row>
    <row r="276" spans="2:19" x14ac:dyDescent="0.3">
      <c r="B276" s="3" t="s">
        <v>106</v>
      </c>
      <c r="C276" s="2" t="str">
        <f t="shared" si="20"/>
        <v>C</v>
      </c>
      <c r="D276" s="2" t="str">
        <f t="shared" si="24"/>
        <v>A</v>
      </c>
      <c r="E276" s="2">
        <f t="shared" si="25"/>
        <v>5</v>
      </c>
      <c r="F276" s="3" t="s">
        <v>469</v>
      </c>
      <c r="G276" s="3" t="s">
        <v>470</v>
      </c>
      <c r="H276" s="4">
        <f>SUMIFS(Tab_01.Jan[SALDO
ATUAL],Tab_01.Jan[CONTA],$F276)</f>
        <v>6599.82</v>
      </c>
      <c r="I276" s="4">
        <f>SUMIFS(Tab_02.Fev[SALDO
ATUAL],Tab_02.Fev[CONTA],$F276)</f>
        <v>13199.64</v>
      </c>
      <c r="J276" s="4">
        <f>SUMIFS(Tab_03.Mar[SALDO
ATUAL],Tab_03.Mar[CONTA],$F276)</f>
        <v>19799.46</v>
      </c>
      <c r="K276" s="4">
        <f>SUMIFS(Tab_04.Abr[SALDO
ATUAL],Tab_04.Abr[CONTA],$F276)</f>
        <v>26399.279999999999</v>
      </c>
      <c r="L276" s="4">
        <f>SUMIFS(Tab_05.Mai[SALDO
ATUAL],Tab_05.Mai[CONTA],$F276)</f>
        <v>32999.1</v>
      </c>
      <c r="M276" s="4">
        <f>SUMIFS(Tab_06.Jun[SALDO
ATUAL],Tab_06.Jun[CONTA],$F276)</f>
        <v>39598.92</v>
      </c>
      <c r="N276" s="4">
        <f>SUMIFS(Tab_07.Jul[SALDO
ATUAL],Tab_07.Jul[CONTA],$F276)</f>
        <v>46198.74</v>
      </c>
      <c r="O276" s="4">
        <f>SUMIFS(Tab_08.Ago[SALDO
ATUAL],Tab_08.Ago[CONTA],$F276)</f>
        <v>51148.74</v>
      </c>
      <c r="P276" s="4">
        <f>SUMIFS(Tab_09.Set[SALDO
ATUAL],Tab_09.Set[CONTA],$F276)</f>
        <v>56098.74</v>
      </c>
      <c r="Q276" s="4">
        <f>SUMIFS(Tab_10.Out[SALDO
ATUAL],Tab_10.Out[CONTA],$F276)</f>
        <v>61048.74</v>
      </c>
      <c r="R276" s="4">
        <f>SUMIFS(Tab_11.Nov[SALDO
ATUAL],Tab_11.Nov[CONTA],$F276)</f>
        <v>65998.740000000005</v>
      </c>
      <c r="S276" s="4">
        <f>SUMIFS(Tab_12.Dez[SALDO
ATUAL],Tab_12.Dez[CONTA],$F276)</f>
        <v>70948.740000000005</v>
      </c>
    </row>
    <row r="277" spans="2:19" x14ac:dyDescent="0.3">
      <c r="B277" s="3" t="s">
        <v>106</v>
      </c>
      <c r="C277" s="2" t="str">
        <f t="shared" si="20"/>
        <v>C</v>
      </c>
      <c r="D277" s="2" t="str">
        <f t="shared" si="24"/>
        <v>A</v>
      </c>
      <c r="E277" s="2">
        <f t="shared" si="25"/>
        <v>5</v>
      </c>
      <c r="F277" s="3" t="s">
        <v>471</v>
      </c>
      <c r="G277" s="3" t="s">
        <v>472</v>
      </c>
      <c r="H277" s="4">
        <f>SUMIFS(Tab_01.Jan[SALDO
ATUAL],Tab_01.Jan[CONTA],$F277)</f>
        <v>4663.41</v>
      </c>
      <c r="I277" s="4">
        <f>SUMIFS(Tab_02.Fev[SALDO
ATUAL],Tab_02.Fev[CONTA],$F277)</f>
        <v>9326.82</v>
      </c>
      <c r="J277" s="4">
        <f>SUMIFS(Tab_03.Mar[SALDO
ATUAL],Tab_03.Mar[CONTA],$F277)</f>
        <v>13990.23</v>
      </c>
      <c r="K277" s="4">
        <f>SUMIFS(Tab_04.Abr[SALDO
ATUAL],Tab_04.Abr[CONTA],$F277)</f>
        <v>18653.64</v>
      </c>
      <c r="L277" s="4">
        <f>SUMIFS(Tab_05.Mai[SALDO
ATUAL],Tab_05.Mai[CONTA],$F277)</f>
        <v>23317.05</v>
      </c>
      <c r="M277" s="4">
        <f>SUMIFS(Tab_06.Jun[SALDO
ATUAL],Tab_06.Jun[CONTA],$F277)</f>
        <v>27980.46</v>
      </c>
      <c r="N277" s="4">
        <f>SUMIFS(Tab_07.Jul[SALDO
ATUAL],Tab_07.Jul[CONTA],$F277)</f>
        <v>33290.199999999997</v>
      </c>
      <c r="O277" s="4">
        <f>SUMIFS(Tab_08.Ago[SALDO
ATUAL],Tab_08.Ago[CONTA],$F277)</f>
        <v>38599.94</v>
      </c>
      <c r="P277" s="4">
        <f>SUMIFS(Tab_09.Set[SALDO
ATUAL],Tab_09.Set[CONTA],$F277)</f>
        <v>43540.35</v>
      </c>
      <c r="Q277" s="4">
        <f>SUMIFS(Tab_10.Out[SALDO
ATUAL],Tab_10.Out[CONTA],$F277)</f>
        <v>48850.09</v>
      </c>
      <c r="R277" s="4">
        <f>SUMIFS(Tab_11.Nov[SALDO
ATUAL],Tab_11.Nov[CONTA],$F277)</f>
        <v>53790.5</v>
      </c>
      <c r="S277" s="4">
        <f>SUMIFS(Tab_12.Dez[SALDO
ATUAL],Tab_12.Dez[CONTA],$F277)</f>
        <v>58730.91</v>
      </c>
    </row>
    <row r="278" spans="2:19" x14ac:dyDescent="0.3">
      <c r="B278" s="3" t="s">
        <v>105</v>
      </c>
      <c r="C278" s="2" t="str">
        <f t="shared" si="20"/>
        <v>C</v>
      </c>
      <c r="D278" s="2" t="str">
        <f>IF($F278="","",IF(LEN($F278)=13,"A","S"))</f>
        <v>A</v>
      </c>
      <c r="E278" s="2">
        <f>IF($F278="","",IF(LEN($F278)=1,1,IF(LEN($F278)=3,2,IF(LEN($F278)=5,3,IF(LEN($F278)=8,4,5)))))</f>
        <v>5</v>
      </c>
      <c r="F278" s="3" t="s">
        <v>477</v>
      </c>
      <c r="G278" s="3" t="s">
        <v>478</v>
      </c>
      <c r="H278" s="4">
        <f>SUMIFS(Tab_01.Jan[SALDO
ATUAL],Tab_01.Jan[CONTA],$F278)</f>
        <v>0</v>
      </c>
      <c r="I278" s="4">
        <f>SUMIFS(Tab_02.Fev[SALDO
ATUAL],Tab_02.Fev[CONTA],$F278)</f>
        <v>0</v>
      </c>
      <c r="J278" s="4">
        <f>SUMIFS(Tab_03.Mar[SALDO
ATUAL],Tab_03.Mar[CONTA],$F278)</f>
        <v>0</v>
      </c>
      <c r="K278" s="4">
        <f>SUMIFS(Tab_04.Abr[SALDO
ATUAL],Tab_04.Abr[CONTA],$F278)</f>
        <v>0</v>
      </c>
      <c r="L278" s="4">
        <f>SUMIFS(Tab_05.Mai[SALDO
ATUAL],Tab_05.Mai[CONTA],$F278)</f>
        <v>0</v>
      </c>
      <c r="M278" s="4">
        <f>SUMIFS(Tab_06.Jun[SALDO
ATUAL],Tab_06.Jun[CONTA],$F278)</f>
        <v>0</v>
      </c>
      <c r="N278" s="4">
        <f>SUMIFS(Tab_07.Jul[SALDO
ATUAL],Tab_07.Jul[CONTA],$F278)</f>
        <v>0</v>
      </c>
      <c r="O278" s="4">
        <f>SUMIFS(Tab_08.Ago[SALDO
ATUAL],Tab_08.Ago[CONTA],$F278)</f>
        <v>0</v>
      </c>
      <c r="P278" s="4">
        <f>SUMIFS(Tab_09.Set[SALDO
ATUAL],Tab_09.Set[CONTA],$F278)</f>
        <v>0</v>
      </c>
      <c r="Q278" s="4">
        <f>SUMIFS(Tab_10.Out[SALDO
ATUAL],Tab_10.Out[CONTA],$F278)</f>
        <v>0</v>
      </c>
      <c r="R278" s="4">
        <f>SUMIFS(Tab_11.Nov[SALDO
ATUAL],Tab_11.Nov[CONTA],$F278)</f>
        <v>0</v>
      </c>
      <c r="S278" s="4">
        <f>SUMIFS(Tab_12.Dez[SALDO
ATUAL],Tab_12.Dez[CONTA],$F278)</f>
        <v>0</v>
      </c>
    </row>
    <row r="279" spans="2:19" x14ac:dyDescent="0.3">
      <c r="B279" s="3"/>
      <c r="C279" s="2" t="str">
        <f t="shared" si="20"/>
        <v>C</v>
      </c>
      <c r="D279" s="2" t="str">
        <f t="shared" si="24"/>
        <v>S</v>
      </c>
      <c r="E279" s="2">
        <f t="shared" si="25"/>
        <v>5</v>
      </c>
      <c r="F279" s="3" t="s">
        <v>607</v>
      </c>
      <c r="G279" s="3" t="s">
        <v>408</v>
      </c>
      <c r="H279" s="4">
        <f>SUMIFS(Tab_01.Jan[SALDO
ATUAL],Tab_01.Jan[CONTA],$F279)</f>
        <v>0</v>
      </c>
      <c r="I279" s="4">
        <f>SUMIFS(Tab_02.Fev[SALDO
ATUAL],Tab_02.Fev[CONTA],$F279)</f>
        <v>0</v>
      </c>
      <c r="J279" s="4">
        <f>SUMIFS(Tab_03.Mar[SALDO
ATUAL],Tab_03.Mar[CONTA],$F279)</f>
        <v>0</v>
      </c>
      <c r="K279" s="4">
        <f>SUMIFS(Tab_04.Abr[SALDO
ATUAL],Tab_04.Abr[CONTA],$F279)</f>
        <v>0</v>
      </c>
      <c r="L279" s="4">
        <f>SUMIFS(Tab_05.Mai[SALDO
ATUAL],Tab_05.Mai[CONTA],$F279)</f>
        <v>0</v>
      </c>
      <c r="M279" s="4">
        <f>SUMIFS(Tab_06.Jun[SALDO
ATUAL],Tab_06.Jun[CONTA],$F279)</f>
        <v>0</v>
      </c>
      <c r="N279" s="4">
        <f>SUMIFS(Tab_07.Jul[SALDO
ATUAL],Tab_07.Jul[CONTA],$F279)</f>
        <v>0</v>
      </c>
      <c r="O279" s="4">
        <f>SUMIFS(Tab_08.Ago[SALDO
ATUAL],Tab_08.Ago[CONTA],$F279)</f>
        <v>0</v>
      </c>
      <c r="P279" s="4">
        <f>SUMIFS(Tab_09.Set[SALDO
ATUAL],Tab_09.Set[CONTA],$F279)</f>
        <v>0</v>
      </c>
      <c r="Q279" s="4">
        <f>SUMIFS(Tab_10.Out[SALDO
ATUAL],Tab_10.Out[CONTA],$F279)</f>
        <v>0</v>
      </c>
      <c r="R279" s="4">
        <f>SUMIFS(Tab_11.Nov[SALDO
ATUAL],Tab_11.Nov[CONTA],$F279)</f>
        <v>0</v>
      </c>
      <c r="S279" s="4">
        <f>SUMIFS(Tab_12.Dez[SALDO
ATUAL],Tab_12.Dez[CONTA],$F279)</f>
        <v>0</v>
      </c>
    </row>
    <row r="280" spans="2:19" x14ac:dyDescent="0.3">
      <c r="B280" s="3" t="s">
        <v>106</v>
      </c>
      <c r="C280" s="2" t="str">
        <f t="shared" si="20"/>
        <v>C</v>
      </c>
      <c r="D280" s="2" t="str">
        <f t="shared" si="24"/>
        <v>A</v>
      </c>
      <c r="E280" s="2">
        <f t="shared" si="25"/>
        <v>5</v>
      </c>
      <c r="F280" s="3" t="s">
        <v>479</v>
      </c>
      <c r="G280" s="3" t="s">
        <v>408</v>
      </c>
      <c r="H280" s="4">
        <f>SUMIFS(Tab_01.Jan[SALDO
ATUAL],Tab_01.Jan[CONTA],$F280)</f>
        <v>0</v>
      </c>
      <c r="I280" s="4">
        <f>SUMIFS(Tab_02.Fev[SALDO
ATUAL],Tab_02.Fev[CONTA],$F280)</f>
        <v>0</v>
      </c>
      <c r="J280" s="4">
        <f>SUMIFS(Tab_03.Mar[SALDO
ATUAL],Tab_03.Mar[CONTA],$F280)</f>
        <v>0</v>
      </c>
      <c r="K280" s="4">
        <f>SUMIFS(Tab_04.Abr[SALDO
ATUAL],Tab_04.Abr[CONTA],$F280)</f>
        <v>0</v>
      </c>
      <c r="L280" s="4">
        <f>SUMIFS(Tab_05.Mai[SALDO
ATUAL],Tab_05.Mai[CONTA],$F280)</f>
        <v>0</v>
      </c>
      <c r="M280" s="4">
        <f>SUMIFS(Tab_06.Jun[SALDO
ATUAL],Tab_06.Jun[CONTA],$F280)</f>
        <v>0</v>
      </c>
      <c r="N280" s="4">
        <f>SUMIFS(Tab_07.Jul[SALDO
ATUAL],Tab_07.Jul[CONTA],$F280)</f>
        <v>0</v>
      </c>
      <c r="O280" s="4">
        <f>SUMIFS(Tab_08.Ago[SALDO
ATUAL],Tab_08.Ago[CONTA],$F280)</f>
        <v>0</v>
      </c>
      <c r="P280" s="4">
        <f>SUMIFS(Tab_09.Set[SALDO
ATUAL],Tab_09.Set[CONTA],$F280)</f>
        <v>0</v>
      </c>
      <c r="Q280" s="4">
        <f>SUMIFS(Tab_10.Out[SALDO
ATUAL],Tab_10.Out[CONTA],$F280)</f>
        <v>0</v>
      </c>
      <c r="R280" s="4">
        <f>SUMIFS(Tab_11.Nov[SALDO
ATUAL],Tab_11.Nov[CONTA],$F280)</f>
        <v>0</v>
      </c>
      <c r="S280" s="4">
        <f>SUMIFS(Tab_12.Dez[SALDO
ATUAL],Tab_12.Dez[CONTA],$F280)</f>
        <v>0</v>
      </c>
    </row>
    <row r="281" spans="2:19" x14ac:dyDescent="0.3">
      <c r="B281" s="3"/>
      <c r="C281" s="2" t="str">
        <f t="shared" si="20"/>
        <v>C</v>
      </c>
      <c r="D281" s="2" t="str">
        <f t="shared" si="24"/>
        <v>S</v>
      </c>
      <c r="E281" s="2">
        <f t="shared" si="25"/>
        <v>5</v>
      </c>
      <c r="F281" s="3" t="s">
        <v>608</v>
      </c>
      <c r="G281" s="3" t="s">
        <v>713</v>
      </c>
      <c r="H281" s="4">
        <f>SUMIFS(Tab_01.Jan[SALDO
ATUAL],Tab_01.Jan[CONTA],$F281)</f>
        <v>82966.080000000002</v>
      </c>
      <c r="I281" s="4">
        <f>SUMIFS(Tab_02.Fev[SALDO
ATUAL],Tab_02.Fev[CONTA],$F281)</f>
        <v>165932.16</v>
      </c>
      <c r="J281" s="4">
        <f>SUMIFS(Tab_03.Mar[SALDO
ATUAL],Tab_03.Mar[CONTA],$F281)</f>
        <v>248898.24</v>
      </c>
      <c r="K281" s="4">
        <f>SUMIFS(Tab_04.Abr[SALDO
ATUAL],Tab_04.Abr[CONTA],$F281)</f>
        <v>331864.32000000001</v>
      </c>
      <c r="L281" s="4">
        <f>SUMIFS(Tab_05.Mai[SALDO
ATUAL],Tab_05.Mai[CONTA],$F281)</f>
        <v>414830.4</v>
      </c>
      <c r="M281" s="4">
        <f>SUMIFS(Tab_06.Jun[SALDO
ATUAL],Tab_06.Jun[CONTA],$F281)</f>
        <v>497796.48</v>
      </c>
      <c r="N281" s="4">
        <f>SUMIFS(Tab_07.Jul[SALDO
ATUAL],Tab_07.Jul[CONTA],$F281)</f>
        <v>580762.56000000006</v>
      </c>
      <c r="O281" s="4">
        <f>SUMIFS(Tab_08.Ago[SALDO
ATUAL],Tab_08.Ago[CONTA],$F281)</f>
        <v>663728.64000000001</v>
      </c>
      <c r="P281" s="4">
        <f>SUMIFS(Tab_09.Set[SALDO
ATUAL],Tab_09.Set[CONTA],$F281)</f>
        <v>746694.73</v>
      </c>
      <c r="Q281" s="4">
        <f>SUMIFS(Tab_10.Out[SALDO
ATUAL],Tab_10.Out[CONTA],$F281)</f>
        <v>829660.81</v>
      </c>
      <c r="R281" s="4">
        <f>SUMIFS(Tab_11.Nov[SALDO
ATUAL],Tab_11.Nov[CONTA],$F281)</f>
        <v>912626.89</v>
      </c>
      <c r="S281" s="4">
        <f>SUMIFS(Tab_12.Dez[SALDO
ATUAL],Tab_12.Dez[CONTA],$F281)</f>
        <v>995592.97</v>
      </c>
    </row>
    <row r="282" spans="2:19" x14ac:dyDescent="0.3">
      <c r="B282" s="3" t="s">
        <v>105</v>
      </c>
      <c r="C282" s="2" t="str">
        <f t="shared" si="20"/>
        <v>C</v>
      </c>
      <c r="D282" s="2" t="str">
        <f t="shared" si="24"/>
        <v>A</v>
      </c>
      <c r="E282" s="2">
        <f t="shared" si="25"/>
        <v>5</v>
      </c>
      <c r="F282" s="3" t="s">
        <v>480</v>
      </c>
      <c r="G282" s="3" t="s">
        <v>481</v>
      </c>
      <c r="H282" s="4">
        <f>SUMIFS(Tab_01.Jan[SALDO
ATUAL],Tab_01.Jan[CONTA],$F282)</f>
        <v>57486</v>
      </c>
      <c r="I282" s="4">
        <f>SUMIFS(Tab_02.Fev[SALDO
ATUAL],Tab_02.Fev[CONTA],$F282)</f>
        <v>114972</v>
      </c>
      <c r="J282" s="4">
        <f>SUMIFS(Tab_03.Mar[SALDO
ATUAL],Tab_03.Mar[CONTA],$F282)</f>
        <v>172458</v>
      </c>
      <c r="K282" s="4">
        <f>SUMIFS(Tab_04.Abr[SALDO
ATUAL],Tab_04.Abr[CONTA],$F282)</f>
        <v>229944</v>
      </c>
      <c r="L282" s="4">
        <f>SUMIFS(Tab_05.Mai[SALDO
ATUAL],Tab_05.Mai[CONTA],$F282)</f>
        <v>287430</v>
      </c>
      <c r="M282" s="4">
        <f>SUMIFS(Tab_06.Jun[SALDO
ATUAL],Tab_06.Jun[CONTA],$F282)</f>
        <v>344916</v>
      </c>
      <c r="N282" s="4">
        <f>SUMIFS(Tab_07.Jul[SALDO
ATUAL],Tab_07.Jul[CONTA],$F282)</f>
        <v>402402</v>
      </c>
      <c r="O282" s="4">
        <f>SUMIFS(Tab_08.Ago[SALDO
ATUAL],Tab_08.Ago[CONTA],$F282)</f>
        <v>459888</v>
      </c>
      <c r="P282" s="4">
        <f>SUMIFS(Tab_09.Set[SALDO
ATUAL],Tab_09.Set[CONTA],$F282)</f>
        <v>517374</v>
      </c>
      <c r="Q282" s="4">
        <f>SUMIFS(Tab_10.Out[SALDO
ATUAL],Tab_10.Out[CONTA],$F282)</f>
        <v>574860</v>
      </c>
      <c r="R282" s="4">
        <f>SUMIFS(Tab_11.Nov[SALDO
ATUAL],Tab_11.Nov[CONTA],$F282)</f>
        <v>632346</v>
      </c>
      <c r="S282" s="4">
        <f>SUMIFS(Tab_12.Dez[SALDO
ATUAL],Tab_12.Dez[CONTA],$F282)</f>
        <v>689832</v>
      </c>
    </row>
    <row r="283" spans="2:19" x14ac:dyDescent="0.3">
      <c r="B283" s="3" t="s">
        <v>105</v>
      </c>
      <c r="C283" s="2" t="str">
        <f>IF($F283="","",IF(LEFT($F283,1)*1=1,"A",IF(LEFT($F283,1)*1=2,"P",IF(LEFT($F283,1)*1=3,"R",IF(LEFT($F283,1)*1=4,"C",IF(LEFT($F283,1)*1=5,"C",""))))))</f>
        <v>C</v>
      </c>
      <c r="D283" s="2" t="str">
        <f>IF($F283="","",IF(LEN($F283)=13,"A","S"))</f>
        <v>A</v>
      </c>
      <c r="E283" s="2">
        <f>IF($F283="","",IF(LEN($F283)=1,1,IF(LEN($F283)=3,2,IF(LEN($F283)=5,3,IF(LEN($F283)=8,4,5)))))</f>
        <v>5</v>
      </c>
      <c r="F283" s="3" t="s">
        <v>741</v>
      </c>
      <c r="G283" s="3" t="s">
        <v>742</v>
      </c>
      <c r="H283" s="4">
        <f>SUMIFS(Tab_01.Jan[SALDO
ATUAL],Tab_01.Jan[CONTA],$F283)</f>
        <v>17980.080000000002</v>
      </c>
      <c r="I283" s="4">
        <f>SUMIFS(Tab_02.Fev[SALDO
ATUAL],Tab_02.Fev[CONTA],$F283)</f>
        <v>35960.160000000003</v>
      </c>
      <c r="J283" s="4">
        <f>SUMIFS(Tab_03.Mar[SALDO
ATUAL],Tab_03.Mar[CONTA],$F283)</f>
        <v>53940.24</v>
      </c>
      <c r="K283" s="4">
        <f>SUMIFS(Tab_04.Abr[SALDO
ATUAL],Tab_04.Abr[CONTA],$F283)</f>
        <v>71920.320000000007</v>
      </c>
      <c r="L283" s="4">
        <f>SUMIFS(Tab_05.Mai[SALDO
ATUAL],Tab_05.Mai[CONTA],$F283)</f>
        <v>89900.4</v>
      </c>
      <c r="M283" s="4">
        <f>SUMIFS(Tab_06.Jun[SALDO
ATUAL],Tab_06.Jun[CONTA],$F283)</f>
        <v>107880.48</v>
      </c>
      <c r="N283" s="4">
        <f>SUMIFS(Tab_07.Jul[SALDO
ATUAL],Tab_07.Jul[CONTA],$F283)</f>
        <v>125860.56</v>
      </c>
      <c r="O283" s="4">
        <f>SUMIFS(Tab_08.Ago[SALDO
ATUAL],Tab_08.Ago[CONTA],$F283)</f>
        <v>143840.64000000001</v>
      </c>
      <c r="P283" s="4">
        <f>SUMIFS(Tab_09.Set[SALDO
ATUAL],Tab_09.Set[CONTA],$F283)</f>
        <v>161820.73000000001</v>
      </c>
      <c r="Q283" s="4">
        <f>SUMIFS(Tab_10.Out[SALDO
ATUAL],Tab_10.Out[CONTA],$F283)</f>
        <v>179800.81</v>
      </c>
      <c r="R283" s="4">
        <f>SUMIFS(Tab_11.Nov[SALDO
ATUAL],Tab_11.Nov[CONTA],$F283)</f>
        <v>197780.89</v>
      </c>
      <c r="S283" s="4">
        <f>SUMIFS(Tab_12.Dez[SALDO
ATUAL],Tab_12.Dez[CONTA],$F283)</f>
        <v>215760.97</v>
      </c>
    </row>
    <row r="284" spans="2:19" x14ac:dyDescent="0.3">
      <c r="B284" s="3" t="s">
        <v>105</v>
      </c>
      <c r="C284" s="2" t="str">
        <f>IF($F284="","",IF(LEFT($F284,1)*1=1,"A",IF(LEFT($F284,1)*1=2,"P",IF(LEFT($F284,1)*1=3,"R",IF(LEFT($F284,1)*1=4,"C",IF(LEFT($F284,1)*1=5,"C",""))))))</f>
        <v>C</v>
      </c>
      <c r="D284" s="2" t="str">
        <f>IF($F284="","",IF(LEN($F284)=13,"A","S"))</f>
        <v>A</v>
      </c>
      <c r="E284" s="2">
        <f>IF($F284="","",IF(LEN($F284)=1,1,IF(LEN($F284)=3,2,IF(LEN($F284)=5,3,IF(LEN($F284)=8,4,5)))))</f>
        <v>5</v>
      </c>
      <c r="F284" s="3" t="s">
        <v>833</v>
      </c>
      <c r="G284" s="3" t="s">
        <v>834</v>
      </c>
      <c r="H284" s="4">
        <f>SUMIFS(Tab_01.Jan[SALDO
ATUAL],Tab_01.Jan[CONTA],$F284)</f>
        <v>7500</v>
      </c>
      <c r="I284" s="4">
        <f>SUMIFS(Tab_02.Fev[SALDO
ATUAL],Tab_02.Fev[CONTA],$F284)</f>
        <v>15000</v>
      </c>
      <c r="J284" s="4">
        <f>SUMIFS(Tab_03.Mar[SALDO
ATUAL],Tab_03.Mar[CONTA],$F284)</f>
        <v>22500</v>
      </c>
      <c r="K284" s="4">
        <f>SUMIFS(Tab_04.Abr[SALDO
ATUAL],Tab_04.Abr[CONTA],$F284)</f>
        <v>30000</v>
      </c>
      <c r="L284" s="4">
        <f>SUMIFS(Tab_05.Mai[SALDO
ATUAL],Tab_05.Mai[CONTA],$F284)</f>
        <v>37500</v>
      </c>
      <c r="M284" s="4">
        <f>SUMIFS(Tab_06.Jun[SALDO
ATUAL],Tab_06.Jun[CONTA],$F284)</f>
        <v>45000</v>
      </c>
      <c r="N284" s="4">
        <f>SUMIFS(Tab_07.Jul[SALDO
ATUAL],Tab_07.Jul[CONTA],$F284)</f>
        <v>52500</v>
      </c>
      <c r="O284" s="4">
        <f>SUMIFS(Tab_08.Ago[SALDO
ATUAL],Tab_08.Ago[CONTA],$F284)</f>
        <v>60000</v>
      </c>
      <c r="P284" s="4">
        <f>SUMIFS(Tab_09.Set[SALDO
ATUAL],Tab_09.Set[CONTA],$F284)</f>
        <v>67500</v>
      </c>
      <c r="Q284" s="4">
        <f>SUMIFS(Tab_10.Out[SALDO
ATUAL],Tab_10.Out[CONTA],$F284)</f>
        <v>75000</v>
      </c>
      <c r="R284" s="4">
        <f>SUMIFS(Tab_11.Nov[SALDO
ATUAL],Tab_11.Nov[CONTA],$F284)</f>
        <v>82500</v>
      </c>
      <c r="S284" s="4">
        <f>SUMIFS(Tab_12.Dez[SALDO
ATUAL],Tab_12.Dez[CONTA],$F284)</f>
        <v>90000</v>
      </c>
    </row>
    <row r="285" spans="2:19" x14ac:dyDescent="0.3">
      <c r="B285" s="3"/>
      <c r="C285" s="2" t="str">
        <f t="shared" si="20"/>
        <v>C</v>
      </c>
      <c r="D285" s="2" t="str">
        <f t="shared" si="24"/>
        <v>S</v>
      </c>
      <c r="E285" s="2">
        <f t="shared" si="25"/>
        <v>5</v>
      </c>
      <c r="F285" s="3" t="s">
        <v>609</v>
      </c>
      <c r="G285" s="3" t="s">
        <v>714</v>
      </c>
      <c r="H285" s="4">
        <f>SUMIFS(Tab_01.Jan[SALDO
ATUAL],Tab_01.Jan[CONTA],$F285)</f>
        <v>1438.95</v>
      </c>
      <c r="I285" s="4">
        <f>SUMIFS(Tab_02.Fev[SALDO
ATUAL],Tab_02.Fev[CONTA],$F285)</f>
        <v>2500.52</v>
      </c>
      <c r="J285" s="4">
        <f>SUMIFS(Tab_03.Mar[SALDO
ATUAL],Tab_03.Mar[CONTA],$F285)</f>
        <v>4891.75</v>
      </c>
      <c r="K285" s="4">
        <f>SUMIFS(Tab_04.Abr[SALDO
ATUAL],Tab_04.Abr[CONTA],$F285)</f>
        <v>11409.78</v>
      </c>
      <c r="L285" s="4">
        <f>SUMIFS(Tab_05.Mai[SALDO
ATUAL],Tab_05.Mai[CONTA],$F285)</f>
        <v>11927.28</v>
      </c>
      <c r="M285" s="4">
        <f>SUMIFS(Tab_06.Jun[SALDO
ATUAL],Tab_06.Jun[CONTA],$F285)</f>
        <v>13492.39</v>
      </c>
      <c r="N285" s="4">
        <f>SUMIFS(Tab_07.Jul[SALDO
ATUAL],Tab_07.Jul[CONTA],$F285)</f>
        <v>15305.65</v>
      </c>
      <c r="O285" s="4">
        <f>SUMIFS(Tab_08.Ago[SALDO
ATUAL],Tab_08.Ago[CONTA],$F285)</f>
        <v>16709.080000000002</v>
      </c>
      <c r="P285" s="4">
        <f>SUMIFS(Tab_09.Set[SALDO
ATUAL],Tab_09.Set[CONTA],$F285)</f>
        <v>17796.89</v>
      </c>
      <c r="Q285" s="4">
        <f>SUMIFS(Tab_10.Out[SALDO
ATUAL],Tab_10.Out[CONTA],$F285)</f>
        <v>19097.22</v>
      </c>
      <c r="R285" s="4">
        <f>SUMIFS(Tab_11.Nov[SALDO
ATUAL],Tab_11.Nov[CONTA],$F285)</f>
        <v>22023.58</v>
      </c>
      <c r="S285" s="4">
        <f>SUMIFS(Tab_12.Dez[SALDO
ATUAL],Tab_12.Dez[CONTA],$F285)</f>
        <v>22191.58</v>
      </c>
    </row>
    <row r="286" spans="2:19" x14ac:dyDescent="0.3">
      <c r="B286" s="3"/>
      <c r="C286" s="2" t="str">
        <f t="shared" si="20"/>
        <v>C</v>
      </c>
      <c r="D286" s="2" t="str">
        <f>IF($F286="","",IF(LEN($F286)=13,"A","S"))</f>
        <v>S</v>
      </c>
      <c r="E286" s="2">
        <f>IF($F286="","",IF(LEN($F286)=1,1,IF(LEN($F286)=3,2,IF(LEN($F286)=5,3,IF(LEN($F286)=8,4,5)))))</f>
        <v>5</v>
      </c>
      <c r="F286" s="3" t="s">
        <v>610</v>
      </c>
      <c r="G286" s="3" t="s">
        <v>714</v>
      </c>
      <c r="H286" s="4">
        <f>SUMIFS(Tab_01.Jan[SALDO
ATUAL],Tab_01.Jan[CONTA],$F286)</f>
        <v>1438.95</v>
      </c>
      <c r="I286" s="4">
        <f>SUMIFS(Tab_02.Fev[SALDO
ATUAL],Tab_02.Fev[CONTA],$F286)</f>
        <v>2500.52</v>
      </c>
      <c r="J286" s="4">
        <f>SUMIFS(Tab_03.Mar[SALDO
ATUAL],Tab_03.Mar[CONTA],$F286)</f>
        <v>4891.75</v>
      </c>
      <c r="K286" s="4">
        <f>SUMIFS(Tab_04.Abr[SALDO
ATUAL],Tab_04.Abr[CONTA],$F286)</f>
        <v>11409.78</v>
      </c>
      <c r="L286" s="4">
        <f>SUMIFS(Tab_05.Mai[SALDO
ATUAL],Tab_05.Mai[CONTA],$F286)</f>
        <v>11927.28</v>
      </c>
      <c r="M286" s="4">
        <f>SUMIFS(Tab_06.Jun[SALDO
ATUAL],Tab_06.Jun[CONTA],$F286)</f>
        <v>13492.39</v>
      </c>
      <c r="N286" s="4">
        <f>SUMIFS(Tab_07.Jul[SALDO
ATUAL],Tab_07.Jul[CONTA],$F286)</f>
        <v>15305.65</v>
      </c>
      <c r="O286" s="4">
        <f>SUMIFS(Tab_08.Ago[SALDO
ATUAL],Tab_08.Ago[CONTA],$F286)</f>
        <v>16709.080000000002</v>
      </c>
      <c r="P286" s="4">
        <f>SUMIFS(Tab_09.Set[SALDO
ATUAL],Tab_09.Set[CONTA],$F286)</f>
        <v>17568.89</v>
      </c>
      <c r="Q286" s="4">
        <f>SUMIFS(Tab_10.Out[SALDO
ATUAL],Tab_10.Out[CONTA],$F286)</f>
        <v>18869.22</v>
      </c>
      <c r="R286" s="4">
        <f>SUMIFS(Tab_11.Nov[SALDO
ATUAL],Tab_11.Nov[CONTA],$F286)</f>
        <v>21795.58</v>
      </c>
      <c r="S286" s="4">
        <f>SUMIFS(Tab_12.Dez[SALDO
ATUAL],Tab_12.Dez[CONTA],$F286)</f>
        <v>21963.58</v>
      </c>
    </row>
    <row r="287" spans="2:19" x14ac:dyDescent="0.3">
      <c r="B287" s="3" t="s">
        <v>105</v>
      </c>
      <c r="C287" s="2" t="str">
        <f t="shared" si="20"/>
        <v>C</v>
      </c>
      <c r="D287" s="2" t="str">
        <f t="shared" si="24"/>
        <v>A</v>
      </c>
      <c r="E287" s="2">
        <f t="shared" si="25"/>
        <v>5</v>
      </c>
      <c r="F287" s="3" t="s">
        <v>482</v>
      </c>
      <c r="G287" s="3" t="s">
        <v>483</v>
      </c>
      <c r="H287" s="4">
        <f>SUMIFS(Tab_01.Jan[SALDO
ATUAL],Tab_01.Jan[CONTA],$F287)</f>
        <v>236.9</v>
      </c>
      <c r="I287" s="4">
        <f>SUMIFS(Tab_02.Fev[SALDO
ATUAL],Tab_02.Fev[CONTA],$F287)</f>
        <v>1298.47</v>
      </c>
      <c r="J287" s="4">
        <f>SUMIFS(Tab_03.Mar[SALDO
ATUAL],Tab_03.Mar[CONTA],$F287)</f>
        <v>2236.27</v>
      </c>
      <c r="K287" s="4">
        <f>SUMIFS(Tab_04.Abr[SALDO
ATUAL],Tab_04.Abr[CONTA],$F287)</f>
        <v>2974.3</v>
      </c>
      <c r="L287" s="4">
        <f>SUMIFS(Tab_05.Mai[SALDO
ATUAL],Tab_05.Mai[CONTA],$F287)</f>
        <v>3438.24</v>
      </c>
      <c r="M287" s="4">
        <f>SUMIFS(Tab_06.Jun[SALDO
ATUAL],Tab_06.Jun[CONTA],$F287)</f>
        <v>4138.99</v>
      </c>
      <c r="N287" s="4">
        <f>SUMIFS(Tab_07.Jul[SALDO
ATUAL],Tab_07.Jul[CONTA],$F287)</f>
        <v>5005.3100000000004</v>
      </c>
      <c r="O287" s="4">
        <f>SUMIFS(Tab_08.Ago[SALDO
ATUAL],Tab_08.Ago[CONTA],$F287)</f>
        <v>5120.51</v>
      </c>
      <c r="P287" s="4">
        <f>SUMIFS(Tab_09.Set[SALDO
ATUAL],Tab_09.Set[CONTA],$F287)</f>
        <v>5436.61</v>
      </c>
      <c r="Q287" s="4">
        <f>SUMIFS(Tab_10.Out[SALDO
ATUAL],Tab_10.Out[CONTA],$F287)</f>
        <v>5892.61</v>
      </c>
      <c r="R287" s="4">
        <f>SUMIFS(Tab_11.Nov[SALDO
ATUAL],Tab_11.Nov[CONTA],$F287)</f>
        <v>7636.23</v>
      </c>
      <c r="S287" s="4">
        <f>SUMIFS(Tab_12.Dez[SALDO
ATUAL],Tab_12.Dez[CONTA],$F287)</f>
        <v>7804.23</v>
      </c>
    </row>
    <row r="288" spans="2:19" x14ac:dyDescent="0.3">
      <c r="B288" s="3" t="s">
        <v>105</v>
      </c>
      <c r="C288" s="2" t="str">
        <f>IF($F288="","",IF(LEFT($F288,1)*1=1,"A",IF(LEFT($F288,1)*1=2,"P",IF(LEFT($F288,1)*1=3,"R",IF(LEFT($F288,1)*1=4,"C",IF(LEFT($F288,1)*1=5,"C",""))))))</f>
        <v>C</v>
      </c>
      <c r="D288" s="2" t="str">
        <f>IF($F288="","",IF(LEN($F288)=13,"A","S"))</f>
        <v>A</v>
      </c>
      <c r="E288" s="2">
        <f>IF($F288="","",IF(LEN($F288)=1,1,IF(LEN($F288)=3,2,IF(LEN($F288)=5,3,IF(LEN($F288)=8,4,5)))))</f>
        <v>5</v>
      </c>
      <c r="F288" s="3" t="s">
        <v>752</v>
      </c>
      <c r="G288" s="3" t="s">
        <v>753</v>
      </c>
      <c r="H288" s="4">
        <f>SUMIFS(Tab_01.Jan[SALDO
ATUAL],Tab_01.Jan[CONTA],$F288)</f>
        <v>0</v>
      </c>
      <c r="I288" s="4">
        <f>SUMIFS(Tab_02.Fev[SALDO
ATUAL],Tab_02.Fev[CONTA],$F288)</f>
        <v>0</v>
      </c>
      <c r="J288" s="4">
        <f>SUMIFS(Tab_03.Mar[SALDO
ATUAL],Tab_03.Mar[CONTA],$F288)</f>
        <v>0</v>
      </c>
      <c r="K288" s="4">
        <f>SUMIFS(Tab_04.Abr[SALDO
ATUAL],Tab_04.Abr[CONTA],$F288)</f>
        <v>5000</v>
      </c>
      <c r="L288" s="4">
        <f>SUMIFS(Tab_05.Mai[SALDO
ATUAL],Tab_05.Mai[CONTA],$F288)</f>
        <v>5000</v>
      </c>
      <c r="M288" s="4">
        <f>SUMIFS(Tab_06.Jun[SALDO
ATUAL],Tab_06.Jun[CONTA],$F288)</f>
        <v>5000</v>
      </c>
      <c r="N288" s="4">
        <f>SUMIFS(Tab_07.Jul[SALDO
ATUAL],Tab_07.Jul[CONTA],$F288)</f>
        <v>5000</v>
      </c>
      <c r="O288" s="4">
        <f>SUMIFS(Tab_08.Ago[SALDO
ATUAL],Tab_08.Ago[CONTA],$F288)</f>
        <v>5000</v>
      </c>
      <c r="P288" s="4">
        <f>SUMIFS(Tab_09.Set[SALDO
ATUAL],Tab_09.Set[CONTA],$F288)</f>
        <v>5000</v>
      </c>
      <c r="Q288" s="4">
        <f>SUMIFS(Tab_10.Out[SALDO
ATUAL],Tab_10.Out[CONTA],$F288)</f>
        <v>5000</v>
      </c>
      <c r="R288" s="4">
        <f>SUMIFS(Tab_11.Nov[SALDO
ATUAL],Tab_11.Nov[CONTA],$F288)</f>
        <v>5000</v>
      </c>
      <c r="S288" s="4">
        <f>SUMIFS(Tab_12.Dez[SALDO
ATUAL],Tab_12.Dez[CONTA],$F288)</f>
        <v>5000</v>
      </c>
    </row>
    <row r="289" spans="2:19" x14ac:dyDescent="0.3">
      <c r="B289" s="3" t="s">
        <v>105</v>
      </c>
      <c r="C289" s="2" t="str">
        <f t="shared" si="20"/>
        <v>C</v>
      </c>
      <c r="D289" s="2" t="str">
        <f t="shared" si="24"/>
        <v>A</v>
      </c>
      <c r="E289" s="2">
        <f t="shared" si="25"/>
        <v>5</v>
      </c>
      <c r="F289" s="3" t="s">
        <v>484</v>
      </c>
      <c r="G289" s="3" t="s">
        <v>485</v>
      </c>
      <c r="H289" s="4">
        <f>SUMIFS(Tab_01.Jan[SALDO
ATUAL],Tab_01.Jan[CONTA],$F289)</f>
        <v>1202.05</v>
      </c>
      <c r="I289" s="4">
        <f>SUMIFS(Tab_02.Fev[SALDO
ATUAL],Tab_02.Fev[CONTA],$F289)</f>
        <v>1202.05</v>
      </c>
      <c r="J289" s="4">
        <f>SUMIFS(Tab_03.Mar[SALDO
ATUAL],Tab_03.Mar[CONTA],$F289)</f>
        <v>2655.48</v>
      </c>
      <c r="K289" s="4">
        <f>SUMIFS(Tab_04.Abr[SALDO
ATUAL],Tab_04.Abr[CONTA],$F289)</f>
        <v>3435.48</v>
      </c>
      <c r="L289" s="4">
        <f>SUMIFS(Tab_05.Mai[SALDO
ATUAL],Tab_05.Mai[CONTA],$F289)</f>
        <v>3489.04</v>
      </c>
      <c r="M289" s="4">
        <f>SUMIFS(Tab_06.Jun[SALDO
ATUAL],Tab_06.Jun[CONTA],$F289)</f>
        <v>4353.3999999999996</v>
      </c>
      <c r="N289" s="4">
        <f>SUMIFS(Tab_07.Jul[SALDO
ATUAL],Tab_07.Jul[CONTA],$F289)</f>
        <v>5300.34</v>
      </c>
      <c r="O289" s="4">
        <f>SUMIFS(Tab_08.Ago[SALDO
ATUAL],Tab_08.Ago[CONTA],$F289)</f>
        <v>6588.57</v>
      </c>
      <c r="P289" s="4">
        <f>SUMIFS(Tab_09.Set[SALDO
ATUAL],Tab_09.Set[CONTA],$F289)</f>
        <v>7132.28</v>
      </c>
      <c r="Q289" s="4">
        <f>SUMIFS(Tab_10.Out[SALDO
ATUAL],Tab_10.Out[CONTA],$F289)</f>
        <v>7976.61</v>
      </c>
      <c r="R289" s="4">
        <f>SUMIFS(Tab_11.Nov[SALDO
ATUAL],Tab_11.Nov[CONTA],$F289)</f>
        <v>9159.35</v>
      </c>
      <c r="S289" s="4">
        <f>SUMIFS(Tab_12.Dez[SALDO
ATUAL],Tab_12.Dez[CONTA],$F289)</f>
        <v>9159.35</v>
      </c>
    </row>
    <row r="290" spans="2:19" x14ac:dyDescent="0.3">
      <c r="B290" s="3" t="s">
        <v>105</v>
      </c>
      <c r="C290" s="2" t="str">
        <f t="shared" si="20"/>
        <v>C</v>
      </c>
      <c r="D290" s="2" t="str">
        <f t="shared" si="24"/>
        <v>A</v>
      </c>
      <c r="E290" s="2">
        <f t="shared" si="25"/>
        <v>5</v>
      </c>
      <c r="F290" s="3" t="s">
        <v>486</v>
      </c>
      <c r="G290" s="3" t="s">
        <v>487</v>
      </c>
      <c r="H290" s="4">
        <f>SUMIFS(Tab_01.Jan[SALDO
ATUAL],Tab_01.Jan[CONTA],$F290)</f>
        <v>0</v>
      </c>
      <c r="I290" s="4">
        <f>SUMIFS(Tab_02.Fev[SALDO
ATUAL],Tab_02.Fev[CONTA],$F290)</f>
        <v>0</v>
      </c>
      <c r="J290" s="4">
        <f>SUMIFS(Tab_03.Mar[SALDO
ATUAL],Tab_03.Mar[CONTA],$F290)</f>
        <v>0</v>
      </c>
      <c r="K290" s="4">
        <f>SUMIFS(Tab_04.Abr[SALDO
ATUAL],Tab_04.Abr[CONTA],$F290)</f>
        <v>0</v>
      </c>
      <c r="L290" s="4">
        <f>SUMIFS(Tab_05.Mai[SALDO
ATUAL],Tab_05.Mai[CONTA],$F290)</f>
        <v>0</v>
      </c>
      <c r="M290" s="4">
        <f>SUMIFS(Tab_06.Jun[SALDO
ATUAL],Tab_06.Jun[CONTA],$F290)</f>
        <v>0</v>
      </c>
      <c r="N290" s="4">
        <f>SUMIFS(Tab_07.Jul[SALDO
ATUAL],Tab_07.Jul[CONTA],$F290)</f>
        <v>0</v>
      </c>
      <c r="O290" s="4">
        <f>SUMIFS(Tab_08.Ago[SALDO
ATUAL],Tab_08.Ago[CONTA],$F290)</f>
        <v>0</v>
      </c>
      <c r="P290" s="4">
        <f>SUMIFS(Tab_09.Set[SALDO
ATUAL],Tab_09.Set[CONTA],$F290)</f>
        <v>0</v>
      </c>
      <c r="Q290" s="4">
        <f>SUMIFS(Tab_10.Out[SALDO
ATUAL],Tab_10.Out[CONTA],$F290)</f>
        <v>0</v>
      </c>
      <c r="R290" s="4">
        <f>SUMIFS(Tab_11.Nov[SALDO
ATUAL],Tab_11.Nov[CONTA],$F290)</f>
        <v>0</v>
      </c>
      <c r="S290" s="4">
        <f>SUMIFS(Tab_12.Dez[SALDO
ATUAL],Tab_12.Dez[CONTA],$F290)</f>
        <v>0</v>
      </c>
    </row>
    <row r="291" spans="2:19" x14ac:dyDescent="0.3">
      <c r="B291" s="3" t="s">
        <v>105</v>
      </c>
      <c r="C291" s="2" t="str">
        <f t="shared" si="20"/>
        <v>C</v>
      </c>
      <c r="D291" s="2" t="str">
        <f t="shared" si="24"/>
        <v>A</v>
      </c>
      <c r="E291" s="2">
        <f t="shared" si="25"/>
        <v>5</v>
      </c>
      <c r="F291" s="3" t="s">
        <v>488</v>
      </c>
      <c r="G291" s="3" t="s">
        <v>414</v>
      </c>
      <c r="H291" s="4">
        <f>SUMIFS(Tab_01.Jan[SALDO
ATUAL],Tab_01.Jan[CONTA],$F291)</f>
        <v>0</v>
      </c>
      <c r="I291" s="4">
        <f>SUMIFS(Tab_02.Fev[SALDO
ATUAL],Tab_02.Fev[CONTA],$F291)</f>
        <v>0</v>
      </c>
      <c r="J291" s="4">
        <f>SUMIFS(Tab_03.Mar[SALDO
ATUAL],Tab_03.Mar[CONTA],$F291)</f>
        <v>0</v>
      </c>
      <c r="K291" s="4">
        <f>SUMIFS(Tab_04.Abr[SALDO
ATUAL],Tab_04.Abr[CONTA],$F291)</f>
        <v>0</v>
      </c>
      <c r="L291" s="4">
        <f>SUMIFS(Tab_05.Mai[SALDO
ATUAL],Tab_05.Mai[CONTA],$F291)</f>
        <v>0</v>
      </c>
      <c r="M291" s="4">
        <f>SUMIFS(Tab_06.Jun[SALDO
ATUAL],Tab_06.Jun[CONTA],$F291)</f>
        <v>0</v>
      </c>
      <c r="N291" s="4">
        <f>SUMIFS(Tab_07.Jul[SALDO
ATUAL],Tab_07.Jul[CONTA],$F291)</f>
        <v>0</v>
      </c>
      <c r="O291" s="4">
        <f>SUMIFS(Tab_08.Ago[SALDO
ATUAL],Tab_08.Ago[CONTA],$F291)</f>
        <v>0</v>
      </c>
      <c r="P291" s="4">
        <f>SUMIFS(Tab_09.Set[SALDO
ATUAL],Tab_09.Set[CONTA],$F291)</f>
        <v>0</v>
      </c>
      <c r="Q291" s="4">
        <f>SUMIFS(Tab_10.Out[SALDO
ATUAL],Tab_10.Out[CONTA],$F291)</f>
        <v>0</v>
      </c>
      <c r="R291" s="4">
        <f>SUMIFS(Tab_11.Nov[SALDO
ATUAL],Tab_11.Nov[CONTA],$F291)</f>
        <v>0</v>
      </c>
      <c r="S291" s="4">
        <f>SUMIFS(Tab_12.Dez[SALDO
ATUAL],Tab_12.Dez[CONTA],$F291)</f>
        <v>0</v>
      </c>
    </row>
    <row r="292" spans="2:19" x14ac:dyDescent="0.3">
      <c r="B292" s="3"/>
      <c r="C292" s="2" t="str">
        <f t="shared" si="20"/>
        <v>C</v>
      </c>
      <c r="D292" s="2" t="str">
        <f t="shared" si="24"/>
        <v>S</v>
      </c>
      <c r="E292" s="2">
        <f t="shared" si="25"/>
        <v>5</v>
      </c>
      <c r="F292" s="3" t="s">
        <v>611</v>
      </c>
      <c r="G292" s="3" t="s">
        <v>715</v>
      </c>
      <c r="H292" s="4">
        <f>SUMIFS(Tab_01.Jan[SALDO
ATUAL],Tab_01.Jan[CONTA],$F292)</f>
        <v>0</v>
      </c>
      <c r="I292" s="4">
        <f>SUMIFS(Tab_02.Fev[SALDO
ATUAL],Tab_02.Fev[CONTA],$F292)</f>
        <v>0</v>
      </c>
      <c r="J292" s="4">
        <f>SUMIFS(Tab_03.Mar[SALDO
ATUAL],Tab_03.Mar[CONTA],$F292)</f>
        <v>0</v>
      </c>
      <c r="K292" s="4">
        <f>SUMIFS(Tab_04.Abr[SALDO
ATUAL],Tab_04.Abr[CONTA],$F292)</f>
        <v>0</v>
      </c>
      <c r="L292" s="4">
        <f>SUMIFS(Tab_05.Mai[SALDO
ATUAL],Tab_05.Mai[CONTA],$F292)</f>
        <v>0</v>
      </c>
      <c r="M292" s="4">
        <f>SUMIFS(Tab_06.Jun[SALDO
ATUAL],Tab_06.Jun[CONTA],$F292)</f>
        <v>0</v>
      </c>
      <c r="N292" s="4">
        <f>SUMIFS(Tab_07.Jul[SALDO
ATUAL],Tab_07.Jul[CONTA],$F292)</f>
        <v>0</v>
      </c>
      <c r="O292" s="4">
        <f>SUMIFS(Tab_08.Ago[SALDO
ATUAL],Tab_08.Ago[CONTA],$F292)</f>
        <v>0</v>
      </c>
      <c r="P292" s="4">
        <f>SUMIFS(Tab_09.Set[SALDO
ATUAL],Tab_09.Set[CONTA],$F292)</f>
        <v>228</v>
      </c>
      <c r="Q292" s="4">
        <f>SUMIFS(Tab_10.Out[SALDO
ATUAL],Tab_10.Out[CONTA],$F292)</f>
        <v>228</v>
      </c>
      <c r="R292" s="4">
        <f>SUMIFS(Tab_11.Nov[SALDO
ATUAL],Tab_11.Nov[CONTA],$F292)</f>
        <v>228</v>
      </c>
      <c r="S292" s="4">
        <f>SUMIFS(Tab_12.Dez[SALDO
ATUAL],Tab_12.Dez[CONTA],$F292)</f>
        <v>228</v>
      </c>
    </row>
    <row r="293" spans="2:19" x14ac:dyDescent="0.3">
      <c r="B293" s="3" t="s">
        <v>105</v>
      </c>
      <c r="C293" s="2" t="str">
        <f t="shared" si="20"/>
        <v>C</v>
      </c>
      <c r="D293" s="2" t="str">
        <f t="shared" si="24"/>
        <v>A</v>
      </c>
      <c r="E293" s="2">
        <f t="shared" si="25"/>
        <v>5</v>
      </c>
      <c r="F293" s="3" t="s">
        <v>489</v>
      </c>
      <c r="G293" s="3" t="s">
        <v>490</v>
      </c>
      <c r="H293" s="4">
        <f>SUMIFS(Tab_01.Jan[SALDO
ATUAL],Tab_01.Jan[CONTA],$F293)</f>
        <v>0</v>
      </c>
      <c r="I293" s="4">
        <f>SUMIFS(Tab_02.Fev[SALDO
ATUAL],Tab_02.Fev[CONTA],$F293)</f>
        <v>0</v>
      </c>
      <c r="J293" s="4">
        <f>SUMIFS(Tab_03.Mar[SALDO
ATUAL],Tab_03.Mar[CONTA],$F293)</f>
        <v>0</v>
      </c>
      <c r="K293" s="4">
        <f>SUMIFS(Tab_04.Abr[SALDO
ATUAL],Tab_04.Abr[CONTA],$F293)</f>
        <v>0</v>
      </c>
      <c r="L293" s="4">
        <f>SUMIFS(Tab_05.Mai[SALDO
ATUAL],Tab_05.Mai[CONTA],$F293)</f>
        <v>0</v>
      </c>
      <c r="M293" s="4">
        <f>SUMIFS(Tab_06.Jun[SALDO
ATUAL],Tab_06.Jun[CONTA],$F293)</f>
        <v>0</v>
      </c>
      <c r="N293" s="4">
        <f>SUMIFS(Tab_07.Jul[SALDO
ATUAL],Tab_07.Jul[CONTA],$F293)</f>
        <v>0</v>
      </c>
      <c r="O293" s="4">
        <f>SUMIFS(Tab_08.Ago[SALDO
ATUAL],Tab_08.Ago[CONTA],$F293)</f>
        <v>0</v>
      </c>
      <c r="P293" s="4">
        <f>SUMIFS(Tab_09.Set[SALDO
ATUAL],Tab_09.Set[CONTA],$F293)</f>
        <v>228</v>
      </c>
      <c r="Q293" s="4">
        <f>SUMIFS(Tab_10.Out[SALDO
ATUAL],Tab_10.Out[CONTA],$F293)</f>
        <v>228</v>
      </c>
      <c r="R293" s="4">
        <f>SUMIFS(Tab_11.Nov[SALDO
ATUAL],Tab_11.Nov[CONTA],$F293)</f>
        <v>228</v>
      </c>
      <c r="S293" s="4">
        <f>SUMIFS(Tab_12.Dez[SALDO
ATUAL],Tab_12.Dez[CONTA],$F293)</f>
        <v>228</v>
      </c>
    </row>
    <row r="294" spans="2:19" x14ac:dyDescent="0.3">
      <c r="B294" s="3"/>
      <c r="C294" s="2" t="str">
        <f t="shared" si="20"/>
        <v>C</v>
      </c>
      <c r="D294" s="2" t="str">
        <f t="shared" si="24"/>
        <v>S</v>
      </c>
      <c r="E294" s="2">
        <f t="shared" si="25"/>
        <v>5</v>
      </c>
      <c r="F294" s="3" t="s">
        <v>612</v>
      </c>
      <c r="G294" s="3" t="s">
        <v>716</v>
      </c>
      <c r="H294" s="4">
        <f>SUMIFS(Tab_01.Jan[SALDO
ATUAL],Tab_01.Jan[CONTA],$F294)</f>
        <v>11083.2</v>
      </c>
      <c r="I294" s="4">
        <f>SUMIFS(Tab_02.Fev[SALDO
ATUAL],Tab_02.Fev[CONTA],$F294)</f>
        <v>17481.689999999999</v>
      </c>
      <c r="J294" s="4">
        <f>SUMIFS(Tab_03.Mar[SALDO
ATUAL],Tab_03.Mar[CONTA],$F294)</f>
        <v>25641.82</v>
      </c>
      <c r="K294" s="4">
        <f>SUMIFS(Tab_04.Abr[SALDO
ATUAL],Tab_04.Abr[CONTA],$F294)</f>
        <v>39930.559999999998</v>
      </c>
      <c r="L294" s="4">
        <f>SUMIFS(Tab_05.Mai[SALDO
ATUAL],Tab_05.Mai[CONTA],$F294)</f>
        <v>48784.93</v>
      </c>
      <c r="M294" s="4">
        <f>SUMIFS(Tab_06.Jun[SALDO
ATUAL],Tab_06.Jun[CONTA],$F294)</f>
        <v>58072.959999999999</v>
      </c>
      <c r="N294" s="4">
        <f>SUMIFS(Tab_07.Jul[SALDO
ATUAL],Tab_07.Jul[CONTA],$F294)</f>
        <v>65659.31</v>
      </c>
      <c r="O294" s="4">
        <f>SUMIFS(Tab_08.Ago[SALDO
ATUAL],Tab_08.Ago[CONTA],$F294)</f>
        <v>75152.58</v>
      </c>
      <c r="P294" s="4">
        <f>SUMIFS(Tab_09.Set[SALDO
ATUAL],Tab_09.Set[CONTA],$F294)</f>
        <v>95404.99</v>
      </c>
      <c r="Q294" s="4">
        <f>SUMIFS(Tab_10.Out[SALDO
ATUAL],Tab_10.Out[CONTA],$F294)</f>
        <v>102490.08</v>
      </c>
      <c r="R294" s="4">
        <f>SUMIFS(Tab_11.Nov[SALDO
ATUAL],Tab_11.Nov[CONTA],$F294)</f>
        <v>115066.41</v>
      </c>
      <c r="S294" s="4">
        <f>SUMIFS(Tab_12.Dez[SALDO
ATUAL],Tab_12.Dez[CONTA],$F294)</f>
        <v>145040.60999999999</v>
      </c>
    </row>
    <row r="295" spans="2:19" x14ac:dyDescent="0.3">
      <c r="B295" s="3"/>
      <c r="C295" s="2" t="str">
        <f t="shared" si="20"/>
        <v>C</v>
      </c>
      <c r="D295" s="2" t="str">
        <f t="shared" si="24"/>
        <v>S</v>
      </c>
      <c r="E295" s="2">
        <f t="shared" si="25"/>
        <v>5</v>
      </c>
      <c r="F295" s="3" t="s">
        <v>613</v>
      </c>
      <c r="G295" s="3" t="s">
        <v>717</v>
      </c>
      <c r="H295" s="4">
        <f>SUMIFS(Tab_01.Jan[SALDO
ATUAL],Tab_01.Jan[CONTA],$F295)</f>
        <v>8031.73</v>
      </c>
      <c r="I295" s="4">
        <f>SUMIFS(Tab_02.Fev[SALDO
ATUAL],Tab_02.Fev[CONTA],$F295)</f>
        <v>13602.36</v>
      </c>
      <c r="J295" s="4">
        <f>SUMIFS(Tab_03.Mar[SALDO
ATUAL],Tab_03.Mar[CONTA],$F295)</f>
        <v>19862.189999999999</v>
      </c>
      <c r="K295" s="4">
        <f>SUMIFS(Tab_04.Abr[SALDO
ATUAL],Tab_04.Abr[CONTA],$F295)</f>
        <v>26356.639999999999</v>
      </c>
      <c r="L295" s="4">
        <f>SUMIFS(Tab_05.Mai[SALDO
ATUAL],Tab_05.Mai[CONTA],$F295)</f>
        <v>32558.9</v>
      </c>
      <c r="M295" s="4">
        <f>SUMIFS(Tab_06.Jun[SALDO
ATUAL],Tab_06.Jun[CONTA],$F295)</f>
        <v>37402.639999999999</v>
      </c>
      <c r="N295" s="4">
        <f>SUMIFS(Tab_07.Jul[SALDO
ATUAL],Tab_07.Jul[CONTA],$F295)</f>
        <v>42421.55</v>
      </c>
      <c r="O295" s="4">
        <f>SUMIFS(Tab_08.Ago[SALDO
ATUAL],Tab_08.Ago[CONTA],$F295)</f>
        <v>47052.67</v>
      </c>
      <c r="P295" s="4">
        <f>SUMIFS(Tab_09.Set[SALDO
ATUAL],Tab_09.Set[CONTA],$F295)</f>
        <v>49954.59</v>
      </c>
      <c r="Q295" s="4">
        <f>SUMIFS(Tab_10.Out[SALDO
ATUAL],Tab_10.Out[CONTA],$F295)</f>
        <v>53522.2</v>
      </c>
      <c r="R295" s="4">
        <f>SUMIFS(Tab_11.Nov[SALDO
ATUAL],Tab_11.Nov[CONTA],$F295)</f>
        <v>61714.9</v>
      </c>
      <c r="S295" s="4">
        <f>SUMIFS(Tab_12.Dez[SALDO
ATUAL],Tab_12.Dez[CONTA],$F295)</f>
        <v>64548.83</v>
      </c>
    </row>
    <row r="296" spans="2:19" x14ac:dyDescent="0.3">
      <c r="B296" s="3" t="s">
        <v>105</v>
      </c>
      <c r="C296" s="2" t="str">
        <f t="shared" si="20"/>
        <v>C</v>
      </c>
      <c r="D296" s="2" t="str">
        <f t="shared" si="24"/>
        <v>A</v>
      </c>
      <c r="E296" s="2">
        <f t="shared" si="25"/>
        <v>5</v>
      </c>
      <c r="F296" s="3" t="s">
        <v>491</v>
      </c>
      <c r="G296" s="3" t="s">
        <v>492</v>
      </c>
      <c r="H296" s="4">
        <f>SUMIFS(Tab_01.Jan[SALDO
ATUAL],Tab_01.Jan[CONTA],$F296)</f>
        <v>3476.84</v>
      </c>
      <c r="I296" s="4">
        <f>SUMIFS(Tab_02.Fev[SALDO
ATUAL],Tab_02.Fev[CONTA],$F296)</f>
        <v>6791.87</v>
      </c>
      <c r="J296" s="4">
        <f>SUMIFS(Tab_03.Mar[SALDO
ATUAL],Tab_03.Mar[CONTA],$F296)</f>
        <v>10495.8</v>
      </c>
      <c r="K296" s="4">
        <f>SUMIFS(Tab_04.Abr[SALDO
ATUAL],Tab_04.Abr[CONTA],$F296)</f>
        <v>13160.23</v>
      </c>
      <c r="L296" s="4">
        <f>SUMIFS(Tab_05.Mai[SALDO
ATUAL],Tab_05.Mai[CONTA],$F296)</f>
        <v>16473.64</v>
      </c>
      <c r="M296" s="4">
        <f>SUMIFS(Tab_06.Jun[SALDO
ATUAL],Tab_06.Jun[CONTA],$F296)</f>
        <v>18640.080000000002</v>
      </c>
      <c r="N296" s="4">
        <f>SUMIFS(Tab_07.Jul[SALDO
ATUAL],Tab_07.Jul[CONTA],$F296)</f>
        <v>20558.62</v>
      </c>
      <c r="O296" s="4">
        <f>SUMIFS(Tab_08.Ago[SALDO
ATUAL],Tab_08.Ago[CONTA],$F296)</f>
        <v>22375.78</v>
      </c>
      <c r="P296" s="4">
        <f>SUMIFS(Tab_09.Set[SALDO
ATUAL],Tab_09.Set[CONTA],$F296)</f>
        <v>22375.78</v>
      </c>
      <c r="Q296" s="4">
        <f>SUMIFS(Tab_10.Out[SALDO
ATUAL],Tab_10.Out[CONTA],$F296)</f>
        <v>24346.33</v>
      </c>
      <c r="R296" s="4">
        <f>SUMIFS(Tab_11.Nov[SALDO
ATUAL],Tab_11.Nov[CONTA],$F296)</f>
        <v>29400.48</v>
      </c>
      <c r="S296" s="4">
        <f>SUMIFS(Tab_12.Dez[SALDO
ATUAL],Tab_12.Dez[CONTA],$F296)</f>
        <v>29400.48</v>
      </c>
    </row>
    <row r="297" spans="2:19" x14ac:dyDescent="0.3">
      <c r="B297" s="3" t="s">
        <v>105</v>
      </c>
      <c r="C297" s="2" t="str">
        <f t="shared" si="20"/>
        <v>C</v>
      </c>
      <c r="D297" s="2" t="str">
        <f t="shared" si="24"/>
        <v>A</v>
      </c>
      <c r="E297" s="2">
        <f t="shared" si="25"/>
        <v>5</v>
      </c>
      <c r="F297" s="3" t="s">
        <v>493</v>
      </c>
      <c r="G297" s="3" t="s">
        <v>494</v>
      </c>
      <c r="H297" s="4">
        <f>SUMIFS(Tab_01.Jan[SALDO
ATUAL],Tab_01.Jan[CONTA],$F297)</f>
        <v>3157.37</v>
      </c>
      <c r="I297" s="4">
        <f>SUMIFS(Tab_02.Fev[SALDO
ATUAL],Tab_02.Fev[CONTA],$F297)</f>
        <v>4004.32</v>
      </c>
      <c r="J297" s="4">
        <f>SUMIFS(Tab_03.Mar[SALDO
ATUAL],Tab_03.Mar[CONTA],$F297)</f>
        <v>5149.7</v>
      </c>
      <c r="K297" s="4">
        <f>SUMIFS(Tab_04.Abr[SALDO
ATUAL],Tab_04.Abr[CONTA],$F297)</f>
        <v>7539.83</v>
      </c>
      <c r="L297" s="4">
        <f>SUMIFS(Tab_05.Mai[SALDO
ATUAL],Tab_05.Mai[CONTA],$F297)</f>
        <v>8988.7900000000009</v>
      </c>
      <c r="M297" s="4">
        <f>SUMIFS(Tab_06.Jun[SALDO
ATUAL],Tab_06.Jun[CONTA],$F297)</f>
        <v>10362.86</v>
      </c>
      <c r="N297" s="4">
        <f>SUMIFS(Tab_07.Jul[SALDO
ATUAL],Tab_07.Jul[CONTA],$F297)</f>
        <v>11886.68</v>
      </c>
      <c r="O297" s="4">
        <f>SUMIFS(Tab_08.Ago[SALDO
ATUAL],Tab_08.Ago[CONTA],$F297)</f>
        <v>13260.75</v>
      </c>
      <c r="P297" s="4">
        <f>SUMIFS(Tab_09.Set[SALDO
ATUAL],Tab_09.Set[CONTA],$F297)</f>
        <v>14859.44</v>
      </c>
      <c r="Q297" s="4">
        <f>SUMIFS(Tab_10.Out[SALDO
ATUAL],Tab_10.Out[CONTA],$F297)</f>
        <v>14859.44</v>
      </c>
      <c r="R297" s="4">
        <f>SUMIFS(Tab_11.Nov[SALDO
ATUAL],Tab_11.Nov[CONTA],$F297)</f>
        <v>16538.13</v>
      </c>
      <c r="S297" s="4">
        <f>SUMIFS(Tab_12.Dez[SALDO
ATUAL],Tab_12.Dez[CONTA],$F297)</f>
        <v>17912.2</v>
      </c>
    </row>
    <row r="298" spans="2:19" x14ac:dyDescent="0.3">
      <c r="B298" s="3" t="s">
        <v>105</v>
      </c>
      <c r="C298" s="2" t="str">
        <f t="shared" si="20"/>
        <v>C</v>
      </c>
      <c r="D298" s="2" t="str">
        <f t="shared" si="24"/>
        <v>A</v>
      </c>
      <c r="E298" s="2">
        <f t="shared" si="25"/>
        <v>5</v>
      </c>
      <c r="F298" s="3" t="s">
        <v>495</v>
      </c>
      <c r="G298" s="3" t="s">
        <v>496</v>
      </c>
      <c r="H298" s="4">
        <f>SUMIFS(Tab_01.Jan[SALDO
ATUAL],Tab_01.Jan[CONTA],$F298)</f>
        <v>1397.52</v>
      </c>
      <c r="I298" s="4">
        <f>SUMIFS(Tab_02.Fev[SALDO
ATUAL],Tab_02.Fev[CONTA],$F298)</f>
        <v>2806.17</v>
      </c>
      <c r="J298" s="4">
        <f>SUMIFS(Tab_03.Mar[SALDO
ATUAL],Tab_03.Mar[CONTA],$F298)</f>
        <v>4216.6899999999996</v>
      </c>
      <c r="K298" s="4">
        <f>SUMIFS(Tab_04.Abr[SALDO
ATUAL],Tab_04.Abr[CONTA],$F298)</f>
        <v>5656.58</v>
      </c>
      <c r="L298" s="4">
        <f>SUMIFS(Tab_05.Mai[SALDO
ATUAL],Tab_05.Mai[CONTA],$F298)</f>
        <v>7096.47</v>
      </c>
      <c r="M298" s="4">
        <f>SUMIFS(Tab_06.Jun[SALDO
ATUAL],Tab_06.Jun[CONTA],$F298)</f>
        <v>8399.7000000000007</v>
      </c>
      <c r="N298" s="4">
        <f>SUMIFS(Tab_07.Jul[SALDO
ATUAL],Tab_07.Jul[CONTA],$F298)</f>
        <v>9976.25</v>
      </c>
      <c r="O298" s="4">
        <f>SUMIFS(Tab_08.Ago[SALDO
ATUAL],Tab_08.Ago[CONTA],$F298)</f>
        <v>11416.14</v>
      </c>
      <c r="P298" s="4">
        <f>SUMIFS(Tab_09.Set[SALDO
ATUAL],Tab_09.Set[CONTA],$F298)</f>
        <v>12719.37</v>
      </c>
      <c r="Q298" s="4">
        <f>SUMIFS(Tab_10.Out[SALDO
ATUAL],Tab_10.Out[CONTA],$F298)</f>
        <v>14316.43</v>
      </c>
      <c r="R298" s="4">
        <f>SUMIFS(Tab_11.Nov[SALDO
ATUAL],Tab_11.Nov[CONTA],$F298)</f>
        <v>15776.29</v>
      </c>
      <c r="S298" s="4">
        <f>SUMIFS(Tab_12.Dez[SALDO
ATUAL],Tab_12.Dez[CONTA],$F298)</f>
        <v>17236.150000000001</v>
      </c>
    </row>
    <row r="299" spans="2:19" x14ac:dyDescent="0.3">
      <c r="B299" s="3"/>
      <c r="C299" s="2" t="str">
        <f t="shared" si="20"/>
        <v>C</v>
      </c>
      <c r="D299" s="2" t="str">
        <f>IF($F299="","",IF(LEN($F299)=13,"A","S"))</f>
        <v>S</v>
      </c>
      <c r="E299" s="2">
        <f>IF($F299="","",IF(LEN($F299)=1,1,IF(LEN($F299)=3,2,IF(LEN($F299)=5,3,IF(LEN($F299)=8,4,5)))))</f>
        <v>5</v>
      </c>
      <c r="F299" s="3" t="s">
        <v>614</v>
      </c>
      <c r="G299" s="3" t="s">
        <v>718</v>
      </c>
      <c r="H299" s="4">
        <f>SUMIFS(Tab_01.Jan[SALDO
ATUAL],Tab_01.Jan[CONTA],$F299)</f>
        <v>3051.47</v>
      </c>
      <c r="I299" s="4">
        <f>SUMIFS(Tab_02.Fev[SALDO
ATUAL],Tab_02.Fev[CONTA],$F299)</f>
        <v>3879.33</v>
      </c>
      <c r="J299" s="4">
        <f>SUMIFS(Tab_03.Mar[SALDO
ATUAL],Tab_03.Mar[CONTA],$F299)</f>
        <v>5779.63</v>
      </c>
      <c r="K299" s="4">
        <f>SUMIFS(Tab_04.Abr[SALDO
ATUAL],Tab_04.Abr[CONTA],$F299)</f>
        <v>13573.92</v>
      </c>
      <c r="L299" s="4">
        <f>SUMIFS(Tab_05.Mai[SALDO
ATUAL],Tab_05.Mai[CONTA],$F299)</f>
        <v>16226.03</v>
      </c>
      <c r="M299" s="4">
        <f>SUMIFS(Tab_06.Jun[SALDO
ATUAL],Tab_06.Jun[CONTA],$F299)</f>
        <v>20670.32</v>
      </c>
      <c r="N299" s="4">
        <f>SUMIFS(Tab_07.Jul[SALDO
ATUAL],Tab_07.Jul[CONTA],$F299)</f>
        <v>23237.759999999998</v>
      </c>
      <c r="O299" s="4">
        <f>SUMIFS(Tab_08.Ago[SALDO
ATUAL],Tab_08.Ago[CONTA],$F299)</f>
        <v>28099.91</v>
      </c>
      <c r="P299" s="4">
        <f>SUMIFS(Tab_09.Set[SALDO
ATUAL],Tab_09.Set[CONTA],$F299)</f>
        <v>45450.400000000001</v>
      </c>
      <c r="Q299" s="4">
        <f>SUMIFS(Tab_10.Out[SALDO
ATUAL],Tab_10.Out[CONTA],$F299)</f>
        <v>48967.88</v>
      </c>
      <c r="R299" s="4">
        <f>SUMIFS(Tab_11.Nov[SALDO
ATUAL],Tab_11.Nov[CONTA],$F299)</f>
        <v>53351.51</v>
      </c>
      <c r="S299" s="4">
        <f>SUMIFS(Tab_12.Dez[SALDO
ATUAL],Tab_12.Dez[CONTA],$F299)</f>
        <v>80491.78</v>
      </c>
    </row>
    <row r="300" spans="2:19" x14ac:dyDescent="0.3">
      <c r="B300" s="3" t="s">
        <v>105</v>
      </c>
      <c r="C300" s="2" t="str">
        <f t="shared" si="20"/>
        <v>C</v>
      </c>
      <c r="D300" s="2" t="str">
        <f t="shared" si="24"/>
        <v>A</v>
      </c>
      <c r="E300" s="2">
        <f t="shared" si="25"/>
        <v>5</v>
      </c>
      <c r="F300" s="3" t="s">
        <v>497</v>
      </c>
      <c r="G300" s="3" t="s">
        <v>498</v>
      </c>
      <c r="H300" s="4">
        <f>SUMIFS(Tab_01.Jan[SALDO
ATUAL],Tab_01.Jan[CONTA],$F300)</f>
        <v>0</v>
      </c>
      <c r="I300" s="4">
        <f>SUMIFS(Tab_02.Fev[SALDO
ATUAL],Tab_02.Fev[CONTA],$F300)</f>
        <v>0</v>
      </c>
      <c r="J300" s="4">
        <f>SUMIFS(Tab_03.Mar[SALDO
ATUAL],Tab_03.Mar[CONTA],$F300)</f>
        <v>0</v>
      </c>
      <c r="K300" s="4">
        <f>SUMIFS(Tab_04.Abr[SALDO
ATUAL],Tab_04.Abr[CONTA],$F300)</f>
        <v>95</v>
      </c>
      <c r="L300" s="4">
        <f>SUMIFS(Tab_05.Mai[SALDO
ATUAL],Tab_05.Mai[CONTA],$F300)</f>
        <v>95</v>
      </c>
      <c r="M300" s="4">
        <f>SUMIFS(Tab_06.Jun[SALDO
ATUAL],Tab_06.Jun[CONTA],$F300)</f>
        <v>95</v>
      </c>
      <c r="N300" s="4">
        <f>SUMIFS(Tab_07.Jul[SALDO
ATUAL],Tab_07.Jul[CONTA],$F300)</f>
        <v>95</v>
      </c>
      <c r="O300" s="4">
        <f>SUMIFS(Tab_08.Ago[SALDO
ATUAL],Tab_08.Ago[CONTA],$F300)</f>
        <v>95</v>
      </c>
      <c r="P300" s="4">
        <f>SUMIFS(Tab_09.Set[SALDO
ATUAL],Tab_09.Set[CONTA],$F300)</f>
        <v>95</v>
      </c>
      <c r="Q300" s="4">
        <f>SUMIFS(Tab_10.Out[SALDO
ATUAL],Tab_10.Out[CONTA],$F300)</f>
        <v>95</v>
      </c>
      <c r="R300" s="4">
        <f>SUMIFS(Tab_11.Nov[SALDO
ATUAL],Tab_11.Nov[CONTA],$F300)</f>
        <v>95</v>
      </c>
      <c r="S300" s="4">
        <f>SUMIFS(Tab_12.Dez[SALDO
ATUAL],Tab_12.Dez[CONTA],$F300)</f>
        <v>95</v>
      </c>
    </row>
    <row r="301" spans="2:19" x14ac:dyDescent="0.3">
      <c r="B301" s="3" t="s">
        <v>105</v>
      </c>
      <c r="C301" s="2" t="str">
        <f t="shared" si="20"/>
        <v>C</v>
      </c>
      <c r="D301" s="2" t="str">
        <f t="shared" si="24"/>
        <v>A</v>
      </c>
      <c r="E301" s="2">
        <f t="shared" si="25"/>
        <v>5</v>
      </c>
      <c r="F301" s="3" t="s">
        <v>499</v>
      </c>
      <c r="G301" s="3" t="s">
        <v>500</v>
      </c>
      <c r="H301" s="4">
        <f>SUMIFS(Tab_01.Jan[SALDO
ATUAL],Tab_01.Jan[CONTA],$F301)</f>
        <v>146.94</v>
      </c>
      <c r="I301" s="4">
        <f>SUMIFS(Tab_02.Fev[SALDO
ATUAL],Tab_02.Fev[CONTA],$F301)</f>
        <v>146.94</v>
      </c>
      <c r="J301" s="4">
        <f>SUMIFS(Tab_03.Mar[SALDO
ATUAL],Tab_03.Mar[CONTA],$F301)</f>
        <v>1361.94</v>
      </c>
      <c r="K301" s="4">
        <f>SUMIFS(Tab_04.Abr[SALDO
ATUAL],Tab_04.Abr[CONTA],$F301)</f>
        <v>3609.34</v>
      </c>
      <c r="L301" s="4">
        <f>SUMIFS(Tab_05.Mai[SALDO
ATUAL],Tab_05.Mai[CONTA],$F301)</f>
        <v>5689.34</v>
      </c>
      <c r="M301" s="4">
        <f>SUMIFS(Tab_06.Jun[SALDO
ATUAL],Tab_06.Jun[CONTA],$F301)</f>
        <v>9626.74</v>
      </c>
      <c r="N301" s="4">
        <f>SUMIFS(Tab_07.Jul[SALDO
ATUAL],Tab_07.Jul[CONTA],$F301)</f>
        <v>9794.14</v>
      </c>
      <c r="O301" s="4">
        <f>SUMIFS(Tab_08.Ago[SALDO
ATUAL],Tab_08.Ago[CONTA],$F301)</f>
        <v>10921.54</v>
      </c>
      <c r="P301" s="4">
        <f>SUMIFS(Tab_09.Set[SALDO
ATUAL],Tab_09.Set[CONTA],$F301)</f>
        <v>21409.439999999999</v>
      </c>
      <c r="Q301" s="4">
        <f>SUMIFS(Tab_10.Out[SALDO
ATUAL],Tab_10.Out[CONTA],$F301)</f>
        <v>21744.240000000002</v>
      </c>
      <c r="R301" s="4">
        <f>SUMIFS(Tab_11.Nov[SALDO
ATUAL],Tab_11.Nov[CONTA],$F301)</f>
        <v>22772.240000000002</v>
      </c>
      <c r="S301" s="4">
        <f>SUMIFS(Tab_12.Dez[SALDO
ATUAL],Tab_12.Dez[CONTA],$F301)</f>
        <v>22822.240000000002</v>
      </c>
    </row>
    <row r="302" spans="2:19" x14ac:dyDescent="0.3">
      <c r="B302" s="3" t="s">
        <v>105</v>
      </c>
      <c r="C302" s="2" t="str">
        <f t="shared" si="20"/>
        <v>C</v>
      </c>
      <c r="D302" s="2" t="str">
        <f t="shared" si="24"/>
        <v>A</v>
      </c>
      <c r="E302" s="2">
        <f t="shared" si="25"/>
        <v>5</v>
      </c>
      <c r="F302" s="3" t="s">
        <v>501</v>
      </c>
      <c r="G302" s="3" t="s">
        <v>502</v>
      </c>
      <c r="H302" s="4">
        <f>SUMIFS(Tab_01.Jan[SALDO
ATUAL],Tab_01.Jan[CONTA],$F302)</f>
        <v>2241.66</v>
      </c>
      <c r="I302" s="4">
        <f>SUMIFS(Tab_02.Fev[SALDO
ATUAL],Tab_02.Fev[CONTA],$F302)</f>
        <v>2454.88</v>
      </c>
      <c r="J302" s="4">
        <f>SUMIFS(Tab_03.Mar[SALDO
ATUAL],Tab_03.Mar[CONTA],$F302)</f>
        <v>2551.17</v>
      </c>
      <c r="K302" s="4">
        <f>SUMIFS(Tab_04.Abr[SALDO
ATUAL],Tab_04.Abr[CONTA],$F302)</f>
        <v>7361.95</v>
      </c>
      <c r="L302" s="4">
        <f>SUMIFS(Tab_05.Mai[SALDO
ATUAL],Tab_05.Mai[CONTA],$F302)</f>
        <v>7477.45</v>
      </c>
      <c r="M302" s="4">
        <f>SUMIFS(Tab_06.Jun[SALDO
ATUAL],Tab_06.Jun[CONTA],$F302)</f>
        <v>7640.44</v>
      </c>
      <c r="N302" s="4">
        <f>SUMIFS(Tab_07.Jul[SALDO
ATUAL],Tab_07.Jul[CONTA],$F302)</f>
        <v>9664.69</v>
      </c>
      <c r="O302" s="4">
        <f>SUMIFS(Tab_08.Ago[SALDO
ATUAL],Tab_08.Ago[CONTA],$F302)</f>
        <v>10420.02</v>
      </c>
      <c r="P302" s="4">
        <f>SUMIFS(Tab_09.Set[SALDO
ATUAL],Tab_09.Set[CONTA],$F302)</f>
        <v>14396.02</v>
      </c>
      <c r="Q302" s="4">
        <f>SUMIFS(Tab_10.Out[SALDO
ATUAL],Tab_10.Out[CONTA],$F302)</f>
        <v>14562.02</v>
      </c>
      <c r="R302" s="4">
        <f>SUMIFS(Tab_11.Nov[SALDO
ATUAL],Tab_11.Nov[CONTA],$F302)</f>
        <v>15011.2</v>
      </c>
      <c r="S302" s="4">
        <f>SUMIFS(Tab_12.Dez[SALDO
ATUAL],Tab_12.Dez[CONTA],$F302)</f>
        <v>39309.199999999997</v>
      </c>
    </row>
    <row r="303" spans="2:19" x14ac:dyDescent="0.3">
      <c r="B303" s="3" t="s">
        <v>67</v>
      </c>
      <c r="C303" s="2" t="str">
        <f t="shared" si="20"/>
        <v>C</v>
      </c>
      <c r="D303" s="2" t="str">
        <f t="shared" si="24"/>
        <v>A</v>
      </c>
      <c r="E303" s="2">
        <f t="shared" si="25"/>
        <v>5</v>
      </c>
      <c r="F303" s="3" t="s">
        <v>503</v>
      </c>
      <c r="G303" s="3" t="s">
        <v>504</v>
      </c>
      <c r="H303" s="4">
        <f>SUMIFS(Tab_01.Jan[SALDO
ATUAL],Tab_01.Jan[CONTA],$F303)</f>
        <v>662.87</v>
      </c>
      <c r="I303" s="4">
        <f>SUMIFS(Tab_02.Fev[SALDO
ATUAL],Tab_02.Fev[CONTA],$F303)</f>
        <v>1277.51</v>
      </c>
      <c r="J303" s="4">
        <f>SUMIFS(Tab_03.Mar[SALDO
ATUAL],Tab_03.Mar[CONTA],$F303)</f>
        <v>1866.52</v>
      </c>
      <c r="K303" s="4">
        <f>SUMIFS(Tab_04.Abr[SALDO
ATUAL],Tab_04.Abr[CONTA],$F303)</f>
        <v>2507.63</v>
      </c>
      <c r="L303" s="4">
        <f>SUMIFS(Tab_05.Mai[SALDO
ATUAL],Tab_05.Mai[CONTA],$F303)</f>
        <v>2964.24</v>
      </c>
      <c r="M303" s="4">
        <f>SUMIFS(Tab_06.Jun[SALDO
ATUAL],Tab_06.Jun[CONTA],$F303)</f>
        <v>3308.14</v>
      </c>
      <c r="N303" s="4">
        <f>SUMIFS(Tab_07.Jul[SALDO
ATUAL],Tab_07.Jul[CONTA],$F303)</f>
        <v>3683.93</v>
      </c>
      <c r="O303" s="4">
        <f>SUMIFS(Tab_08.Ago[SALDO
ATUAL],Tab_08.Ago[CONTA],$F303)</f>
        <v>6643.19</v>
      </c>
      <c r="P303" s="4">
        <f>SUMIFS(Tab_09.Set[SALDO
ATUAL],Tab_09.Set[CONTA],$F303)</f>
        <v>9529.7800000000007</v>
      </c>
      <c r="Q303" s="4">
        <f>SUMIFS(Tab_10.Out[SALDO
ATUAL],Tab_10.Out[CONTA],$F303)</f>
        <v>12546.46</v>
      </c>
      <c r="R303" s="4">
        <f>SUMIFS(Tab_11.Nov[SALDO
ATUAL],Tab_11.Nov[CONTA],$F303)</f>
        <v>15313.37</v>
      </c>
      <c r="S303" s="4">
        <f>SUMIFS(Tab_12.Dez[SALDO
ATUAL],Tab_12.Dez[CONTA],$F303)</f>
        <v>18105.64</v>
      </c>
    </row>
    <row r="304" spans="2:19" x14ac:dyDescent="0.3">
      <c r="B304" s="3" t="s">
        <v>67</v>
      </c>
      <c r="C304" s="2" t="str">
        <f t="shared" si="20"/>
        <v>C</v>
      </c>
      <c r="D304" s="2" t="str">
        <f t="shared" si="24"/>
        <v>A</v>
      </c>
      <c r="E304" s="2">
        <f t="shared" si="25"/>
        <v>5</v>
      </c>
      <c r="F304" s="3" t="s">
        <v>505</v>
      </c>
      <c r="G304" s="3" t="s">
        <v>506</v>
      </c>
      <c r="H304" s="4">
        <f>SUMIFS(Tab_01.Jan[SALDO
ATUAL],Tab_01.Jan[CONTA],$F304)</f>
        <v>0</v>
      </c>
      <c r="I304" s="4">
        <f>SUMIFS(Tab_02.Fev[SALDO
ATUAL],Tab_02.Fev[CONTA],$F304)</f>
        <v>0</v>
      </c>
      <c r="J304" s="4">
        <f>SUMIFS(Tab_03.Mar[SALDO
ATUAL],Tab_03.Mar[CONTA],$F304)</f>
        <v>0</v>
      </c>
      <c r="K304" s="4">
        <f>SUMIFS(Tab_04.Abr[SALDO
ATUAL],Tab_04.Abr[CONTA],$F304)</f>
        <v>0</v>
      </c>
      <c r="L304" s="4">
        <f>SUMIFS(Tab_05.Mai[SALDO
ATUAL],Tab_05.Mai[CONTA],$F304)</f>
        <v>0</v>
      </c>
      <c r="M304" s="4">
        <f>SUMIFS(Tab_06.Jun[SALDO
ATUAL],Tab_06.Jun[CONTA],$F304)</f>
        <v>0</v>
      </c>
      <c r="N304" s="4">
        <f>SUMIFS(Tab_07.Jul[SALDO
ATUAL],Tab_07.Jul[CONTA],$F304)</f>
        <v>0</v>
      </c>
      <c r="O304" s="4">
        <f>SUMIFS(Tab_08.Ago[SALDO
ATUAL],Tab_08.Ago[CONTA],$F304)</f>
        <v>20.16</v>
      </c>
      <c r="P304" s="4">
        <f>SUMIFS(Tab_09.Set[SALDO
ATUAL],Tab_09.Set[CONTA],$F304)</f>
        <v>20.16</v>
      </c>
      <c r="Q304" s="4">
        <f>SUMIFS(Tab_10.Out[SALDO
ATUAL],Tab_10.Out[CONTA],$F304)</f>
        <v>20.16</v>
      </c>
      <c r="R304" s="4">
        <f>SUMIFS(Tab_11.Nov[SALDO
ATUAL],Tab_11.Nov[CONTA],$F304)</f>
        <v>159.69999999999999</v>
      </c>
      <c r="S304" s="4">
        <f>SUMIFS(Tab_12.Dez[SALDO
ATUAL],Tab_12.Dez[CONTA],$F304)</f>
        <v>159.69999999999999</v>
      </c>
    </row>
    <row r="305" spans="2:19" x14ac:dyDescent="0.3">
      <c r="B305" s="3"/>
      <c r="C305" s="2" t="str">
        <f t="shared" si="20"/>
        <v>C</v>
      </c>
      <c r="D305" s="2" t="str">
        <f t="shared" si="24"/>
        <v>S</v>
      </c>
      <c r="E305" s="2">
        <f t="shared" si="25"/>
        <v>5</v>
      </c>
      <c r="F305" s="3" t="s">
        <v>615</v>
      </c>
      <c r="G305" s="3" t="s">
        <v>719</v>
      </c>
      <c r="H305" s="4">
        <f>SUMIFS(Tab_01.Jan[SALDO
ATUAL],Tab_01.Jan[CONTA],$F305)</f>
        <v>4265.3900000000003</v>
      </c>
      <c r="I305" s="4">
        <f>SUMIFS(Tab_02.Fev[SALDO
ATUAL],Tab_02.Fev[CONTA],$F305)</f>
        <v>8951.5400000000009</v>
      </c>
      <c r="J305" s="4">
        <f>SUMIFS(Tab_03.Mar[SALDO
ATUAL],Tab_03.Mar[CONTA],$F305)</f>
        <v>13360.81</v>
      </c>
      <c r="K305" s="4">
        <f>SUMIFS(Tab_04.Abr[SALDO
ATUAL],Tab_04.Abr[CONTA],$F305)</f>
        <v>29250</v>
      </c>
      <c r="L305" s="4">
        <f>SUMIFS(Tab_05.Mai[SALDO
ATUAL],Tab_05.Mai[CONTA],$F305)</f>
        <v>33754.120000000003</v>
      </c>
      <c r="M305" s="4">
        <f>SUMIFS(Tab_06.Jun[SALDO
ATUAL],Tab_06.Jun[CONTA],$F305)</f>
        <v>38396.339999999997</v>
      </c>
      <c r="N305" s="4">
        <f>SUMIFS(Tab_07.Jul[SALDO
ATUAL],Tab_07.Jul[CONTA],$F305)</f>
        <v>42759.32</v>
      </c>
      <c r="O305" s="4">
        <f>SUMIFS(Tab_08.Ago[SALDO
ATUAL],Tab_08.Ago[CONTA],$F305)</f>
        <v>47586.720000000001</v>
      </c>
      <c r="P305" s="4">
        <f>SUMIFS(Tab_09.Set[SALDO
ATUAL],Tab_09.Set[CONTA],$F305)</f>
        <v>52287.86</v>
      </c>
      <c r="Q305" s="4">
        <f>SUMIFS(Tab_10.Out[SALDO
ATUAL],Tab_10.Out[CONTA],$F305)</f>
        <v>58929.15</v>
      </c>
      <c r="R305" s="4">
        <f>SUMIFS(Tab_11.Nov[SALDO
ATUAL],Tab_11.Nov[CONTA],$F305)</f>
        <v>63380.91</v>
      </c>
      <c r="S305" s="4">
        <f>SUMIFS(Tab_12.Dez[SALDO
ATUAL],Tab_12.Dez[CONTA],$F305)</f>
        <v>68756.05</v>
      </c>
    </row>
    <row r="306" spans="2:19" x14ac:dyDescent="0.3">
      <c r="B306" s="3"/>
      <c r="C306" s="2" t="str">
        <f t="shared" si="20"/>
        <v>C</v>
      </c>
      <c r="D306" s="2" t="str">
        <f t="shared" si="24"/>
        <v>S</v>
      </c>
      <c r="E306" s="2">
        <f t="shared" si="25"/>
        <v>5</v>
      </c>
      <c r="F306" s="3" t="s">
        <v>616</v>
      </c>
      <c r="G306" s="3" t="s">
        <v>720</v>
      </c>
      <c r="H306" s="4">
        <f>SUMIFS(Tab_01.Jan[SALDO
ATUAL],Tab_01.Jan[CONTA],$F306)</f>
        <v>0</v>
      </c>
      <c r="I306" s="4">
        <f>SUMIFS(Tab_02.Fev[SALDO
ATUAL],Tab_02.Fev[CONTA],$F306)</f>
        <v>0</v>
      </c>
      <c r="J306" s="4">
        <f>SUMIFS(Tab_03.Mar[SALDO
ATUAL],Tab_03.Mar[CONTA],$F306)</f>
        <v>0</v>
      </c>
      <c r="K306" s="4">
        <f>SUMIFS(Tab_04.Abr[SALDO
ATUAL],Tab_04.Abr[CONTA],$F306)</f>
        <v>0</v>
      </c>
      <c r="L306" s="4">
        <f>SUMIFS(Tab_05.Mai[SALDO
ATUAL],Tab_05.Mai[CONTA],$F306)</f>
        <v>0</v>
      </c>
      <c r="M306" s="4">
        <f>SUMIFS(Tab_06.Jun[SALDO
ATUAL],Tab_06.Jun[CONTA],$F306)</f>
        <v>0</v>
      </c>
      <c r="N306" s="4">
        <f>SUMIFS(Tab_07.Jul[SALDO
ATUAL],Tab_07.Jul[CONTA],$F306)</f>
        <v>0</v>
      </c>
      <c r="O306" s="4">
        <f>SUMIFS(Tab_08.Ago[SALDO
ATUAL],Tab_08.Ago[CONTA],$F306)</f>
        <v>0</v>
      </c>
      <c r="P306" s="4">
        <f>SUMIFS(Tab_09.Set[SALDO
ATUAL],Tab_09.Set[CONTA],$F306)</f>
        <v>0</v>
      </c>
      <c r="Q306" s="4">
        <f>SUMIFS(Tab_10.Out[SALDO
ATUAL],Tab_10.Out[CONTA],$F306)</f>
        <v>0</v>
      </c>
      <c r="R306" s="4">
        <f>SUMIFS(Tab_11.Nov[SALDO
ATUAL],Tab_11.Nov[CONTA],$F306)</f>
        <v>0</v>
      </c>
      <c r="S306" s="4">
        <f>SUMIFS(Tab_12.Dez[SALDO
ATUAL],Tab_12.Dez[CONTA],$F306)</f>
        <v>0</v>
      </c>
    </row>
    <row r="307" spans="2:19" x14ac:dyDescent="0.3">
      <c r="B307" s="3" t="s">
        <v>105</v>
      </c>
      <c r="C307" s="2" t="str">
        <f t="shared" si="20"/>
        <v>C</v>
      </c>
      <c r="D307" s="2" t="str">
        <f t="shared" si="24"/>
        <v>A</v>
      </c>
      <c r="E307" s="2">
        <f t="shared" si="25"/>
        <v>5</v>
      </c>
      <c r="F307" s="3" t="s">
        <v>507</v>
      </c>
      <c r="G307" s="3" t="s">
        <v>508</v>
      </c>
      <c r="H307" s="4">
        <f>SUMIFS(Tab_01.Jan[SALDO
ATUAL],Tab_01.Jan[CONTA],$F307)</f>
        <v>0</v>
      </c>
      <c r="I307" s="4">
        <f>SUMIFS(Tab_02.Fev[SALDO
ATUAL],Tab_02.Fev[CONTA],$F307)</f>
        <v>0</v>
      </c>
      <c r="J307" s="4">
        <f>SUMIFS(Tab_03.Mar[SALDO
ATUAL],Tab_03.Mar[CONTA],$F307)</f>
        <v>0</v>
      </c>
      <c r="K307" s="4">
        <f>SUMIFS(Tab_04.Abr[SALDO
ATUAL],Tab_04.Abr[CONTA],$F307)</f>
        <v>0</v>
      </c>
      <c r="L307" s="4">
        <f>SUMIFS(Tab_05.Mai[SALDO
ATUAL],Tab_05.Mai[CONTA],$F307)</f>
        <v>0</v>
      </c>
      <c r="M307" s="4">
        <f>SUMIFS(Tab_06.Jun[SALDO
ATUAL],Tab_06.Jun[CONTA],$F307)</f>
        <v>0</v>
      </c>
      <c r="N307" s="4">
        <f>SUMIFS(Tab_07.Jul[SALDO
ATUAL],Tab_07.Jul[CONTA],$F307)</f>
        <v>0</v>
      </c>
      <c r="O307" s="4">
        <f>SUMIFS(Tab_08.Ago[SALDO
ATUAL],Tab_08.Ago[CONTA],$F307)</f>
        <v>0</v>
      </c>
      <c r="P307" s="4">
        <f>SUMIFS(Tab_09.Set[SALDO
ATUAL],Tab_09.Set[CONTA],$F307)</f>
        <v>0</v>
      </c>
      <c r="Q307" s="4">
        <f>SUMIFS(Tab_10.Out[SALDO
ATUAL],Tab_10.Out[CONTA],$F307)</f>
        <v>0</v>
      </c>
      <c r="R307" s="4">
        <f>SUMIFS(Tab_11.Nov[SALDO
ATUAL],Tab_11.Nov[CONTA],$F307)</f>
        <v>0</v>
      </c>
      <c r="S307" s="4">
        <f>SUMIFS(Tab_12.Dez[SALDO
ATUAL],Tab_12.Dez[CONTA],$F307)</f>
        <v>0</v>
      </c>
    </row>
    <row r="308" spans="2:19" x14ac:dyDescent="0.3">
      <c r="B308" s="3"/>
      <c r="C308" s="2" t="str">
        <f t="shared" si="20"/>
        <v>C</v>
      </c>
      <c r="D308" s="2" t="str">
        <f t="shared" si="24"/>
        <v>S</v>
      </c>
      <c r="E308" s="2">
        <f t="shared" si="25"/>
        <v>5</v>
      </c>
      <c r="F308" s="3" t="s">
        <v>617</v>
      </c>
      <c r="G308" s="3" t="s">
        <v>721</v>
      </c>
      <c r="H308" s="4">
        <f>SUMIFS(Tab_01.Jan[SALDO
ATUAL],Tab_01.Jan[CONTA],$F308)</f>
        <v>287.74</v>
      </c>
      <c r="I308" s="4">
        <f>SUMIFS(Tab_02.Fev[SALDO
ATUAL],Tab_02.Fev[CONTA],$F308)</f>
        <v>575.48</v>
      </c>
      <c r="J308" s="4">
        <f>SUMIFS(Tab_03.Mar[SALDO
ATUAL],Tab_03.Mar[CONTA],$F308)</f>
        <v>863.22</v>
      </c>
      <c r="K308" s="4">
        <f>SUMIFS(Tab_04.Abr[SALDO
ATUAL],Tab_04.Abr[CONTA],$F308)</f>
        <v>1150.96</v>
      </c>
      <c r="L308" s="4">
        <f>SUMIFS(Tab_05.Mai[SALDO
ATUAL],Tab_05.Mai[CONTA],$F308)</f>
        <v>1438.7</v>
      </c>
      <c r="M308" s="4">
        <f>SUMIFS(Tab_06.Jun[SALDO
ATUAL],Tab_06.Jun[CONTA],$F308)</f>
        <v>1726.44</v>
      </c>
      <c r="N308" s="4">
        <f>SUMIFS(Tab_07.Jul[SALDO
ATUAL],Tab_07.Jul[CONTA],$F308)</f>
        <v>2014.18</v>
      </c>
      <c r="O308" s="4">
        <f>SUMIFS(Tab_08.Ago[SALDO
ATUAL],Tab_08.Ago[CONTA],$F308)</f>
        <v>2301.92</v>
      </c>
      <c r="P308" s="4">
        <f>SUMIFS(Tab_09.Set[SALDO
ATUAL],Tab_09.Set[CONTA],$F308)</f>
        <v>2577.0700000000002</v>
      </c>
      <c r="Q308" s="4">
        <f>SUMIFS(Tab_10.Out[SALDO
ATUAL],Tab_10.Out[CONTA],$F308)</f>
        <v>2868.83</v>
      </c>
      <c r="R308" s="4">
        <f>SUMIFS(Tab_11.Nov[SALDO
ATUAL],Tab_11.Nov[CONTA],$F308)</f>
        <v>3160.59</v>
      </c>
      <c r="S308" s="4">
        <f>SUMIFS(Tab_12.Dez[SALDO
ATUAL],Tab_12.Dez[CONTA],$F308)</f>
        <v>3452.35</v>
      </c>
    </row>
    <row r="309" spans="2:19" x14ac:dyDescent="0.3">
      <c r="B309" s="3" t="s">
        <v>105</v>
      </c>
      <c r="C309" s="2" t="str">
        <f t="shared" si="20"/>
        <v>C</v>
      </c>
      <c r="D309" s="2" t="str">
        <f t="shared" si="24"/>
        <v>A</v>
      </c>
      <c r="E309" s="2">
        <f t="shared" si="25"/>
        <v>5</v>
      </c>
      <c r="F309" s="3" t="s">
        <v>509</v>
      </c>
      <c r="G309" s="3" t="s">
        <v>510</v>
      </c>
      <c r="H309" s="4">
        <f>SUMIFS(Tab_01.Jan[SALDO
ATUAL],Tab_01.Jan[CONTA],$F309)</f>
        <v>0</v>
      </c>
      <c r="I309" s="4">
        <f>SUMIFS(Tab_02.Fev[SALDO
ATUAL],Tab_02.Fev[CONTA],$F309)</f>
        <v>0</v>
      </c>
      <c r="J309" s="4">
        <f>SUMIFS(Tab_03.Mar[SALDO
ATUAL],Tab_03.Mar[CONTA],$F309)</f>
        <v>0</v>
      </c>
      <c r="K309" s="4">
        <f>SUMIFS(Tab_04.Abr[SALDO
ATUAL],Tab_04.Abr[CONTA],$F309)</f>
        <v>0</v>
      </c>
      <c r="L309" s="4">
        <f>SUMIFS(Tab_05.Mai[SALDO
ATUAL],Tab_05.Mai[CONTA],$F309)</f>
        <v>0</v>
      </c>
      <c r="M309" s="4">
        <f>SUMIFS(Tab_06.Jun[SALDO
ATUAL],Tab_06.Jun[CONTA],$F309)</f>
        <v>0</v>
      </c>
      <c r="N309" s="4">
        <f>SUMIFS(Tab_07.Jul[SALDO
ATUAL],Tab_07.Jul[CONTA],$F309)</f>
        <v>0</v>
      </c>
      <c r="O309" s="4">
        <f>SUMIFS(Tab_08.Ago[SALDO
ATUAL],Tab_08.Ago[CONTA],$F309)</f>
        <v>0</v>
      </c>
      <c r="P309" s="4">
        <f>SUMIFS(Tab_09.Set[SALDO
ATUAL],Tab_09.Set[CONTA],$F309)</f>
        <v>0</v>
      </c>
      <c r="Q309" s="4">
        <f>SUMIFS(Tab_10.Out[SALDO
ATUAL],Tab_10.Out[CONTA],$F309)</f>
        <v>0</v>
      </c>
      <c r="R309" s="4">
        <f>SUMIFS(Tab_11.Nov[SALDO
ATUAL],Tab_11.Nov[CONTA],$F309)</f>
        <v>0</v>
      </c>
      <c r="S309" s="4">
        <f>SUMIFS(Tab_12.Dez[SALDO
ATUAL],Tab_12.Dez[CONTA],$F309)</f>
        <v>0</v>
      </c>
    </row>
    <row r="310" spans="2:19" x14ac:dyDescent="0.3">
      <c r="B310" s="3" t="s">
        <v>105</v>
      </c>
      <c r="C310" s="2" t="str">
        <f>IF($F310="","",IF(LEFT($F310,1)*1=1,"A",IF(LEFT($F310,1)*1=2,"P",IF(LEFT($F310,1)*1=3,"R",IF(LEFT($F310,1)*1=4,"C",IF(LEFT($F310,1)*1=5,"C",""))))))</f>
        <v>C</v>
      </c>
      <c r="D310" s="2" t="str">
        <f>IF($F310="","",IF(LEN($F310)=13,"A","S"))</f>
        <v>A</v>
      </c>
      <c r="E310" s="2">
        <f>IF($F310="","",IF(LEN($F310)=1,1,IF(LEN($F310)=3,2,IF(LEN($F310)=5,3,IF(LEN($F310)=8,4,5)))))</f>
        <v>5</v>
      </c>
      <c r="F310" s="3" t="s">
        <v>739</v>
      </c>
      <c r="G310" s="3" t="s">
        <v>740</v>
      </c>
      <c r="H310" s="4">
        <f>SUMIFS(Tab_01.Jan[SALDO
ATUAL],Tab_01.Jan[CONTA],$F310)</f>
        <v>287.74</v>
      </c>
      <c r="I310" s="4">
        <f>SUMIFS(Tab_02.Fev[SALDO
ATUAL],Tab_02.Fev[CONTA],$F310)</f>
        <v>575.48</v>
      </c>
      <c r="J310" s="4">
        <f>SUMIFS(Tab_03.Mar[SALDO
ATUAL],Tab_03.Mar[CONTA],$F310)</f>
        <v>863.22</v>
      </c>
      <c r="K310" s="4">
        <f>SUMIFS(Tab_04.Abr[SALDO
ATUAL],Tab_04.Abr[CONTA],$F310)</f>
        <v>1150.96</v>
      </c>
      <c r="L310" s="4">
        <f>SUMIFS(Tab_05.Mai[SALDO
ATUAL],Tab_05.Mai[CONTA],$F310)</f>
        <v>1438.7</v>
      </c>
      <c r="M310" s="4">
        <f>SUMIFS(Tab_06.Jun[SALDO
ATUAL],Tab_06.Jun[CONTA],$F310)</f>
        <v>1726.44</v>
      </c>
      <c r="N310" s="4">
        <f>SUMIFS(Tab_07.Jul[SALDO
ATUAL],Tab_07.Jul[CONTA],$F310)</f>
        <v>2014.18</v>
      </c>
      <c r="O310" s="4">
        <f>SUMIFS(Tab_08.Ago[SALDO
ATUAL],Tab_08.Ago[CONTA],$F310)</f>
        <v>2301.92</v>
      </c>
      <c r="P310" s="4">
        <f>SUMIFS(Tab_09.Set[SALDO
ATUAL],Tab_09.Set[CONTA],$F310)</f>
        <v>2577.0700000000002</v>
      </c>
      <c r="Q310" s="4">
        <f>SUMIFS(Tab_10.Out[SALDO
ATUAL],Tab_10.Out[CONTA],$F310)</f>
        <v>2868.83</v>
      </c>
      <c r="R310" s="4">
        <f>SUMIFS(Tab_11.Nov[SALDO
ATUAL],Tab_11.Nov[CONTA],$F310)</f>
        <v>3160.59</v>
      </c>
      <c r="S310" s="4">
        <f>SUMIFS(Tab_12.Dez[SALDO
ATUAL],Tab_12.Dez[CONTA],$F310)</f>
        <v>3452.35</v>
      </c>
    </row>
    <row r="311" spans="2:19" x14ac:dyDescent="0.3">
      <c r="B311" s="3"/>
      <c r="C311" s="2" t="str">
        <f t="shared" si="20"/>
        <v>C</v>
      </c>
      <c r="D311" s="2" t="str">
        <f t="shared" si="24"/>
        <v>S</v>
      </c>
      <c r="E311" s="2">
        <f t="shared" si="25"/>
        <v>5</v>
      </c>
      <c r="F311" s="3" t="s">
        <v>618</v>
      </c>
      <c r="G311" s="3" t="s">
        <v>722</v>
      </c>
      <c r="H311" s="4">
        <f>SUMIFS(Tab_01.Jan[SALDO
ATUAL],Tab_01.Jan[CONTA],$F311)</f>
        <v>2260.8200000000002</v>
      </c>
      <c r="I311" s="4">
        <f>SUMIFS(Tab_02.Fev[SALDO
ATUAL],Tab_02.Fev[CONTA],$F311)</f>
        <v>5016.62</v>
      </c>
      <c r="J311" s="4">
        <f>SUMIFS(Tab_03.Mar[SALDO
ATUAL],Tab_03.Mar[CONTA],$F311)</f>
        <v>7514.12</v>
      </c>
      <c r="K311" s="4">
        <f>SUMIFS(Tab_04.Abr[SALDO
ATUAL],Tab_04.Abr[CONTA],$F311)</f>
        <v>10230.26</v>
      </c>
      <c r="L311" s="4">
        <f>SUMIFS(Tab_05.Mai[SALDO
ATUAL],Tab_05.Mai[CONTA],$F311)</f>
        <v>12812.29</v>
      </c>
      <c r="M311" s="4">
        <f>SUMIFS(Tab_06.Jun[SALDO
ATUAL],Tab_06.Jun[CONTA],$F311)</f>
        <v>15463.56</v>
      </c>
      <c r="N311" s="4">
        <f>SUMIFS(Tab_07.Jul[SALDO
ATUAL],Tab_07.Jul[CONTA],$F311)</f>
        <v>18055.939999999999</v>
      </c>
      <c r="O311" s="4">
        <f>SUMIFS(Tab_08.Ago[SALDO
ATUAL],Tab_08.Ago[CONTA],$F311)</f>
        <v>20962.23</v>
      </c>
      <c r="P311" s="4">
        <f>SUMIFS(Tab_09.Set[SALDO
ATUAL],Tab_09.Set[CONTA],$F311)</f>
        <v>23714.41</v>
      </c>
      <c r="Q311" s="4">
        <f>SUMIFS(Tab_10.Out[SALDO
ATUAL],Tab_10.Out[CONTA],$F311)</f>
        <v>26950.21</v>
      </c>
      <c r="R311" s="4">
        <f>SUMIFS(Tab_11.Nov[SALDO
ATUAL],Tab_11.Nov[CONTA],$F311)</f>
        <v>29211.68</v>
      </c>
      <c r="S311" s="4">
        <f>SUMIFS(Tab_12.Dez[SALDO
ATUAL],Tab_12.Dez[CONTA],$F311)</f>
        <v>31920.35</v>
      </c>
    </row>
    <row r="312" spans="2:19" x14ac:dyDescent="0.3">
      <c r="B312" s="3" t="s">
        <v>105</v>
      </c>
      <c r="C312" s="2" t="str">
        <f t="shared" si="20"/>
        <v>C</v>
      </c>
      <c r="D312" s="2" t="str">
        <f t="shared" si="24"/>
        <v>A</v>
      </c>
      <c r="E312" s="2">
        <f t="shared" si="25"/>
        <v>5</v>
      </c>
      <c r="F312" s="3" t="s">
        <v>511</v>
      </c>
      <c r="G312" s="3" t="s">
        <v>512</v>
      </c>
      <c r="H312" s="4">
        <f>SUMIFS(Tab_01.Jan[SALDO
ATUAL],Tab_01.Jan[CONTA],$F312)</f>
        <v>2260.8200000000002</v>
      </c>
      <c r="I312" s="4">
        <f>SUMIFS(Tab_02.Fev[SALDO
ATUAL],Tab_02.Fev[CONTA],$F312)</f>
        <v>5016.62</v>
      </c>
      <c r="J312" s="4">
        <f>SUMIFS(Tab_03.Mar[SALDO
ATUAL],Tab_03.Mar[CONTA],$F312)</f>
        <v>7514.12</v>
      </c>
      <c r="K312" s="4">
        <f>SUMIFS(Tab_04.Abr[SALDO
ATUAL],Tab_04.Abr[CONTA],$F312)</f>
        <v>10230.26</v>
      </c>
      <c r="L312" s="4">
        <f>SUMIFS(Tab_05.Mai[SALDO
ATUAL],Tab_05.Mai[CONTA],$F312)</f>
        <v>12812.29</v>
      </c>
      <c r="M312" s="4">
        <f>SUMIFS(Tab_06.Jun[SALDO
ATUAL],Tab_06.Jun[CONTA],$F312)</f>
        <v>15463.56</v>
      </c>
      <c r="N312" s="4">
        <f>SUMIFS(Tab_07.Jul[SALDO
ATUAL],Tab_07.Jul[CONTA],$F312)</f>
        <v>18055.939999999999</v>
      </c>
      <c r="O312" s="4">
        <f>SUMIFS(Tab_08.Ago[SALDO
ATUAL],Tab_08.Ago[CONTA],$F312)</f>
        <v>20962.23</v>
      </c>
      <c r="P312" s="4">
        <f>SUMIFS(Tab_09.Set[SALDO
ATUAL],Tab_09.Set[CONTA],$F312)</f>
        <v>23714.41</v>
      </c>
      <c r="Q312" s="4">
        <f>SUMIFS(Tab_10.Out[SALDO
ATUAL],Tab_10.Out[CONTA],$F312)</f>
        <v>26950.21</v>
      </c>
      <c r="R312" s="4">
        <f>SUMIFS(Tab_11.Nov[SALDO
ATUAL],Tab_11.Nov[CONTA],$F312)</f>
        <v>29211.68</v>
      </c>
      <c r="S312" s="4">
        <f>SUMIFS(Tab_12.Dez[SALDO
ATUAL],Tab_12.Dez[CONTA],$F312)</f>
        <v>31920.35</v>
      </c>
    </row>
    <row r="313" spans="2:19" x14ac:dyDescent="0.3">
      <c r="B313" s="3" t="s">
        <v>105</v>
      </c>
      <c r="C313" s="2" t="str">
        <f t="shared" si="20"/>
        <v>C</v>
      </c>
      <c r="D313" s="2" t="str">
        <f t="shared" si="24"/>
        <v>A</v>
      </c>
      <c r="E313" s="2">
        <f t="shared" si="25"/>
        <v>5</v>
      </c>
      <c r="F313" s="3" t="s">
        <v>513</v>
      </c>
      <c r="G313" s="3" t="s">
        <v>514</v>
      </c>
      <c r="H313" s="4">
        <f>SUMIFS(Tab_01.Jan[SALDO
ATUAL],Tab_01.Jan[CONTA],$F313)</f>
        <v>0</v>
      </c>
      <c r="I313" s="4">
        <f>SUMIFS(Tab_02.Fev[SALDO
ATUAL],Tab_02.Fev[CONTA],$F313)</f>
        <v>0</v>
      </c>
      <c r="J313" s="4">
        <f>SUMIFS(Tab_03.Mar[SALDO
ATUAL],Tab_03.Mar[CONTA],$F313)</f>
        <v>0</v>
      </c>
      <c r="K313" s="4">
        <f>SUMIFS(Tab_04.Abr[SALDO
ATUAL],Tab_04.Abr[CONTA],$F313)</f>
        <v>0</v>
      </c>
      <c r="L313" s="4">
        <f>SUMIFS(Tab_05.Mai[SALDO
ATUAL],Tab_05.Mai[CONTA],$F313)</f>
        <v>0</v>
      </c>
      <c r="M313" s="4">
        <f>SUMIFS(Tab_06.Jun[SALDO
ATUAL],Tab_06.Jun[CONTA],$F313)</f>
        <v>0</v>
      </c>
      <c r="N313" s="4">
        <f>SUMIFS(Tab_07.Jul[SALDO
ATUAL],Tab_07.Jul[CONTA],$F313)</f>
        <v>0</v>
      </c>
      <c r="O313" s="4">
        <f>SUMIFS(Tab_08.Ago[SALDO
ATUAL],Tab_08.Ago[CONTA],$F313)</f>
        <v>0</v>
      </c>
      <c r="P313" s="4">
        <f>SUMIFS(Tab_09.Set[SALDO
ATUAL],Tab_09.Set[CONTA],$F313)</f>
        <v>0</v>
      </c>
      <c r="Q313" s="4">
        <f>SUMIFS(Tab_10.Out[SALDO
ATUAL],Tab_10.Out[CONTA],$F313)</f>
        <v>0</v>
      </c>
      <c r="R313" s="4">
        <f>SUMIFS(Tab_11.Nov[SALDO
ATUAL],Tab_11.Nov[CONTA],$F313)</f>
        <v>0</v>
      </c>
      <c r="S313" s="4">
        <f>SUMIFS(Tab_12.Dez[SALDO
ATUAL],Tab_12.Dez[CONTA],$F313)</f>
        <v>0</v>
      </c>
    </row>
    <row r="314" spans="2:19" x14ac:dyDescent="0.3">
      <c r="B314" s="3"/>
      <c r="C314" s="2" t="str">
        <f t="shared" si="20"/>
        <v>C</v>
      </c>
      <c r="D314" s="2" t="str">
        <f t="shared" si="24"/>
        <v>S</v>
      </c>
      <c r="E314" s="2">
        <f t="shared" si="25"/>
        <v>5</v>
      </c>
      <c r="F314" s="3" t="s">
        <v>619</v>
      </c>
      <c r="G314" s="3" t="s">
        <v>420</v>
      </c>
      <c r="H314" s="4">
        <f>SUMIFS(Tab_01.Jan[SALDO
ATUAL],Tab_01.Jan[CONTA],$F314)</f>
        <v>1716.83</v>
      </c>
      <c r="I314" s="4">
        <f>SUMIFS(Tab_02.Fev[SALDO
ATUAL],Tab_02.Fev[CONTA],$F314)</f>
        <v>3359.44</v>
      </c>
      <c r="J314" s="4">
        <f>SUMIFS(Tab_03.Mar[SALDO
ATUAL],Tab_03.Mar[CONTA],$F314)</f>
        <v>4983.47</v>
      </c>
      <c r="K314" s="4">
        <f>SUMIFS(Tab_04.Abr[SALDO
ATUAL],Tab_04.Abr[CONTA],$F314)</f>
        <v>17868.78</v>
      </c>
      <c r="L314" s="4">
        <f>SUMIFS(Tab_05.Mai[SALDO
ATUAL],Tab_05.Mai[CONTA],$F314)</f>
        <v>19503.13</v>
      </c>
      <c r="M314" s="4">
        <f>SUMIFS(Tab_06.Jun[SALDO
ATUAL],Tab_06.Jun[CONTA],$F314)</f>
        <v>21206.34</v>
      </c>
      <c r="N314" s="4">
        <f>SUMIFS(Tab_07.Jul[SALDO
ATUAL],Tab_07.Jul[CONTA],$F314)</f>
        <v>22689.200000000001</v>
      </c>
      <c r="O314" s="4">
        <f>SUMIFS(Tab_08.Ago[SALDO
ATUAL],Tab_08.Ago[CONTA],$F314)</f>
        <v>24322.57</v>
      </c>
      <c r="P314" s="4">
        <f>SUMIFS(Tab_09.Set[SALDO
ATUAL],Tab_09.Set[CONTA],$F314)</f>
        <v>25996.38</v>
      </c>
      <c r="Q314" s="4">
        <f>SUMIFS(Tab_10.Out[SALDO
ATUAL],Tab_10.Out[CONTA],$F314)</f>
        <v>29110.11</v>
      </c>
      <c r="R314" s="4">
        <f>SUMIFS(Tab_11.Nov[SALDO
ATUAL],Tab_11.Nov[CONTA],$F314)</f>
        <v>31008.639999999999</v>
      </c>
      <c r="S314" s="4">
        <f>SUMIFS(Tab_12.Dez[SALDO
ATUAL],Tab_12.Dez[CONTA],$F314)</f>
        <v>33383.35</v>
      </c>
    </row>
    <row r="315" spans="2:19" x14ac:dyDescent="0.3">
      <c r="B315" s="3" t="s">
        <v>105</v>
      </c>
      <c r="C315" s="2" t="str">
        <f t="shared" si="20"/>
        <v>C</v>
      </c>
      <c r="D315" s="2" t="str">
        <f t="shared" si="24"/>
        <v>A</v>
      </c>
      <c r="E315" s="2">
        <f t="shared" si="25"/>
        <v>5</v>
      </c>
      <c r="F315" s="3" t="s">
        <v>515</v>
      </c>
      <c r="G315" s="3" t="s">
        <v>420</v>
      </c>
      <c r="H315" s="4">
        <f>SUMIFS(Tab_01.Jan[SALDO
ATUAL],Tab_01.Jan[CONTA],$F315)</f>
        <v>1716.83</v>
      </c>
      <c r="I315" s="4">
        <f>SUMIFS(Tab_02.Fev[SALDO
ATUAL],Tab_02.Fev[CONTA],$F315)</f>
        <v>3359.44</v>
      </c>
      <c r="J315" s="4">
        <f>SUMIFS(Tab_03.Mar[SALDO
ATUAL],Tab_03.Mar[CONTA],$F315)</f>
        <v>4983.47</v>
      </c>
      <c r="K315" s="4">
        <f>SUMIFS(Tab_04.Abr[SALDO
ATUAL],Tab_04.Abr[CONTA],$F315)</f>
        <v>17868.78</v>
      </c>
      <c r="L315" s="4">
        <f>SUMIFS(Tab_05.Mai[SALDO
ATUAL],Tab_05.Mai[CONTA],$F315)</f>
        <v>19503.13</v>
      </c>
      <c r="M315" s="4">
        <f>SUMIFS(Tab_06.Jun[SALDO
ATUAL],Tab_06.Jun[CONTA],$F315)</f>
        <v>21206.34</v>
      </c>
      <c r="N315" s="4">
        <f>SUMIFS(Tab_07.Jul[SALDO
ATUAL],Tab_07.Jul[CONTA],$F315)</f>
        <v>22689.200000000001</v>
      </c>
      <c r="O315" s="4">
        <f>SUMIFS(Tab_08.Ago[SALDO
ATUAL],Tab_08.Ago[CONTA],$F315)</f>
        <v>24322.57</v>
      </c>
      <c r="P315" s="4">
        <f>SUMIFS(Tab_09.Set[SALDO
ATUAL],Tab_09.Set[CONTA],$F315)</f>
        <v>25996.38</v>
      </c>
      <c r="Q315" s="4">
        <f>SUMIFS(Tab_10.Out[SALDO
ATUAL],Tab_10.Out[CONTA],$F315)</f>
        <v>29110.11</v>
      </c>
      <c r="R315" s="4">
        <f>SUMIFS(Tab_11.Nov[SALDO
ATUAL],Tab_11.Nov[CONTA],$F315)</f>
        <v>31008.639999999999</v>
      </c>
      <c r="S315" s="4">
        <f>SUMIFS(Tab_12.Dez[SALDO
ATUAL],Tab_12.Dez[CONTA],$F315)</f>
        <v>33383.35</v>
      </c>
    </row>
    <row r="316" spans="2:19" x14ac:dyDescent="0.3">
      <c r="B316" s="3"/>
      <c r="C316" s="2" t="str">
        <f t="shared" si="20"/>
        <v>C</v>
      </c>
      <c r="D316" s="2" t="str">
        <f t="shared" si="24"/>
        <v>S</v>
      </c>
      <c r="E316" s="2">
        <f t="shared" si="25"/>
        <v>5</v>
      </c>
      <c r="F316" s="3" t="s">
        <v>620</v>
      </c>
      <c r="G316" s="3" t="s">
        <v>517</v>
      </c>
      <c r="H316" s="4">
        <f>SUMIFS(Tab_01.Jan[SALDO
ATUAL],Tab_01.Jan[CONTA],$F316)</f>
        <v>0</v>
      </c>
      <c r="I316" s="4">
        <f>SUMIFS(Tab_02.Fev[SALDO
ATUAL],Tab_02.Fev[CONTA],$F316)</f>
        <v>0</v>
      </c>
      <c r="J316" s="4">
        <f>SUMIFS(Tab_03.Mar[SALDO
ATUAL],Tab_03.Mar[CONTA],$F316)</f>
        <v>0</v>
      </c>
      <c r="K316" s="4">
        <f>SUMIFS(Tab_04.Abr[SALDO
ATUAL],Tab_04.Abr[CONTA],$F316)</f>
        <v>0</v>
      </c>
      <c r="L316" s="4">
        <f>SUMIFS(Tab_05.Mai[SALDO
ATUAL],Tab_05.Mai[CONTA],$F316)</f>
        <v>0</v>
      </c>
      <c r="M316" s="4">
        <f>SUMIFS(Tab_06.Jun[SALDO
ATUAL],Tab_06.Jun[CONTA],$F316)</f>
        <v>0</v>
      </c>
      <c r="N316" s="4">
        <f>SUMIFS(Tab_07.Jul[SALDO
ATUAL],Tab_07.Jul[CONTA],$F316)</f>
        <v>0</v>
      </c>
      <c r="O316" s="4">
        <f>SUMIFS(Tab_08.Ago[SALDO
ATUAL],Tab_08.Ago[CONTA],$F316)</f>
        <v>0</v>
      </c>
      <c r="P316" s="4">
        <f>SUMIFS(Tab_09.Set[SALDO
ATUAL],Tab_09.Set[CONTA],$F316)</f>
        <v>0</v>
      </c>
      <c r="Q316" s="4">
        <f>SUMIFS(Tab_10.Out[SALDO
ATUAL],Tab_10.Out[CONTA],$F316)</f>
        <v>0</v>
      </c>
      <c r="R316" s="4">
        <f>SUMIFS(Tab_11.Nov[SALDO
ATUAL],Tab_11.Nov[CONTA],$F316)</f>
        <v>0</v>
      </c>
      <c r="S316" s="4">
        <f>SUMIFS(Tab_12.Dez[SALDO
ATUAL],Tab_12.Dez[CONTA],$F316)</f>
        <v>0</v>
      </c>
    </row>
    <row r="317" spans="2:19" x14ac:dyDescent="0.3">
      <c r="B317" s="3" t="s">
        <v>105</v>
      </c>
      <c r="C317" s="2" t="str">
        <f t="shared" si="20"/>
        <v>C</v>
      </c>
      <c r="D317" s="2" t="str">
        <f t="shared" si="24"/>
        <v>A</v>
      </c>
      <c r="E317" s="2">
        <f t="shared" si="25"/>
        <v>5</v>
      </c>
      <c r="F317" s="3" t="s">
        <v>516</v>
      </c>
      <c r="G317" s="3" t="s">
        <v>517</v>
      </c>
      <c r="H317" s="4">
        <f>SUMIFS(Tab_01.Jan[SALDO
ATUAL],Tab_01.Jan[CONTA],$F317)</f>
        <v>0</v>
      </c>
      <c r="I317" s="4">
        <f>SUMIFS(Tab_02.Fev[SALDO
ATUAL],Tab_02.Fev[CONTA],$F317)</f>
        <v>0</v>
      </c>
      <c r="J317" s="4">
        <f>SUMIFS(Tab_03.Mar[SALDO
ATUAL],Tab_03.Mar[CONTA],$F317)</f>
        <v>0</v>
      </c>
      <c r="K317" s="4">
        <f>SUMIFS(Tab_04.Abr[SALDO
ATUAL],Tab_04.Abr[CONTA],$F317)</f>
        <v>0</v>
      </c>
      <c r="L317" s="4">
        <f>SUMIFS(Tab_05.Mai[SALDO
ATUAL],Tab_05.Mai[CONTA],$F317)</f>
        <v>0</v>
      </c>
      <c r="M317" s="4">
        <f>SUMIFS(Tab_06.Jun[SALDO
ATUAL],Tab_06.Jun[CONTA],$F317)</f>
        <v>0</v>
      </c>
      <c r="N317" s="4">
        <f>SUMIFS(Tab_07.Jul[SALDO
ATUAL],Tab_07.Jul[CONTA],$F317)</f>
        <v>0</v>
      </c>
      <c r="O317" s="4">
        <f>SUMIFS(Tab_08.Ago[SALDO
ATUAL],Tab_08.Ago[CONTA],$F317)</f>
        <v>0</v>
      </c>
      <c r="P317" s="4">
        <f>SUMIFS(Tab_09.Set[SALDO
ATUAL],Tab_09.Set[CONTA],$F317)</f>
        <v>0</v>
      </c>
      <c r="Q317" s="4">
        <f>SUMIFS(Tab_10.Out[SALDO
ATUAL],Tab_10.Out[CONTA],$F317)</f>
        <v>0</v>
      </c>
      <c r="R317" s="4">
        <f>SUMIFS(Tab_11.Nov[SALDO
ATUAL],Tab_11.Nov[CONTA],$F317)</f>
        <v>0</v>
      </c>
      <c r="S317" s="4">
        <f>SUMIFS(Tab_12.Dez[SALDO
ATUAL],Tab_12.Dez[CONTA],$F317)</f>
        <v>0</v>
      </c>
    </row>
    <row r="318" spans="2:19" x14ac:dyDescent="0.3">
      <c r="B318" s="3"/>
      <c r="C318" s="2" t="str">
        <f t="shared" si="20"/>
        <v>C</v>
      </c>
      <c r="D318" s="2" t="str">
        <f t="shared" ref="D318:D354" si="26">IF($F318="","",IF(LEN($F318)=13,"A","S"))</f>
        <v>S</v>
      </c>
      <c r="E318" s="2">
        <f t="shared" ref="E318:E354" si="27">IF($F318="","",IF(LEN($F318)=1,1,IF(LEN($F318)=3,2,IF(LEN($F318)=5,3,IF(LEN($F318)=8,4,5)))))</f>
        <v>5</v>
      </c>
      <c r="F318" s="3" t="s">
        <v>621</v>
      </c>
      <c r="G318" s="3" t="s">
        <v>723</v>
      </c>
      <c r="H318" s="4">
        <f>SUMIFS(Tab_01.Jan[SALDO
ATUAL],Tab_01.Jan[CONTA],$F318)</f>
        <v>1467.2</v>
      </c>
      <c r="I318" s="4">
        <f>SUMIFS(Tab_02.Fev[SALDO
ATUAL],Tab_02.Fev[CONTA],$F318)</f>
        <v>3368.58</v>
      </c>
      <c r="J318" s="4">
        <f>SUMIFS(Tab_03.Mar[SALDO
ATUAL],Tab_03.Mar[CONTA],$F318)</f>
        <v>4660.51</v>
      </c>
      <c r="K318" s="4">
        <f>SUMIFS(Tab_04.Abr[SALDO
ATUAL],Tab_04.Abr[CONTA],$F318)</f>
        <v>7137.43</v>
      </c>
      <c r="L318" s="4">
        <f>SUMIFS(Tab_05.Mai[SALDO
ATUAL],Tab_05.Mai[CONTA],$F318)</f>
        <v>8588.81</v>
      </c>
      <c r="M318" s="4">
        <f>SUMIFS(Tab_06.Jun[SALDO
ATUAL],Tab_06.Jun[CONTA],$F318)</f>
        <v>9880.73</v>
      </c>
      <c r="N318" s="4">
        <f>SUMIFS(Tab_07.Jul[SALDO
ATUAL],Tab_07.Jul[CONTA],$F318)</f>
        <v>11741.31</v>
      </c>
      <c r="O318" s="4">
        <f>SUMIFS(Tab_08.Ago[SALDO
ATUAL],Tab_08.Ago[CONTA],$F318)</f>
        <v>13050.37</v>
      </c>
      <c r="P318" s="4">
        <f>SUMIFS(Tab_09.Set[SALDO
ATUAL],Tab_09.Set[CONTA],$F318)</f>
        <v>14314</v>
      </c>
      <c r="Q318" s="4">
        <f>SUMIFS(Tab_10.Out[SALDO
ATUAL],Tab_10.Out[CONTA],$F318)</f>
        <v>26456.14</v>
      </c>
      <c r="R318" s="4">
        <f>SUMIFS(Tab_11.Nov[SALDO
ATUAL],Tab_11.Nov[CONTA],$F318)</f>
        <v>27620.18</v>
      </c>
      <c r="S318" s="4">
        <f>SUMIFS(Tab_12.Dez[SALDO
ATUAL],Tab_12.Dez[CONTA],$F318)</f>
        <v>28499.52</v>
      </c>
    </row>
    <row r="319" spans="2:19" x14ac:dyDescent="0.3">
      <c r="B319" s="3"/>
      <c r="C319" s="2" t="str">
        <f t="shared" si="20"/>
        <v>C</v>
      </c>
      <c r="D319" s="2" t="str">
        <f t="shared" si="26"/>
        <v>S</v>
      </c>
      <c r="E319" s="2">
        <f t="shared" si="27"/>
        <v>5</v>
      </c>
      <c r="F319" s="3" t="s">
        <v>622</v>
      </c>
      <c r="G319" s="3" t="s">
        <v>723</v>
      </c>
      <c r="H319" s="4">
        <f>SUMIFS(Tab_01.Jan[SALDO
ATUAL],Tab_01.Jan[CONTA],$F319)</f>
        <v>1467.2</v>
      </c>
      <c r="I319" s="4">
        <f>SUMIFS(Tab_02.Fev[SALDO
ATUAL],Tab_02.Fev[CONTA],$F319)</f>
        <v>3368.58</v>
      </c>
      <c r="J319" s="4">
        <f>SUMIFS(Tab_03.Mar[SALDO
ATUAL],Tab_03.Mar[CONTA],$F319)</f>
        <v>4660.51</v>
      </c>
      <c r="K319" s="4">
        <f>SUMIFS(Tab_04.Abr[SALDO
ATUAL],Tab_04.Abr[CONTA],$F319)</f>
        <v>7137.43</v>
      </c>
      <c r="L319" s="4">
        <f>SUMIFS(Tab_05.Mai[SALDO
ATUAL],Tab_05.Mai[CONTA],$F319)</f>
        <v>8588.81</v>
      </c>
      <c r="M319" s="4">
        <f>SUMIFS(Tab_06.Jun[SALDO
ATUAL],Tab_06.Jun[CONTA],$F319)</f>
        <v>9880.73</v>
      </c>
      <c r="N319" s="4">
        <f>SUMIFS(Tab_07.Jul[SALDO
ATUAL],Tab_07.Jul[CONTA],$F319)</f>
        <v>11741.31</v>
      </c>
      <c r="O319" s="4">
        <f>SUMIFS(Tab_08.Ago[SALDO
ATUAL],Tab_08.Ago[CONTA],$F319)</f>
        <v>13050.37</v>
      </c>
      <c r="P319" s="4">
        <f>SUMIFS(Tab_09.Set[SALDO
ATUAL],Tab_09.Set[CONTA],$F319)</f>
        <v>14314</v>
      </c>
      <c r="Q319" s="4">
        <f>SUMIFS(Tab_10.Out[SALDO
ATUAL],Tab_10.Out[CONTA],$F319)</f>
        <v>26456.14</v>
      </c>
      <c r="R319" s="4">
        <f>SUMIFS(Tab_11.Nov[SALDO
ATUAL],Tab_11.Nov[CONTA],$F319)</f>
        <v>27620.18</v>
      </c>
      <c r="S319" s="4">
        <f>SUMIFS(Tab_12.Dez[SALDO
ATUAL],Tab_12.Dez[CONTA],$F319)</f>
        <v>28499.52</v>
      </c>
    </row>
    <row r="320" spans="2:19" x14ac:dyDescent="0.3">
      <c r="B320" s="3" t="s">
        <v>105</v>
      </c>
      <c r="C320" s="2" t="str">
        <f t="shared" ref="C320:C354" si="28">IF($F320="","",IF(LEFT($F320,1)*1=1,"A",IF(LEFT($F320,1)*1=2,"P",IF(LEFT($F320,1)*1=3,"R",IF(LEFT($F320,1)*1=4,"C",IF(LEFT($F320,1)*1=5,"C",""))))))</f>
        <v>C</v>
      </c>
      <c r="D320" s="2" t="str">
        <f t="shared" si="26"/>
        <v>A</v>
      </c>
      <c r="E320" s="2">
        <f t="shared" si="27"/>
        <v>5</v>
      </c>
      <c r="F320" s="3" t="s">
        <v>518</v>
      </c>
      <c r="G320" s="3" t="s">
        <v>519</v>
      </c>
      <c r="H320" s="4">
        <f>SUMIFS(Tab_01.Jan[SALDO
ATUAL],Tab_01.Jan[CONTA],$F320)</f>
        <v>1467.2</v>
      </c>
      <c r="I320" s="4">
        <f>SUMIFS(Tab_02.Fev[SALDO
ATUAL],Tab_02.Fev[CONTA],$F320)</f>
        <v>3368.58</v>
      </c>
      <c r="J320" s="4">
        <f>SUMIFS(Tab_03.Mar[SALDO
ATUAL],Tab_03.Mar[CONTA],$F320)</f>
        <v>4660.51</v>
      </c>
      <c r="K320" s="4">
        <f>SUMIFS(Tab_04.Abr[SALDO
ATUAL],Tab_04.Abr[CONTA],$F320)</f>
        <v>7137.43</v>
      </c>
      <c r="L320" s="4">
        <f>SUMIFS(Tab_05.Mai[SALDO
ATUAL],Tab_05.Mai[CONTA],$F320)</f>
        <v>8588.81</v>
      </c>
      <c r="M320" s="4">
        <f>SUMIFS(Tab_06.Jun[SALDO
ATUAL],Tab_06.Jun[CONTA],$F320)</f>
        <v>9880.73</v>
      </c>
      <c r="N320" s="4">
        <f>SUMIFS(Tab_07.Jul[SALDO
ATUAL],Tab_07.Jul[CONTA],$F320)</f>
        <v>11741.31</v>
      </c>
      <c r="O320" s="4">
        <f>SUMIFS(Tab_08.Ago[SALDO
ATUAL],Tab_08.Ago[CONTA],$F320)</f>
        <v>13050.37</v>
      </c>
      <c r="P320" s="4">
        <f>SUMIFS(Tab_09.Set[SALDO
ATUAL],Tab_09.Set[CONTA],$F320)</f>
        <v>14314</v>
      </c>
      <c r="Q320" s="4">
        <f>SUMIFS(Tab_10.Out[SALDO
ATUAL],Tab_10.Out[CONTA],$F320)</f>
        <v>26456.14</v>
      </c>
      <c r="R320" s="4">
        <f>SUMIFS(Tab_11.Nov[SALDO
ATUAL],Tab_11.Nov[CONTA],$F320)</f>
        <v>27620.18</v>
      </c>
      <c r="S320" s="4">
        <f>SUMIFS(Tab_12.Dez[SALDO
ATUAL],Tab_12.Dez[CONTA],$F320)</f>
        <v>28499.52</v>
      </c>
    </row>
    <row r="321" spans="2:19" x14ac:dyDescent="0.3">
      <c r="B321" s="3"/>
      <c r="C321" s="2" t="str">
        <f t="shared" si="28"/>
        <v>C</v>
      </c>
      <c r="D321" s="2" t="str">
        <f t="shared" si="26"/>
        <v>S</v>
      </c>
      <c r="E321" s="2">
        <f t="shared" si="27"/>
        <v>5</v>
      </c>
      <c r="F321" s="3" t="s">
        <v>623</v>
      </c>
      <c r="G321" s="3" t="s">
        <v>724</v>
      </c>
      <c r="H321" s="4">
        <f>SUMIFS(Tab_01.Jan[SALDO
ATUAL],Tab_01.Jan[CONTA],$F321)</f>
        <v>5364.1</v>
      </c>
      <c r="I321" s="4">
        <f>SUMIFS(Tab_02.Fev[SALDO
ATUAL],Tab_02.Fev[CONTA],$F321)</f>
        <v>10613.84</v>
      </c>
      <c r="J321" s="4">
        <f>SUMIFS(Tab_03.Mar[SALDO
ATUAL],Tab_03.Mar[CONTA],$F321)</f>
        <v>14280.89</v>
      </c>
      <c r="K321" s="4">
        <f>SUMIFS(Tab_04.Abr[SALDO
ATUAL],Tab_04.Abr[CONTA],$F321)</f>
        <v>17947.939999999999</v>
      </c>
      <c r="L321" s="4">
        <f>SUMIFS(Tab_05.Mai[SALDO
ATUAL],Tab_05.Mai[CONTA],$F321)</f>
        <v>21614.99</v>
      </c>
      <c r="M321" s="4">
        <f>SUMIFS(Tab_06.Jun[SALDO
ATUAL],Tab_06.Jun[CONTA],$F321)</f>
        <v>25281.74</v>
      </c>
      <c r="N321" s="4">
        <f>SUMIFS(Tab_07.Jul[SALDO
ATUAL],Tab_07.Jul[CONTA],$F321)</f>
        <v>28948.49</v>
      </c>
      <c r="O321" s="4">
        <f>SUMIFS(Tab_08.Ago[SALDO
ATUAL],Tab_08.Ago[CONTA],$F321)</f>
        <v>32615.24</v>
      </c>
      <c r="P321" s="4">
        <f>SUMIFS(Tab_09.Set[SALDO
ATUAL],Tab_09.Set[CONTA],$F321)</f>
        <v>36281.99</v>
      </c>
      <c r="Q321" s="4">
        <f>SUMIFS(Tab_10.Out[SALDO
ATUAL],Tab_10.Out[CONTA],$F321)</f>
        <v>39948.74</v>
      </c>
      <c r="R321" s="4">
        <f>SUMIFS(Tab_11.Nov[SALDO
ATUAL],Tab_11.Nov[CONTA],$F321)</f>
        <v>43615.49</v>
      </c>
      <c r="S321" s="4">
        <f>SUMIFS(Tab_12.Dez[SALDO
ATUAL],Tab_12.Dez[CONTA],$F321)</f>
        <v>47282.239999999998</v>
      </c>
    </row>
    <row r="322" spans="2:19" x14ac:dyDescent="0.3">
      <c r="B322" s="3"/>
      <c r="C322" s="2" t="str">
        <f t="shared" si="28"/>
        <v>C</v>
      </c>
      <c r="D322" s="2" t="str">
        <f t="shared" si="26"/>
        <v>S</v>
      </c>
      <c r="E322" s="2">
        <f t="shared" si="27"/>
        <v>5</v>
      </c>
      <c r="F322" s="3" t="s">
        <v>624</v>
      </c>
      <c r="G322" s="3" t="s">
        <v>724</v>
      </c>
      <c r="H322" s="4">
        <f>SUMIFS(Tab_01.Jan[SALDO
ATUAL],Tab_01.Jan[CONTA],$F322)</f>
        <v>5364.1</v>
      </c>
      <c r="I322" s="4">
        <f>SUMIFS(Tab_02.Fev[SALDO
ATUAL],Tab_02.Fev[CONTA],$F322)</f>
        <v>10613.84</v>
      </c>
      <c r="J322" s="4">
        <f>SUMIFS(Tab_03.Mar[SALDO
ATUAL],Tab_03.Mar[CONTA],$F322)</f>
        <v>14280.89</v>
      </c>
      <c r="K322" s="4">
        <f>SUMIFS(Tab_04.Abr[SALDO
ATUAL],Tab_04.Abr[CONTA],$F322)</f>
        <v>17947.939999999999</v>
      </c>
      <c r="L322" s="4">
        <f>SUMIFS(Tab_05.Mai[SALDO
ATUAL],Tab_05.Mai[CONTA],$F322)</f>
        <v>21614.99</v>
      </c>
      <c r="M322" s="4">
        <f>SUMIFS(Tab_06.Jun[SALDO
ATUAL],Tab_06.Jun[CONTA],$F322)</f>
        <v>25281.74</v>
      </c>
      <c r="N322" s="4">
        <f>SUMIFS(Tab_07.Jul[SALDO
ATUAL],Tab_07.Jul[CONTA],$F322)</f>
        <v>28948.49</v>
      </c>
      <c r="O322" s="4">
        <f>SUMIFS(Tab_08.Ago[SALDO
ATUAL],Tab_08.Ago[CONTA],$F322)</f>
        <v>32615.24</v>
      </c>
      <c r="P322" s="4">
        <f>SUMIFS(Tab_09.Set[SALDO
ATUAL],Tab_09.Set[CONTA],$F322)</f>
        <v>36281.99</v>
      </c>
      <c r="Q322" s="4">
        <f>SUMIFS(Tab_10.Out[SALDO
ATUAL],Tab_10.Out[CONTA],$F322)</f>
        <v>39948.74</v>
      </c>
      <c r="R322" s="4">
        <f>SUMIFS(Tab_11.Nov[SALDO
ATUAL],Tab_11.Nov[CONTA],$F322)</f>
        <v>43615.49</v>
      </c>
      <c r="S322" s="4">
        <f>SUMIFS(Tab_12.Dez[SALDO
ATUAL],Tab_12.Dez[CONTA],$F322)</f>
        <v>47282.239999999998</v>
      </c>
    </row>
    <row r="323" spans="2:19" x14ac:dyDescent="0.3">
      <c r="B323" s="3" t="s">
        <v>109</v>
      </c>
      <c r="C323" s="2" t="str">
        <f t="shared" si="28"/>
        <v>C</v>
      </c>
      <c r="D323" s="2" t="str">
        <f t="shared" si="26"/>
        <v>A</v>
      </c>
      <c r="E323" s="2">
        <f t="shared" si="27"/>
        <v>5</v>
      </c>
      <c r="F323" s="3" t="s">
        <v>520</v>
      </c>
      <c r="G323" s="3" t="s">
        <v>521</v>
      </c>
      <c r="H323" s="4">
        <f>SUMIFS(Tab_01.Jan[SALDO
ATUAL],Tab_01.Jan[CONTA],$F323)</f>
        <v>5364.1</v>
      </c>
      <c r="I323" s="4">
        <f>SUMIFS(Tab_02.Fev[SALDO
ATUAL],Tab_02.Fev[CONTA],$F323)</f>
        <v>10613.84</v>
      </c>
      <c r="J323" s="4">
        <f>SUMIFS(Tab_03.Mar[SALDO
ATUAL],Tab_03.Mar[CONTA],$F323)</f>
        <v>14280.89</v>
      </c>
      <c r="K323" s="4">
        <f>SUMIFS(Tab_04.Abr[SALDO
ATUAL],Tab_04.Abr[CONTA],$F323)</f>
        <v>17947.939999999999</v>
      </c>
      <c r="L323" s="4">
        <f>SUMIFS(Tab_05.Mai[SALDO
ATUAL],Tab_05.Mai[CONTA],$F323)</f>
        <v>21614.99</v>
      </c>
      <c r="M323" s="4">
        <f>SUMIFS(Tab_06.Jun[SALDO
ATUAL],Tab_06.Jun[CONTA],$F323)</f>
        <v>25281.74</v>
      </c>
      <c r="N323" s="4">
        <f>SUMIFS(Tab_07.Jul[SALDO
ATUAL],Tab_07.Jul[CONTA],$F323)</f>
        <v>28948.49</v>
      </c>
      <c r="O323" s="4">
        <f>SUMIFS(Tab_08.Ago[SALDO
ATUAL],Tab_08.Ago[CONTA],$F323)</f>
        <v>32615.24</v>
      </c>
      <c r="P323" s="4">
        <f>SUMIFS(Tab_09.Set[SALDO
ATUAL],Tab_09.Set[CONTA],$F323)</f>
        <v>36281.99</v>
      </c>
      <c r="Q323" s="4">
        <f>SUMIFS(Tab_10.Out[SALDO
ATUAL],Tab_10.Out[CONTA],$F323)</f>
        <v>39948.74</v>
      </c>
      <c r="R323" s="4">
        <f>SUMIFS(Tab_11.Nov[SALDO
ATUAL],Tab_11.Nov[CONTA],$F323)</f>
        <v>43615.49</v>
      </c>
      <c r="S323" s="4">
        <f>SUMIFS(Tab_12.Dez[SALDO
ATUAL],Tab_12.Dez[CONTA],$F323)</f>
        <v>47282.239999999998</v>
      </c>
    </row>
    <row r="324" spans="2:19" x14ac:dyDescent="0.3">
      <c r="B324" s="3"/>
      <c r="C324" s="2" t="str">
        <f t="shared" si="28"/>
        <v>C</v>
      </c>
      <c r="D324" s="2" t="str">
        <f t="shared" si="26"/>
        <v>S</v>
      </c>
      <c r="E324" s="2">
        <f t="shared" si="27"/>
        <v>5</v>
      </c>
      <c r="F324" s="3" t="s">
        <v>625</v>
      </c>
      <c r="G324" s="3" t="s">
        <v>542</v>
      </c>
      <c r="H324" s="4">
        <f>SUMIFS(Tab_01.Jan[SALDO
ATUAL],Tab_01.Jan[CONTA],$F324)</f>
        <v>3062.08</v>
      </c>
      <c r="I324" s="4">
        <f>SUMIFS(Tab_02.Fev[SALDO
ATUAL],Tab_02.Fev[CONTA],$F324)</f>
        <v>7003.62</v>
      </c>
      <c r="J324" s="4">
        <f>SUMIFS(Tab_03.Mar[SALDO
ATUAL],Tab_03.Mar[CONTA],$F324)</f>
        <v>25831.68</v>
      </c>
      <c r="K324" s="4">
        <f>SUMIFS(Tab_04.Abr[SALDO
ATUAL],Tab_04.Abr[CONTA],$F324)</f>
        <v>27813.96</v>
      </c>
      <c r="L324" s="4">
        <f>SUMIFS(Tab_05.Mai[SALDO
ATUAL],Tab_05.Mai[CONTA],$F324)</f>
        <v>31526.46</v>
      </c>
      <c r="M324" s="4">
        <f>SUMIFS(Tab_06.Jun[SALDO
ATUAL],Tab_06.Jun[CONTA],$F324)</f>
        <v>35031.599999999999</v>
      </c>
      <c r="N324" s="4">
        <f>SUMIFS(Tab_07.Jul[SALDO
ATUAL],Tab_07.Jul[CONTA],$F324)</f>
        <v>37696.74</v>
      </c>
      <c r="O324" s="4">
        <f>SUMIFS(Tab_08.Ago[SALDO
ATUAL],Tab_08.Ago[CONTA],$F324)</f>
        <v>40978.82</v>
      </c>
      <c r="P324" s="4">
        <f>SUMIFS(Tab_09.Set[SALDO
ATUAL],Tab_09.Set[CONTA],$F324)</f>
        <v>44494.89</v>
      </c>
      <c r="Q324" s="4">
        <f>SUMIFS(Tab_10.Out[SALDO
ATUAL],Tab_10.Out[CONTA],$F324)</f>
        <v>49651.39</v>
      </c>
      <c r="R324" s="4">
        <f>SUMIFS(Tab_11.Nov[SALDO
ATUAL],Tab_11.Nov[CONTA],$F324)</f>
        <v>54858.26</v>
      </c>
      <c r="S324" s="4">
        <f>SUMIFS(Tab_12.Dez[SALDO
ATUAL],Tab_12.Dez[CONTA],$F324)</f>
        <v>64292.98</v>
      </c>
    </row>
    <row r="325" spans="2:19" x14ac:dyDescent="0.3">
      <c r="B325" s="3"/>
      <c r="C325" s="2" t="str">
        <f t="shared" si="28"/>
        <v>C</v>
      </c>
      <c r="D325" s="2" t="str">
        <f t="shared" si="26"/>
        <v>S</v>
      </c>
      <c r="E325" s="2">
        <f t="shared" si="27"/>
        <v>5</v>
      </c>
      <c r="F325" s="3" t="s">
        <v>626</v>
      </c>
      <c r="G325" s="3" t="s">
        <v>725</v>
      </c>
      <c r="H325" s="4">
        <f>SUMIFS(Tab_01.Jan[SALDO
ATUAL],Tab_01.Jan[CONTA],$F325)</f>
        <v>1075.6099999999999</v>
      </c>
      <c r="I325" s="4">
        <f>SUMIFS(Tab_02.Fev[SALDO
ATUAL],Tab_02.Fev[CONTA],$F325)</f>
        <v>2419.91</v>
      </c>
      <c r="J325" s="4">
        <f>SUMIFS(Tab_03.Mar[SALDO
ATUAL],Tab_03.Mar[CONTA],$F325)</f>
        <v>15442.9</v>
      </c>
      <c r="K325" s="4">
        <f>SUMIFS(Tab_04.Abr[SALDO
ATUAL],Tab_04.Abr[CONTA],$F325)</f>
        <v>15868.35</v>
      </c>
      <c r="L325" s="4">
        <f>SUMIFS(Tab_05.Mai[SALDO
ATUAL],Tab_05.Mai[CONTA],$F325)</f>
        <v>15983.85</v>
      </c>
      <c r="M325" s="4">
        <f>SUMIFS(Tab_06.Jun[SALDO
ATUAL],Tab_06.Jun[CONTA],$F325)</f>
        <v>15996.99</v>
      </c>
      <c r="N325" s="4">
        <f>SUMIFS(Tab_07.Jul[SALDO
ATUAL],Tab_07.Jul[CONTA],$F325)</f>
        <v>16096.81</v>
      </c>
      <c r="O325" s="4">
        <f>SUMIFS(Tab_08.Ago[SALDO
ATUAL],Tab_08.Ago[CONTA],$F325)</f>
        <v>16184.77</v>
      </c>
      <c r="P325" s="4">
        <f>SUMIFS(Tab_09.Set[SALDO
ATUAL],Tab_09.Set[CONTA],$F325)</f>
        <v>16197.91</v>
      </c>
      <c r="Q325" s="4">
        <f>SUMIFS(Tab_10.Out[SALDO
ATUAL],Tab_10.Out[CONTA],$F325)</f>
        <v>16197.91</v>
      </c>
      <c r="R325" s="4">
        <f>SUMIFS(Tab_11.Nov[SALDO
ATUAL],Tab_11.Nov[CONTA],$F325)</f>
        <v>17541.150000000001</v>
      </c>
      <c r="S325" s="4">
        <f>SUMIFS(Tab_12.Dez[SALDO
ATUAL],Tab_12.Dez[CONTA],$F325)</f>
        <v>17565.77</v>
      </c>
    </row>
    <row r="326" spans="2:19" x14ac:dyDescent="0.3">
      <c r="B326" s="3" t="s">
        <v>108</v>
      </c>
      <c r="C326" s="2" t="str">
        <f t="shared" si="28"/>
        <v>C</v>
      </c>
      <c r="D326" s="2" t="str">
        <f t="shared" si="26"/>
        <v>A</v>
      </c>
      <c r="E326" s="2">
        <f t="shared" si="27"/>
        <v>5</v>
      </c>
      <c r="F326" s="3" t="s">
        <v>522</v>
      </c>
      <c r="G326" s="3" t="s">
        <v>523</v>
      </c>
      <c r="H326" s="4">
        <f>SUMIFS(Tab_01.Jan[SALDO
ATUAL],Tab_01.Jan[CONTA],$F326)</f>
        <v>1075.6099999999999</v>
      </c>
      <c r="I326" s="4">
        <f>SUMIFS(Tab_02.Fev[SALDO
ATUAL],Tab_02.Fev[CONTA],$F326)</f>
        <v>2404.58</v>
      </c>
      <c r="J326" s="4">
        <f>SUMIFS(Tab_03.Mar[SALDO
ATUAL],Tab_03.Mar[CONTA],$F326)</f>
        <v>15412.24</v>
      </c>
      <c r="K326" s="4">
        <f>SUMIFS(Tab_04.Abr[SALDO
ATUAL],Tab_04.Abr[CONTA],$F326)</f>
        <v>15412.24</v>
      </c>
      <c r="L326" s="4">
        <f>SUMIFS(Tab_05.Mai[SALDO
ATUAL],Tab_05.Mai[CONTA],$F326)</f>
        <v>15527.74</v>
      </c>
      <c r="M326" s="4">
        <f>SUMIFS(Tab_06.Jun[SALDO
ATUAL],Tab_06.Jun[CONTA],$F326)</f>
        <v>15527.74</v>
      </c>
      <c r="N326" s="4">
        <f>SUMIFS(Tab_07.Jul[SALDO
ATUAL],Tab_07.Jul[CONTA],$F326)</f>
        <v>15527.74</v>
      </c>
      <c r="O326" s="4">
        <f>SUMIFS(Tab_08.Ago[SALDO
ATUAL],Tab_08.Ago[CONTA],$F326)</f>
        <v>15527.74</v>
      </c>
      <c r="P326" s="4">
        <f>SUMIFS(Tab_09.Set[SALDO
ATUAL],Tab_09.Set[CONTA],$F326)</f>
        <v>15527.74</v>
      </c>
      <c r="Q326" s="4">
        <f>SUMIFS(Tab_10.Out[SALDO
ATUAL],Tab_10.Out[CONTA],$F326)</f>
        <v>15527.74</v>
      </c>
      <c r="R326" s="4">
        <f>SUMIFS(Tab_11.Nov[SALDO
ATUAL],Tab_11.Nov[CONTA],$F326)</f>
        <v>16854.34</v>
      </c>
      <c r="S326" s="4">
        <f>SUMIFS(Tab_12.Dez[SALDO
ATUAL],Tab_12.Dez[CONTA],$F326)</f>
        <v>16854.34</v>
      </c>
    </row>
    <row r="327" spans="2:19" x14ac:dyDescent="0.3">
      <c r="B327" s="3" t="s">
        <v>67</v>
      </c>
      <c r="C327" s="2" t="str">
        <f t="shared" si="28"/>
        <v>C</v>
      </c>
      <c r="D327" s="2" t="str">
        <f t="shared" si="26"/>
        <v>A</v>
      </c>
      <c r="E327" s="2">
        <f t="shared" si="27"/>
        <v>5</v>
      </c>
      <c r="F327" s="3" t="s">
        <v>524</v>
      </c>
      <c r="G327" s="3" t="s">
        <v>525</v>
      </c>
      <c r="H327" s="4">
        <f>SUMIFS(Tab_01.Jan[SALDO
ATUAL],Tab_01.Jan[CONTA],$F327)</f>
        <v>0</v>
      </c>
      <c r="I327" s="4">
        <f>SUMIFS(Tab_02.Fev[SALDO
ATUAL],Tab_02.Fev[CONTA],$F327)</f>
        <v>15.33</v>
      </c>
      <c r="J327" s="4">
        <f>SUMIFS(Tab_03.Mar[SALDO
ATUAL],Tab_03.Mar[CONTA],$F327)</f>
        <v>30.66</v>
      </c>
      <c r="K327" s="4">
        <f>SUMIFS(Tab_04.Abr[SALDO
ATUAL],Tab_04.Abr[CONTA],$F327)</f>
        <v>456.11</v>
      </c>
      <c r="L327" s="4">
        <f>SUMIFS(Tab_05.Mai[SALDO
ATUAL],Tab_05.Mai[CONTA],$F327)</f>
        <v>456.11</v>
      </c>
      <c r="M327" s="4">
        <f>SUMIFS(Tab_06.Jun[SALDO
ATUAL],Tab_06.Jun[CONTA],$F327)</f>
        <v>469.25</v>
      </c>
      <c r="N327" s="4">
        <f>SUMIFS(Tab_07.Jul[SALDO
ATUAL],Tab_07.Jul[CONTA],$F327)</f>
        <v>569.07000000000005</v>
      </c>
      <c r="O327" s="4">
        <f>SUMIFS(Tab_08.Ago[SALDO
ATUAL],Tab_08.Ago[CONTA],$F327)</f>
        <v>657.03</v>
      </c>
      <c r="P327" s="4">
        <f>SUMIFS(Tab_09.Set[SALDO
ATUAL],Tab_09.Set[CONTA],$F327)</f>
        <v>670.17</v>
      </c>
      <c r="Q327" s="4">
        <f>SUMIFS(Tab_10.Out[SALDO
ATUAL],Tab_10.Out[CONTA],$F327)</f>
        <v>670.17</v>
      </c>
      <c r="R327" s="4">
        <f>SUMIFS(Tab_11.Nov[SALDO
ATUAL],Tab_11.Nov[CONTA],$F327)</f>
        <v>686.81</v>
      </c>
      <c r="S327" s="4">
        <f>SUMIFS(Tab_12.Dez[SALDO
ATUAL],Tab_12.Dez[CONTA],$F327)</f>
        <v>711.43</v>
      </c>
    </row>
    <row r="328" spans="2:19" x14ac:dyDescent="0.3">
      <c r="B328" s="3" t="s">
        <v>108</v>
      </c>
      <c r="C328" s="2" t="str">
        <f t="shared" si="28"/>
        <v>C</v>
      </c>
      <c r="D328" s="2" t="str">
        <f t="shared" si="26"/>
        <v>A</v>
      </c>
      <c r="E328" s="2">
        <f t="shared" si="27"/>
        <v>5</v>
      </c>
      <c r="F328" s="3" t="s">
        <v>526</v>
      </c>
      <c r="G328" s="3" t="s">
        <v>527</v>
      </c>
      <c r="H328" s="4">
        <f>SUMIFS(Tab_01.Jan[SALDO
ATUAL],Tab_01.Jan[CONTA],$F328)</f>
        <v>0</v>
      </c>
      <c r="I328" s="4">
        <f>SUMIFS(Tab_02.Fev[SALDO
ATUAL],Tab_02.Fev[CONTA],$F328)</f>
        <v>0</v>
      </c>
      <c r="J328" s="4">
        <f>SUMIFS(Tab_03.Mar[SALDO
ATUAL],Tab_03.Mar[CONTA],$F328)</f>
        <v>0</v>
      </c>
      <c r="K328" s="4">
        <f>SUMIFS(Tab_04.Abr[SALDO
ATUAL],Tab_04.Abr[CONTA],$F328)</f>
        <v>0</v>
      </c>
      <c r="L328" s="4">
        <f>SUMIFS(Tab_05.Mai[SALDO
ATUAL],Tab_05.Mai[CONTA],$F328)</f>
        <v>0</v>
      </c>
      <c r="M328" s="4">
        <f>SUMIFS(Tab_06.Jun[SALDO
ATUAL],Tab_06.Jun[CONTA],$F328)</f>
        <v>0</v>
      </c>
      <c r="N328" s="4">
        <f>SUMIFS(Tab_07.Jul[SALDO
ATUAL],Tab_07.Jul[CONTA],$F328)</f>
        <v>0</v>
      </c>
      <c r="O328" s="4">
        <f>SUMIFS(Tab_08.Ago[SALDO
ATUAL],Tab_08.Ago[CONTA],$F328)</f>
        <v>0</v>
      </c>
      <c r="P328" s="4">
        <f>SUMIFS(Tab_09.Set[SALDO
ATUAL],Tab_09.Set[CONTA],$F328)</f>
        <v>0</v>
      </c>
      <c r="Q328" s="4">
        <f>SUMIFS(Tab_10.Out[SALDO
ATUAL],Tab_10.Out[CONTA],$F328)</f>
        <v>0</v>
      </c>
      <c r="R328" s="4">
        <f>SUMIFS(Tab_11.Nov[SALDO
ATUAL],Tab_11.Nov[CONTA],$F328)</f>
        <v>0</v>
      </c>
      <c r="S328" s="4">
        <f>SUMIFS(Tab_12.Dez[SALDO
ATUAL],Tab_12.Dez[CONTA],$F328)</f>
        <v>0</v>
      </c>
    </row>
    <row r="329" spans="2:19" x14ac:dyDescent="0.3">
      <c r="B329" s="3"/>
      <c r="C329" s="2" t="str">
        <f t="shared" si="28"/>
        <v>C</v>
      </c>
      <c r="D329" s="2" t="str">
        <f t="shared" si="26"/>
        <v>S</v>
      </c>
      <c r="E329" s="2">
        <f t="shared" si="27"/>
        <v>5</v>
      </c>
      <c r="F329" s="3" t="s">
        <v>627</v>
      </c>
      <c r="G329" s="3" t="s">
        <v>542</v>
      </c>
      <c r="H329" s="4">
        <f>SUMIFS(Tab_01.Jan[SALDO
ATUAL],Tab_01.Jan[CONTA],$F329)</f>
        <v>1986.47</v>
      </c>
      <c r="I329" s="4">
        <f>SUMIFS(Tab_02.Fev[SALDO
ATUAL],Tab_02.Fev[CONTA],$F329)</f>
        <v>4583.71</v>
      </c>
      <c r="J329" s="4">
        <f>SUMIFS(Tab_03.Mar[SALDO
ATUAL],Tab_03.Mar[CONTA],$F329)</f>
        <v>10388.780000000001</v>
      </c>
      <c r="K329" s="4">
        <f>SUMIFS(Tab_04.Abr[SALDO
ATUAL],Tab_04.Abr[CONTA],$F329)</f>
        <v>11945.61</v>
      </c>
      <c r="L329" s="4">
        <f>SUMIFS(Tab_05.Mai[SALDO
ATUAL],Tab_05.Mai[CONTA],$F329)</f>
        <v>15542.61</v>
      </c>
      <c r="M329" s="4">
        <f>SUMIFS(Tab_06.Jun[SALDO
ATUAL],Tab_06.Jun[CONTA],$F329)</f>
        <v>19034.61</v>
      </c>
      <c r="N329" s="4">
        <f>SUMIFS(Tab_07.Jul[SALDO
ATUAL],Tab_07.Jul[CONTA],$F329)</f>
        <v>21599.93</v>
      </c>
      <c r="O329" s="4">
        <f>SUMIFS(Tab_08.Ago[SALDO
ATUAL],Tab_08.Ago[CONTA],$F329)</f>
        <v>24794.05</v>
      </c>
      <c r="P329" s="4">
        <f>SUMIFS(Tab_09.Set[SALDO
ATUAL],Tab_09.Set[CONTA],$F329)</f>
        <v>28296.98</v>
      </c>
      <c r="Q329" s="4">
        <f>SUMIFS(Tab_10.Out[SALDO
ATUAL],Tab_10.Out[CONTA],$F329)</f>
        <v>33453.480000000003</v>
      </c>
      <c r="R329" s="4">
        <f>SUMIFS(Tab_11.Nov[SALDO
ATUAL],Tab_11.Nov[CONTA],$F329)</f>
        <v>37317.11</v>
      </c>
      <c r="S329" s="4">
        <f>SUMIFS(Tab_12.Dez[SALDO
ATUAL],Tab_12.Dez[CONTA],$F329)</f>
        <v>46727.21</v>
      </c>
    </row>
    <row r="330" spans="2:19" x14ac:dyDescent="0.3">
      <c r="B330" s="3" t="s">
        <v>105</v>
      </c>
      <c r="C330" s="2" t="str">
        <f t="shared" si="28"/>
        <v>C</v>
      </c>
      <c r="D330" s="2" t="str">
        <f t="shared" si="26"/>
        <v>A</v>
      </c>
      <c r="E330" s="2">
        <f t="shared" si="27"/>
        <v>5</v>
      </c>
      <c r="F330" s="3" t="s">
        <v>528</v>
      </c>
      <c r="G330" s="3" t="s">
        <v>416</v>
      </c>
      <c r="H330" s="4">
        <f>SUMIFS(Tab_01.Jan[SALDO
ATUAL],Tab_01.Jan[CONTA],$F330)</f>
        <v>100.59</v>
      </c>
      <c r="I330" s="4">
        <f>SUMIFS(Tab_02.Fev[SALDO
ATUAL],Tab_02.Fev[CONTA],$F330)</f>
        <v>150.46</v>
      </c>
      <c r="J330" s="4">
        <f>SUMIFS(Tab_03.Mar[SALDO
ATUAL],Tab_03.Mar[CONTA],$F330)</f>
        <v>349.64</v>
      </c>
      <c r="K330" s="4">
        <f>SUMIFS(Tab_04.Abr[SALDO
ATUAL],Tab_04.Abr[CONTA],$F330)</f>
        <v>399.64</v>
      </c>
      <c r="L330" s="4">
        <f>SUMIFS(Tab_05.Mai[SALDO
ATUAL],Tab_05.Mai[CONTA],$F330)</f>
        <v>494.45</v>
      </c>
      <c r="M330" s="4">
        <f>SUMIFS(Tab_06.Jun[SALDO
ATUAL],Tab_06.Jun[CONTA],$F330)</f>
        <v>628.12</v>
      </c>
      <c r="N330" s="4">
        <f>SUMIFS(Tab_07.Jul[SALDO
ATUAL],Tab_07.Jul[CONTA],$F330)</f>
        <v>750.01</v>
      </c>
      <c r="O330" s="4">
        <f>SUMIFS(Tab_08.Ago[SALDO
ATUAL],Tab_08.Ago[CONTA],$F330)</f>
        <v>1395.42</v>
      </c>
      <c r="P330" s="4">
        <f>SUMIFS(Tab_09.Set[SALDO
ATUAL],Tab_09.Set[CONTA],$F330)</f>
        <v>1677.42</v>
      </c>
      <c r="Q330" s="4">
        <f>SUMIFS(Tab_10.Out[SALDO
ATUAL],Tab_10.Out[CONTA],$F330)</f>
        <v>2464.7399999999998</v>
      </c>
      <c r="R330" s="4">
        <f>SUMIFS(Tab_11.Nov[SALDO
ATUAL],Tab_11.Nov[CONTA],$F330)</f>
        <v>2464.7399999999998</v>
      </c>
      <c r="S330" s="4">
        <f>SUMIFS(Tab_12.Dez[SALDO
ATUAL],Tab_12.Dez[CONTA],$F330)</f>
        <v>2464.7399999999998</v>
      </c>
    </row>
    <row r="331" spans="2:19" x14ac:dyDescent="0.3">
      <c r="B331" s="3" t="s">
        <v>105</v>
      </c>
      <c r="C331" s="2" t="str">
        <f t="shared" si="28"/>
        <v>C</v>
      </c>
      <c r="D331" s="2" t="str">
        <f t="shared" si="26"/>
        <v>A</v>
      </c>
      <c r="E331" s="2">
        <f t="shared" si="27"/>
        <v>5</v>
      </c>
      <c r="F331" s="3" t="s">
        <v>529</v>
      </c>
      <c r="G331" s="3" t="s">
        <v>530</v>
      </c>
      <c r="H331" s="4">
        <f>SUMIFS(Tab_01.Jan[SALDO
ATUAL],Tab_01.Jan[CONTA],$F331)</f>
        <v>0</v>
      </c>
      <c r="I331" s="4">
        <f>SUMIFS(Tab_02.Fev[SALDO
ATUAL],Tab_02.Fev[CONTA],$F331)</f>
        <v>0</v>
      </c>
      <c r="J331" s="4">
        <f>SUMIFS(Tab_03.Mar[SALDO
ATUAL],Tab_03.Mar[CONTA],$F331)</f>
        <v>0</v>
      </c>
      <c r="K331" s="4">
        <f>SUMIFS(Tab_04.Abr[SALDO
ATUAL],Tab_04.Abr[CONTA],$F331)</f>
        <v>0</v>
      </c>
      <c r="L331" s="4">
        <f>SUMIFS(Tab_05.Mai[SALDO
ATUAL],Tab_05.Mai[CONTA],$F331)</f>
        <v>0</v>
      </c>
      <c r="M331" s="4">
        <f>SUMIFS(Tab_06.Jun[SALDO
ATUAL],Tab_06.Jun[CONTA],$F331)</f>
        <v>258</v>
      </c>
      <c r="N331" s="4">
        <f>SUMIFS(Tab_07.Jul[SALDO
ATUAL],Tab_07.Jul[CONTA],$F331)</f>
        <v>258</v>
      </c>
      <c r="O331" s="4">
        <f>SUMIFS(Tab_08.Ago[SALDO
ATUAL],Tab_08.Ago[CONTA],$F331)</f>
        <v>258</v>
      </c>
      <c r="P331" s="4">
        <f>SUMIFS(Tab_09.Set[SALDO
ATUAL],Tab_09.Set[CONTA],$F331)</f>
        <v>349.32</v>
      </c>
      <c r="Q331" s="4">
        <f>SUMIFS(Tab_10.Out[SALDO
ATUAL],Tab_10.Out[CONTA],$F331)</f>
        <v>849.32</v>
      </c>
      <c r="R331" s="4">
        <f>SUMIFS(Tab_11.Nov[SALDO
ATUAL],Tab_11.Nov[CONTA],$F331)</f>
        <v>849.32</v>
      </c>
      <c r="S331" s="4">
        <f>SUMIFS(Tab_12.Dez[SALDO
ATUAL],Tab_12.Dez[CONTA],$F331)</f>
        <v>849.32</v>
      </c>
    </row>
    <row r="332" spans="2:19" x14ac:dyDescent="0.3">
      <c r="B332" s="3" t="s">
        <v>105</v>
      </c>
      <c r="C332" s="2" t="str">
        <f t="shared" si="28"/>
        <v>C</v>
      </c>
      <c r="D332" s="2" t="str">
        <f t="shared" si="26"/>
        <v>A</v>
      </c>
      <c r="E332" s="2">
        <f t="shared" si="27"/>
        <v>5</v>
      </c>
      <c r="F332" s="3" t="s">
        <v>531</v>
      </c>
      <c r="G332" s="3" t="s">
        <v>532</v>
      </c>
      <c r="H332" s="4">
        <f>SUMIFS(Tab_01.Jan[SALDO
ATUAL],Tab_01.Jan[CONTA],$F332)</f>
        <v>114</v>
      </c>
      <c r="I332" s="4">
        <f>SUMIFS(Tab_02.Fev[SALDO
ATUAL],Tab_02.Fev[CONTA],$F332)</f>
        <v>176.97</v>
      </c>
      <c r="J332" s="4">
        <f>SUMIFS(Tab_03.Mar[SALDO
ATUAL],Tab_03.Mar[CONTA],$F332)</f>
        <v>176.97</v>
      </c>
      <c r="K332" s="4">
        <f>SUMIFS(Tab_04.Abr[SALDO
ATUAL],Tab_04.Abr[CONTA],$F332)</f>
        <v>270.23</v>
      </c>
      <c r="L332" s="4">
        <f>SUMIFS(Tab_05.Mai[SALDO
ATUAL],Tab_05.Mai[CONTA],$F332)</f>
        <v>424.04</v>
      </c>
      <c r="M332" s="4">
        <f>SUMIFS(Tab_06.Jun[SALDO
ATUAL],Tab_06.Jun[CONTA],$F332)</f>
        <v>474.58</v>
      </c>
      <c r="N332" s="4">
        <f>SUMIFS(Tab_07.Jul[SALDO
ATUAL],Tab_07.Jul[CONTA],$F332)</f>
        <v>1090.6300000000001</v>
      </c>
      <c r="O332" s="4">
        <f>SUMIFS(Tab_08.Ago[SALDO
ATUAL],Tab_08.Ago[CONTA],$F332)</f>
        <v>1261</v>
      </c>
      <c r="P332" s="4">
        <f>SUMIFS(Tab_09.Set[SALDO
ATUAL],Tab_09.Set[CONTA],$F332)</f>
        <v>1437.92</v>
      </c>
      <c r="Q332" s="4">
        <f>SUMIFS(Tab_10.Out[SALDO
ATUAL],Tab_10.Out[CONTA],$F332)</f>
        <v>1607.42</v>
      </c>
      <c r="R332" s="4">
        <f>SUMIFS(Tab_11.Nov[SALDO
ATUAL],Tab_11.Nov[CONTA],$F332)</f>
        <v>1664.1</v>
      </c>
      <c r="S332" s="4">
        <f>SUMIFS(Tab_12.Dez[SALDO
ATUAL],Tab_12.Dez[CONTA],$F332)</f>
        <v>1708.38</v>
      </c>
    </row>
    <row r="333" spans="2:19" x14ac:dyDescent="0.3">
      <c r="B333" s="3" t="s">
        <v>105</v>
      </c>
      <c r="C333" s="2" t="str">
        <f t="shared" si="28"/>
        <v>C</v>
      </c>
      <c r="D333" s="2" t="str">
        <f t="shared" si="26"/>
        <v>A</v>
      </c>
      <c r="E333" s="2">
        <f t="shared" si="27"/>
        <v>5</v>
      </c>
      <c r="F333" s="3" t="s">
        <v>533</v>
      </c>
      <c r="G333" s="3" t="s">
        <v>534</v>
      </c>
      <c r="H333" s="4">
        <f>SUMIFS(Tab_01.Jan[SALDO
ATUAL],Tab_01.Jan[CONTA],$F333)</f>
        <v>350</v>
      </c>
      <c r="I333" s="4">
        <f>SUMIFS(Tab_02.Fev[SALDO
ATUAL],Tab_02.Fev[CONTA],$F333)</f>
        <v>350</v>
      </c>
      <c r="J333" s="4">
        <f>SUMIFS(Tab_03.Mar[SALDO
ATUAL],Tab_03.Mar[CONTA],$F333)</f>
        <v>350</v>
      </c>
      <c r="K333" s="4">
        <f>SUMIFS(Tab_04.Abr[SALDO
ATUAL],Tab_04.Abr[CONTA],$F333)</f>
        <v>350</v>
      </c>
      <c r="L333" s="4">
        <f>SUMIFS(Tab_05.Mai[SALDO
ATUAL],Tab_05.Mai[CONTA],$F333)</f>
        <v>1750</v>
      </c>
      <c r="M333" s="4">
        <f>SUMIFS(Tab_06.Jun[SALDO
ATUAL],Tab_06.Jun[CONTA],$F333)</f>
        <v>1750</v>
      </c>
      <c r="N333" s="4">
        <f>SUMIFS(Tab_07.Jul[SALDO
ATUAL],Tab_07.Jul[CONTA],$F333)</f>
        <v>2100</v>
      </c>
      <c r="O333" s="4">
        <f>SUMIFS(Tab_08.Ago[SALDO
ATUAL],Tab_08.Ago[CONTA],$F333)</f>
        <v>2700</v>
      </c>
      <c r="P333" s="4">
        <f>SUMIFS(Tab_09.Set[SALDO
ATUAL],Tab_09.Set[CONTA],$F333)</f>
        <v>3798.91</v>
      </c>
      <c r="Q333" s="4">
        <f>SUMIFS(Tab_10.Out[SALDO
ATUAL],Tab_10.Out[CONTA],$F333)</f>
        <v>4988.91</v>
      </c>
      <c r="R333" s="4">
        <f>SUMIFS(Tab_11.Nov[SALDO
ATUAL],Tab_11.Nov[CONTA],$F333)</f>
        <v>7060.19</v>
      </c>
      <c r="S333" s="4">
        <f>SUMIFS(Tab_12.Dez[SALDO
ATUAL],Tab_12.Dez[CONTA],$F333)</f>
        <v>14070.19</v>
      </c>
    </row>
    <row r="334" spans="2:19" x14ac:dyDescent="0.3">
      <c r="B334" s="3" t="s">
        <v>105</v>
      </c>
      <c r="C334" s="2" t="str">
        <f t="shared" si="28"/>
        <v>C</v>
      </c>
      <c r="D334" s="2" t="str">
        <f t="shared" si="26"/>
        <v>A</v>
      </c>
      <c r="E334" s="2">
        <f t="shared" si="27"/>
        <v>5</v>
      </c>
      <c r="F334" s="3" t="s">
        <v>535</v>
      </c>
      <c r="G334" s="3" t="s">
        <v>536</v>
      </c>
      <c r="H334" s="4">
        <f>SUMIFS(Tab_01.Jan[SALDO
ATUAL],Tab_01.Jan[CONTA],$F334)</f>
        <v>0</v>
      </c>
      <c r="I334" s="4">
        <f>SUMIFS(Tab_02.Fev[SALDO
ATUAL],Tab_02.Fev[CONTA],$F334)</f>
        <v>0</v>
      </c>
      <c r="J334" s="4">
        <f>SUMIFS(Tab_03.Mar[SALDO
ATUAL],Tab_03.Mar[CONTA],$F334)</f>
        <v>0</v>
      </c>
      <c r="K334" s="4">
        <f>SUMIFS(Tab_04.Abr[SALDO
ATUAL],Tab_04.Abr[CONTA],$F334)</f>
        <v>0</v>
      </c>
      <c r="L334" s="4">
        <f>SUMIFS(Tab_05.Mai[SALDO
ATUAL],Tab_05.Mai[CONTA],$F334)</f>
        <v>0</v>
      </c>
      <c r="M334" s="4">
        <f>SUMIFS(Tab_06.Jun[SALDO
ATUAL],Tab_06.Jun[CONTA],$F334)</f>
        <v>0</v>
      </c>
      <c r="N334" s="4">
        <f>SUMIFS(Tab_07.Jul[SALDO
ATUAL],Tab_07.Jul[CONTA],$F334)</f>
        <v>0</v>
      </c>
      <c r="O334" s="4">
        <f>SUMIFS(Tab_08.Ago[SALDO
ATUAL],Tab_08.Ago[CONTA],$F334)</f>
        <v>0</v>
      </c>
      <c r="P334" s="4">
        <f>SUMIFS(Tab_09.Set[SALDO
ATUAL],Tab_09.Set[CONTA],$F334)</f>
        <v>0</v>
      </c>
      <c r="Q334" s="4">
        <f>SUMIFS(Tab_10.Out[SALDO
ATUAL],Tab_10.Out[CONTA],$F334)</f>
        <v>0</v>
      </c>
      <c r="R334" s="4">
        <f>SUMIFS(Tab_11.Nov[SALDO
ATUAL],Tab_11.Nov[CONTA],$F334)</f>
        <v>0</v>
      </c>
      <c r="S334" s="4">
        <f>SUMIFS(Tab_12.Dez[SALDO
ATUAL],Tab_12.Dez[CONTA],$F334)</f>
        <v>0</v>
      </c>
    </row>
    <row r="335" spans="2:19" x14ac:dyDescent="0.3">
      <c r="B335" s="3" t="s">
        <v>105</v>
      </c>
      <c r="C335" s="2" t="str">
        <f t="shared" si="28"/>
        <v>C</v>
      </c>
      <c r="D335" s="2" t="str">
        <f t="shared" si="26"/>
        <v>A</v>
      </c>
      <c r="E335" s="2">
        <f t="shared" si="27"/>
        <v>5</v>
      </c>
      <c r="F335" s="3" t="s">
        <v>537</v>
      </c>
      <c r="G335" s="3" t="s">
        <v>538</v>
      </c>
      <c r="H335" s="4">
        <f>SUMIFS(Tab_01.Jan[SALDO
ATUAL],Tab_01.Jan[CONTA],$F335)</f>
        <v>1059.06</v>
      </c>
      <c r="I335" s="4">
        <f>SUMIFS(Tab_02.Fev[SALDO
ATUAL],Tab_02.Fev[CONTA],$F335)</f>
        <v>1059.06</v>
      </c>
      <c r="J335" s="4">
        <f>SUMIFS(Tab_03.Mar[SALDO
ATUAL],Tab_03.Mar[CONTA],$F335)</f>
        <v>4744.78</v>
      </c>
      <c r="K335" s="4">
        <f>SUMIFS(Tab_04.Abr[SALDO
ATUAL],Tab_04.Abr[CONTA],$F335)</f>
        <v>4744.78</v>
      </c>
      <c r="L335" s="4">
        <f>SUMIFS(Tab_05.Mai[SALDO
ATUAL],Tab_05.Mai[CONTA],$F335)</f>
        <v>4744.78</v>
      </c>
      <c r="M335" s="4">
        <f>SUMIFS(Tab_06.Jun[SALDO
ATUAL],Tab_06.Jun[CONTA],$F335)</f>
        <v>4744.79</v>
      </c>
      <c r="N335" s="4">
        <f>SUMIFS(Tab_07.Jul[SALDO
ATUAL],Tab_07.Jul[CONTA],$F335)</f>
        <v>4749.8900000000003</v>
      </c>
      <c r="O335" s="4">
        <f>SUMIFS(Tab_08.Ago[SALDO
ATUAL],Tab_08.Ago[CONTA],$F335)</f>
        <v>4749.8900000000003</v>
      </c>
      <c r="P335" s="4">
        <f>SUMIFS(Tab_09.Set[SALDO
ATUAL],Tab_09.Set[CONTA],$F335)</f>
        <v>4749.8900000000003</v>
      </c>
      <c r="Q335" s="4">
        <f>SUMIFS(Tab_10.Out[SALDO
ATUAL],Tab_10.Out[CONTA],$F335)</f>
        <v>4749.8900000000003</v>
      </c>
      <c r="R335" s="4">
        <f>SUMIFS(Tab_11.Nov[SALDO
ATUAL],Tab_11.Nov[CONTA],$F335)</f>
        <v>4749.8900000000003</v>
      </c>
      <c r="S335" s="4">
        <f>SUMIFS(Tab_12.Dez[SALDO
ATUAL],Tab_12.Dez[CONTA],$F335)</f>
        <v>4756.09</v>
      </c>
    </row>
    <row r="336" spans="2:19" x14ac:dyDescent="0.3">
      <c r="B336" s="3" t="s">
        <v>105</v>
      </c>
      <c r="C336" s="2" t="str">
        <f t="shared" si="28"/>
        <v>C</v>
      </c>
      <c r="D336" s="2" t="str">
        <f t="shared" si="26"/>
        <v>A</v>
      </c>
      <c r="E336" s="2">
        <f t="shared" si="27"/>
        <v>5</v>
      </c>
      <c r="F336" s="3" t="s">
        <v>539</v>
      </c>
      <c r="G336" s="3" t="s">
        <v>540</v>
      </c>
      <c r="H336" s="4">
        <f>SUMIFS(Tab_01.Jan[SALDO
ATUAL],Tab_01.Jan[CONTA],$F336)</f>
        <v>0</v>
      </c>
      <c r="I336" s="4">
        <f>SUMIFS(Tab_02.Fev[SALDO
ATUAL],Tab_02.Fev[CONTA],$F336)</f>
        <v>2484.4</v>
      </c>
      <c r="J336" s="4">
        <f>SUMIFS(Tab_03.Mar[SALDO
ATUAL],Tab_03.Mar[CONTA],$F336)</f>
        <v>4226.5200000000004</v>
      </c>
      <c r="K336" s="4">
        <f>SUMIFS(Tab_04.Abr[SALDO
ATUAL],Tab_04.Abr[CONTA],$F336)</f>
        <v>5480.09</v>
      </c>
      <c r="L336" s="4">
        <f>SUMIFS(Tab_05.Mai[SALDO
ATUAL],Tab_05.Mai[CONTA],$F336)</f>
        <v>7128.57</v>
      </c>
      <c r="M336" s="4">
        <f>SUMIFS(Tab_06.Jun[SALDO
ATUAL],Tab_06.Jun[CONTA],$F336)</f>
        <v>9750.25</v>
      </c>
      <c r="N336" s="4">
        <f>SUMIFS(Tab_07.Jul[SALDO
ATUAL],Tab_07.Jul[CONTA],$F336)</f>
        <v>10965.13</v>
      </c>
      <c r="O336" s="4">
        <f>SUMIFS(Tab_08.Ago[SALDO
ATUAL],Tab_08.Ago[CONTA],$F336)</f>
        <v>12140.78</v>
      </c>
      <c r="P336" s="4">
        <f>SUMIFS(Tab_09.Set[SALDO
ATUAL],Tab_09.Set[CONTA],$F336)</f>
        <v>13596.8</v>
      </c>
      <c r="Q336" s="4">
        <f>SUMIFS(Tab_10.Out[SALDO
ATUAL],Tab_10.Out[CONTA],$F336)</f>
        <v>14901.6</v>
      </c>
      <c r="R336" s="4">
        <f>SUMIFS(Tab_11.Nov[SALDO
ATUAL],Tab_11.Nov[CONTA],$F336)</f>
        <v>16302.77</v>
      </c>
      <c r="S336" s="4">
        <f>SUMIFS(Tab_12.Dez[SALDO
ATUAL],Tab_12.Dez[CONTA],$F336)</f>
        <v>17650.84</v>
      </c>
    </row>
    <row r="337" spans="2:19" x14ac:dyDescent="0.3">
      <c r="B337" s="3" t="s">
        <v>105</v>
      </c>
      <c r="C337" s="2" t="str">
        <f t="shared" si="28"/>
        <v>C</v>
      </c>
      <c r="D337" s="2" t="str">
        <f t="shared" si="26"/>
        <v>A</v>
      </c>
      <c r="E337" s="2">
        <f t="shared" si="27"/>
        <v>5</v>
      </c>
      <c r="F337" s="3" t="s">
        <v>541</v>
      </c>
      <c r="G337" s="3" t="s">
        <v>542</v>
      </c>
      <c r="H337" s="4">
        <f>SUMIFS(Tab_01.Jan[SALDO
ATUAL],Tab_01.Jan[CONTA],$F337)</f>
        <v>362.82</v>
      </c>
      <c r="I337" s="4">
        <f>SUMIFS(Tab_02.Fev[SALDO
ATUAL],Tab_02.Fev[CONTA],$F337)</f>
        <v>362.82</v>
      </c>
      <c r="J337" s="4">
        <f>SUMIFS(Tab_03.Mar[SALDO
ATUAL],Tab_03.Mar[CONTA],$F337)</f>
        <v>540.87</v>
      </c>
      <c r="K337" s="4">
        <f>SUMIFS(Tab_04.Abr[SALDO
ATUAL],Tab_04.Abr[CONTA],$F337)</f>
        <v>700.87</v>
      </c>
      <c r="L337" s="4">
        <f>SUMIFS(Tab_05.Mai[SALDO
ATUAL],Tab_05.Mai[CONTA],$F337)</f>
        <v>1000.77</v>
      </c>
      <c r="M337" s="4">
        <f>SUMIFS(Tab_06.Jun[SALDO
ATUAL],Tab_06.Jun[CONTA],$F337)</f>
        <v>1428.87</v>
      </c>
      <c r="N337" s="4">
        <f>SUMIFS(Tab_07.Jul[SALDO
ATUAL],Tab_07.Jul[CONTA],$F337)</f>
        <v>1686.27</v>
      </c>
      <c r="O337" s="4">
        <f>SUMIFS(Tab_08.Ago[SALDO
ATUAL],Tab_08.Ago[CONTA],$F337)</f>
        <v>2288.96</v>
      </c>
      <c r="P337" s="4">
        <f>SUMIFS(Tab_09.Set[SALDO
ATUAL],Tab_09.Set[CONTA],$F337)</f>
        <v>2686.72</v>
      </c>
      <c r="Q337" s="4">
        <f>SUMIFS(Tab_10.Out[SALDO
ATUAL],Tab_10.Out[CONTA],$F337)</f>
        <v>3891.6</v>
      </c>
      <c r="R337" s="4">
        <f>SUMIFS(Tab_11.Nov[SALDO
ATUAL],Tab_11.Nov[CONTA],$F337)</f>
        <v>4226.1000000000004</v>
      </c>
      <c r="S337" s="4">
        <f>SUMIFS(Tab_12.Dez[SALDO
ATUAL],Tab_12.Dez[CONTA],$F337)</f>
        <v>5227.6499999999996</v>
      </c>
    </row>
    <row r="338" spans="2:19" x14ac:dyDescent="0.3">
      <c r="B338" s="3"/>
      <c r="C338" s="2" t="str">
        <f t="shared" si="28"/>
        <v>C</v>
      </c>
      <c r="D338" s="2" t="str">
        <f t="shared" si="26"/>
        <v>S</v>
      </c>
      <c r="E338" s="2">
        <f t="shared" si="27"/>
        <v>5</v>
      </c>
      <c r="F338" s="3" t="s">
        <v>628</v>
      </c>
      <c r="G338" s="3" t="s">
        <v>726</v>
      </c>
      <c r="H338" s="4">
        <f>SUMIFS(Tab_01.Jan[SALDO
ATUAL],Tab_01.Jan[CONTA],$F338)</f>
        <v>0</v>
      </c>
      <c r="I338" s="4">
        <f>SUMIFS(Tab_02.Fev[SALDO
ATUAL],Tab_02.Fev[CONTA],$F338)</f>
        <v>0</v>
      </c>
      <c r="J338" s="4">
        <f>SUMIFS(Tab_03.Mar[SALDO
ATUAL],Tab_03.Mar[CONTA],$F338)</f>
        <v>0</v>
      </c>
      <c r="K338" s="4">
        <f>SUMIFS(Tab_04.Abr[SALDO
ATUAL],Tab_04.Abr[CONTA],$F338)</f>
        <v>0</v>
      </c>
      <c r="L338" s="4">
        <f>SUMIFS(Tab_05.Mai[SALDO
ATUAL],Tab_05.Mai[CONTA],$F338)</f>
        <v>0</v>
      </c>
      <c r="M338" s="4">
        <f>SUMIFS(Tab_06.Jun[SALDO
ATUAL],Tab_06.Jun[CONTA],$F338)</f>
        <v>0</v>
      </c>
      <c r="N338" s="4">
        <f>SUMIFS(Tab_07.Jul[SALDO
ATUAL],Tab_07.Jul[CONTA],$F338)</f>
        <v>0</v>
      </c>
      <c r="O338" s="4">
        <f>SUMIFS(Tab_08.Ago[SALDO
ATUAL],Tab_08.Ago[CONTA],$F338)</f>
        <v>0</v>
      </c>
      <c r="P338" s="4">
        <f>SUMIFS(Tab_09.Set[SALDO
ATUAL],Tab_09.Set[CONTA],$F338)</f>
        <v>49901.5</v>
      </c>
      <c r="Q338" s="4">
        <f>SUMIFS(Tab_10.Out[SALDO
ATUAL],Tab_10.Out[CONTA],$F338)</f>
        <v>49901.5</v>
      </c>
      <c r="R338" s="4">
        <f>SUMIFS(Tab_11.Nov[SALDO
ATUAL],Tab_11.Nov[CONTA],$F338)</f>
        <v>49901.5</v>
      </c>
      <c r="S338" s="4">
        <f>SUMIFS(Tab_12.Dez[SALDO
ATUAL],Tab_12.Dez[CONTA],$F338)</f>
        <v>49901.5</v>
      </c>
    </row>
    <row r="339" spans="2:19" x14ac:dyDescent="0.3">
      <c r="B339" s="3"/>
      <c r="C339" s="2" t="str">
        <f t="shared" si="28"/>
        <v>C</v>
      </c>
      <c r="D339" s="2" t="str">
        <f t="shared" si="26"/>
        <v>S</v>
      </c>
      <c r="E339" s="2">
        <f t="shared" si="27"/>
        <v>5</v>
      </c>
      <c r="F339" s="3" t="s">
        <v>629</v>
      </c>
      <c r="G339" s="3" t="s">
        <v>727</v>
      </c>
      <c r="H339" s="4">
        <f>SUMIFS(Tab_01.Jan[SALDO
ATUAL],Tab_01.Jan[CONTA],$F339)</f>
        <v>0</v>
      </c>
      <c r="I339" s="4">
        <f>SUMIFS(Tab_02.Fev[SALDO
ATUAL],Tab_02.Fev[CONTA],$F339)</f>
        <v>0</v>
      </c>
      <c r="J339" s="4">
        <f>SUMIFS(Tab_03.Mar[SALDO
ATUAL],Tab_03.Mar[CONTA],$F339)</f>
        <v>0</v>
      </c>
      <c r="K339" s="4">
        <f>SUMIFS(Tab_04.Abr[SALDO
ATUAL],Tab_04.Abr[CONTA],$F339)</f>
        <v>0</v>
      </c>
      <c r="L339" s="4">
        <f>SUMIFS(Tab_05.Mai[SALDO
ATUAL],Tab_05.Mai[CONTA],$F339)</f>
        <v>0</v>
      </c>
      <c r="M339" s="4">
        <f>SUMIFS(Tab_06.Jun[SALDO
ATUAL],Tab_06.Jun[CONTA],$F339)</f>
        <v>0</v>
      </c>
      <c r="N339" s="4">
        <f>SUMIFS(Tab_07.Jul[SALDO
ATUAL],Tab_07.Jul[CONTA],$F339)</f>
        <v>0</v>
      </c>
      <c r="O339" s="4">
        <f>SUMIFS(Tab_08.Ago[SALDO
ATUAL],Tab_08.Ago[CONTA],$F339)</f>
        <v>0</v>
      </c>
      <c r="P339" s="4">
        <f>SUMIFS(Tab_09.Set[SALDO
ATUAL],Tab_09.Set[CONTA],$F339)</f>
        <v>0</v>
      </c>
      <c r="Q339" s="4">
        <f>SUMIFS(Tab_10.Out[SALDO
ATUAL],Tab_10.Out[CONTA],$F339)</f>
        <v>0</v>
      </c>
      <c r="R339" s="4">
        <f>SUMIFS(Tab_11.Nov[SALDO
ATUAL],Tab_11.Nov[CONTA],$F339)</f>
        <v>0</v>
      </c>
      <c r="S339" s="4">
        <f>SUMIFS(Tab_12.Dez[SALDO
ATUAL],Tab_12.Dez[CONTA],$F339)</f>
        <v>0</v>
      </c>
    </row>
    <row r="340" spans="2:19" x14ac:dyDescent="0.3">
      <c r="B340" s="3" t="s">
        <v>66</v>
      </c>
      <c r="C340" s="2" t="str">
        <f t="shared" si="28"/>
        <v>C</v>
      </c>
      <c r="D340" s="2" t="str">
        <f t="shared" si="26"/>
        <v>A</v>
      </c>
      <c r="E340" s="2">
        <f t="shared" si="27"/>
        <v>5</v>
      </c>
      <c r="F340" s="3" t="s">
        <v>543</v>
      </c>
      <c r="G340" s="3" t="s">
        <v>544</v>
      </c>
      <c r="H340" s="4">
        <f>SUMIFS(Tab_01.Jan[SALDO
ATUAL],Tab_01.Jan[CONTA],$F340)</f>
        <v>0</v>
      </c>
      <c r="I340" s="4">
        <f>SUMIFS(Tab_02.Fev[SALDO
ATUAL],Tab_02.Fev[CONTA],$F340)</f>
        <v>0</v>
      </c>
      <c r="J340" s="4">
        <f>SUMIFS(Tab_03.Mar[SALDO
ATUAL],Tab_03.Mar[CONTA],$F340)</f>
        <v>0</v>
      </c>
      <c r="K340" s="4">
        <f>SUMIFS(Tab_04.Abr[SALDO
ATUAL],Tab_04.Abr[CONTA],$F340)</f>
        <v>0</v>
      </c>
      <c r="L340" s="4">
        <f>SUMIFS(Tab_05.Mai[SALDO
ATUAL],Tab_05.Mai[CONTA],$F340)</f>
        <v>0</v>
      </c>
      <c r="M340" s="4">
        <f>SUMIFS(Tab_06.Jun[SALDO
ATUAL],Tab_06.Jun[CONTA],$F340)</f>
        <v>0</v>
      </c>
      <c r="N340" s="4">
        <f>SUMIFS(Tab_07.Jul[SALDO
ATUAL],Tab_07.Jul[CONTA],$F340)</f>
        <v>0</v>
      </c>
      <c r="O340" s="4">
        <f>SUMIFS(Tab_08.Ago[SALDO
ATUAL],Tab_08.Ago[CONTA],$F340)</f>
        <v>0</v>
      </c>
      <c r="P340" s="4">
        <f>SUMIFS(Tab_09.Set[SALDO
ATUAL],Tab_09.Set[CONTA],$F340)</f>
        <v>0</v>
      </c>
      <c r="Q340" s="4">
        <f>SUMIFS(Tab_10.Out[SALDO
ATUAL],Tab_10.Out[CONTA],$F340)</f>
        <v>0</v>
      </c>
      <c r="R340" s="4">
        <f>SUMIFS(Tab_11.Nov[SALDO
ATUAL],Tab_11.Nov[CONTA],$F340)</f>
        <v>0</v>
      </c>
      <c r="S340" s="4">
        <f>SUMIFS(Tab_12.Dez[SALDO
ATUAL],Tab_12.Dez[CONTA],$F340)</f>
        <v>0</v>
      </c>
    </row>
    <row r="341" spans="2:19" x14ac:dyDescent="0.3">
      <c r="B341" s="3"/>
      <c r="C341" s="2" t="str">
        <f>IF($F341="","",IF(LEFT($F341,1)*1=1,"A",IF(LEFT($F341,1)*1=2,"P",IF(LEFT($F341,1)*1=3,"R",IF(LEFT($F341,1)*1=4,"C",IF(LEFT($F341,1)*1=5,"C",""))))))</f>
        <v>C</v>
      </c>
      <c r="D341" s="2" t="str">
        <f>IF($F341="","",IF(LEN($F341)=13,"A","S"))</f>
        <v>S</v>
      </c>
      <c r="E341" s="2">
        <f>IF($F341="","",IF(LEN($F341)=1,1,IF(LEN($F341)=3,2,IF(LEN($F341)=5,3,IF(LEN($F341)=8,4,5)))))</f>
        <v>5</v>
      </c>
      <c r="F341" s="3" t="s">
        <v>1004</v>
      </c>
      <c r="G341" s="3" t="s">
        <v>1005</v>
      </c>
      <c r="H341" s="4">
        <f>SUMIFS(Tab_01.Jan[SALDO
ATUAL],Tab_01.Jan[CONTA],$F341)</f>
        <v>0</v>
      </c>
      <c r="I341" s="4">
        <f>SUMIFS(Tab_02.Fev[SALDO
ATUAL],Tab_02.Fev[CONTA],$F341)</f>
        <v>0</v>
      </c>
      <c r="J341" s="4">
        <f>SUMIFS(Tab_03.Mar[SALDO
ATUAL],Tab_03.Mar[CONTA],$F341)</f>
        <v>0</v>
      </c>
      <c r="K341" s="4">
        <f>SUMIFS(Tab_04.Abr[SALDO
ATUAL],Tab_04.Abr[CONTA],$F341)</f>
        <v>0</v>
      </c>
      <c r="L341" s="4">
        <f>SUMIFS(Tab_05.Mai[SALDO
ATUAL],Tab_05.Mai[CONTA],$F341)</f>
        <v>0</v>
      </c>
      <c r="M341" s="4">
        <f>SUMIFS(Tab_06.Jun[SALDO
ATUAL],Tab_06.Jun[CONTA],$F341)</f>
        <v>0</v>
      </c>
      <c r="N341" s="4">
        <f>SUMIFS(Tab_07.Jul[SALDO
ATUAL],Tab_07.Jul[CONTA],$F341)</f>
        <v>0</v>
      </c>
      <c r="O341" s="4">
        <f>SUMIFS(Tab_08.Ago[SALDO
ATUAL],Tab_08.Ago[CONTA],$F341)</f>
        <v>0</v>
      </c>
      <c r="P341" s="4">
        <f>SUMIFS(Tab_09.Set[SALDO
ATUAL],Tab_09.Set[CONTA],$F341)</f>
        <v>49901.5</v>
      </c>
      <c r="Q341" s="4">
        <f>SUMIFS(Tab_10.Out[SALDO
ATUAL],Tab_10.Out[CONTA],$F341)</f>
        <v>49901.5</v>
      </c>
      <c r="R341" s="4">
        <f>SUMIFS(Tab_11.Nov[SALDO
ATUAL],Tab_11.Nov[CONTA],$F341)</f>
        <v>49901.5</v>
      </c>
      <c r="S341" s="4">
        <f>SUMIFS(Tab_12.Dez[SALDO
ATUAL],Tab_12.Dez[CONTA],$F341)</f>
        <v>49901.5</v>
      </c>
    </row>
    <row r="342" spans="2:19" x14ac:dyDescent="0.3">
      <c r="B342" s="3" t="s">
        <v>66</v>
      </c>
      <c r="C342" s="2" t="str">
        <f>IF($F342="","",IF(LEFT($F342,1)*1=1,"A",IF(LEFT($F342,1)*1=2,"P",IF(LEFT($F342,1)*1=3,"R",IF(LEFT($F342,1)*1=4,"C",IF(LEFT($F342,1)*1=5,"C",""))))))</f>
        <v>C</v>
      </c>
      <c r="D342" s="2" t="str">
        <f>IF($F342="","",IF(LEN($F342)=13,"A","S"))</f>
        <v>A</v>
      </c>
      <c r="E342" s="2">
        <f>IF($F342="","",IF(LEN($F342)=1,1,IF(LEN($F342)=3,2,IF(LEN($F342)=5,3,IF(LEN($F342)=8,4,5)))))</f>
        <v>5</v>
      </c>
      <c r="F342" s="3" t="s">
        <v>1006</v>
      </c>
      <c r="G342" s="3" t="s">
        <v>1007</v>
      </c>
      <c r="H342" s="4">
        <f>SUMIFS(Tab_01.Jan[SALDO
ATUAL],Tab_01.Jan[CONTA],$F342)</f>
        <v>0</v>
      </c>
      <c r="I342" s="4">
        <f>SUMIFS(Tab_02.Fev[SALDO
ATUAL],Tab_02.Fev[CONTA],$F342)</f>
        <v>0</v>
      </c>
      <c r="J342" s="4">
        <f>SUMIFS(Tab_03.Mar[SALDO
ATUAL],Tab_03.Mar[CONTA],$F342)</f>
        <v>0</v>
      </c>
      <c r="K342" s="4">
        <f>SUMIFS(Tab_04.Abr[SALDO
ATUAL],Tab_04.Abr[CONTA],$F342)</f>
        <v>0</v>
      </c>
      <c r="L342" s="4">
        <f>SUMIFS(Tab_05.Mai[SALDO
ATUAL],Tab_05.Mai[CONTA],$F342)</f>
        <v>0</v>
      </c>
      <c r="M342" s="4">
        <f>SUMIFS(Tab_06.Jun[SALDO
ATUAL],Tab_06.Jun[CONTA],$F342)</f>
        <v>0</v>
      </c>
      <c r="N342" s="4">
        <f>SUMIFS(Tab_07.Jul[SALDO
ATUAL],Tab_07.Jul[CONTA],$F342)</f>
        <v>0</v>
      </c>
      <c r="O342" s="4">
        <f>SUMIFS(Tab_08.Ago[SALDO
ATUAL],Tab_08.Ago[CONTA],$F342)</f>
        <v>0</v>
      </c>
      <c r="P342" s="4">
        <f>SUMIFS(Tab_09.Set[SALDO
ATUAL],Tab_09.Set[CONTA],$F342)</f>
        <v>49901.5</v>
      </c>
      <c r="Q342" s="4">
        <f>SUMIFS(Tab_10.Out[SALDO
ATUAL],Tab_10.Out[CONTA],$F342)</f>
        <v>49901.5</v>
      </c>
      <c r="R342" s="4">
        <f>SUMIFS(Tab_11.Nov[SALDO
ATUAL],Tab_11.Nov[CONTA],$F342)</f>
        <v>49901.5</v>
      </c>
      <c r="S342" s="4">
        <f>SUMIFS(Tab_12.Dez[SALDO
ATUAL],Tab_12.Dez[CONTA],$F342)</f>
        <v>49901.5</v>
      </c>
    </row>
    <row r="343" spans="2:19" x14ac:dyDescent="0.3">
      <c r="B343" s="3"/>
      <c r="C343" s="2" t="str">
        <f t="shared" si="28"/>
        <v>C</v>
      </c>
      <c r="D343" s="2" t="str">
        <f t="shared" si="26"/>
        <v>S</v>
      </c>
      <c r="E343" s="2">
        <f t="shared" si="27"/>
        <v>2</v>
      </c>
      <c r="F343" s="3" t="s">
        <v>630</v>
      </c>
      <c r="G343" s="3" t="s">
        <v>728</v>
      </c>
      <c r="H343" s="4">
        <f>SUMIFS(Tab_01.Jan[SALDO
ATUAL],Tab_01.Jan[CONTA],$F343)</f>
        <v>0</v>
      </c>
      <c r="I343" s="4">
        <f>SUMIFS(Tab_02.Fev[SALDO
ATUAL],Tab_02.Fev[CONTA],$F343)</f>
        <v>270</v>
      </c>
      <c r="J343" s="4">
        <f>SUMIFS(Tab_03.Mar[SALDO
ATUAL],Tab_03.Mar[CONTA],$F343)</f>
        <v>270</v>
      </c>
      <c r="K343" s="4">
        <f>SUMIFS(Tab_04.Abr[SALDO
ATUAL],Tab_04.Abr[CONTA],$F343)</f>
        <v>270</v>
      </c>
      <c r="L343" s="4">
        <f>SUMIFS(Tab_05.Mai[SALDO
ATUAL],Tab_05.Mai[CONTA],$F343)</f>
        <v>270</v>
      </c>
      <c r="M343" s="4">
        <f>SUMIFS(Tab_06.Jun[SALDO
ATUAL],Tab_06.Jun[CONTA],$F343)</f>
        <v>405</v>
      </c>
      <c r="N343" s="4">
        <f>SUMIFS(Tab_07.Jul[SALDO
ATUAL],Tab_07.Jul[CONTA],$F343)</f>
        <v>405</v>
      </c>
      <c r="O343" s="4">
        <f>SUMIFS(Tab_08.Ago[SALDO
ATUAL],Tab_08.Ago[CONTA],$F343)</f>
        <v>405</v>
      </c>
      <c r="P343" s="4">
        <f>SUMIFS(Tab_09.Set[SALDO
ATUAL],Tab_09.Set[CONTA],$F343)</f>
        <v>405</v>
      </c>
      <c r="Q343" s="4">
        <f>SUMIFS(Tab_10.Out[SALDO
ATUAL],Tab_10.Out[CONTA],$F343)</f>
        <v>405</v>
      </c>
      <c r="R343" s="4">
        <f>SUMIFS(Tab_11.Nov[SALDO
ATUAL],Tab_11.Nov[CONTA],$F343)</f>
        <v>405</v>
      </c>
      <c r="S343" s="4">
        <f>SUMIFS(Tab_12.Dez[SALDO
ATUAL],Tab_12.Dez[CONTA],$F343)</f>
        <v>405</v>
      </c>
    </row>
    <row r="344" spans="2:19" x14ac:dyDescent="0.3">
      <c r="B344" s="3"/>
      <c r="C344" s="2" t="str">
        <f t="shared" si="28"/>
        <v>C</v>
      </c>
      <c r="D344" s="2" t="str">
        <f t="shared" si="26"/>
        <v>S</v>
      </c>
      <c r="E344" s="2">
        <f t="shared" si="27"/>
        <v>5</v>
      </c>
      <c r="F344" s="3" t="s">
        <v>631</v>
      </c>
      <c r="G344" s="3" t="s">
        <v>728</v>
      </c>
      <c r="H344" s="4">
        <f>SUMIFS(Tab_01.Jan[SALDO
ATUAL],Tab_01.Jan[CONTA],$F344)</f>
        <v>0</v>
      </c>
      <c r="I344" s="4">
        <f>SUMIFS(Tab_02.Fev[SALDO
ATUAL],Tab_02.Fev[CONTA],$F344)</f>
        <v>270</v>
      </c>
      <c r="J344" s="4">
        <f>SUMIFS(Tab_03.Mar[SALDO
ATUAL],Tab_03.Mar[CONTA],$F344)</f>
        <v>270</v>
      </c>
      <c r="K344" s="4">
        <f>SUMIFS(Tab_04.Abr[SALDO
ATUAL],Tab_04.Abr[CONTA],$F344)</f>
        <v>270</v>
      </c>
      <c r="L344" s="4">
        <f>SUMIFS(Tab_05.Mai[SALDO
ATUAL],Tab_05.Mai[CONTA],$F344)</f>
        <v>270</v>
      </c>
      <c r="M344" s="4">
        <f>SUMIFS(Tab_06.Jun[SALDO
ATUAL],Tab_06.Jun[CONTA],$F344)</f>
        <v>405</v>
      </c>
      <c r="N344" s="4">
        <f>SUMIFS(Tab_07.Jul[SALDO
ATUAL],Tab_07.Jul[CONTA],$F344)</f>
        <v>405</v>
      </c>
      <c r="O344" s="4">
        <f>SUMIFS(Tab_08.Ago[SALDO
ATUAL],Tab_08.Ago[CONTA],$F344)</f>
        <v>405</v>
      </c>
      <c r="P344" s="4">
        <f>SUMIFS(Tab_09.Set[SALDO
ATUAL],Tab_09.Set[CONTA],$F344)</f>
        <v>405</v>
      </c>
      <c r="Q344" s="4">
        <f>SUMIFS(Tab_10.Out[SALDO
ATUAL],Tab_10.Out[CONTA],$F344)</f>
        <v>405</v>
      </c>
      <c r="R344" s="4">
        <f>SUMIFS(Tab_11.Nov[SALDO
ATUAL],Tab_11.Nov[CONTA],$F344)</f>
        <v>405</v>
      </c>
      <c r="S344" s="4">
        <f>SUMIFS(Tab_12.Dez[SALDO
ATUAL],Tab_12.Dez[CONTA],$F344)</f>
        <v>405</v>
      </c>
    </row>
    <row r="345" spans="2:19" x14ac:dyDescent="0.3">
      <c r="B345" s="3"/>
      <c r="C345" s="2" t="str">
        <f t="shared" si="28"/>
        <v>C</v>
      </c>
      <c r="D345" s="2" t="str">
        <f t="shared" si="26"/>
        <v>S</v>
      </c>
      <c r="E345" s="2">
        <f t="shared" si="27"/>
        <v>5</v>
      </c>
      <c r="F345" s="3" t="s">
        <v>632</v>
      </c>
      <c r="G345" s="3" t="s">
        <v>729</v>
      </c>
      <c r="H345" s="4">
        <f>SUMIFS(Tab_01.Jan[SALDO
ATUAL],Tab_01.Jan[CONTA],$F345)</f>
        <v>0</v>
      </c>
      <c r="I345" s="4">
        <f>SUMIFS(Tab_02.Fev[SALDO
ATUAL],Tab_02.Fev[CONTA],$F345)</f>
        <v>0</v>
      </c>
      <c r="J345" s="4">
        <f>SUMIFS(Tab_03.Mar[SALDO
ATUAL],Tab_03.Mar[CONTA],$F345)</f>
        <v>0</v>
      </c>
      <c r="K345" s="4">
        <f>SUMIFS(Tab_04.Abr[SALDO
ATUAL],Tab_04.Abr[CONTA],$F345)</f>
        <v>0</v>
      </c>
      <c r="L345" s="4">
        <f>SUMIFS(Tab_05.Mai[SALDO
ATUAL],Tab_05.Mai[CONTA],$F345)</f>
        <v>0</v>
      </c>
      <c r="M345" s="4">
        <f>SUMIFS(Tab_06.Jun[SALDO
ATUAL],Tab_06.Jun[CONTA],$F345)</f>
        <v>0</v>
      </c>
      <c r="N345" s="4">
        <f>SUMIFS(Tab_07.Jul[SALDO
ATUAL],Tab_07.Jul[CONTA],$F345)</f>
        <v>0</v>
      </c>
      <c r="O345" s="4">
        <f>SUMIFS(Tab_08.Ago[SALDO
ATUAL],Tab_08.Ago[CONTA],$F345)</f>
        <v>0</v>
      </c>
      <c r="P345" s="4">
        <f>SUMIFS(Tab_09.Set[SALDO
ATUAL],Tab_09.Set[CONTA],$F345)</f>
        <v>0</v>
      </c>
      <c r="Q345" s="4">
        <f>SUMIFS(Tab_10.Out[SALDO
ATUAL],Tab_10.Out[CONTA],$F345)</f>
        <v>0</v>
      </c>
      <c r="R345" s="4">
        <f>SUMIFS(Tab_11.Nov[SALDO
ATUAL],Tab_11.Nov[CONTA],$F345)</f>
        <v>0</v>
      </c>
      <c r="S345" s="4">
        <f>SUMIFS(Tab_12.Dez[SALDO
ATUAL],Tab_12.Dez[CONTA],$F345)</f>
        <v>0</v>
      </c>
    </row>
    <row r="346" spans="2:19" x14ac:dyDescent="0.3">
      <c r="B346" s="3" t="s">
        <v>67</v>
      </c>
      <c r="C346" s="2" t="str">
        <f t="shared" si="28"/>
        <v>C</v>
      </c>
      <c r="D346" s="2" t="str">
        <f t="shared" si="26"/>
        <v>A</v>
      </c>
      <c r="E346" s="2">
        <f t="shared" si="27"/>
        <v>5</v>
      </c>
      <c r="F346" s="3" t="s">
        <v>545</v>
      </c>
      <c r="G346" s="3" t="s">
        <v>546</v>
      </c>
      <c r="H346" s="4">
        <f>SUMIFS(Tab_01.Jan[SALDO
ATUAL],Tab_01.Jan[CONTA],$F346)</f>
        <v>0</v>
      </c>
      <c r="I346" s="4">
        <f>SUMIFS(Tab_02.Fev[SALDO
ATUAL],Tab_02.Fev[CONTA],$F346)</f>
        <v>0</v>
      </c>
      <c r="J346" s="4">
        <f>SUMIFS(Tab_03.Mar[SALDO
ATUAL],Tab_03.Mar[CONTA],$F346)</f>
        <v>0</v>
      </c>
      <c r="K346" s="4">
        <f>SUMIFS(Tab_04.Abr[SALDO
ATUAL],Tab_04.Abr[CONTA],$F346)</f>
        <v>0</v>
      </c>
      <c r="L346" s="4">
        <f>SUMIFS(Tab_05.Mai[SALDO
ATUAL],Tab_05.Mai[CONTA],$F346)</f>
        <v>0</v>
      </c>
      <c r="M346" s="4">
        <f>SUMIFS(Tab_06.Jun[SALDO
ATUAL],Tab_06.Jun[CONTA],$F346)</f>
        <v>0</v>
      </c>
      <c r="N346" s="4">
        <f>SUMIFS(Tab_07.Jul[SALDO
ATUAL],Tab_07.Jul[CONTA],$F346)</f>
        <v>0</v>
      </c>
      <c r="O346" s="4">
        <f>SUMIFS(Tab_08.Ago[SALDO
ATUAL],Tab_08.Ago[CONTA],$F346)</f>
        <v>0</v>
      </c>
      <c r="P346" s="4">
        <f>SUMIFS(Tab_09.Set[SALDO
ATUAL],Tab_09.Set[CONTA],$F346)</f>
        <v>0</v>
      </c>
      <c r="Q346" s="4">
        <f>SUMIFS(Tab_10.Out[SALDO
ATUAL],Tab_10.Out[CONTA],$F346)</f>
        <v>0</v>
      </c>
      <c r="R346" s="4">
        <f>SUMIFS(Tab_11.Nov[SALDO
ATUAL],Tab_11.Nov[CONTA],$F346)</f>
        <v>0</v>
      </c>
      <c r="S346" s="4">
        <f>SUMIFS(Tab_12.Dez[SALDO
ATUAL],Tab_12.Dez[CONTA],$F346)</f>
        <v>0</v>
      </c>
    </row>
    <row r="347" spans="2:19" x14ac:dyDescent="0.3">
      <c r="B347" s="3"/>
      <c r="C347" s="2" t="str">
        <f t="shared" si="28"/>
        <v>C</v>
      </c>
      <c r="D347" s="2" t="str">
        <f t="shared" si="26"/>
        <v>S</v>
      </c>
      <c r="E347" s="2">
        <f t="shared" si="27"/>
        <v>5</v>
      </c>
      <c r="F347" s="3" t="s">
        <v>633</v>
      </c>
      <c r="G347" s="3" t="s">
        <v>548</v>
      </c>
      <c r="H347" s="4">
        <f>SUMIFS(Tab_01.Jan[SALDO
ATUAL],Tab_01.Jan[CONTA],$F347)</f>
        <v>0</v>
      </c>
      <c r="I347" s="4">
        <f>SUMIFS(Tab_02.Fev[SALDO
ATUAL],Tab_02.Fev[CONTA],$F347)</f>
        <v>270</v>
      </c>
      <c r="J347" s="4">
        <f>SUMIFS(Tab_03.Mar[SALDO
ATUAL],Tab_03.Mar[CONTA],$F347)</f>
        <v>270</v>
      </c>
      <c r="K347" s="4">
        <f>SUMIFS(Tab_04.Abr[SALDO
ATUAL],Tab_04.Abr[CONTA],$F347)</f>
        <v>270</v>
      </c>
      <c r="L347" s="4">
        <f>SUMIFS(Tab_05.Mai[SALDO
ATUAL],Tab_05.Mai[CONTA],$F347)</f>
        <v>270</v>
      </c>
      <c r="M347" s="4">
        <f>SUMIFS(Tab_06.Jun[SALDO
ATUAL],Tab_06.Jun[CONTA],$F347)</f>
        <v>405</v>
      </c>
      <c r="N347" s="4">
        <f>SUMIFS(Tab_07.Jul[SALDO
ATUAL],Tab_07.Jul[CONTA],$F347)</f>
        <v>405</v>
      </c>
      <c r="O347" s="4">
        <f>SUMIFS(Tab_08.Ago[SALDO
ATUAL],Tab_08.Ago[CONTA],$F347)</f>
        <v>405</v>
      </c>
      <c r="P347" s="4">
        <f>SUMIFS(Tab_09.Set[SALDO
ATUAL],Tab_09.Set[CONTA],$F347)</f>
        <v>405</v>
      </c>
      <c r="Q347" s="4">
        <f>SUMIFS(Tab_10.Out[SALDO
ATUAL],Tab_10.Out[CONTA],$F347)</f>
        <v>405</v>
      </c>
      <c r="R347" s="4">
        <f>SUMIFS(Tab_11.Nov[SALDO
ATUAL],Tab_11.Nov[CONTA],$F347)</f>
        <v>405</v>
      </c>
      <c r="S347" s="4">
        <f>SUMIFS(Tab_12.Dez[SALDO
ATUAL],Tab_12.Dez[CONTA],$F347)</f>
        <v>405</v>
      </c>
    </row>
    <row r="348" spans="2:19" x14ac:dyDescent="0.3">
      <c r="B348" s="3" t="s">
        <v>66</v>
      </c>
      <c r="C348" s="2" t="str">
        <f t="shared" si="28"/>
        <v>C</v>
      </c>
      <c r="D348" s="2" t="str">
        <f t="shared" si="26"/>
        <v>A</v>
      </c>
      <c r="E348" s="2">
        <f t="shared" si="27"/>
        <v>5</v>
      </c>
      <c r="F348" s="3" t="s">
        <v>547</v>
      </c>
      <c r="G348" s="3" t="s">
        <v>548</v>
      </c>
      <c r="H348" s="4">
        <f>SUMIFS(Tab_01.Jan[SALDO
ATUAL],Tab_01.Jan[CONTA],$F348)</f>
        <v>0</v>
      </c>
      <c r="I348" s="4">
        <f>SUMIFS(Tab_02.Fev[SALDO
ATUAL],Tab_02.Fev[CONTA],$F348)</f>
        <v>270</v>
      </c>
      <c r="J348" s="4">
        <f>SUMIFS(Tab_03.Mar[SALDO
ATUAL],Tab_03.Mar[CONTA],$F348)</f>
        <v>270</v>
      </c>
      <c r="K348" s="4">
        <f>SUMIFS(Tab_04.Abr[SALDO
ATUAL],Tab_04.Abr[CONTA],$F348)</f>
        <v>270</v>
      </c>
      <c r="L348" s="4">
        <f>SUMIFS(Tab_05.Mai[SALDO
ATUAL],Tab_05.Mai[CONTA],$F348)</f>
        <v>270</v>
      </c>
      <c r="M348" s="4">
        <f>SUMIFS(Tab_06.Jun[SALDO
ATUAL],Tab_06.Jun[CONTA],$F348)</f>
        <v>405</v>
      </c>
      <c r="N348" s="4">
        <f>SUMIFS(Tab_07.Jul[SALDO
ATUAL],Tab_07.Jul[CONTA],$F348)</f>
        <v>405</v>
      </c>
      <c r="O348" s="4">
        <f>SUMIFS(Tab_08.Ago[SALDO
ATUAL],Tab_08.Ago[CONTA],$F348)</f>
        <v>405</v>
      </c>
      <c r="P348" s="4">
        <f>SUMIFS(Tab_09.Set[SALDO
ATUAL],Tab_09.Set[CONTA],$F348)</f>
        <v>405</v>
      </c>
      <c r="Q348" s="4">
        <f>SUMIFS(Tab_10.Out[SALDO
ATUAL],Tab_10.Out[CONTA],$F348)</f>
        <v>405</v>
      </c>
      <c r="R348" s="4">
        <f>SUMIFS(Tab_11.Nov[SALDO
ATUAL],Tab_11.Nov[CONTA],$F348)</f>
        <v>405</v>
      </c>
      <c r="S348" s="4">
        <f>SUMIFS(Tab_12.Dez[SALDO
ATUAL],Tab_12.Dez[CONTA],$F348)</f>
        <v>405</v>
      </c>
    </row>
    <row r="349" spans="2:19" x14ac:dyDescent="0.3">
      <c r="B349" s="3"/>
      <c r="C349" s="2" t="str">
        <f t="shared" si="28"/>
        <v>C</v>
      </c>
      <c r="D349" s="2" t="str">
        <f t="shared" si="26"/>
        <v>S</v>
      </c>
      <c r="E349" s="2">
        <f t="shared" si="27"/>
        <v>2</v>
      </c>
      <c r="F349" s="3" t="s">
        <v>634</v>
      </c>
      <c r="G349" s="3" t="s">
        <v>730</v>
      </c>
      <c r="H349" s="4">
        <f>SUMIFS(Tab_01.Jan[SALDO
ATUAL],Tab_01.Jan[CONTA],$F349)</f>
        <v>-189</v>
      </c>
      <c r="I349" s="4">
        <f>SUMIFS(Tab_02.Fev[SALDO
ATUAL],Tab_02.Fev[CONTA],$F349)</f>
        <v>-189</v>
      </c>
      <c r="J349" s="4">
        <f>SUMIFS(Tab_03.Mar[SALDO
ATUAL],Tab_03.Mar[CONTA],$F349)</f>
        <v>-189</v>
      </c>
      <c r="K349" s="4">
        <f>SUMIFS(Tab_04.Abr[SALDO
ATUAL],Tab_04.Abr[CONTA],$F349)</f>
        <v>-189</v>
      </c>
      <c r="L349" s="4">
        <f>SUMIFS(Tab_05.Mai[SALDO
ATUAL],Tab_05.Mai[CONTA],$F349)</f>
        <v>-189</v>
      </c>
      <c r="M349" s="4">
        <f>SUMIFS(Tab_06.Jun[SALDO
ATUAL],Tab_06.Jun[CONTA],$F349)</f>
        <v>-189</v>
      </c>
      <c r="N349" s="4">
        <f>SUMIFS(Tab_07.Jul[SALDO
ATUAL],Tab_07.Jul[CONTA],$F349)</f>
        <v>-189</v>
      </c>
      <c r="O349" s="4">
        <f>SUMIFS(Tab_08.Ago[SALDO
ATUAL],Tab_08.Ago[CONTA],$F349)</f>
        <v>-189</v>
      </c>
      <c r="P349" s="4">
        <f>SUMIFS(Tab_09.Set[SALDO
ATUAL],Tab_09.Set[CONTA],$F349)</f>
        <v>-189</v>
      </c>
      <c r="Q349" s="4">
        <f>SUMIFS(Tab_10.Out[SALDO
ATUAL],Tab_10.Out[CONTA],$F349)</f>
        <v>-189</v>
      </c>
      <c r="R349" s="4">
        <f>SUMIFS(Tab_11.Nov[SALDO
ATUAL],Tab_11.Nov[CONTA],$F349)</f>
        <v>-189</v>
      </c>
      <c r="S349" s="4">
        <f>SUMIFS(Tab_12.Dez[SALDO
ATUAL],Tab_12.Dez[CONTA],$F349)</f>
        <v>-189</v>
      </c>
    </row>
    <row r="350" spans="2:19" x14ac:dyDescent="0.3">
      <c r="B350" s="3"/>
      <c r="C350" s="2" t="str">
        <f t="shared" si="28"/>
        <v>C</v>
      </c>
      <c r="D350" s="2" t="str">
        <f t="shared" si="26"/>
        <v>S</v>
      </c>
      <c r="E350" s="2">
        <f t="shared" si="27"/>
        <v>5</v>
      </c>
      <c r="F350" s="3" t="s">
        <v>635</v>
      </c>
      <c r="G350" s="3" t="s">
        <v>731</v>
      </c>
      <c r="H350" s="4">
        <f>SUMIFS(Tab_01.Jan[SALDO
ATUAL],Tab_01.Jan[CONTA],$F350)</f>
        <v>0</v>
      </c>
      <c r="I350" s="4">
        <f>SUMIFS(Tab_02.Fev[SALDO
ATUAL],Tab_02.Fev[CONTA],$F350)</f>
        <v>0</v>
      </c>
      <c r="J350" s="4">
        <f>SUMIFS(Tab_03.Mar[SALDO
ATUAL],Tab_03.Mar[CONTA],$F350)</f>
        <v>0</v>
      </c>
      <c r="K350" s="4">
        <f>SUMIFS(Tab_04.Abr[SALDO
ATUAL],Tab_04.Abr[CONTA],$F350)</f>
        <v>0</v>
      </c>
      <c r="L350" s="4">
        <f>SUMIFS(Tab_05.Mai[SALDO
ATUAL],Tab_05.Mai[CONTA],$F350)</f>
        <v>0</v>
      </c>
      <c r="M350" s="4">
        <f>SUMIFS(Tab_06.Jun[SALDO
ATUAL],Tab_06.Jun[CONTA],$F350)</f>
        <v>0</v>
      </c>
      <c r="N350" s="4">
        <f>SUMIFS(Tab_07.Jul[SALDO
ATUAL],Tab_07.Jul[CONTA],$F350)</f>
        <v>0</v>
      </c>
      <c r="O350" s="4">
        <f>SUMIFS(Tab_08.Ago[SALDO
ATUAL],Tab_08.Ago[CONTA],$F350)</f>
        <v>0</v>
      </c>
      <c r="P350" s="4">
        <f>SUMIFS(Tab_09.Set[SALDO
ATUAL],Tab_09.Set[CONTA],$F350)</f>
        <v>0</v>
      </c>
      <c r="Q350" s="4">
        <f>SUMIFS(Tab_10.Out[SALDO
ATUAL],Tab_10.Out[CONTA],$F350)</f>
        <v>0</v>
      </c>
      <c r="R350" s="4">
        <f>SUMIFS(Tab_11.Nov[SALDO
ATUAL],Tab_11.Nov[CONTA],$F350)</f>
        <v>0</v>
      </c>
      <c r="S350" s="4">
        <f>SUMIFS(Tab_12.Dez[SALDO
ATUAL],Tab_12.Dez[CONTA],$F350)</f>
        <v>0</v>
      </c>
    </row>
    <row r="351" spans="2:19" x14ac:dyDescent="0.3">
      <c r="B351" s="3"/>
      <c r="C351" s="2" t="str">
        <f>IF($F351="","",IF(LEFT($F351,1)*1=1,"A",IF(LEFT($F351,1)*1=2,"P",IF(LEFT($F351,1)*1=3,"R",IF(LEFT($F351,1)*1=4,"C",IF(LEFT($F351,1)*1=5,"C",""))))))</f>
        <v>C</v>
      </c>
      <c r="D351" s="2" t="str">
        <f>IF($F351="","",IF(LEN($F351)=13,"A","S"))</f>
        <v>S</v>
      </c>
      <c r="E351" s="2">
        <f>IF($F351="","",IF(LEN($F351)=1,1,IF(LEN($F351)=3,2,IF(LEN($F351)=5,3,IF(LEN($F351)=8,4,5)))))</f>
        <v>5</v>
      </c>
      <c r="F351" s="3" t="s">
        <v>822</v>
      </c>
      <c r="G351" s="3" t="s">
        <v>823</v>
      </c>
      <c r="H351" s="4">
        <f>SUMIFS(Tab_01.Jan[SALDO
ATUAL],Tab_01.Jan[CONTA],$F351)</f>
        <v>0</v>
      </c>
      <c r="I351" s="4">
        <f>SUMIFS(Tab_02.Fev[SALDO
ATUAL],Tab_02.Fev[CONTA],$F351)</f>
        <v>0</v>
      </c>
      <c r="J351" s="4">
        <f>SUMIFS(Tab_03.Mar[SALDO
ATUAL],Tab_03.Mar[CONTA],$F351)</f>
        <v>0</v>
      </c>
      <c r="K351" s="4">
        <f>SUMIFS(Tab_04.Abr[SALDO
ATUAL],Tab_04.Abr[CONTA],$F351)</f>
        <v>0</v>
      </c>
      <c r="L351" s="4">
        <f>SUMIFS(Tab_05.Mai[SALDO
ATUAL],Tab_05.Mai[CONTA],$F351)</f>
        <v>0</v>
      </c>
      <c r="M351" s="4">
        <f>SUMIFS(Tab_06.Jun[SALDO
ATUAL],Tab_06.Jun[CONTA],$F351)</f>
        <v>0</v>
      </c>
      <c r="N351" s="4">
        <f>SUMIFS(Tab_07.Jul[SALDO
ATUAL],Tab_07.Jul[CONTA],$F351)</f>
        <v>0</v>
      </c>
      <c r="O351" s="4">
        <f>SUMIFS(Tab_08.Ago[SALDO
ATUAL],Tab_08.Ago[CONTA],$F351)</f>
        <v>0</v>
      </c>
      <c r="P351" s="4">
        <f>SUMIFS(Tab_09.Set[SALDO
ATUAL],Tab_09.Set[CONTA],$F351)</f>
        <v>0</v>
      </c>
      <c r="Q351" s="4">
        <f>SUMIFS(Tab_10.Out[SALDO
ATUAL],Tab_10.Out[CONTA],$F351)</f>
        <v>0</v>
      </c>
      <c r="R351" s="4">
        <f>SUMIFS(Tab_11.Nov[SALDO
ATUAL],Tab_11.Nov[CONTA],$F351)</f>
        <v>0</v>
      </c>
      <c r="S351" s="4">
        <f>SUMIFS(Tab_12.Dez[SALDO
ATUAL],Tab_12.Dez[CONTA],$F351)</f>
        <v>0</v>
      </c>
    </row>
    <row r="352" spans="2:19" x14ac:dyDescent="0.3">
      <c r="B352" s="3" t="s">
        <v>66</v>
      </c>
      <c r="C352" s="2" t="str">
        <f>IF($F352="","",IF(LEFT($F352,1)*1=1,"A",IF(LEFT($F352,1)*1=2,"P",IF(LEFT($F352,1)*1=3,"R",IF(LEFT($F352,1)*1=4,"C",IF(LEFT($F352,1)*1=5,"C",""))))))</f>
        <v>C</v>
      </c>
      <c r="D352" s="2" t="str">
        <f>IF($F352="","",IF(LEN($F352)=13,"A","S"))</f>
        <v>A</v>
      </c>
      <c r="E352" s="2">
        <f>IF($F352="","",IF(LEN($F352)=1,1,IF(LEN($F352)=3,2,IF(LEN($F352)=5,3,IF(LEN($F352)=8,4,5)))))</f>
        <v>5</v>
      </c>
      <c r="F352" s="3" t="s">
        <v>824</v>
      </c>
      <c r="G352" s="3" t="s">
        <v>823</v>
      </c>
      <c r="H352" s="4">
        <f>SUMIFS(Tab_01.Jan[SALDO
ATUAL],Tab_01.Jan[CONTA],$F352)</f>
        <v>0</v>
      </c>
      <c r="I352" s="4">
        <f>SUMIFS(Tab_02.Fev[SALDO
ATUAL],Tab_02.Fev[CONTA],$F352)</f>
        <v>0</v>
      </c>
      <c r="J352" s="4">
        <f>SUMIFS(Tab_03.Mar[SALDO
ATUAL],Tab_03.Mar[CONTA],$F352)</f>
        <v>0</v>
      </c>
      <c r="K352" s="4">
        <f>SUMIFS(Tab_04.Abr[SALDO
ATUAL],Tab_04.Abr[CONTA],$F352)</f>
        <v>0</v>
      </c>
      <c r="L352" s="4">
        <f>SUMIFS(Tab_05.Mai[SALDO
ATUAL],Tab_05.Mai[CONTA],$F352)</f>
        <v>0</v>
      </c>
      <c r="M352" s="4">
        <f>SUMIFS(Tab_06.Jun[SALDO
ATUAL],Tab_06.Jun[CONTA],$F352)</f>
        <v>0</v>
      </c>
      <c r="N352" s="4">
        <f>SUMIFS(Tab_07.Jul[SALDO
ATUAL],Tab_07.Jul[CONTA],$F352)</f>
        <v>0</v>
      </c>
      <c r="O352" s="4">
        <f>SUMIFS(Tab_08.Ago[SALDO
ATUAL],Tab_08.Ago[CONTA],$F352)</f>
        <v>0</v>
      </c>
      <c r="P352" s="4">
        <f>SUMIFS(Tab_09.Set[SALDO
ATUAL],Tab_09.Set[CONTA],$F352)</f>
        <v>0</v>
      </c>
      <c r="Q352" s="4">
        <f>SUMIFS(Tab_10.Out[SALDO
ATUAL],Tab_10.Out[CONTA],$F352)</f>
        <v>0</v>
      </c>
      <c r="R352" s="4">
        <f>SUMIFS(Tab_11.Nov[SALDO
ATUAL],Tab_11.Nov[CONTA],$F352)</f>
        <v>0</v>
      </c>
      <c r="S352" s="4">
        <f>SUMIFS(Tab_12.Dez[SALDO
ATUAL],Tab_12.Dez[CONTA],$F352)</f>
        <v>0</v>
      </c>
    </row>
    <row r="353" spans="2:19" x14ac:dyDescent="0.3">
      <c r="B353" s="3"/>
      <c r="C353" s="2" t="str">
        <f t="shared" si="28"/>
        <v>C</v>
      </c>
      <c r="D353" s="2" t="str">
        <f t="shared" si="26"/>
        <v>S</v>
      </c>
      <c r="E353" s="2">
        <f t="shared" si="27"/>
        <v>5</v>
      </c>
      <c r="F353" s="3" t="s">
        <v>636</v>
      </c>
      <c r="G353" s="3" t="s">
        <v>732</v>
      </c>
      <c r="H353" s="4">
        <f>SUMIFS(Tab_01.Jan[SALDO
ATUAL],Tab_01.Jan[CONTA],$F353)</f>
        <v>0</v>
      </c>
      <c r="I353" s="4">
        <f>SUMIFS(Tab_02.Fev[SALDO
ATUAL],Tab_02.Fev[CONTA],$F353)</f>
        <v>0</v>
      </c>
      <c r="J353" s="4">
        <f>SUMIFS(Tab_03.Mar[SALDO
ATUAL],Tab_03.Mar[CONTA],$F353)</f>
        <v>0</v>
      </c>
      <c r="K353" s="4">
        <f>SUMIFS(Tab_04.Abr[SALDO
ATUAL],Tab_04.Abr[CONTA],$F353)</f>
        <v>0</v>
      </c>
      <c r="L353" s="4">
        <f>SUMIFS(Tab_05.Mai[SALDO
ATUAL],Tab_05.Mai[CONTA],$F353)</f>
        <v>0</v>
      </c>
      <c r="M353" s="4">
        <f>SUMIFS(Tab_06.Jun[SALDO
ATUAL],Tab_06.Jun[CONTA],$F353)</f>
        <v>0</v>
      </c>
      <c r="N353" s="4">
        <f>SUMIFS(Tab_07.Jul[SALDO
ATUAL],Tab_07.Jul[CONTA],$F353)</f>
        <v>0</v>
      </c>
      <c r="O353" s="4">
        <f>SUMIFS(Tab_08.Ago[SALDO
ATUAL],Tab_08.Ago[CONTA],$F353)</f>
        <v>0</v>
      </c>
      <c r="P353" s="4">
        <f>SUMIFS(Tab_09.Set[SALDO
ATUAL],Tab_09.Set[CONTA],$F353)</f>
        <v>0</v>
      </c>
      <c r="Q353" s="4">
        <f>SUMIFS(Tab_10.Out[SALDO
ATUAL],Tab_10.Out[CONTA],$F353)</f>
        <v>0</v>
      </c>
      <c r="R353" s="4">
        <f>SUMIFS(Tab_11.Nov[SALDO
ATUAL],Tab_11.Nov[CONTA],$F353)</f>
        <v>0</v>
      </c>
      <c r="S353" s="4">
        <f>SUMIFS(Tab_12.Dez[SALDO
ATUAL],Tab_12.Dez[CONTA],$F353)</f>
        <v>0</v>
      </c>
    </row>
    <row r="354" spans="2:19" x14ac:dyDescent="0.3">
      <c r="B354" s="3" t="s">
        <v>66</v>
      </c>
      <c r="C354" s="2" t="str">
        <f t="shared" si="28"/>
        <v>C</v>
      </c>
      <c r="D354" s="2" t="str">
        <f t="shared" si="26"/>
        <v>A</v>
      </c>
      <c r="E354" s="2">
        <f t="shared" si="27"/>
        <v>5</v>
      </c>
      <c r="F354" s="3" t="s">
        <v>549</v>
      </c>
      <c r="G354" s="3" t="s">
        <v>550</v>
      </c>
      <c r="H354" s="4">
        <f>SUMIFS(Tab_01.Jan[SALDO
ATUAL],Tab_01.Jan[CONTA],$F354)</f>
        <v>0</v>
      </c>
      <c r="I354" s="4">
        <f>SUMIFS(Tab_02.Fev[SALDO
ATUAL],Tab_02.Fev[CONTA],$F354)</f>
        <v>0</v>
      </c>
      <c r="J354" s="4">
        <f>SUMIFS(Tab_03.Mar[SALDO
ATUAL],Tab_03.Mar[CONTA],$F354)</f>
        <v>0</v>
      </c>
      <c r="K354" s="4">
        <f>SUMIFS(Tab_04.Abr[SALDO
ATUAL],Tab_04.Abr[CONTA],$F354)</f>
        <v>0</v>
      </c>
      <c r="L354" s="4">
        <f>SUMIFS(Tab_05.Mai[SALDO
ATUAL],Tab_05.Mai[CONTA],$F354)</f>
        <v>0</v>
      </c>
      <c r="M354" s="4">
        <f>SUMIFS(Tab_06.Jun[SALDO
ATUAL],Tab_06.Jun[CONTA],$F354)</f>
        <v>0</v>
      </c>
      <c r="N354" s="4">
        <f>SUMIFS(Tab_07.Jul[SALDO
ATUAL],Tab_07.Jul[CONTA],$F354)</f>
        <v>0</v>
      </c>
      <c r="O354" s="4">
        <f>SUMIFS(Tab_08.Ago[SALDO
ATUAL],Tab_08.Ago[CONTA],$F354)</f>
        <v>0</v>
      </c>
      <c r="P354" s="4">
        <f>SUMIFS(Tab_09.Set[SALDO
ATUAL],Tab_09.Set[CONTA],$F354)</f>
        <v>0</v>
      </c>
      <c r="Q354" s="4">
        <f>SUMIFS(Tab_10.Out[SALDO
ATUAL],Tab_10.Out[CONTA],$F354)</f>
        <v>0</v>
      </c>
      <c r="R354" s="4">
        <f>SUMIFS(Tab_11.Nov[SALDO
ATUAL],Tab_11.Nov[CONTA],$F354)</f>
        <v>0</v>
      </c>
      <c r="S354" s="4">
        <f>SUMIFS(Tab_12.Dez[SALDO
ATUAL],Tab_12.Dez[CONTA],$F354)</f>
        <v>0</v>
      </c>
    </row>
    <row r="355" spans="2:19" x14ac:dyDescent="0.3">
      <c r="B355" s="3"/>
      <c r="C355" s="2" t="str">
        <f t="shared" ref="C355:C357" si="29">IF($F355="","",IF(LEFT($F355,1)*1=1,"A",IF(LEFT($F355,1)*1=2,"P",IF(LEFT($F355,1)*1=3,"R",IF(LEFT($F355,1)*1=4,"C",IF(LEFT($F355,1)*1=5,"C",""))))))</f>
        <v>C</v>
      </c>
      <c r="D355" s="2" t="str">
        <f t="shared" ref="D355:D357" si="30">IF($F355="","",IF(LEN($F355)=13,"A","S"))</f>
        <v>S</v>
      </c>
      <c r="E355" s="2">
        <f t="shared" ref="E355:E357" si="31">IF($F355="","",IF(LEN($F355)=1,1,IF(LEN($F355)=3,2,IF(LEN($F355)=5,3,IF(LEN($F355)=8,4,5)))))</f>
        <v>5</v>
      </c>
      <c r="F355" s="3" t="s">
        <v>825</v>
      </c>
      <c r="G355" s="3" t="s">
        <v>826</v>
      </c>
      <c r="H355" s="4">
        <f>SUMIFS(Tab_01.Jan[SALDO
ATUAL],Tab_01.Jan[CONTA],$F355)</f>
        <v>-189</v>
      </c>
      <c r="I355" s="4">
        <f>SUMIFS(Tab_02.Fev[SALDO
ATUAL],Tab_02.Fev[CONTA],$F355)</f>
        <v>-189</v>
      </c>
      <c r="J355" s="4">
        <f>SUMIFS(Tab_03.Mar[SALDO
ATUAL],Tab_03.Mar[CONTA],$F355)</f>
        <v>-189</v>
      </c>
      <c r="K355" s="4">
        <f>SUMIFS(Tab_04.Abr[SALDO
ATUAL],Tab_04.Abr[CONTA],$F355)</f>
        <v>-189</v>
      </c>
      <c r="L355" s="4">
        <f>SUMIFS(Tab_05.Mai[SALDO
ATUAL],Tab_05.Mai[CONTA],$F355)</f>
        <v>-189</v>
      </c>
      <c r="M355" s="4">
        <f>SUMIFS(Tab_06.Jun[SALDO
ATUAL],Tab_06.Jun[CONTA],$F355)</f>
        <v>-189</v>
      </c>
      <c r="N355" s="4">
        <f>SUMIFS(Tab_07.Jul[SALDO
ATUAL],Tab_07.Jul[CONTA],$F355)</f>
        <v>-189</v>
      </c>
      <c r="O355" s="4">
        <f>SUMIFS(Tab_08.Ago[SALDO
ATUAL],Tab_08.Ago[CONTA],$F355)</f>
        <v>-189</v>
      </c>
      <c r="P355" s="4">
        <f>SUMIFS(Tab_09.Set[SALDO
ATUAL],Tab_09.Set[CONTA],$F355)</f>
        <v>-189</v>
      </c>
      <c r="Q355" s="4">
        <f>SUMIFS(Tab_10.Out[SALDO
ATUAL],Tab_10.Out[CONTA],$F355)</f>
        <v>-189</v>
      </c>
      <c r="R355" s="4">
        <f>SUMIFS(Tab_11.Nov[SALDO
ATUAL],Tab_11.Nov[CONTA],$F355)</f>
        <v>-189</v>
      </c>
      <c r="S355" s="4">
        <f>SUMIFS(Tab_12.Dez[SALDO
ATUAL],Tab_12.Dez[CONTA],$F355)</f>
        <v>-189</v>
      </c>
    </row>
    <row r="356" spans="2:19" x14ac:dyDescent="0.3">
      <c r="B356" s="3"/>
      <c r="C356" s="2" t="str">
        <f t="shared" si="29"/>
        <v>C</v>
      </c>
      <c r="D356" s="2" t="str">
        <f t="shared" si="30"/>
        <v>S</v>
      </c>
      <c r="E356" s="2">
        <f t="shared" si="31"/>
        <v>5</v>
      </c>
      <c r="F356" s="3" t="s">
        <v>827</v>
      </c>
      <c r="G356" s="3" t="s">
        <v>826</v>
      </c>
      <c r="H356" s="4">
        <f>SUMIFS(Tab_01.Jan[SALDO
ATUAL],Tab_01.Jan[CONTA],$F356)</f>
        <v>-189</v>
      </c>
      <c r="I356" s="4">
        <f>SUMIFS(Tab_02.Fev[SALDO
ATUAL],Tab_02.Fev[CONTA],$F356)</f>
        <v>-189</v>
      </c>
      <c r="J356" s="4">
        <f>SUMIFS(Tab_03.Mar[SALDO
ATUAL],Tab_03.Mar[CONTA],$F356)</f>
        <v>-189</v>
      </c>
      <c r="K356" s="4">
        <f>SUMIFS(Tab_04.Abr[SALDO
ATUAL],Tab_04.Abr[CONTA],$F356)</f>
        <v>-189</v>
      </c>
      <c r="L356" s="4">
        <f>SUMIFS(Tab_05.Mai[SALDO
ATUAL],Tab_05.Mai[CONTA],$F356)</f>
        <v>-189</v>
      </c>
      <c r="M356" s="4">
        <f>SUMIFS(Tab_06.Jun[SALDO
ATUAL],Tab_06.Jun[CONTA],$F356)</f>
        <v>-189</v>
      </c>
      <c r="N356" s="4">
        <f>SUMIFS(Tab_07.Jul[SALDO
ATUAL],Tab_07.Jul[CONTA],$F356)</f>
        <v>-189</v>
      </c>
      <c r="O356" s="4">
        <f>SUMIFS(Tab_08.Ago[SALDO
ATUAL],Tab_08.Ago[CONTA],$F356)</f>
        <v>-189</v>
      </c>
      <c r="P356" s="4">
        <f>SUMIFS(Tab_09.Set[SALDO
ATUAL],Tab_09.Set[CONTA],$F356)</f>
        <v>-189</v>
      </c>
      <c r="Q356" s="4">
        <f>SUMIFS(Tab_10.Out[SALDO
ATUAL],Tab_10.Out[CONTA],$F356)</f>
        <v>-189</v>
      </c>
      <c r="R356" s="4">
        <f>SUMIFS(Tab_11.Nov[SALDO
ATUAL],Tab_11.Nov[CONTA],$F356)</f>
        <v>-189</v>
      </c>
      <c r="S356" s="4">
        <f>SUMIFS(Tab_12.Dez[SALDO
ATUAL],Tab_12.Dez[CONTA],$F356)</f>
        <v>-189</v>
      </c>
    </row>
    <row r="357" spans="2:19" x14ac:dyDescent="0.3">
      <c r="B357" s="3" t="s">
        <v>66</v>
      </c>
      <c r="C357" s="2" t="str">
        <f t="shared" si="29"/>
        <v>C</v>
      </c>
      <c r="D357" s="2" t="str">
        <f t="shared" si="30"/>
        <v>A</v>
      </c>
      <c r="E357" s="2">
        <f t="shared" si="31"/>
        <v>5</v>
      </c>
      <c r="F357" s="3" t="s">
        <v>828</v>
      </c>
      <c r="G357" s="3" t="s">
        <v>829</v>
      </c>
      <c r="H357" s="4">
        <f>SUMIFS(Tab_01.Jan[SALDO
ATUAL],Tab_01.Jan[CONTA],$F357)</f>
        <v>-189</v>
      </c>
      <c r="I357" s="4">
        <f>SUMIFS(Tab_02.Fev[SALDO
ATUAL],Tab_02.Fev[CONTA],$F357)</f>
        <v>-189</v>
      </c>
      <c r="J357" s="4">
        <f>SUMIFS(Tab_03.Mar[SALDO
ATUAL],Tab_03.Mar[CONTA],$F357)</f>
        <v>-189</v>
      </c>
      <c r="K357" s="4">
        <f>SUMIFS(Tab_04.Abr[SALDO
ATUAL],Tab_04.Abr[CONTA],$F357)</f>
        <v>-189</v>
      </c>
      <c r="L357" s="4">
        <f>SUMIFS(Tab_05.Mai[SALDO
ATUAL],Tab_05.Mai[CONTA],$F357)</f>
        <v>-189</v>
      </c>
      <c r="M357" s="4">
        <f>SUMIFS(Tab_06.Jun[SALDO
ATUAL],Tab_06.Jun[CONTA],$F357)</f>
        <v>-189</v>
      </c>
      <c r="N357" s="4">
        <f>SUMIFS(Tab_07.Jul[SALDO
ATUAL],Tab_07.Jul[CONTA],$F357)</f>
        <v>-189</v>
      </c>
      <c r="O357" s="4">
        <f>SUMIFS(Tab_08.Ago[SALDO
ATUAL],Tab_08.Ago[CONTA],$F357)</f>
        <v>-189</v>
      </c>
      <c r="P357" s="4">
        <f>SUMIFS(Tab_09.Set[SALDO
ATUAL],Tab_09.Set[CONTA],$F357)</f>
        <v>-189</v>
      </c>
      <c r="Q357" s="4">
        <f>SUMIFS(Tab_10.Out[SALDO
ATUAL],Tab_10.Out[CONTA],$F357)</f>
        <v>-189</v>
      </c>
      <c r="R357" s="4">
        <f>SUMIFS(Tab_11.Nov[SALDO
ATUAL],Tab_11.Nov[CONTA],$F357)</f>
        <v>-189</v>
      </c>
      <c r="S357" s="4">
        <f>SUMIFS(Tab_12.Dez[SALDO
ATUAL],Tab_12.Dez[CONTA],$F357)</f>
        <v>-189</v>
      </c>
    </row>
  </sheetData>
  <sheetProtection autoFilter="0"/>
  <phoneticPr fontId="9" type="noConversion"/>
  <conditionalFormatting sqref="B12">
    <cfRule type="cellIs" dxfId="1" priority="1" operator="notEqual">
      <formula>0</formula>
    </cfRule>
  </conditionalFormatting>
  <conditionalFormatting sqref="F10">
    <cfRule type="cellIs" dxfId="0" priority="2" operator="not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d008400-53af-4007-9422-12dce54ae827" xsi:nil="true"/>
    <lcf76f155ced4ddcb4097134ff3c332f xmlns="19874eb4-de1c-4a40-bab5-4e4819d296dd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F542791C729774E8242B3C9FC9BFEF0" ma:contentTypeVersion="19" ma:contentTypeDescription="Crie um novo documento." ma:contentTypeScope="" ma:versionID="2dd1c34c4626b50141cddb1f4a279635">
  <xsd:schema xmlns:xsd="http://www.w3.org/2001/XMLSchema" xmlns:xs="http://www.w3.org/2001/XMLSchema" xmlns:p="http://schemas.microsoft.com/office/2006/metadata/properties" xmlns:ns2="3d008400-53af-4007-9422-12dce54ae827" xmlns:ns3="19874eb4-de1c-4a40-bab5-4e4819d296dd" targetNamespace="http://schemas.microsoft.com/office/2006/metadata/properties" ma:root="true" ma:fieldsID="07ef28fd5dba8aa986d05f7dec2056dd" ns2:_="" ns3:_="">
    <xsd:import namespace="3d008400-53af-4007-9422-12dce54ae827"/>
    <xsd:import namespace="19874eb4-de1c-4a40-bab5-4e4819d296d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008400-53af-4007-9422-12dce54ae82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f764c78-e65c-4d54-96e8-0dc83218ab2e}" ma:internalName="TaxCatchAll" ma:showField="CatchAllData" ma:web="3d008400-53af-4007-9422-12dce54ae82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874eb4-de1c-4a40-bab5-4e4819d296d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b4972624-3654-41f0-a905-e6d1f0fe828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406CC0B-2112-4FF7-9D73-4358194BACAB}">
  <ds:schemaRefs>
    <ds:schemaRef ds:uri="http://schemas.microsoft.com/office/2006/metadata/properties"/>
    <ds:schemaRef ds:uri="http://schemas.microsoft.com/office/infopath/2007/PartnerControls"/>
    <ds:schemaRef ds:uri="3d008400-53af-4007-9422-12dce54ae827"/>
    <ds:schemaRef ds:uri="19874eb4-de1c-4a40-bab5-4e4819d296dd"/>
  </ds:schemaRefs>
</ds:datastoreItem>
</file>

<file path=customXml/itemProps2.xml><?xml version="1.0" encoding="utf-8"?>
<ds:datastoreItem xmlns:ds="http://schemas.openxmlformats.org/officeDocument/2006/customXml" ds:itemID="{9506DC9D-57EF-49F8-A5FF-8C0D1328340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C66B9F5-72D3-4776-B888-A635C77FD7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d008400-53af-4007-9422-12dce54ae827"/>
    <ds:schemaRef ds:uri="19874eb4-de1c-4a40-bab5-4e4819d296d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23</vt:i4>
      </vt:variant>
      <vt:variant>
        <vt:lpstr>Intervalos Nomeados</vt:lpstr>
      </vt:variant>
      <vt:variant>
        <vt:i4>17</vt:i4>
      </vt:variant>
    </vt:vector>
  </HeadingPairs>
  <TitlesOfParts>
    <vt:vector size="40" baseType="lpstr">
      <vt:lpstr>INDICADORES</vt:lpstr>
      <vt:lpstr>BALANÇO</vt:lpstr>
      <vt:lpstr>EBITDA</vt:lpstr>
      <vt:lpstr>ATIVO</vt:lpstr>
      <vt:lpstr>PASSIVO</vt:lpstr>
      <vt:lpstr>DRE</vt:lpstr>
      <vt:lpstr>DRE - MOVTO</vt:lpstr>
      <vt:lpstr>2023</vt:lpstr>
      <vt:lpstr>2024</vt:lpstr>
      <vt:lpstr>MOVTO</vt:lpstr>
      <vt:lpstr>Indices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BALANÇO!Area_de_impressao</vt:lpstr>
      <vt:lpstr>DRE!int_Data</vt:lpstr>
      <vt:lpstr>int_Data</vt:lpstr>
      <vt:lpstr>par_01.LL</vt:lpstr>
      <vt:lpstr>par_02.LL</vt:lpstr>
      <vt:lpstr>par_03.LL</vt:lpstr>
      <vt:lpstr>par_04.LL</vt:lpstr>
      <vt:lpstr>par_05.LL</vt:lpstr>
      <vt:lpstr>par_06.LL</vt:lpstr>
      <vt:lpstr>par_07.LL</vt:lpstr>
      <vt:lpstr>par_08.LL</vt:lpstr>
      <vt:lpstr>par_09.LL</vt:lpstr>
      <vt:lpstr>par_10.LL</vt:lpstr>
      <vt:lpstr>par_11.LL</vt:lpstr>
      <vt:lpstr>par_12.LL</vt:lpstr>
      <vt:lpstr>par_99.LL</vt:lpstr>
      <vt:lpstr>par_Ajuste.Trial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Fabiano Gonçalves</dc:creator>
  <cp:lastModifiedBy>Pedro Soares</cp:lastModifiedBy>
  <cp:lastPrinted>2023-12-12T21:00:54Z</cp:lastPrinted>
  <dcterms:created xsi:type="dcterms:W3CDTF">2018-11-12T11:34:20Z</dcterms:created>
  <dcterms:modified xsi:type="dcterms:W3CDTF">2025-04-17T18:54:44Z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0x0101006F542791C729774E8242B3C9FC9BFEF0</vt:lpwstr>
  </property>
  <property fmtid="{D5CDD505-2E9C-101B-9397-08002B2CF9AE}" pid="3" name="MediaServiceImageTags">
    <vt:lpwstr/>
  </property>
</Properties>
</file>